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docs.live.net/c6e7fed28e5d6ce6/Documents/SARK/energypeople/"/>
    </mc:Choice>
  </mc:AlternateContent>
  <xr:revisionPtr revIDLastSave="23" documentId="8_{A545C007-49A4-4BA4-B843-EB9B26EE2658}" xr6:coauthVersionLast="47" xr6:coauthVersionMax="47" xr10:uidLastSave="{841E51BF-DF15-4E95-BE03-F3101E61DBC8}"/>
  <workbookProtection workbookAlgorithmName="SHA-512" workbookHashValue="ox7lp5FNfjXSPB3nPRHR7UhWq3rLnDauAGoxSWpknq8X2ypsVTFYPskwAZMjOx8SXY4I1wL4Q/P+87L/x4f1Bg==" workbookSaltValue="7AAPJBjLoowkM0iQUix/bg==" workbookSpinCount="100000" lockStructure="1"/>
  <bookViews>
    <workbookView xWindow="-110" yWindow="-110" windowWidth="25820" windowHeight="15500" activeTab="1" xr2:uid="{32CDFEB5-55B1-48E5-9B26-073497235576}"/>
  </bookViews>
  <sheets>
    <sheet name="Summary Output" sheetId="36" r:id="rId1"/>
    <sheet name="Generation &amp; Ops Scenarios" sheetId="5" r:id="rId2"/>
    <sheet name="Diesel Summary" sheetId="7" r:id="rId3"/>
    <sheet name="Diesel Interest Calculations" sheetId="8" r:id="rId4"/>
    <sheet name="Diesel Cash Flow" sheetId="9" r:id="rId5"/>
    <sheet name="Diesel Profit and Loss" sheetId="10" r:id="rId6"/>
    <sheet name="Mix 1 Summary" sheetId="1" r:id="rId7"/>
    <sheet name="Mix 1 Interest Calculations" sheetId="3" r:id="rId8"/>
    <sheet name="Mix 1 Cash Flow" sheetId="2" r:id="rId9"/>
    <sheet name="Mix 1 Profit and Loss " sheetId="4" r:id="rId10"/>
    <sheet name="Mix 2 Summary" sheetId="15" r:id="rId11"/>
    <sheet name="Mix 2 Interest Calculations" sheetId="14" r:id="rId12"/>
    <sheet name="Mix 2 Cash Flow" sheetId="13" r:id="rId13"/>
    <sheet name="Mix 2 Profit and Loss" sheetId="16" r:id="rId14"/>
    <sheet name="Mix 3 Summary" sheetId="17" r:id="rId15"/>
    <sheet name="Mix 3 Interest Calculations" sheetId="18" r:id="rId16"/>
    <sheet name="Mix 3 Cash Flow" sheetId="19" r:id="rId17"/>
    <sheet name="Mix 3 Profit and Loss" sheetId="20" r:id="rId18"/>
    <sheet name="Mix 4 Summary" sheetId="21" r:id="rId19"/>
    <sheet name="Mix 4 Interest Calcualtions" sheetId="22" r:id="rId20"/>
    <sheet name="Mix 4 Cash Flow" sheetId="23" r:id="rId21"/>
    <sheet name="Mix 4 Profit and Loss" sheetId="24" r:id="rId22"/>
    <sheet name="100% Renewable Summary" sheetId="25" r:id="rId23"/>
    <sheet name="100% Renewable Interest Calcula" sheetId="26" r:id="rId24"/>
    <sheet name="100% Renewable Cash Flow" sheetId="27" r:id="rId25"/>
    <sheet name="100% Renewable Profit and Loss" sheetId="28" r:id="rId26"/>
    <sheet name="100% Wind Summary" sheetId="29" r:id="rId27"/>
    <sheet name="100% Wind Interest Calculations" sheetId="30" r:id="rId28"/>
    <sheet name="100% Wind Cash Flow" sheetId="31" r:id="rId29"/>
    <sheet name="100% Wind Profit and Loss" sheetId="32" r:id="rId30"/>
    <sheet name="100% Solar Summary" sheetId="33" r:id="rId31"/>
    <sheet name="100% Solar Interest Calculation" sheetId="34" r:id="rId32"/>
    <sheet name="100% Solar Cash Flow" sheetId="37" r:id="rId33"/>
    <sheet name="100% Solar Profit and Loss" sheetId="35" r:id="rId34"/>
    <sheet name="Distribution Scenario BoQs" sheetId="38" r:id="rId3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1" i="5" l="1"/>
  <c r="G48" i="5"/>
  <c r="H48" i="5"/>
  <c r="I48" i="5"/>
  <c r="C33" i="5"/>
  <c r="C32" i="5" s="1"/>
  <c r="B7" i="5"/>
  <c r="G31" i="5" s="1"/>
  <c r="F49" i="38"/>
  <c r="E49" i="38"/>
  <c r="K49" i="38"/>
  <c r="L49" i="38" s="1"/>
  <c r="F52" i="38"/>
  <c r="O52" i="38"/>
  <c r="N49" i="38"/>
  <c r="O49" i="38" s="1"/>
  <c r="L52" i="38"/>
  <c r="L51" i="38"/>
  <c r="F50" i="38"/>
  <c r="K48" i="38"/>
  <c r="L48" i="38" s="1"/>
  <c r="I48" i="38"/>
  <c r="H48" i="38"/>
  <c r="E48" i="38"/>
  <c r="F48" i="38" s="1"/>
  <c r="L50" i="38"/>
  <c r="I50" i="38"/>
  <c r="L6" i="38"/>
  <c r="A69" i="5"/>
  <c r="A68" i="5"/>
  <c r="A67" i="5"/>
  <c r="A66" i="5"/>
  <c r="A65" i="5"/>
  <c r="A64" i="5"/>
  <c r="C69" i="5"/>
  <c r="D69" i="5"/>
  <c r="E69" i="5"/>
  <c r="F69" i="5"/>
  <c r="G69" i="5"/>
  <c r="H69" i="5"/>
  <c r="I69" i="5"/>
  <c r="B69" i="5"/>
  <c r="C72" i="5"/>
  <c r="D72" i="5"/>
  <c r="F72" i="5"/>
  <c r="G72" i="5"/>
  <c r="H72" i="5"/>
  <c r="I72" i="5"/>
  <c r="O48" i="38"/>
  <c r="O47" i="38"/>
  <c r="L47" i="38"/>
  <c r="I47" i="38"/>
  <c r="F47" i="38"/>
  <c r="O46" i="38"/>
  <c r="L46" i="38"/>
  <c r="I46" i="38"/>
  <c r="F46" i="38"/>
  <c r="O45" i="38"/>
  <c r="L45" i="38"/>
  <c r="I45" i="38"/>
  <c r="F45" i="38"/>
  <c r="O40" i="38"/>
  <c r="L40" i="38"/>
  <c r="I40" i="38"/>
  <c r="F40" i="38"/>
  <c r="O39" i="38"/>
  <c r="L39" i="38"/>
  <c r="I39" i="38"/>
  <c r="F39" i="38"/>
  <c r="N38" i="38"/>
  <c r="O38" i="38" s="1"/>
  <c r="K38" i="38"/>
  <c r="L38" i="38" s="1"/>
  <c r="I38" i="38"/>
  <c r="E38" i="38"/>
  <c r="F38" i="38" s="1"/>
  <c r="O37" i="38"/>
  <c r="L37" i="38"/>
  <c r="I37" i="38"/>
  <c r="F37" i="38"/>
  <c r="O36" i="38"/>
  <c r="E72" i="5" s="1"/>
  <c r="L36" i="38"/>
  <c r="I36" i="38"/>
  <c r="F36" i="38"/>
  <c r="O35" i="38"/>
  <c r="L35" i="38"/>
  <c r="I35" i="38"/>
  <c r="F35" i="38"/>
  <c r="O34" i="38"/>
  <c r="L34" i="38"/>
  <c r="I34" i="38"/>
  <c r="F34" i="38"/>
  <c r="O33" i="38"/>
  <c r="L33" i="38"/>
  <c r="I33" i="38"/>
  <c r="F33" i="38"/>
  <c r="I30" i="38"/>
  <c r="I29" i="38"/>
  <c r="O28" i="38"/>
  <c r="L28" i="38"/>
  <c r="I28" i="38"/>
  <c r="F28" i="38"/>
  <c r="O27" i="38"/>
  <c r="L27" i="38"/>
  <c r="I27" i="38"/>
  <c r="F27" i="38"/>
  <c r="O26" i="38"/>
  <c r="L26" i="38"/>
  <c r="I26" i="38"/>
  <c r="F26" i="38"/>
  <c r="O25" i="38"/>
  <c r="L25" i="38"/>
  <c r="I25" i="38"/>
  <c r="F25" i="38"/>
  <c r="O24" i="38"/>
  <c r="L24" i="38"/>
  <c r="I24" i="38"/>
  <c r="F24" i="38"/>
  <c r="O23" i="38"/>
  <c r="L23" i="38"/>
  <c r="I23" i="38"/>
  <c r="F23" i="38"/>
  <c r="F29" i="38" s="1"/>
  <c r="O18" i="38"/>
  <c r="L18" i="38"/>
  <c r="I18" i="38"/>
  <c r="F18" i="38"/>
  <c r="O17" i="38"/>
  <c r="L17" i="38"/>
  <c r="I17" i="38"/>
  <c r="F17" i="38"/>
  <c r="O16" i="38"/>
  <c r="L16" i="38"/>
  <c r="I16" i="38"/>
  <c r="F16" i="38"/>
  <c r="O15" i="38"/>
  <c r="L15" i="38"/>
  <c r="I15" i="38"/>
  <c r="I19" i="38" s="1"/>
  <c r="F15" i="38"/>
  <c r="F19" i="38" s="1"/>
  <c r="O10" i="38"/>
  <c r="L10" i="38"/>
  <c r="I10" i="38"/>
  <c r="F10" i="38"/>
  <c r="O9" i="38"/>
  <c r="L9" i="38"/>
  <c r="I9" i="38"/>
  <c r="F9" i="38"/>
  <c r="O8" i="38"/>
  <c r="L8" i="38"/>
  <c r="I8" i="38"/>
  <c r="F8" i="38"/>
  <c r="O7" i="38"/>
  <c r="L7" i="38"/>
  <c r="I7" i="38"/>
  <c r="F7" i="38"/>
  <c r="O6" i="38"/>
  <c r="O11" i="38" s="1"/>
  <c r="I6" i="38"/>
  <c r="F6" i="38"/>
  <c r="O5" i="38"/>
  <c r="L5" i="38"/>
  <c r="I5" i="38"/>
  <c r="F5" i="38"/>
  <c r="C30" i="5" l="1"/>
  <c r="F31" i="5"/>
  <c r="E31" i="5"/>
  <c r="D31" i="5"/>
  <c r="C31" i="5"/>
  <c r="F11" i="38"/>
  <c r="L19" i="38"/>
  <c r="I41" i="38"/>
  <c r="I42" i="38" s="1"/>
  <c r="I31" i="5"/>
  <c r="F41" i="38"/>
  <c r="L11" i="38"/>
  <c r="O29" i="38"/>
  <c r="I53" i="38"/>
  <c r="L41" i="38"/>
  <c r="H31" i="5"/>
  <c r="I11" i="38"/>
  <c r="I12" i="38" s="1"/>
  <c r="L29" i="38"/>
  <c r="O19" i="38"/>
  <c r="O41" i="38"/>
  <c r="O53" i="38"/>
  <c r="F53" i="38"/>
  <c r="L53" i="38"/>
  <c r="F42" i="38"/>
  <c r="L42" i="38"/>
  <c r="O20" i="38"/>
  <c r="O30" i="38"/>
  <c r="F12" i="38"/>
  <c r="F30" i="38"/>
  <c r="I20" i="38"/>
  <c r="O12" i="38"/>
  <c r="F20" i="38"/>
  <c r="L12" i="38"/>
  <c r="L20" i="38"/>
  <c r="L30" i="38"/>
  <c r="O42" i="38"/>
  <c r="O55" i="38" l="1"/>
  <c r="C66" i="5"/>
  <c r="G66" i="5"/>
  <c r="D66" i="5"/>
  <c r="H66" i="5"/>
  <c r="E66" i="5"/>
  <c r="I66" i="5"/>
  <c r="F66" i="5"/>
  <c r="B66" i="5"/>
  <c r="D67" i="5"/>
  <c r="H67" i="5"/>
  <c r="E67" i="5"/>
  <c r="I67" i="5"/>
  <c r="F67" i="5"/>
  <c r="B67" i="5"/>
  <c r="C67" i="5"/>
  <c r="G67" i="5"/>
  <c r="F65" i="5"/>
  <c r="C65" i="5"/>
  <c r="G65" i="5"/>
  <c r="D65" i="5"/>
  <c r="H65" i="5"/>
  <c r="E65" i="5"/>
  <c r="I65" i="5"/>
  <c r="B65" i="5"/>
  <c r="F64" i="5"/>
  <c r="E64" i="5"/>
  <c r="C64" i="5"/>
  <c r="G64" i="5"/>
  <c r="D64" i="5"/>
  <c r="H64" i="5"/>
  <c r="I64" i="5"/>
  <c r="B64" i="5"/>
  <c r="D68" i="5"/>
  <c r="H68" i="5"/>
  <c r="B68" i="5"/>
  <c r="G68" i="5"/>
  <c r="E68" i="5"/>
  <c r="I68" i="5"/>
  <c r="F68" i="5"/>
  <c r="C68" i="5"/>
  <c r="I55" i="38"/>
  <c r="L55" i="38"/>
  <c r="F55" i="38"/>
  <c r="H70" i="5" l="1"/>
  <c r="H71" i="5" s="1"/>
  <c r="F56" i="38"/>
  <c r="F58" i="38" s="1"/>
  <c r="L56" i="38"/>
  <c r="L58" i="38" s="1"/>
  <c r="I56" i="38"/>
  <c r="I58" i="38" s="1"/>
  <c r="G70" i="5"/>
  <c r="G71" i="5" s="1"/>
  <c r="O56" i="38"/>
  <c r="O58" i="38" s="1"/>
  <c r="D70" i="5"/>
  <c r="D71" i="5" s="1"/>
  <c r="C70" i="5"/>
  <c r="C71" i="5" s="1"/>
  <c r="I70" i="5"/>
  <c r="I71" i="5" s="1"/>
  <c r="E70" i="5"/>
  <c r="E71" i="5" s="1"/>
  <c r="F70" i="5"/>
  <c r="F71" i="5" s="1"/>
  <c r="B53" i="29" l="1"/>
  <c r="B53" i="1"/>
  <c r="C53" i="1" s="1"/>
  <c r="D53" i="1" s="1"/>
  <c r="E53" i="1" s="1"/>
  <c r="F53" i="1" s="1"/>
  <c r="G53" i="1" s="1"/>
  <c r="H53" i="1" s="1"/>
  <c r="I53" i="1" s="1"/>
  <c r="J53" i="1" s="1"/>
  <c r="K53" i="1" s="1"/>
  <c r="L53" i="1" s="1"/>
  <c r="M53" i="1" s="1"/>
  <c r="N53" i="1" s="1"/>
  <c r="O53" i="1" s="1"/>
  <c r="P53" i="1" s="1"/>
  <c r="Q53" i="1" s="1"/>
  <c r="R53" i="1" s="1"/>
  <c r="S53" i="1" s="1"/>
  <c r="T53" i="1" s="1"/>
  <c r="U53" i="1" s="1"/>
  <c r="V53" i="1" s="1"/>
  <c r="W53" i="1" s="1"/>
  <c r="X53" i="1" s="1"/>
  <c r="Y53" i="1" s="1"/>
  <c r="Z53" i="1" s="1"/>
  <c r="M15" i="25" l="1"/>
  <c r="M15" i="29"/>
  <c r="M15" i="33"/>
  <c r="B8" i="5"/>
  <c r="D33" i="5"/>
  <c r="E33" i="5"/>
  <c r="F33" i="5"/>
  <c r="G33" i="5"/>
  <c r="G32" i="5" s="1"/>
  <c r="H33" i="5"/>
  <c r="H32" i="5" s="1"/>
  <c r="I33" i="5"/>
  <c r="I32" i="5" s="1"/>
  <c r="B33" i="5"/>
  <c r="B40" i="33"/>
  <c r="B40" i="29"/>
  <c r="B40" i="25"/>
  <c r="B40" i="21"/>
  <c r="B40" i="17"/>
  <c r="B40" i="15"/>
  <c r="B40" i="1"/>
  <c r="B40" i="7"/>
  <c r="D12" i="35"/>
  <c r="E44" i="5"/>
  <c r="D44" i="5"/>
  <c r="C44" i="5"/>
  <c r="B50" i="1" s="1"/>
  <c r="C50" i="1" s="1"/>
  <c r="D50" i="1" s="1"/>
  <c r="E50" i="1" s="1"/>
  <c r="F50" i="1" s="1"/>
  <c r="G50" i="1" s="1"/>
  <c r="H50" i="1" s="1"/>
  <c r="I50" i="1" s="1"/>
  <c r="J50" i="1" s="1"/>
  <c r="K50" i="1" s="1"/>
  <c r="L50" i="1" s="1"/>
  <c r="M50" i="1" s="1"/>
  <c r="N50" i="1" s="1"/>
  <c r="O50" i="1" s="1"/>
  <c r="P50" i="1" s="1"/>
  <c r="Q50" i="1" s="1"/>
  <c r="R50" i="1" s="1"/>
  <c r="S50" i="1" s="1"/>
  <c r="T50" i="1" s="1"/>
  <c r="U50" i="1" s="1"/>
  <c r="V50" i="1" s="1"/>
  <c r="W50" i="1" s="1"/>
  <c r="X50" i="1" s="1"/>
  <c r="Y50" i="1" s="1"/>
  <c r="Z50" i="1" s="1"/>
  <c r="B44" i="5"/>
  <c r="E43" i="5"/>
  <c r="D43" i="5"/>
  <c r="C43" i="5"/>
  <c r="B43" i="5"/>
  <c r="B41" i="5"/>
  <c r="J2" i="36"/>
  <c r="D2" i="36"/>
  <c r="E2" i="36"/>
  <c r="F2" i="36"/>
  <c r="G2" i="36"/>
  <c r="H2" i="36"/>
  <c r="I2" i="36"/>
  <c r="C2" i="36"/>
  <c r="D1" i="35"/>
  <c r="C1" i="37"/>
  <c r="D1" i="34"/>
  <c r="D1" i="28"/>
  <c r="C1" i="27"/>
  <c r="D1" i="26"/>
  <c r="D1" i="24"/>
  <c r="C1" i="23"/>
  <c r="D1" i="22"/>
  <c r="D1" i="20"/>
  <c r="C1" i="19"/>
  <c r="D1" i="18"/>
  <c r="D1" i="16"/>
  <c r="C1" i="13"/>
  <c r="D1" i="14"/>
  <c r="D1" i="4"/>
  <c r="C1" i="2"/>
  <c r="D1" i="3"/>
  <c r="D1" i="8"/>
  <c r="D1" i="10"/>
  <c r="C1" i="9"/>
  <c r="B51" i="5"/>
  <c r="C51" i="5"/>
  <c r="D51" i="5"/>
  <c r="E51" i="5"/>
  <c r="F51" i="5"/>
  <c r="G51" i="5"/>
  <c r="H51" i="5"/>
  <c r="C50" i="5"/>
  <c r="D50" i="5"/>
  <c r="E50" i="5"/>
  <c r="F50" i="5"/>
  <c r="G50" i="5"/>
  <c r="H50" i="5"/>
  <c r="I50" i="5"/>
  <c r="B50" i="5"/>
  <c r="AD6" i="35"/>
  <c r="AD28" i="37"/>
  <c r="AB21" i="37"/>
  <c r="AA21" i="37"/>
  <c r="Z21" i="37"/>
  <c r="Y21" i="37"/>
  <c r="X21" i="37"/>
  <c r="W21" i="37"/>
  <c r="V21" i="37"/>
  <c r="U21" i="37"/>
  <c r="T21" i="37"/>
  <c r="S21" i="37"/>
  <c r="R21" i="37"/>
  <c r="Q21" i="37"/>
  <c r="P21" i="37"/>
  <c r="O21" i="37"/>
  <c r="N21" i="37"/>
  <c r="M21" i="37"/>
  <c r="L21" i="37"/>
  <c r="K21" i="37"/>
  <c r="J21" i="37"/>
  <c r="I21" i="37"/>
  <c r="H21" i="37"/>
  <c r="G21" i="37"/>
  <c r="F21" i="37"/>
  <c r="E21" i="37"/>
  <c r="M5" i="33"/>
  <c r="H15" i="33"/>
  <c r="B9" i="33"/>
  <c r="B2" i="29"/>
  <c r="B2" i="25"/>
  <c r="B2" i="21"/>
  <c r="B2" i="33"/>
  <c r="B1" i="33"/>
  <c r="H21" i="33"/>
  <c r="H18" i="33"/>
  <c r="M11" i="33"/>
  <c r="M10" i="33"/>
  <c r="R12" i="33"/>
  <c r="M9" i="33"/>
  <c r="R11" i="33"/>
  <c r="M8" i="33"/>
  <c r="R10" i="33"/>
  <c r="R9" i="33"/>
  <c r="M6" i="33"/>
  <c r="N65" i="33" s="1"/>
  <c r="R8" i="33"/>
  <c r="D11" i="34" s="1"/>
  <c r="R6" i="33"/>
  <c r="D10" i="34" s="1"/>
  <c r="H6" i="33"/>
  <c r="R5" i="33"/>
  <c r="D7" i="34" s="1"/>
  <c r="H5" i="33"/>
  <c r="AD6" i="32"/>
  <c r="AD28" i="31"/>
  <c r="AB21" i="31"/>
  <c r="AA21" i="31"/>
  <c r="Z21" i="31"/>
  <c r="Y21" i="31"/>
  <c r="X21" i="31"/>
  <c r="W21" i="31"/>
  <c r="V21" i="31"/>
  <c r="U21" i="31"/>
  <c r="T21" i="31"/>
  <c r="S21" i="31"/>
  <c r="R21" i="31"/>
  <c r="Q21" i="31"/>
  <c r="P21" i="31"/>
  <c r="O21" i="31"/>
  <c r="N21" i="31"/>
  <c r="M21" i="31"/>
  <c r="L21" i="31"/>
  <c r="K21" i="31"/>
  <c r="J21" i="31"/>
  <c r="I21" i="31"/>
  <c r="H21" i="31"/>
  <c r="G21" i="31"/>
  <c r="F21" i="31"/>
  <c r="E21" i="31"/>
  <c r="H15" i="29"/>
  <c r="B9" i="29"/>
  <c r="B1" i="29"/>
  <c r="H21" i="29"/>
  <c r="M5" i="29" s="1"/>
  <c r="H18" i="29"/>
  <c r="M11" i="29"/>
  <c r="M10" i="29"/>
  <c r="R12" i="29"/>
  <c r="M9" i="29"/>
  <c r="R11" i="29"/>
  <c r="M8" i="29"/>
  <c r="R10" i="29"/>
  <c r="R9" i="29"/>
  <c r="M6" i="29"/>
  <c r="R8" i="29"/>
  <c r="R6" i="29"/>
  <c r="H6" i="29"/>
  <c r="R5" i="29"/>
  <c r="D7" i="30" s="1"/>
  <c r="H5" i="29"/>
  <c r="B1" i="25"/>
  <c r="AD6" i="28"/>
  <c r="AD28" i="27"/>
  <c r="AB21" i="27"/>
  <c r="AA21" i="27"/>
  <c r="Z21" i="27"/>
  <c r="Y21" i="27"/>
  <c r="X21" i="27"/>
  <c r="W21" i="27"/>
  <c r="V21" i="27"/>
  <c r="U21" i="27"/>
  <c r="T21" i="27"/>
  <c r="S21" i="27"/>
  <c r="R21" i="27"/>
  <c r="Q21" i="27"/>
  <c r="P21" i="27"/>
  <c r="O21" i="27"/>
  <c r="N21" i="27"/>
  <c r="M21" i="27"/>
  <c r="L21" i="27"/>
  <c r="K21" i="27"/>
  <c r="J21" i="27"/>
  <c r="I21" i="27"/>
  <c r="H21" i="27"/>
  <c r="G21" i="27"/>
  <c r="F21" i="27"/>
  <c r="E21" i="27"/>
  <c r="H15" i="25"/>
  <c r="B9" i="25"/>
  <c r="H21" i="25"/>
  <c r="M5" i="25" s="1"/>
  <c r="H18" i="25"/>
  <c r="M11" i="25"/>
  <c r="M10" i="25"/>
  <c r="R12" i="25"/>
  <c r="E46" i="27" s="1"/>
  <c r="F46" i="27" s="1"/>
  <c r="G46" i="27" s="1"/>
  <c r="H46" i="27" s="1"/>
  <c r="I46" i="27" s="1"/>
  <c r="J46" i="27" s="1"/>
  <c r="K46" i="27" s="1"/>
  <c r="L46" i="27" s="1"/>
  <c r="M46" i="27" s="1"/>
  <c r="N46" i="27" s="1"/>
  <c r="O46" i="27" s="1"/>
  <c r="P46" i="27" s="1"/>
  <c r="Q46" i="27" s="1"/>
  <c r="R46" i="27" s="1"/>
  <c r="S46" i="27" s="1"/>
  <c r="T46" i="27" s="1"/>
  <c r="U46" i="27" s="1"/>
  <c r="V46" i="27" s="1"/>
  <c r="W46" i="27" s="1"/>
  <c r="X46" i="27" s="1"/>
  <c r="Y46" i="27" s="1"/>
  <c r="Z46" i="27" s="1"/>
  <c r="AA46" i="27" s="1"/>
  <c r="AB46" i="27" s="1"/>
  <c r="M9" i="25"/>
  <c r="R11" i="25"/>
  <c r="E45" i="27" s="1"/>
  <c r="F45" i="27" s="1"/>
  <c r="G45" i="27" s="1"/>
  <c r="H45" i="27" s="1"/>
  <c r="I45" i="27" s="1"/>
  <c r="J45" i="27" s="1"/>
  <c r="K45" i="27" s="1"/>
  <c r="L45" i="27" s="1"/>
  <c r="M45" i="27" s="1"/>
  <c r="N45" i="27" s="1"/>
  <c r="O45" i="27" s="1"/>
  <c r="P45" i="27" s="1"/>
  <c r="Q45" i="27" s="1"/>
  <c r="R45" i="27" s="1"/>
  <c r="S45" i="27" s="1"/>
  <c r="T45" i="27" s="1"/>
  <c r="U45" i="27" s="1"/>
  <c r="V45" i="27" s="1"/>
  <c r="W45" i="27" s="1"/>
  <c r="X45" i="27" s="1"/>
  <c r="Y45" i="27" s="1"/>
  <c r="Z45" i="27" s="1"/>
  <c r="AA45" i="27" s="1"/>
  <c r="AB45" i="27" s="1"/>
  <c r="M8" i="25"/>
  <c r="R10" i="25"/>
  <c r="E44" i="27" s="1"/>
  <c r="F44" i="27" s="1"/>
  <c r="G44" i="27" s="1"/>
  <c r="H44" i="27" s="1"/>
  <c r="I44" i="27" s="1"/>
  <c r="J44" i="27" s="1"/>
  <c r="K44" i="27" s="1"/>
  <c r="L44" i="27" s="1"/>
  <c r="M44" i="27" s="1"/>
  <c r="N44" i="27" s="1"/>
  <c r="O44" i="27" s="1"/>
  <c r="P44" i="27" s="1"/>
  <c r="Q44" i="27" s="1"/>
  <c r="R44" i="27" s="1"/>
  <c r="S44" i="27" s="1"/>
  <c r="T44" i="27" s="1"/>
  <c r="U44" i="27" s="1"/>
  <c r="V44" i="27" s="1"/>
  <c r="W44" i="27" s="1"/>
  <c r="X44" i="27" s="1"/>
  <c r="Y44" i="27" s="1"/>
  <c r="Z44" i="27" s="1"/>
  <c r="AA44" i="27" s="1"/>
  <c r="AB44" i="27" s="1"/>
  <c r="R9" i="25"/>
  <c r="M6" i="25"/>
  <c r="W65" i="25" s="1"/>
  <c r="R8" i="25"/>
  <c r="D11" i="26" s="1"/>
  <c r="R6" i="25"/>
  <c r="D10" i="26" s="1"/>
  <c r="H6" i="25"/>
  <c r="R5" i="25"/>
  <c r="D7" i="26" s="1"/>
  <c r="H5" i="25"/>
  <c r="H15" i="21"/>
  <c r="AD6" i="24"/>
  <c r="AD28" i="23"/>
  <c r="AB21" i="23"/>
  <c r="AA21" i="23"/>
  <c r="Z21" i="23"/>
  <c r="Y21" i="23"/>
  <c r="X21" i="23"/>
  <c r="W21" i="23"/>
  <c r="V21" i="23"/>
  <c r="U21" i="23"/>
  <c r="T21" i="23"/>
  <c r="S21" i="23"/>
  <c r="R21" i="23"/>
  <c r="Q21" i="23"/>
  <c r="P21" i="23"/>
  <c r="O21" i="23"/>
  <c r="N21" i="23"/>
  <c r="M21" i="23"/>
  <c r="L21" i="23"/>
  <c r="K21" i="23"/>
  <c r="J21" i="23"/>
  <c r="I21" i="23"/>
  <c r="H21" i="23"/>
  <c r="G21" i="23"/>
  <c r="F21" i="23"/>
  <c r="E21" i="23"/>
  <c r="B9" i="21"/>
  <c r="B1" i="21"/>
  <c r="H21" i="21"/>
  <c r="M5" i="21" s="1"/>
  <c r="H18" i="21"/>
  <c r="M11" i="21"/>
  <c r="M10" i="21"/>
  <c r="R12" i="21"/>
  <c r="E46" i="23" s="1"/>
  <c r="F46" i="23" s="1"/>
  <c r="G46" i="23" s="1"/>
  <c r="H46" i="23" s="1"/>
  <c r="I46" i="23" s="1"/>
  <c r="J46" i="23" s="1"/>
  <c r="K46" i="23" s="1"/>
  <c r="L46" i="23" s="1"/>
  <c r="M46" i="23" s="1"/>
  <c r="N46" i="23" s="1"/>
  <c r="O46" i="23" s="1"/>
  <c r="P46" i="23" s="1"/>
  <c r="Q46" i="23" s="1"/>
  <c r="R46" i="23" s="1"/>
  <c r="S46" i="23" s="1"/>
  <c r="T46" i="23" s="1"/>
  <c r="U46" i="23" s="1"/>
  <c r="V46" i="23" s="1"/>
  <c r="W46" i="23" s="1"/>
  <c r="X46" i="23" s="1"/>
  <c r="Y46" i="23" s="1"/>
  <c r="Z46" i="23" s="1"/>
  <c r="AA46" i="23" s="1"/>
  <c r="AB46" i="23" s="1"/>
  <c r="M9" i="21"/>
  <c r="R11" i="21"/>
  <c r="E45" i="23" s="1"/>
  <c r="F45" i="23" s="1"/>
  <c r="G45" i="23" s="1"/>
  <c r="H45" i="23" s="1"/>
  <c r="I45" i="23" s="1"/>
  <c r="J45" i="23" s="1"/>
  <c r="K45" i="23" s="1"/>
  <c r="L45" i="23" s="1"/>
  <c r="M45" i="23" s="1"/>
  <c r="N45" i="23" s="1"/>
  <c r="O45" i="23" s="1"/>
  <c r="P45" i="23" s="1"/>
  <c r="Q45" i="23" s="1"/>
  <c r="R45" i="23" s="1"/>
  <c r="S45" i="23" s="1"/>
  <c r="T45" i="23" s="1"/>
  <c r="U45" i="23" s="1"/>
  <c r="V45" i="23" s="1"/>
  <c r="W45" i="23" s="1"/>
  <c r="X45" i="23" s="1"/>
  <c r="Y45" i="23" s="1"/>
  <c r="Z45" i="23" s="1"/>
  <c r="AA45" i="23" s="1"/>
  <c r="AB45" i="23" s="1"/>
  <c r="M8" i="21"/>
  <c r="R10" i="21"/>
  <c r="E44" i="23" s="1"/>
  <c r="F44" i="23" s="1"/>
  <c r="G44" i="23" s="1"/>
  <c r="H44" i="23" s="1"/>
  <c r="I44" i="23" s="1"/>
  <c r="J44" i="23" s="1"/>
  <c r="K44" i="23" s="1"/>
  <c r="L44" i="23" s="1"/>
  <c r="M44" i="23" s="1"/>
  <c r="N44" i="23" s="1"/>
  <c r="O44" i="23" s="1"/>
  <c r="P44" i="23" s="1"/>
  <c r="Q44" i="23" s="1"/>
  <c r="R44" i="23" s="1"/>
  <c r="S44" i="23" s="1"/>
  <c r="T44" i="23" s="1"/>
  <c r="U44" i="23" s="1"/>
  <c r="V44" i="23" s="1"/>
  <c r="W44" i="23" s="1"/>
  <c r="X44" i="23" s="1"/>
  <c r="Y44" i="23" s="1"/>
  <c r="Z44" i="23" s="1"/>
  <c r="AA44" i="23" s="1"/>
  <c r="AB44" i="23" s="1"/>
  <c r="R9" i="21"/>
  <c r="M6" i="21"/>
  <c r="N65" i="21" s="1"/>
  <c r="R8" i="21"/>
  <c r="D11" i="22" s="1"/>
  <c r="R6" i="21"/>
  <c r="D10" i="22" s="1"/>
  <c r="H6" i="21"/>
  <c r="R5" i="21"/>
  <c r="D7" i="22" s="1"/>
  <c r="H5" i="21"/>
  <c r="AD6" i="20"/>
  <c r="AD28" i="19"/>
  <c r="AB21" i="19"/>
  <c r="AA21" i="19"/>
  <c r="Z21" i="19"/>
  <c r="Y21" i="19"/>
  <c r="X21" i="19"/>
  <c r="W21" i="19"/>
  <c r="V21" i="19"/>
  <c r="U21" i="19"/>
  <c r="T21" i="19"/>
  <c r="S21" i="19"/>
  <c r="R21" i="19"/>
  <c r="Q21" i="19"/>
  <c r="P21" i="19"/>
  <c r="O21" i="19"/>
  <c r="N21" i="19"/>
  <c r="M21" i="19"/>
  <c r="L21" i="19"/>
  <c r="K21" i="19"/>
  <c r="J21" i="19"/>
  <c r="I21" i="19"/>
  <c r="H21" i="19"/>
  <c r="G21" i="19"/>
  <c r="F21" i="19"/>
  <c r="E21" i="19"/>
  <c r="H5" i="17"/>
  <c r="B9" i="17"/>
  <c r="B2" i="17"/>
  <c r="B2" i="15"/>
  <c r="B1" i="17"/>
  <c r="H21" i="17"/>
  <c r="M5" i="17" s="1"/>
  <c r="H18" i="17"/>
  <c r="H15" i="17"/>
  <c r="M11" i="17"/>
  <c r="M10" i="17"/>
  <c r="R12" i="17"/>
  <c r="M9" i="17"/>
  <c r="R11" i="17"/>
  <c r="E45" i="19" s="1"/>
  <c r="F45" i="19" s="1"/>
  <c r="G45" i="19" s="1"/>
  <c r="H45" i="19" s="1"/>
  <c r="I45" i="19" s="1"/>
  <c r="J45" i="19" s="1"/>
  <c r="K45" i="19" s="1"/>
  <c r="L45" i="19" s="1"/>
  <c r="M45" i="19" s="1"/>
  <c r="N45" i="19" s="1"/>
  <c r="O45" i="19" s="1"/>
  <c r="P45" i="19" s="1"/>
  <c r="Q45" i="19" s="1"/>
  <c r="R45" i="19" s="1"/>
  <c r="S45" i="19" s="1"/>
  <c r="T45" i="19" s="1"/>
  <c r="U45" i="19" s="1"/>
  <c r="V45" i="19" s="1"/>
  <c r="W45" i="19" s="1"/>
  <c r="X45" i="19" s="1"/>
  <c r="Y45" i="19" s="1"/>
  <c r="Z45" i="19" s="1"/>
  <c r="AA45" i="19" s="1"/>
  <c r="AB45" i="19" s="1"/>
  <c r="M8" i="17"/>
  <c r="R10" i="17"/>
  <c r="R9" i="17"/>
  <c r="M6" i="17"/>
  <c r="X65" i="17" s="1"/>
  <c r="R8" i="17"/>
  <c r="D11" i="18" s="1"/>
  <c r="R6" i="17"/>
  <c r="D10" i="18" s="1"/>
  <c r="H6" i="17"/>
  <c r="R5" i="17"/>
  <c r="D7" i="18" s="1"/>
  <c r="H15" i="7"/>
  <c r="H15" i="1"/>
  <c r="H15" i="15"/>
  <c r="D82" i="5"/>
  <c r="E82" i="5"/>
  <c r="F82" i="5"/>
  <c r="G82" i="5"/>
  <c r="H82" i="5"/>
  <c r="I82" i="5"/>
  <c r="AD6" i="16"/>
  <c r="AD28" i="13"/>
  <c r="AB21" i="13"/>
  <c r="AA21" i="13"/>
  <c r="Z21" i="13"/>
  <c r="Y21" i="13"/>
  <c r="X21" i="13"/>
  <c r="W21" i="13"/>
  <c r="V21" i="13"/>
  <c r="U21" i="13"/>
  <c r="T21" i="13"/>
  <c r="S21" i="13"/>
  <c r="R21" i="13"/>
  <c r="Q21" i="13"/>
  <c r="P21" i="13"/>
  <c r="O21" i="13"/>
  <c r="N21" i="13"/>
  <c r="M21" i="13"/>
  <c r="L21" i="13"/>
  <c r="K21" i="13"/>
  <c r="J21" i="13"/>
  <c r="I21" i="13"/>
  <c r="H21" i="13"/>
  <c r="G21" i="13"/>
  <c r="F21" i="13"/>
  <c r="E21" i="13"/>
  <c r="M6" i="15"/>
  <c r="R65" i="15" s="1"/>
  <c r="B9" i="15"/>
  <c r="B1" i="15"/>
  <c r="H21" i="15"/>
  <c r="M5" i="15" s="1"/>
  <c r="H18" i="15"/>
  <c r="M11" i="15"/>
  <c r="M10" i="15"/>
  <c r="R12" i="15"/>
  <c r="E46" i="13" s="1"/>
  <c r="F46" i="13" s="1"/>
  <c r="G46" i="13" s="1"/>
  <c r="H46" i="13" s="1"/>
  <c r="I46" i="13" s="1"/>
  <c r="J46" i="13" s="1"/>
  <c r="K46" i="13" s="1"/>
  <c r="L46" i="13" s="1"/>
  <c r="M46" i="13" s="1"/>
  <c r="N46" i="13" s="1"/>
  <c r="O46" i="13" s="1"/>
  <c r="P46" i="13" s="1"/>
  <c r="Q46" i="13" s="1"/>
  <c r="R46" i="13" s="1"/>
  <c r="S46" i="13" s="1"/>
  <c r="T46" i="13" s="1"/>
  <c r="U46" i="13" s="1"/>
  <c r="V46" i="13" s="1"/>
  <c r="W46" i="13" s="1"/>
  <c r="X46" i="13" s="1"/>
  <c r="Y46" i="13" s="1"/>
  <c r="Z46" i="13" s="1"/>
  <c r="AA46" i="13" s="1"/>
  <c r="AB46" i="13" s="1"/>
  <c r="M9" i="15"/>
  <c r="R11" i="15"/>
  <c r="E45" i="13" s="1"/>
  <c r="M8" i="15"/>
  <c r="R10" i="15"/>
  <c r="E44" i="13" s="1"/>
  <c r="R9" i="15"/>
  <c r="R8" i="15"/>
  <c r="D11" i="14" s="1"/>
  <c r="R6" i="15"/>
  <c r="D10" i="14" s="1"/>
  <c r="H6" i="15"/>
  <c r="R5" i="15"/>
  <c r="D7" i="14" s="1"/>
  <c r="H5" i="15"/>
  <c r="R12" i="1"/>
  <c r="R11" i="1"/>
  <c r="E45" i="2" s="1"/>
  <c r="F45" i="2" s="1"/>
  <c r="R10" i="1"/>
  <c r="E44" i="2" s="1"/>
  <c r="R12" i="7"/>
  <c r="E46" i="9" s="1"/>
  <c r="R11" i="7"/>
  <c r="E45" i="9" s="1"/>
  <c r="F45" i="9" s="1"/>
  <c r="G45" i="9" s="1"/>
  <c r="H45" i="9" s="1"/>
  <c r="I45" i="9" s="1"/>
  <c r="J45" i="9" s="1"/>
  <c r="K45" i="9" s="1"/>
  <c r="L45" i="9" s="1"/>
  <c r="M45" i="9" s="1"/>
  <c r="N45" i="9" s="1"/>
  <c r="O45" i="9" s="1"/>
  <c r="P45" i="9" s="1"/>
  <c r="Q45" i="9" s="1"/>
  <c r="R45" i="9" s="1"/>
  <c r="S45" i="9" s="1"/>
  <c r="T45" i="9" s="1"/>
  <c r="U45" i="9" s="1"/>
  <c r="V45" i="9" s="1"/>
  <c r="W45" i="9" s="1"/>
  <c r="X45" i="9" s="1"/>
  <c r="Y45" i="9" s="1"/>
  <c r="Z45" i="9" s="1"/>
  <c r="AA45" i="9" s="1"/>
  <c r="AB45" i="9" s="1"/>
  <c r="R10" i="7"/>
  <c r="E44" i="9" s="1"/>
  <c r="M11" i="1"/>
  <c r="M10" i="1"/>
  <c r="M9" i="1"/>
  <c r="M8" i="1"/>
  <c r="M11" i="7"/>
  <c r="M10" i="7"/>
  <c r="M9" i="7"/>
  <c r="M8" i="7"/>
  <c r="R8" i="1"/>
  <c r="R8" i="7"/>
  <c r="R5" i="1"/>
  <c r="R5" i="7"/>
  <c r="B19" i="7"/>
  <c r="B19" i="15"/>
  <c r="B19" i="17"/>
  <c r="B19" i="21"/>
  <c r="B19" i="25"/>
  <c r="B19" i="29"/>
  <c r="B19" i="33"/>
  <c r="F30" i="5" l="1"/>
  <c r="F29" i="5" s="1"/>
  <c r="F32" i="5"/>
  <c r="E30" i="5"/>
  <c r="E29" i="5" s="1"/>
  <c r="E32" i="5"/>
  <c r="D30" i="5"/>
  <c r="D32" i="5"/>
  <c r="B32" i="5"/>
  <c r="B30" i="5"/>
  <c r="B29" i="5" s="1"/>
  <c r="D46" i="5"/>
  <c r="M17" i="7"/>
  <c r="C46" i="5"/>
  <c r="B52" i="1" s="1"/>
  <c r="C52" i="1" s="1"/>
  <c r="D52" i="1" s="1"/>
  <c r="E52" i="1" s="1"/>
  <c r="F52" i="1" s="1"/>
  <c r="G52" i="1" s="1"/>
  <c r="H52" i="1" s="1"/>
  <c r="I52" i="1" s="1"/>
  <c r="J52" i="1" s="1"/>
  <c r="K52" i="1" s="1"/>
  <c r="L52" i="1" s="1"/>
  <c r="M52" i="1" s="1"/>
  <c r="N52" i="1" s="1"/>
  <c r="O52" i="1" s="1"/>
  <c r="P52" i="1" s="1"/>
  <c r="Q52" i="1" s="1"/>
  <c r="R52" i="1" s="1"/>
  <c r="S52" i="1" s="1"/>
  <c r="T52" i="1" s="1"/>
  <c r="U52" i="1" s="1"/>
  <c r="V52" i="1" s="1"/>
  <c r="W52" i="1" s="1"/>
  <c r="X52" i="1" s="1"/>
  <c r="Y52" i="1" s="1"/>
  <c r="Z52" i="1" s="1"/>
  <c r="B49" i="1"/>
  <c r="C49" i="1" s="1"/>
  <c r="D49" i="1" s="1"/>
  <c r="E49" i="1" s="1"/>
  <c r="F49" i="1" s="1"/>
  <c r="G49" i="1" s="1"/>
  <c r="H49" i="1" s="1"/>
  <c r="I49" i="1" s="1"/>
  <c r="J49" i="1" s="1"/>
  <c r="K49" i="1" s="1"/>
  <c r="L49" i="1" s="1"/>
  <c r="M49" i="1" s="1"/>
  <c r="N49" i="1" s="1"/>
  <c r="O49" i="1" s="1"/>
  <c r="P49" i="1" s="1"/>
  <c r="Q49" i="1" s="1"/>
  <c r="R49" i="1" s="1"/>
  <c r="S49" i="1" s="1"/>
  <c r="T49" i="1" s="1"/>
  <c r="U49" i="1" s="1"/>
  <c r="V49" i="1" s="1"/>
  <c r="W49" i="1" s="1"/>
  <c r="X49" i="1" s="1"/>
  <c r="Y49" i="1" s="1"/>
  <c r="Z49" i="1" s="1"/>
  <c r="B9" i="5"/>
  <c r="M16" i="7"/>
  <c r="F65" i="29"/>
  <c r="W65" i="29"/>
  <c r="X65" i="29"/>
  <c r="Y65" i="29"/>
  <c r="W65" i="21"/>
  <c r="Z65" i="29"/>
  <c r="Z65" i="21"/>
  <c r="V65" i="21"/>
  <c r="V65" i="29"/>
  <c r="N65" i="17"/>
  <c r="Y65" i="17"/>
  <c r="V65" i="17"/>
  <c r="Z65" i="17"/>
  <c r="W65" i="17"/>
  <c r="Y65" i="21"/>
  <c r="F65" i="25"/>
  <c r="X65" i="25"/>
  <c r="Y65" i="25"/>
  <c r="V65" i="25"/>
  <c r="Z65" i="25"/>
  <c r="X65" i="21"/>
  <c r="E46" i="5"/>
  <c r="B46" i="5"/>
  <c r="D7" i="37"/>
  <c r="D5" i="35" s="1"/>
  <c r="E45" i="37"/>
  <c r="F45" i="37" s="1"/>
  <c r="G45" i="37" s="1"/>
  <c r="H45" i="37" s="1"/>
  <c r="I45" i="37" s="1"/>
  <c r="J45" i="37" s="1"/>
  <c r="K45" i="37" s="1"/>
  <c r="L45" i="37" s="1"/>
  <c r="M45" i="37" s="1"/>
  <c r="N45" i="37" s="1"/>
  <c r="O45" i="37" s="1"/>
  <c r="P45" i="37" s="1"/>
  <c r="Q45" i="37" s="1"/>
  <c r="R45" i="37" s="1"/>
  <c r="S45" i="37" s="1"/>
  <c r="T45" i="37" s="1"/>
  <c r="U45" i="37" s="1"/>
  <c r="V45" i="37" s="1"/>
  <c r="W45" i="37" s="1"/>
  <c r="X45" i="37" s="1"/>
  <c r="Y45" i="37" s="1"/>
  <c r="Z45" i="37" s="1"/>
  <c r="AA45" i="37" s="1"/>
  <c r="AB45" i="37" s="1"/>
  <c r="E44" i="37"/>
  <c r="F44" i="37" s="1"/>
  <c r="G44" i="37" s="1"/>
  <c r="H44" i="37" s="1"/>
  <c r="I44" i="37" s="1"/>
  <c r="J44" i="37" s="1"/>
  <c r="K44" i="37" s="1"/>
  <c r="L44" i="37" s="1"/>
  <c r="M44" i="37" s="1"/>
  <c r="N44" i="37" s="1"/>
  <c r="O44" i="37" s="1"/>
  <c r="P44" i="37" s="1"/>
  <c r="Q44" i="37" s="1"/>
  <c r="R44" i="37" s="1"/>
  <c r="S44" i="37" s="1"/>
  <c r="T44" i="37" s="1"/>
  <c r="U44" i="37" s="1"/>
  <c r="V44" i="37" s="1"/>
  <c r="W44" i="37" s="1"/>
  <c r="X44" i="37" s="1"/>
  <c r="Y44" i="37" s="1"/>
  <c r="Z44" i="37" s="1"/>
  <c r="AA44" i="37" s="1"/>
  <c r="AB44" i="37" s="1"/>
  <c r="E46" i="2"/>
  <c r="F46" i="2" s="1"/>
  <c r="G46" i="2" s="1"/>
  <c r="H46" i="2" s="1"/>
  <c r="I46" i="2" s="1"/>
  <c r="J46" i="2" s="1"/>
  <c r="K46" i="2" s="1"/>
  <c r="L46" i="2" s="1"/>
  <c r="M46" i="2" s="1"/>
  <c r="N46" i="2" s="1"/>
  <c r="O46" i="2" s="1"/>
  <c r="P46" i="2" s="1"/>
  <c r="Q46" i="2" s="1"/>
  <c r="R46" i="2" s="1"/>
  <c r="S46" i="2" s="1"/>
  <c r="T46" i="2" s="1"/>
  <c r="U46" i="2" s="1"/>
  <c r="V46" i="2" s="1"/>
  <c r="W46" i="2" s="1"/>
  <c r="X46" i="2" s="1"/>
  <c r="Y46" i="2" s="1"/>
  <c r="Z46" i="2" s="1"/>
  <c r="AA46" i="2" s="1"/>
  <c r="AB46" i="2" s="1"/>
  <c r="E46" i="37"/>
  <c r="F46" i="37" s="1"/>
  <c r="G46" i="37" s="1"/>
  <c r="H46" i="37" s="1"/>
  <c r="I46" i="37" s="1"/>
  <c r="J46" i="37" s="1"/>
  <c r="K46" i="37" s="1"/>
  <c r="L46" i="37" s="1"/>
  <c r="M46" i="37" s="1"/>
  <c r="N46" i="37" s="1"/>
  <c r="O46" i="37" s="1"/>
  <c r="P46" i="37" s="1"/>
  <c r="Q46" i="37" s="1"/>
  <c r="R46" i="37" s="1"/>
  <c r="S46" i="37" s="1"/>
  <c r="T46" i="37" s="1"/>
  <c r="U46" i="37" s="1"/>
  <c r="V46" i="37" s="1"/>
  <c r="W46" i="37" s="1"/>
  <c r="X46" i="37" s="1"/>
  <c r="Y46" i="37" s="1"/>
  <c r="Z46" i="37" s="1"/>
  <c r="AA46" i="37" s="1"/>
  <c r="AB46" i="37" s="1"/>
  <c r="H7" i="33"/>
  <c r="F65" i="33"/>
  <c r="J65" i="33"/>
  <c r="U65" i="33"/>
  <c r="Q65" i="33"/>
  <c r="M65" i="33"/>
  <c r="I65" i="33"/>
  <c r="E65" i="33"/>
  <c r="T65" i="33"/>
  <c r="P65" i="33"/>
  <c r="L65" i="33"/>
  <c r="H65" i="33"/>
  <c r="D65" i="33"/>
  <c r="S65" i="33"/>
  <c r="O65" i="33"/>
  <c r="K65" i="33"/>
  <c r="G65" i="33"/>
  <c r="C65" i="33"/>
  <c r="B65" i="33"/>
  <c r="R65" i="33"/>
  <c r="E44" i="31"/>
  <c r="F44" i="31" s="1"/>
  <c r="G44" i="31" s="1"/>
  <c r="H44" i="31" s="1"/>
  <c r="I44" i="31" s="1"/>
  <c r="J44" i="31" s="1"/>
  <c r="K44" i="31" s="1"/>
  <c r="L44" i="31" s="1"/>
  <c r="M44" i="31" s="1"/>
  <c r="N44" i="31" s="1"/>
  <c r="O44" i="31" s="1"/>
  <c r="P44" i="31" s="1"/>
  <c r="Q44" i="31" s="1"/>
  <c r="R44" i="31" s="1"/>
  <c r="S44" i="31" s="1"/>
  <c r="T44" i="31" s="1"/>
  <c r="U44" i="31" s="1"/>
  <c r="V44" i="31" s="1"/>
  <c r="W44" i="31" s="1"/>
  <c r="X44" i="31" s="1"/>
  <c r="Y44" i="31" s="1"/>
  <c r="Z44" i="31" s="1"/>
  <c r="AA44" i="31" s="1"/>
  <c r="AB44" i="31" s="1"/>
  <c r="E45" i="31"/>
  <c r="F45" i="31" s="1"/>
  <c r="G45" i="31" s="1"/>
  <c r="H45" i="31" s="1"/>
  <c r="I45" i="31" s="1"/>
  <c r="J45" i="31" s="1"/>
  <c r="K45" i="31" s="1"/>
  <c r="L45" i="31" s="1"/>
  <c r="M45" i="31" s="1"/>
  <c r="N45" i="31" s="1"/>
  <c r="O45" i="31" s="1"/>
  <c r="P45" i="31" s="1"/>
  <c r="Q45" i="31" s="1"/>
  <c r="R45" i="31" s="1"/>
  <c r="S45" i="31" s="1"/>
  <c r="T45" i="31" s="1"/>
  <c r="U45" i="31" s="1"/>
  <c r="V45" i="31" s="1"/>
  <c r="W45" i="31" s="1"/>
  <c r="X45" i="31" s="1"/>
  <c r="Y45" i="31" s="1"/>
  <c r="Z45" i="31" s="1"/>
  <c r="AA45" i="31" s="1"/>
  <c r="AB45" i="31" s="1"/>
  <c r="E46" i="31"/>
  <c r="F46" i="31" s="1"/>
  <c r="G46" i="31" s="1"/>
  <c r="H46" i="31" s="1"/>
  <c r="I46" i="31" s="1"/>
  <c r="J46" i="31" s="1"/>
  <c r="K46" i="31" s="1"/>
  <c r="L46" i="31" s="1"/>
  <c r="M46" i="31" s="1"/>
  <c r="N46" i="31" s="1"/>
  <c r="O46" i="31" s="1"/>
  <c r="P46" i="31" s="1"/>
  <c r="Q46" i="31" s="1"/>
  <c r="R46" i="31" s="1"/>
  <c r="S46" i="31" s="1"/>
  <c r="T46" i="31" s="1"/>
  <c r="U46" i="31" s="1"/>
  <c r="V46" i="31" s="1"/>
  <c r="W46" i="31" s="1"/>
  <c r="X46" i="31" s="1"/>
  <c r="Y46" i="31" s="1"/>
  <c r="Z46" i="31" s="1"/>
  <c r="AA46" i="31" s="1"/>
  <c r="AB46" i="31" s="1"/>
  <c r="D10" i="30"/>
  <c r="D11" i="30"/>
  <c r="H7" i="29"/>
  <c r="U65" i="29"/>
  <c r="Q65" i="29"/>
  <c r="M65" i="29"/>
  <c r="I65" i="29"/>
  <c r="E65" i="29"/>
  <c r="T65" i="29"/>
  <c r="P65" i="29"/>
  <c r="L65" i="29"/>
  <c r="H65" i="29"/>
  <c r="D65" i="29"/>
  <c r="S65" i="29"/>
  <c r="O65" i="29"/>
  <c r="K65" i="29"/>
  <c r="G65" i="29"/>
  <c r="C65" i="29"/>
  <c r="J65" i="29"/>
  <c r="N65" i="29"/>
  <c r="B65" i="29"/>
  <c r="R65" i="29"/>
  <c r="H7" i="25"/>
  <c r="U65" i="25"/>
  <c r="Q65" i="25"/>
  <c r="M65" i="25"/>
  <c r="I65" i="25"/>
  <c r="E65" i="25"/>
  <c r="T65" i="25"/>
  <c r="P65" i="25"/>
  <c r="L65" i="25"/>
  <c r="H65" i="25"/>
  <c r="D65" i="25"/>
  <c r="S65" i="25"/>
  <c r="O65" i="25"/>
  <c r="K65" i="25"/>
  <c r="G65" i="25"/>
  <c r="C65" i="25"/>
  <c r="R65" i="25"/>
  <c r="B65" i="25"/>
  <c r="N65" i="25"/>
  <c r="J65" i="25"/>
  <c r="E46" i="19"/>
  <c r="F46" i="19" s="1"/>
  <c r="G46" i="19" s="1"/>
  <c r="H46" i="19" s="1"/>
  <c r="I46" i="19" s="1"/>
  <c r="J46" i="19" s="1"/>
  <c r="K46" i="19" s="1"/>
  <c r="L46" i="19" s="1"/>
  <c r="M46" i="19" s="1"/>
  <c r="N46" i="19" s="1"/>
  <c r="O46" i="19" s="1"/>
  <c r="P46" i="19" s="1"/>
  <c r="Q46" i="19" s="1"/>
  <c r="R46" i="19" s="1"/>
  <c r="S46" i="19" s="1"/>
  <c r="T46" i="19" s="1"/>
  <c r="U46" i="19" s="1"/>
  <c r="V46" i="19" s="1"/>
  <c r="W46" i="19" s="1"/>
  <c r="X46" i="19" s="1"/>
  <c r="Y46" i="19" s="1"/>
  <c r="Z46" i="19" s="1"/>
  <c r="AA46" i="19" s="1"/>
  <c r="AB46" i="19" s="1"/>
  <c r="E44" i="19"/>
  <c r="F44" i="19" s="1"/>
  <c r="G44" i="19" s="1"/>
  <c r="H44" i="19" s="1"/>
  <c r="I44" i="19" s="1"/>
  <c r="J44" i="19" s="1"/>
  <c r="K44" i="19" s="1"/>
  <c r="L44" i="19" s="1"/>
  <c r="M44" i="19" s="1"/>
  <c r="N44" i="19" s="1"/>
  <c r="O44" i="19" s="1"/>
  <c r="P44" i="19" s="1"/>
  <c r="Q44" i="19" s="1"/>
  <c r="R44" i="19" s="1"/>
  <c r="S44" i="19" s="1"/>
  <c r="T44" i="19" s="1"/>
  <c r="U44" i="19" s="1"/>
  <c r="V44" i="19" s="1"/>
  <c r="W44" i="19" s="1"/>
  <c r="X44" i="19" s="1"/>
  <c r="Y44" i="19" s="1"/>
  <c r="Z44" i="19" s="1"/>
  <c r="AA44" i="19" s="1"/>
  <c r="AB44" i="19" s="1"/>
  <c r="B65" i="21"/>
  <c r="H7" i="21"/>
  <c r="J65" i="21"/>
  <c r="U65" i="21"/>
  <c r="Q65" i="21"/>
  <c r="M65" i="21"/>
  <c r="I65" i="21"/>
  <c r="E65" i="21"/>
  <c r="T65" i="21"/>
  <c r="P65" i="21"/>
  <c r="L65" i="21"/>
  <c r="H65" i="21"/>
  <c r="D65" i="21"/>
  <c r="S65" i="21"/>
  <c r="K65" i="21"/>
  <c r="C65" i="21"/>
  <c r="F65" i="21"/>
  <c r="O65" i="21"/>
  <c r="G65" i="21"/>
  <c r="R65" i="21"/>
  <c r="H7" i="15"/>
  <c r="C65" i="15"/>
  <c r="G65" i="15"/>
  <c r="K65" i="15"/>
  <c r="O65" i="15"/>
  <c r="S65" i="15"/>
  <c r="D65" i="15"/>
  <c r="H65" i="15"/>
  <c r="L65" i="15"/>
  <c r="P65" i="15"/>
  <c r="T65" i="15"/>
  <c r="E65" i="15"/>
  <c r="I65" i="15"/>
  <c r="M65" i="15"/>
  <c r="Q65" i="15"/>
  <c r="U65" i="15"/>
  <c r="B65" i="15"/>
  <c r="F65" i="15"/>
  <c r="J65" i="15"/>
  <c r="N65" i="15"/>
  <c r="F65" i="17"/>
  <c r="H7" i="17"/>
  <c r="U65" i="17"/>
  <c r="Q65" i="17"/>
  <c r="M65" i="17"/>
  <c r="I65" i="17"/>
  <c r="E65" i="17"/>
  <c r="T65" i="17"/>
  <c r="P65" i="17"/>
  <c r="L65" i="17"/>
  <c r="H65" i="17"/>
  <c r="D65" i="17"/>
  <c r="S65" i="17"/>
  <c r="O65" i="17"/>
  <c r="K65" i="17"/>
  <c r="G65" i="17"/>
  <c r="C65" i="17"/>
  <c r="J65" i="17"/>
  <c r="B65" i="17"/>
  <c r="R65" i="17"/>
  <c r="F44" i="13"/>
  <c r="G44" i="13" s="1"/>
  <c r="H44" i="13" s="1"/>
  <c r="I44" i="13" s="1"/>
  <c r="J44" i="13" s="1"/>
  <c r="K44" i="13" s="1"/>
  <c r="L44" i="13" s="1"/>
  <c r="M44" i="13" s="1"/>
  <c r="N44" i="13" s="1"/>
  <c r="O44" i="13" s="1"/>
  <c r="P44" i="13" s="1"/>
  <c r="Q44" i="13" s="1"/>
  <c r="R44" i="13" s="1"/>
  <c r="S44" i="13" s="1"/>
  <c r="T44" i="13" s="1"/>
  <c r="U44" i="13" s="1"/>
  <c r="V44" i="13" s="1"/>
  <c r="W44" i="13" s="1"/>
  <c r="X44" i="13" s="1"/>
  <c r="Y44" i="13" s="1"/>
  <c r="Z44" i="13" s="1"/>
  <c r="AA44" i="13" s="1"/>
  <c r="AB44" i="13" s="1"/>
  <c r="F45" i="13"/>
  <c r="F46" i="9"/>
  <c r="G46" i="9" s="1"/>
  <c r="H46" i="9" s="1"/>
  <c r="I46" i="9" s="1"/>
  <c r="J46" i="9" s="1"/>
  <c r="K46" i="9" s="1"/>
  <c r="L46" i="9" s="1"/>
  <c r="M46" i="9" s="1"/>
  <c r="N46" i="9" s="1"/>
  <c r="O46" i="9" s="1"/>
  <c r="P46" i="9" s="1"/>
  <c r="Q46" i="9" s="1"/>
  <c r="R46" i="9" s="1"/>
  <c r="S46" i="9" s="1"/>
  <c r="T46" i="9" s="1"/>
  <c r="U46" i="9" s="1"/>
  <c r="V46" i="9" s="1"/>
  <c r="W46" i="9" s="1"/>
  <c r="X46" i="9" s="1"/>
  <c r="Y46" i="9" s="1"/>
  <c r="Z46" i="9" s="1"/>
  <c r="AA46" i="9" s="1"/>
  <c r="AB46" i="9" s="1"/>
  <c r="G45" i="2"/>
  <c r="F44" i="9"/>
  <c r="G44" i="9" s="1"/>
  <c r="H44" i="9" s="1"/>
  <c r="I44" i="9" s="1"/>
  <c r="J44" i="9" s="1"/>
  <c r="K44" i="9" s="1"/>
  <c r="L44" i="9" s="1"/>
  <c r="M44" i="9" s="1"/>
  <c r="N44" i="9" s="1"/>
  <c r="O44" i="9" s="1"/>
  <c r="P44" i="9" s="1"/>
  <c r="Q44" i="9" s="1"/>
  <c r="R44" i="9" s="1"/>
  <c r="S44" i="9" s="1"/>
  <c r="T44" i="9" s="1"/>
  <c r="U44" i="9" s="1"/>
  <c r="V44" i="9" s="1"/>
  <c r="W44" i="9" s="1"/>
  <c r="X44" i="9" s="1"/>
  <c r="Y44" i="9" s="1"/>
  <c r="Z44" i="9" s="1"/>
  <c r="AA44" i="9" s="1"/>
  <c r="AB44" i="9" s="1"/>
  <c r="F44" i="2"/>
  <c r="G44" i="2" s="1"/>
  <c r="H44" i="2" s="1"/>
  <c r="I44" i="2" s="1"/>
  <c r="J44" i="2" s="1"/>
  <c r="K44" i="2" s="1"/>
  <c r="L44" i="2" s="1"/>
  <c r="M44" i="2" s="1"/>
  <c r="N44" i="2" s="1"/>
  <c r="O44" i="2" s="1"/>
  <c r="P44" i="2" s="1"/>
  <c r="Q44" i="2" s="1"/>
  <c r="R44" i="2" s="1"/>
  <c r="S44" i="2" s="1"/>
  <c r="T44" i="2" s="1"/>
  <c r="U44" i="2" s="1"/>
  <c r="V44" i="2" s="1"/>
  <c r="W44" i="2" s="1"/>
  <c r="X44" i="2" s="1"/>
  <c r="Y44" i="2" s="1"/>
  <c r="Z44" i="2" s="1"/>
  <c r="AA44" i="2" s="1"/>
  <c r="AB44" i="2" s="1"/>
  <c r="B19" i="1"/>
  <c r="D29" i="5" l="1"/>
  <c r="E7" i="37"/>
  <c r="G45" i="13"/>
  <c r="H45" i="2"/>
  <c r="F7" i="37" l="1"/>
  <c r="E5" i="35"/>
  <c r="H45" i="13"/>
  <c r="I45" i="2"/>
  <c r="G7" i="37" l="1"/>
  <c r="F5" i="35"/>
  <c r="B18" i="33"/>
  <c r="I45" i="13"/>
  <c r="J45" i="2"/>
  <c r="H7" i="37" l="1"/>
  <c r="G5" i="35"/>
  <c r="B18" i="7"/>
  <c r="B18" i="15"/>
  <c r="B15" i="33"/>
  <c r="B15" i="15"/>
  <c r="B18" i="1"/>
  <c r="B16" i="15"/>
  <c r="B16" i="33"/>
  <c r="B14" i="33"/>
  <c r="B17" i="15"/>
  <c r="B17" i="33"/>
  <c r="J45" i="13"/>
  <c r="K45" i="2"/>
  <c r="I7" i="37" l="1"/>
  <c r="H5" i="35"/>
  <c r="B14" i="29"/>
  <c r="B17" i="29"/>
  <c r="B16" i="29"/>
  <c r="B15" i="29"/>
  <c r="B18" i="29"/>
  <c r="B14" i="25"/>
  <c r="B15" i="25"/>
  <c r="B18" i="25"/>
  <c r="B17" i="25"/>
  <c r="B16" i="25"/>
  <c r="B14" i="21"/>
  <c r="B15" i="21"/>
  <c r="B17" i="21"/>
  <c r="B16" i="21"/>
  <c r="B18" i="21"/>
  <c r="B17" i="17"/>
  <c r="B16" i="17"/>
  <c r="B18" i="17"/>
  <c r="B15" i="17"/>
  <c r="B70" i="5"/>
  <c r="B14" i="15"/>
  <c r="B20" i="15" s="1"/>
  <c r="B21" i="15" s="1"/>
  <c r="H13" i="15" s="1"/>
  <c r="B14" i="7"/>
  <c r="B14" i="1"/>
  <c r="B14" i="17"/>
  <c r="B17" i="1"/>
  <c r="B17" i="7"/>
  <c r="B16" i="1"/>
  <c r="B16" i="7"/>
  <c r="B15" i="7"/>
  <c r="B15" i="1"/>
  <c r="K45" i="13"/>
  <c r="L45" i="2"/>
  <c r="J7" i="37" l="1"/>
  <c r="I5" i="35"/>
  <c r="B20" i="33"/>
  <c r="B21" i="33" s="1"/>
  <c r="H13" i="33" s="1"/>
  <c r="B20" i="29"/>
  <c r="B21" i="29" s="1"/>
  <c r="H13" i="29" s="1"/>
  <c r="B20" i="25"/>
  <c r="B21" i="25" s="1"/>
  <c r="H13" i="25" s="1"/>
  <c r="B20" i="21"/>
  <c r="B21" i="21" s="1"/>
  <c r="H13" i="21" s="1"/>
  <c r="B20" i="17"/>
  <c r="B21" i="17" s="1"/>
  <c r="H13" i="17" s="1"/>
  <c r="B20" i="7"/>
  <c r="B21" i="7" s="1"/>
  <c r="L45" i="13"/>
  <c r="M45" i="2"/>
  <c r="K7" i="37" l="1"/>
  <c r="J5" i="35"/>
  <c r="M45" i="13"/>
  <c r="N45" i="2"/>
  <c r="L7" i="37" l="1"/>
  <c r="K5" i="35"/>
  <c r="N45" i="13"/>
  <c r="O45" i="2"/>
  <c r="B52" i="7"/>
  <c r="C52" i="7" s="1"/>
  <c r="D52" i="7" s="1"/>
  <c r="E52" i="7" s="1"/>
  <c r="F52" i="7" s="1"/>
  <c r="G52" i="7" s="1"/>
  <c r="H52" i="7" s="1"/>
  <c r="I52" i="7" s="1"/>
  <c r="J52" i="7" s="1"/>
  <c r="K52" i="7" s="1"/>
  <c r="L52" i="7" s="1"/>
  <c r="M52" i="7" s="1"/>
  <c r="N52" i="7" s="1"/>
  <c r="O52" i="7" s="1"/>
  <c r="P52" i="7" s="1"/>
  <c r="Q52" i="7" s="1"/>
  <c r="R52" i="7" s="1"/>
  <c r="S52" i="7" s="1"/>
  <c r="T52" i="7" s="1"/>
  <c r="U52" i="7" s="1"/>
  <c r="V52" i="7" s="1"/>
  <c r="W52" i="7" s="1"/>
  <c r="X52" i="7" s="1"/>
  <c r="Y52" i="7" s="1"/>
  <c r="Z52" i="7" s="1"/>
  <c r="C82" i="5"/>
  <c r="B82" i="5"/>
  <c r="AD6" i="10"/>
  <c r="AD28" i="9"/>
  <c r="AB21" i="9"/>
  <c r="AA21" i="9"/>
  <c r="Z21" i="9"/>
  <c r="Y21" i="9"/>
  <c r="X21" i="9"/>
  <c r="W21" i="9"/>
  <c r="V21" i="9"/>
  <c r="U21" i="9"/>
  <c r="T21" i="9"/>
  <c r="S21" i="9"/>
  <c r="R21" i="9"/>
  <c r="Q21" i="9"/>
  <c r="P21" i="9"/>
  <c r="O21" i="9"/>
  <c r="N21" i="9"/>
  <c r="M21" i="9"/>
  <c r="L21" i="9"/>
  <c r="K21" i="9"/>
  <c r="J21" i="9"/>
  <c r="I21" i="9"/>
  <c r="H21" i="9"/>
  <c r="G21" i="9"/>
  <c r="F21" i="9"/>
  <c r="E21" i="9"/>
  <c r="D11" i="8"/>
  <c r="D7" i="8"/>
  <c r="B9" i="7"/>
  <c r="B2" i="7"/>
  <c r="B1" i="7"/>
  <c r="H21" i="7"/>
  <c r="M5" i="7" s="1"/>
  <c r="H18" i="7"/>
  <c r="R9" i="7"/>
  <c r="M6" i="7"/>
  <c r="R6" i="7"/>
  <c r="D10" i="8" s="1"/>
  <c r="H6" i="7"/>
  <c r="H5" i="7"/>
  <c r="B18" i="5"/>
  <c r="H5" i="1"/>
  <c r="H6" i="1"/>
  <c r="V65" i="7" l="1"/>
  <c r="Z65" i="7"/>
  <c r="W65" i="7"/>
  <c r="X65" i="7"/>
  <c r="Y65" i="7"/>
  <c r="M7" i="37"/>
  <c r="L5" i="35"/>
  <c r="H19" i="29"/>
  <c r="H23" i="29" s="1"/>
  <c r="H19" i="33"/>
  <c r="H23" i="33" s="1"/>
  <c r="H19" i="21"/>
  <c r="H23" i="21" s="1"/>
  <c r="H19" i="25"/>
  <c r="H23" i="25" s="1"/>
  <c r="H7" i="7"/>
  <c r="H19" i="7"/>
  <c r="H23" i="7" s="1"/>
  <c r="H19" i="17"/>
  <c r="H19" i="15"/>
  <c r="H23" i="15" s="1"/>
  <c r="O45" i="13"/>
  <c r="P45" i="2"/>
  <c r="F65" i="7"/>
  <c r="K65" i="7"/>
  <c r="R65" i="7"/>
  <c r="Q65" i="7"/>
  <c r="L65" i="7"/>
  <c r="E65" i="7"/>
  <c r="M65" i="7"/>
  <c r="C65" i="7"/>
  <c r="O65" i="7"/>
  <c r="D65" i="7"/>
  <c r="P65" i="7"/>
  <c r="T65" i="7"/>
  <c r="S65" i="7"/>
  <c r="I65" i="7"/>
  <c r="U65" i="7"/>
  <c r="G65" i="7"/>
  <c r="H65" i="7"/>
  <c r="J65" i="7"/>
  <c r="B65" i="7"/>
  <c r="N65" i="7"/>
  <c r="H7" i="1"/>
  <c r="R9" i="1"/>
  <c r="R6" i="1"/>
  <c r="H21" i="1"/>
  <c r="M5" i="1" s="1"/>
  <c r="H19" i="1"/>
  <c r="H18" i="1"/>
  <c r="B2" i="1"/>
  <c r="B1" i="1"/>
  <c r="B9" i="1"/>
  <c r="M6" i="1"/>
  <c r="I84" i="5"/>
  <c r="H84" i="5"/>
  <c r="G84" i="5"/>
  <c r="F84" i="5"/>
  <c r="E84" i="5"/>
  <c r="D84" i="5"/>
  <c r="C84" i="5"/>
  <c r="B84" i="5"/>
  <c r="I83" i="5"/>
  <c r="H83" i="5"/>
  <c r="G83" i="5"/>
  <c r="F83" i="5"/>
  <c r="E83" i="5"/>
  <c r="D83" i="5"/>
  <c r="C83" i="5"/>
  <c r="B83" i="5"/>
  <c r="I73" i="5"/>
  <c r="H73" i="5"/>
  <c r="G73" i="5"/>
  <c r="F73" i="5"/>
  <c r="E73" i="5"/>
  <c r="D73" i="5"/>
  <c r="C73" i="5"/>
  <c r="B73" i="5"/>
  <c r="H79" i="5"/>
  <c r="G79" i="5"/>
  <c r="F79" i="5"/>
  <c r="B71" i="5"/>
  <c r="G58" i="5"/>
  <c r="F58" i="5"/>
  <c r="E58" i="5"/>
  <c r="D58" i="5"/>
  <c r="D80" i="5" s="1"/>
  <c r="C58" i="5"/>
  <c r="C80" i="5" s="1"/>
  <c r="B58" i="5"/>
  <c r="B80" i="5" s="1"/>
  <c r="I57" i="5"/>
  <c r="B7" i="33" s="1"/>
  <c r="H57" i="5"/>
  <c r="G57" i="5"/>
  <c r="F57" i="5"/>
  <c r="E57" i="5"/>
  <c r="D57" i="5"/>
  <c r="B7" i="15" s="1"/>
  <c r="H10" i="15" s="1"/>
  <c r="C57" i="5"/>
  <c r="B7" i="1" s="1"/>
  <c r="H10" i="1" s="1"/>
  <c r="B57" i="5"/>
  <c r="B7" i="7" s="1"/>
  <c r="I56" i="5"/>
  <c r="B6" i="33" s="1"/>
  <c r="H56" i="5"/>
  <c r="G56" i="5"/>
  <c r="F56" i="5"/>
  <c r="E56" i="5"/>
  <c r="D56" i="5"/>
  <c r="B6" i="15" s="1"/>
  <c r="H11" i="15" s="1"/>
  <c r="C56" i="5"/>
  <c r="B56" i="5"/>
  <c r="B6" i="7" s="1"/>
  <c r="H11" i="7" s="1"/>
  <c r="I55" i="5"/>
  <c r="B5" i="33" s="1"/>
  <c r="H55" i="5"/>
  <c r="G55" i="5"/>
  <c r="F55" i="5"/>
  <c r="E55" i="5"/>
  <c r="D55" i="5"/>
  <c r="C55" i="5"/>
  <c r="B55" i="5"/>
  <c r="B5" i="7" s="1"/>
  <c r="H9" i="7" s="1"/>
  <c r="I53" i="5"/>
  <c r="H53" i="5"/>
  <c r="G53" i="5"/>
  <c r="I52" i="5"/>
  <c r="H52" i="5"/>
  <c r="G52" i="5"/>
  <c r="F52" i="5"/>
  <c r="E52" i="5"/>
  <c r="D52" i="5"/>
  <c r="C52" i="5"/>
  <c r="B52" i="5"/>
  <c r="I51" i="5"/>
  <c r="B53" i="7"/>
  <c r="C53" i="7" s="1"/>
  <c r="D53" i="7" s="1"/>
  <c r="E53" i="7" s="1"/>
  <c r="F53" i="7" s="1"/>
  <c r="G53" i="7" s="1"/>
  <c r="H53" i="7" s="1"/>
  <c r="I53" i="7" s="1"/>
  <c r="J53" i="7" s="1"/>
  <c r="K53" i="7" s="1"/>
  <c r="L53" i="7" s="1"/>
  <c r="M53" i="7" s="1"/>
  <c r="N53" i="7" s="1"/>
  <c r="O53" i="7" s="1"/>
  <c r="P53" i="7" s="1"/>
  <c r="Q53" i="7" s="1"/>
  <c r="R53" i="7" s="1"/>
  <c r="S53" i="7" s="1"/>
  <c r="T53" i="7" s="1"/>
  <c r="U53" i="7" s="1"/>
  <c r="V53" i="7" s="1"/>
  <c r="W53" i="7" s="1"/>
  <c r="X53" i="7" s="1"/>
  <c r="Y53" i="7" s="1"/>
  <c r="Z53" i="7" s="1"/>
  <c r="B47" i="7"/>
  <c r="C47" i="7" s="1"/>
  <c r="D47" i="7" s="1"/>
  <c r="E47" i="7" s="1"/>
  <c r="F47" i="7" s="1"/>
  <c r="G47" i="7" s="1"/>
  <c r="H47" i="7" s="1"/>
  <c r="I47" i="7" s="1"/>
  <c r="J47" i="7" s="1"/>
  <c r="K47" i="7" s="1"/>
  <c r="L47" i="7" s="1"/>
  <c r="M47" i="7" s="1"/>
  <c r="N47" i="7" s="1"/>
  <c r="O47" i="7" s="1"/>
  <c r="P47" i="7" s="1"/>
  <c r="Q47" i="7" s="1"/>
  <c r="R47" i="7" s="1"/>
  <c r="S47" i="7" s="1"/>
  <c r="T47" i="7" s="1"/>
  <c r="U47" i="7" s="1"/>
  <c r="V47" i="7" s="1"/>
  <c r="W47" i="7" s="1"/>
  <c r="X47" i="7" s="1"/>
  <c r="Y47" i="7" s="1"/>
  <c r="Z47" i="7" s="1"/>
  <c r="D7" i="3"/>
  <c r="H23" i="1" l="1"/>
  <c r="W65" i="1"/>
  <c r="X65" i="1"/>
  <c r="Y65" i="1"/>
  <c r="V65" i="1"/>
  <c r="Z65" i="1"/>
  <c r="H41" i="5"/>
  <c r="D41" i="5"/>
  <c r="M16" i="15" s="1"/>
  <c r="G43" i="5"/>
  <c r="C41" i="5"/>
  <c r="B47" i="1" s="1"/>
  <c r="C47" i="1" s="1"/>
  <c r="D47" i="1" s="1"/>
  <c r="E47" i="1" s="1"/>
  <c r="F47" i="1" s="1"/>
  <c r="G47" i="1" s="1"/>
  <c r="H47" i="1" s="1"/>
  <c r="I47" i="1" s="1"/>
  <c r="J47" i="1" s="1"/>
  <c r="K47" i="1" s="1"/>
  <c r="L47" i="1" s="1"/>
  <c r="M47" i="1" s="1"/>
  <c r="N47" i="1" s="1"/>
  <c r="O47" i="1" s="1"/>
  <c r="P47" i="1" s="1"/>
  <c r="Q47" i="1" s="1"/>
  <c r="R47" i="1" s="1"/>
  <c r="S47" i="1" s="1"/>
  <c r="T47" i="1" s="1"/>
  <c r="U47" i="1" s="1"/>
  <c r="V47" i="1" s="1"/>
  <c r="W47" i="1" s="1"/>
  <c r="X47" i="1" s="1"/>
  <c r="Y47" i="1" s="1"/>
  <c r="Z47" i="1" s="1"/>
  <c r="F43" i="5"/>
  <c r="F41" i="5"/>
  <c r="I41" i="5"/>
  <c r="E41" i="5"/>
  <c r="M16" i="17" s="1"/>
  <c r="G41" i="5"/>
  <c r="N7" i="37"/>
  <c r="M5" i="35"/>
  <c r="D10" i="3"/>
  <c r="H9" i="33"/>
  <c r="B6" i="29"/>
  <c r="H11" i="29" s="1"/>
  <c r="H11" i="33"/>
  <c r="B7" i="29"/>
  <c r="H10" i="29" s="1"/>
  <c r="H10" i="33"/>
  <c r="H78" i="5"/>
  <c r="B5" i="29"/>
  <c r="H9" i="29" s="1"/>
  <c r="B6" i="25"/>
  <c r="H11" i="25" s="1"/>
  <c r="B7" i="25"/>
  <c r="H10" i="25" s="1"/>
  <c r="B8" i="25"/>
  <c r="H12" i="25" s="1"/>
  <c r="G80" i="5"/>
  <c r="G78" i="5"/>
  <c r="B5" i="25"/>
  <c r="H9" i="25" s="1"/>
  <c r="B6" i="21"/>
  <c r="H11" i="21" s="1"/>
  <c r="B7" i="21"/>
  <c r="H10" i="21" s="1"/>
  <c r="B8" i="21"/>
  <c r="H12" i="21" s="1"/>
  <c r="I78" i="5"/>
  <c r="F80" i="5"/>
  <c r="F78" i="5"/>
  <c r="B5" i="21"/>
  <c r="E78" i="5"/>
  <c r="B6" i="17"/>
  <c r="H11" i="17" s="1"/>
  <c r="B7" i="17"/>
  <c r="H10" i="17" s="1"/>
  <c r="E80" i="5"/>
  <c r="B8" i="17"/>
  <c r="H12" i="17" s="1"/>
  <c r="B8" i="1"/>
  <c r="H12" i="1" s="1"/>
  <c r="B8" i="15"/>
  <c r="H12" i="15" s="1"/>
  <c r="B8" i="7"/>
  <c r="H12" i="7" s="1"/>
  <c r="B5" i="1"/>
  <c r="H9" i="1" s="1"/>
  <c r="C78" i="5"/>
  <c r="B5" i="15"/>
  <c r="D78" i="5"/>
  <c r="B5" i="17"/>
  <c r="H23" i="17"/>
  <c r="P45" i="13"/>
  <c r="Q45" i="2"/>
  <c r="C60" i="5"/>
  <c r="C61" i="5" s="1"/>
  <c r="C62" i="5" s="1"/>
  <c r="C76" i="5" s="1"/>
  <c r="B79" i="5"/>
  <c r="B6" i="1"/>
  <c r="H11" i="1" s="1"/>
  <c r="H10" i="7"/>
  <c r="H65" i="1"/>
  <c r="T65" i="1"/>
  <c r="L65" i="1"/>
  <c r="I65" i="1"/>
  <c r="U65" i="1"/>
  <c r="J65" i="1"/>
  <c r="K65" i="1"/>
  <c r="M65" i="1"/>
  <c r="O65" i="1"/>
  <c r="E65" i="1"/>
  <c r="Q65" i="1"/>
  <c r="N65" i="1"/>
  <c r="C65" i="1"/>
  <c r="B65" i="1"/>
  <c r="D65" i="1"/>
  <c r="P65" i="1"/>
  <c r="F65" i="1"/>
  <c r="R65" i="1"/>
  <c r="G65" i="1"/>
  <c r="S65" i="1"/>
  <c r="I79" i="5"/>
  <c r="H13" i="7"/>
  <c r="B20" i="1"/>
  <c r="B21" i="1" s="1"/>
  <c r="H13" i="1" s="1"/>
  <c r="B77" i="5"/>
  <c r="F77" i="5"/>
  <c r="G77" i="5"/>
  <c r="H77" i="5"/>
  <c r="E60" i="5"/>
  <c r="E61" i="5" s="1"/>
  <c r="F60" i="5"/>
  <c r="G60" i="5"/>
  <c r="G61" i="5" s="1"/>
  <c r="G62" i="5" s="1"/>
  <c r="D79" i="5"/>
  <c r="E79" i="5"/>
  <c r="B49" i="7"/>
  <c r="C49" i="7" s="1"/>
  <c r="D49" i="7" s="1"/>
  <c r="E49" i="7" s="1"/>
  <c r="F49" i="7" s="1"/>
  <c r="G49" i="7" s="1"/>
  <c r="H49" i="7" s="1"/>
  <c r="I49" i="7" s="1"/>
  <c r="J49" i="7" s="1"/>
  <c r="K49" i="7" s="1"/>
  <c r="L49" i="7" s="1"/>
  <c r="M49" i="7" s="1"/>
  <c r="N49" i="7" s="1"/>
  <c r="O49" i="7" s="1"/>
  <c r="P49" i="7" s="1"/>
  <c r="Q49" i="7" s="1"/>
  <c r="R49" i="7" s="1"/>
  <c r="S49" i="7" s="1"/>
  <c r="T49" i="7" s="1"/>
  <c r="U49" i="7" s="1"/>
  <c r="V49" i="7" s="1"/>
  <c r="W49" i="7" s="1"/>
  <c r="X49" i="7" s="1"/>
  <c r="Y49" i="7" s="1"/>
  <c r="Z49" i="7" s="1"/>
  <c r="D60" i="5"/>
  <c r="B78" i="5"/>
  <c r="B60" i="5"/>
  <c r="M16" i="21" l="1"/>
  <c r="M16" i="25"/>
  <c r="M16" i="29"/>
  <c r="B47" i="29"/>
  <c r="C47" i="29" s="1"/>
  <c r="D47" i="29" s="1"/>
  <c r="E47" i="29" s="1"/>
  <c r="F47" i="29" s="1"/>
  <c r="G47" i="29" s="1"/>
  <c r="H47" i="29" s="1"/>
  <c r="I47" i="29" s="1"/>
  <c r="J47" i="29" s="1"/>
  <c r="K47" i="29" s="1"/>
  <c r="L47" i="29" s="1"/>
  <c r="M47" i="29" s="1"/>
  <c r="N47" i="29" s="1"/>
  <c r="O47" i="29" s="1"/>
  <c r="P47" i="29" s="1"/>
  <c r="Q47" i="29" s="1"/>
  <c r="R47" i="29" s="1"/>
  <c r="S47" i="29" s="1"/>
  <c r="T47" i="29" s="1"/>
  <c r="U47" i="29" s="1"/>
  <c r="V47" i="29" s="1"/>
  <c r="W47" i="29" s="1"/>
  <c r="X47" i="29" s="1"/>
  <c r="Y47" i="29" s="1"/>
  <c r="Z47" i="29" s="1"/>
  <c r="M16" i="1"/>
  <c r="I58" i="5"/>
  <c r="I80" i="5" s="1"/>
  <c r="I43" i="5"/>
  <c r="H58" i="5"/>
  <c r="H80" i="5" s="1"/>
  <c r="H43" i="5"/>
  <c r="B49" i="29" s="1"/>
  <c r="C49" i="29" s="1"/>
  <c r="D49" i="29" s="1"/>
  <c r="E49" i="29" s="1"/>
  <c r="F49" i="29" s="1"/>
  <c r="G49" i="29" s="1"/>
  <c r="H49" i="29" s="1"/>
  <c r="I49" i="29" s="1"/>
  <c r="J49" i="29" s="1"/>
  <c r="K49" i="29" s="1"/>
  <c r="L49" i="29" s="1"/>
  <c r="M49" i="29" s="1"/>
  <c r="N49" i="29" s="1"/>
  <c r="O49" i="29" s="1"/>
  <c r="P49" i="29" s="1"/>
  <c r="Q49" i="29" s="1"/>
  <c r="R49" i="29" s="1"/>
  <c r="S49" i="29" s="1"/>
  <c r="T49" i="29" s="1"/>
  <c r="U49" i="29" s="1"/>
  <c r="V49" i="29" s="1"/>
  <c r="W49" i="29" s="1"/>
  <c r="X49" i="29" s="1"/>
  <c r="Y49" i="29" s="1"/>
  <c r="Z49" i="29" s="1"/>
  <c r="O7" i="37"/>
  <c r="N5" i="35"/>
  <c r="B49" i="33"/>
  <c r="C49" i="33" s="1"/>
  <c r="D49" i="33" s="1"/>
  <c r="E49" i="33" s="1"/>
  <c r="F49" i="33" s="1"/>
  <c r="G49" i="33" s="1"/>
  <c r="H49" i="33" s="1"/>
  <c r="I49" i="33" s="1"/>
  <c r="J49" i="33" s="1"/>
  <c r="K49" i="33" s="1"/>
  <c r="L49" i="33" s="1"/>
  <c r="M49" i="33" s="1"/>
  <c r="N49" i="33" s="1"/>
  <c r="O49" i="33" s="1"/>
  <c r="P49" i="33" s="1"/>
  <c r="Q49" i="33" s="1"/>
  <c r="R49" i="33" s="1"/>
  <c r="S49" i="33" s="1"/>
  <c r="T49" i="33" s="1"/>
  <c r="U49" i="33" s="1"/>
  <c r="B47" i="33"/>
  <c r="C47" i="33" s="1"/>
  <c r="D47" i="33" s="1"/>
  <c r="E47" i="33" s="1"/>
  <c r="F47" i="33" s="1"/>
  <c r="G47" i="33" s="1"/>
  <c r="H47" i="33" s="1"/>
  <c r="I47" i="33" s="1"/>
  <c r="J47" i="33" s="1"/>
  <c r="K47" i="33" s="1"/>
  <c r="L47" i="33" s="1"/>
  <c r="M47" i="33" s="1"/>
  <c r="N47" i="33" s="1"/>
  <c r="O47" i="33" s="1"/>
  <c r="P47" i="33" s="1"/>
  <c r="Q47" i="33" s="1"/>
  <c r="R47" i="33" s="1"/>
  <c r="S47" i="33" s="1"/>
  <c r="T47" i="33" s="1"/>
  <c r="U47" i="33" s="1"/>
  <c r="B47" i="21"/>
  <c r="C47" i="21" s="1"/>
  <c r="D47" i="21" s="1"/>
  <c r="E47" i="21" s="1"/>
  <c r="F47" i="21" s="1"/>
  <c r="G47" i="21" s="1"/>
  <c r="H47" i="21" s="1"/>
  <c r="I47" i="21" s="1"/>
  <c r="J47" i="21" s="1"/>
  <c r="K47" i="21" s="1"/>
  <c r="L47" i="21" s="1"/>
  <c r="M47" i="21" s="1"/>
  <c r="N47" i="21" s="1"/>
  <c r="O47" i="21" s="1"/>
  <c r="P47" i="21" s="1"/>
  <c r="Q47" i="21" s="1"/>
  <c r="R47" i="21" s="1"/>
  <c r="S47" i="21" s="1"/>
  <c r="T47" i="21" s="1"/>
  <c r="U47" i="21" s="1"/>
  <c r="V47" i="21" s="1"/>
  <c r="W47" i="21" s="1"/>
  <c r="X47" i="21" s="1"/>
  <c r="Y47" i="21" s="1"/>
  <c r="Z47" i="21" s="1"/>
  <c r="B47" i="25"/>
  <c r="C47" i="25" s="1"/>
  <c r="D47" i="25" s="1"/>
  <c r="E47" i="25" s="1"/>
  <c r="F47" i="25" s="1"/>
  <c r="G47" i="25" s="1"/>
  <c r="H47" i="25" s="1"/>
  <c r="I47" i="25" s="1"/>
  <c r="J47" i="25" s="1"/>
  <c r="K47" i="25" s="1"/>
  <c r="L47" i="25" s="1"/>
  <c r="M47" i="25" s="1"/>
  <c r="N47" i="25" s="1"/>
  <c r="O47" i="25" s="1"/>
  <c r="P47" i="25" s="1"/>
  <c r="Q47" i="25" s="1"/>
  <c r="R47" i="25" s="1"/>
  <c r="S47" i="25" s="1"/>
  <c r="T47" i="25" s="1"/>
  <c r="U47" i="25" s="1"/>
  <c r="V47" i="25" s="1"/>
  <c r="W47" i="25" s="1"/>
  <c r="X47" i="25" s="1"/>
  <c r="Y47" i="25" s="1"/>
  <c r="Z47" i="25" s="1"/>
  <c r="B10" i="25"/>
  <c r="B49" i="21"/>
  <c r="C49" i="21" s="1"/>
  <c r="D49" i="21" s="1"/>
  <c r="E49" i="21" s="1"/>
  <c r="F49" i="21" s="1"/>
  <c r="G49" i="21" s="1"/>
  <c r="H49" i="21" s="1"/>
  <c r="I49" i="21" s="1"/>
  <c r="J49" i="21" s="1"/>
  <c r="K49" i="21" s="1"/>
  <c r="L49" i="21" s="1"/>
  <c r="M49" i="21" s="1"/>
  <c r="N49" i="21" s="1"/>
  <c r="O49" i="21" s="1"/>
  <c r="P49" i="21" s="1"/>
  <c r="Q49" i="21" s="1"/>
  <c r="R49" i="21" s="1"/>
  <c r="S49" i="21" s="1"/>
  <c r="T49" i="21" s="1"/>
  <c r="U49" i="21" s="1"/>
  <c r="V49" i="21" s="1"/>
  <c r="W49" i="21" s="1"/>
  <c r="X49" i="21" s="1"/>
  <c r="Y49" i="21" s="1"/>
  <c r="Z49" i="21" s="1"/>
  <c r="B49" i="25"/>
  <c r="C49" i="25" s="1"/>
  <c r="D49" i="25" s="1"/>
  <c r="E49" i="25" s="1"/>
  <c r="F49" i="25" s="1"/>
  <c r="G49" i="25" s="1"/>
  <c r="H49" i="25" s="1"/>
  <c r="I49" i="25" s="1"/>
  <c r="J49" i="25" s="1"/>
  <c r="K49" i="25" s="1"/>
  <c r="L49" i="25" s="1"/>
  <c r="M49" i="25" s="1"/>
  <c r="N49" i="25" s="1"/>
  <c r="O49" i="25" s="1"/>
  <c r="P49" i="25" s="1"/>
  <c r="Q49" i="25" s="1"/>
  <c r="R49" i="25" s="1"/>
  <c r="S49" i="25" s="1"/>
  <c r="T49" i="25" s="1"/>
  <c r="U49" i="25" s="1"/>
  <c r="V49" i="25" s="1"/>
  <c r="W49" i="25" s="1"/>
  <c r="X49" i="25" s="1"/>
  <c r="Y49" i="25" s="1"/>
  <c r="Z49" i="25" s="1"/>
  <c r="H9" i="21"/>
  <c r="B10" i="21"/>
  <c r="B11" i="21" s="1"/>
  <c r="B12" i="21" s="1"/>
  <c r="B22" i="21" s="1"/>
  <c r="G3" i="36" s="1"/>
  <c r="B10" i="7"/>
  <c r="B11" i="7" s="1"/>
  <c r="B12" i="7" s="1"/>
  <c r="B22" i="7" s="1"/>
  <c r="C3" i="36" s="1"/>
  <c r="B50" i="7"/>
  <c r="C50" i="7" s="1"/>
  <c r="D50" i="7" s="1"/>
  <c r="E50" i="7" s="1"/>
  <c r="F50" i="7" s="1"/>
  <c r="G50" i="7" s="1"/>
  <c r="H50" i="7" s="1"/>
  <c r="I50" i="7" s="1"/>
  <c r="J50" i="7" s="1"/>
  <c r="K50" i="7" s="1"/>
  <c r="L50" i="7" s="1"/>
  <c r="M50" i="7" s="1"/>
  <c r="N50" i="7" s="1"/>
  <c r="O50" i="7" s="1"/>
  <c r="P50" i="7" s="1"/>
  <c r="Q50" i="7" s="1"/>
  <c r="R50" i="7" s="1"/>
  <c r="S50" i="7" s="1"/>
  <c r="T50" i="7" s="1"/>
  <c r="U50" i="7" s="1"/>
  <c r="V50" i="7" s="1"/>
  <c r="W50" i="7" s="1"/>
  <c r="X50" i="7" s="1"/>
  <c r="Y50" i="7" s="1"/>
  <c r="Z50" i="7" s="1"/>
  <c r="B49" i="17"/>
  <c r="C49" i="17" s="1"/>
  <c r="D49" i="17" s="1"/>
  <c r="E49" i="17" s="1"/>
  <c r="F49" i="17" s="1"/>
  <c r="G49" i="17" s="1"/>
  <c r="H49" i="17" s="1"/>
  <c r="I49" i="17" s="1"/>
  <c r="J49" i="17" s="1"/>
  <c r="K49" i="17" s="1"/>
  <c r="L49" i="17" s="1"/>
  <c r="M49" i="17" s="1"/>
  <c r="N49" i="17" s="1"/>
  <c r="O49" i="17" s="1"/>
  <c r="P49" i="17" s="1"/>
  <c r="Q49" i="17" s="1"/>
  <c r="R49" i="17" s="1"/>
  <c r="S49" i="17" s="1"/>
  <c r="T49" i="17" s="1"/>
  <c r="U49" i="17" s="1"/>
  <c r="V49" i="17" s="1"/>
  <c r="W49" i="17" s="1"/>
  <c r="X49" i="17" s="1"/>
  <c r="Y49" i="17" s="1"/>
  <c r="Z49" i="17" s="1"/>
  <c r="B49" i="15"/>
  <c r="C49" i="15" s="1"/>
  <c r="D49" i="15" s="1"/>
  <c r="E49" i="15" s="1"/>
  <c r="F49" i="15" s="1"/>
  <c r="G49" i="15" s="1"/>
  <c r="H49" i="15" s="1"/>
  <c r="I49" i="15" s="1"/>
  <c r="J49" i="15" s="1"/>
  <c r="K49" i="15" s="1"/>
  <c r="L49" i="15" s="1"/>
  <c r="M49" i="15" s="1"/>
  <c r="N49" i="15" s="1"/>
  <c r="O49" i="15" s="1"/>
  <c r="P49" i="15" s="1"/>
  <c r="Q49" i="15" s="1"/>
  <c r="R49" i="15" s="1"/>
  <c r="S49" i="15" s="1"/>
  <c r="T49" i="15" s="1"/>
  <c r="U49" i="15" s="1"/>
  <c r="B47" i="15"/>
  <c r="C47" i="15" s="1"/>
  <c r="D47" i="15" s="1"/>
  <c r="E47" i="15" s="1"/>
  <c r="F47" i="15" s="1"/>
  <c r="G47" i="15" s="1"/>
  <c r="H47" i="15" s="1"/>
  <c r="I47" i="15" s="1"/>
  <c r="J47" i="15" s="1"/>
  <c r="K47" i="15" s="1"/>
  <c r="L47" i="15" s="1"/>
  <c r="M47" i="15" s="1"/>
  <c r="N47" i="15" s="1"/>
  <c r="O47" i="15" s="1"/>
  <c r="P47" i="15" s="1"/>
  <c r="Q47" i="15" s="1"/>
  <c r="R47" i="15" s="1"/>
  <c r="S47" i="15" s="1"/>
  <c r="T47" i="15" s="1"/>
  <c r="U47" i="15" s="1"/>
  <c r="B47" i="17"/>
  <c r="C47" i="17" s="1"/>
  <c r="D47" i="17" s="1"/>
  <c r="E47" i="17" s="1"/>
  <c r="F47" i="17" s="1"/>
  <c r="G47" i="17" s="1"/>
  <c r="H47" i="17" s="1"/>
  <c r="I47" i="17" s="1"/>
  <c r="J47" i="17" s="1"/>
  <c r="K47" i="17" s="1"/>
  <c r="L47" i="17" s="1"/>
  <c r="M47" i="17" s="1"/>
  <c r="N47" i="17" s="1"/>
  <c r="O47" i="17" s="1"/>
  <c r="P47" i="17" s="1"/>
  <c r="Q47" i="17" s="1"/>
  <c r="R47" i="17" s="1"/>
  <c r="S47" i="17" s="1"/>
  <c r="T47" i="17" s="1"/>
  <c r="U47" i="17" s="1"/>
  <c r="V47" i="17" s="1"/>
  <c r="W47" i="17" s="1"/>
  <c r="X47" i="17" s="1"/>
  <c r="Y47" i="17" s="1"/>
  <c r="Z47" i="17" s="1"/>
  <c r="H9" i="15"/>
  <c r="B10" i="15"/>
  <c r="B11" i="15" s="1"/>
  <c r="B12" i="15" s="1"/>
  <c r="B22" i="15" s="1"/>
  <c r="E3" i="36" s="1"/>
  <c r="H9" i="17"/>
  <c r="B10" i="17"/>
  <c r="B11" i="17" s="1"/>
  <c r="B12" i="17" s="1"/>
  <c r="B22" i="17" s="1"/>
  <c r="F3" i="36" s="1"/>
  <c r="Q45" i="13"/>
  <c r="R45" i="2"/>
  <c r="E62" i="5"/>
  <c r="E76" i="5" s="1"/>
  <c r="C77" i="5"/>
  <c r="C79" i="5"/>
  <c r="D61" i="5"/>
  <c r="D62" i="5" s="1"/>
  <c r="F61" i="5"/>
  <c r="F62" i="5" s="1"/>
  <c r="I77" i="5"/>
  <c r="B10" i="1"/>
  <c r="B11" i="1" s="1"/>
  <c r="G76" i="5"/>
  <c r="D77" i="5"/>
  <c r="B61" i="5"/>
  <c r="B62" i="5" s="1"/>
  <c r="E77" i="5"/>
  <c r="H60" i="5" l="1"/>
  <c r="H61" i="5" s="1"/>
  <c r="H62" i="5" s="1"/>
  <c r="B8" i="29"/>
  <c r="B8" i="33"/>
  <c r="I60" i="5"/>
  <c r="I61" i="5" s="1"/>
  <c r="I62" i="5" s="1"/>
  <c r="P7" i="37"/>
  <c r="O5" i="35"/>
  <c r="B11" i="25"/>
  <c r="B12" i="25" s="1"/>
  <c r="B22" i="25" s="1"/>
  <c r="H3" i="36" s="1"/>
  <c r="D19" i="20"/>
  <c r="E19" i="20"/>
  <c r="I19" i="20"/>
  <c r="M19" i="20"/>
  <c r="Q19" i="20"/>
  <c r="U19" i="20"/>
  <c r="Y19" i="20"/>
  <c r="W32" i="17" s="1"/>
  <c r="P19" i="20"/>
  <c r="F19" i="20"/>
  <c r="J19" i="20"/>
  <c r="N19" i="20"/>
  <c r="R19" i="20"/>
  <c r="V19" i="20"/>
  <c r="Z19" i="20"/>
  <c r="X32" i="17" s="1"/>
  <c r="L19" i="20"/>
  <c r="T19" i="20"/>
  <c r="AB19" i="20"/>
  <c r="Z32" i="17" s="1"/>
  <c r="G19" i="20"/>
  <c r="K19" i="20"/>
  <c r="O19" i="20"/>
  <c r="S19" i="20"/>
  <c r="W19" i="20"/>
  <c r="AA19" i="20"/>
  <c r="Y32" i="17" s="1"/>
  <c r="H19" i="20"/>
  <c r="X19" i="20"/>
  <c r="V32" i="17" s="1"/>
  <c r="D19" i="16"/>
  <c r="E19" i="16"/>
  <c r="C32" i="15" s="1"/>
  <c r="I19" i="16"/>
  <c r="G32" i="15" s="1"/>
  <c r="M19" i="16"/>
  <c r="K32" i="15" s="1"/>
  <c r="Q19" i="16"/>
  <c r="O32" i="15" s="1"/>
  <c r="U19" i="16"/>
  <c r="S32" i="15" s="1"/>
  <c r="Y19" i="16"/>
  <c r="P19" i="16"/>
  <c r="N32" i="15" s="1"/>
  <c r="F19" i="16"/>
  <c r="D32" i="15" s="1"/>
  <c r="J19" i="16"/>
  <c r="H32" i="15" s="1"/>
  <c r="N19" i="16"/>
  <c r="L32" i="15" s="1"/>
  <c r="R19" i="16"/>
  <c r="P32" i="15" s="1"/>
  <c r="V19" i="16"/>
  <c r="T32" i="15" s="1"/>
  <c r="Z19" i="16"/>
  <c r="H19" i="16"/>
  <c r="F32" i="15" s="1"/>
  <c r="T19" i="16"/>
  <c r="R32" i="15" s="1"/>
  <c r="G19" i="16"/>
  <c r="E32" i="15" s="1"/>
  <c r="K19" i="16"/>
  <c r="I32" i="15" s="1"/>
  <c r="O19" i="16"/>
  <c r="M32" i="15" s="1"/>
  <c r="S19" i="16"/>
  <c r="Q32" i="15" s="1"/>
  <c r="W19" i="16"/>
  <c r="U32" i="15" s="1"/>
  <c r="AA19" i="16"/>
  <c r="L19" i="16"/>
  <c r="J32" i="15" s="1"/>
  <c r="X19" i="16"/>
  <c r="AB19" i="16"/>
  <c r="D19" i="10"/>
  <c r="B32" i="7" s="1"/>
  <c r="E19" i="10"/>
  <c r="C32" i="7" s="1"/>
  <c r="I19" i="10"/>
  <c r="G32" i="7" s="1"/>
  <c r="M19" i="10"/>
  <c r="K32" i="7" s="1"/>
  <c r="Q19" i="10"/>
  <c r="O32" i="7" s="1"/>
  <c r="U19" i="10"/>
  <c r="S32" i="7" s="1"/>
  <c r="Y19" i="10"/>
  <c r="W32" i="7" s="1"/>
  <c r="H19" i="10"/>
  <c r="F32" i="7" s="1"/>
  <c r="X19" i="10"/>
  <c r="V32" i="7" s="1"/>
  <c r="F19" i="10"/>
  <c r="D32" i="7" s="1"/>
  <c r="J19" i="10"/>
  <c r="H32" i="7" s="1"/>
  <c r="N19" i="10"/>
  <c r="L32" i="7" s="1"/>
  <c r="R19" i="10"/>
  <c r="P32" i="7" s="1"/>
  <c r="V19" i="10"/>
  <c r="T32" i="7" s="1"/>
  <c r="Z19" i="10"/>
  <c r="X32" i="7" s="1"/>
  <c r="P19" i="10"/>
  <c r="N32" i="7" s="1"/>
  <c r="T19" i="10"/>
  <c r="R32" i="7" s="1"/>
  <c r="AB19" i="10"/>
  <c r="Z32" i="7" s="1"/>
  <c r="G19" i="10"/>
  <c r="E32" i="7" s="1"/>
  <c r="K19" i="10"/>
  <c r="I32" i="7" s="1"/>
  <c r="O19" i="10"/>
  <c r="M32" i="7" s="1"/>
  <c r="S19" i="10"/>
  <c r="Q32" i="7" s="1"/>
  <c r="W19" i="10"/>
  <c r="U32" i="7" s="1"/>
  <c r="AA19" i="10"/>
  <c r="Y32" i="7" s="1"/>
  <c r="L19" i="10"/>
  <c r="J32" i="7" s="1"/>
  <c r="D18" i="23"/>
  <c r="AD18" i="23" s="1"/>
  <c r="V19" i="24"/>
  <c r="N19" i="24"/>
  <c r="Z19" i="24"/>
  <c r="X32" i="21" s="1"/>
  <c r="R19" i="24"/>
  <c r="J19" i="24"/>
  <c r="F19" i="24"/>
  <c r="Y19" i="24"/>
  <c r="W32" i="21" s="1"/>
  <c r="S19" i="24"/>
  <c r="H19" i="24"/>
  <c r="X19" i="24"/>
  <c r="V32" i="21" s="1"/>
  <c r="M19" i="24"/>
  <c r="G19" i="24"/>
  <c r="W19" i="24"/>
  <c r="L19" i="24"/>
  <c r="AB19" i="24"/>
  <c r="Z32" i="21" s="1"/>
  <c r="Q19" i="24"/>
  <c r="K19" i="24"/>
  <c r="AA19" i="24"/>
  <c r="Y32" i="21" s="1"/>
  <c r="P19" i="24"/>
  <c r="E19" i="24"/>
  <c r="U19" i="24"/>
  <c r="O19" i="24"/>
  <c r="D19" i="24"/>
  <c r="T19" i="24"/>
  <c r="I19" i="24"/>
  <c r="R7" i="21"/>
  <c r="D5" i="22"/>
  <c r="D9" i="22" s="1"/>
  <c r="D18" i="13"/>
  <c r="R7" i="15"/>
  <c r="D5" i="14"/>
  <c r="D9" i="14" s="1"/>
  <c r="R7" i="17"/>
  <c r="D18" i="19"/>
  <c r="D5" i="18"/>
  <c r="D9" i="18" s="1"/>
  <c r="R45" i="13"/>
  <c r="S45" i="2"/>
  <c r="F76" i="5"/>
  <c r="D76" i="5"/>
  <c r="B12" i="1"/>
  <c r="B22" i="1" s="1"/>
  <c r="D3" i="36" s="1"/>
  <c r="R7" i="7"/>
  <c r="D18" i="9"/>
  <c r="D5" i="8"/>
  <c r="D9" i="8" s="1"/>
  <c r="B76" i="5"/>
  <c r="I76" i="5" l="1"/>
  <c r="H12" i="29"/>
  <c r="B10" i="29"/>
  <c r="H12" i="33"/>
  <c r="B10" i="33"/>
  <c r="H76" i="5"/>
  <c r="Q7" i="37"/>
  <c r="P5" i="35"/>
  <c r="B50" i="33"/>
  <c r="C50" i="33" s="1"/>
  <c r="D50" i="33" s="1"/>
  <c r="E50" i="33" s="1"/>
  <c r="F50" i="33" s="1"/>
  <c r="G50" i="33" s="1"/>
  <c r="H50" i="33" s="1"/>
  <c r="I50" i="33" s="1"/>
  <c r="J50" i="33" s="1"/>
  <c r="K50" i="33" s="1"/>
  <c r="L50" i="33" s="1"/>
  <c r="M50" i="33" s="1"/>
  <c r="N50" i="33" s="1"/>
  <c r="O50" i="33" s="1"/>
  <c r="P50" i="33" s="1"/>
  <c r="Q50" i="33" s="1"/>
  <c r="R50" i="33" s="1"/>
  <c r="S50" i="33" s="1"/>
  <c r="T50" i="33" s="1"/>
  <c r="U50" i="33" s="1"/>
  <c r="D19" i="28"/>
  <c r="E19" i="28"/>
  <c r="I19" i="28"/>
  <c r="M19" i="28"/>
  <c r="Q19" i="28"/>
  <c r="U19" i="28"/>
  <c r="Y19" i="28"/>
  <c r="W32" i="25" s="1"/>
  <c r="L19" i="28"/>
  <c r="T19" i="28"/>
  <c r="AB19" i="28"/>
  <c r="Z32" i="25" s="1"/>
  <c r="F19" i="28"/>
  <c r="J19" i="28"/>
  <c r="N19" i="28"/>
  <c r="R19" i="28"/>
  <c r="V19" i="28"/>
  <c r="Z19" i="28"/>
  <c r="X32" i="25" s="1"/>
  <c r="P19" i="28"/>
  <c r="G19" i="28"/>
  <c r="K19" i="28"/>
  <c r="O19" i="28"/>
  <c r="S19" i="28"/>
  <c r="W19" i="28"/>
  <c r="AA19" i="28"/>
  <c r="Y32" i="25" s="1"/>
  <c r="H19" i="28"/>
  <c r="X19" i="28"/>
  <c r="V32" i="25" s="1"/>
  <c r="H75" i="5"/>
  <c r="D18" i="27"/>
  <c r="AD18" i="27" s="1"/>
  <c r="D19" i="23"/>
  <c r="D21" i="23" s="1"/>
  <c r="R7" i="25"/>
  <c r="D5" i="26"/>
  <c r="D9" i="26" s="1"/>
  <c r="R32" i="21"/>
  <c r="C32" i="21"/>
  <c r="O32" i="21"/>
  <c r="E32" i="21"/>
  <c r="Q32" i="21"/>
  <c r="P32" i="21"/>
  <c r="B32" i="21"/>
  <c r="M32" i="21"/>
  <c r="L32" i="21"/>
  <c r="B50" i="21"/>
  <c r="C50" i="21" s="1"/>
  <c r="D50" i="21" s="1"/>
  <c r="E50" i="21" s="1"/>
  <c r="F50" i="21" s="1"/>
  <c r="G50" i="21" s="1"/>
  <c r="H50" i="21" s="1"/>
  <c r="I50" i="21" s="1"/>
  <c r="J50" i="21" s="1"/>
  <c r="K50" i="21" s="1"/>
  <c r="L50" i="21" s="1"/>
  <c r="M50" i="21" s="1"/>
  <c r="N50" i="21" s="1"/>
  <c r="O50" i="21" s="1"/>
  <c r="P50" i="21" s="1"/>
  <c r="Q50" i="21" s="1"/>
  <c r="R50" i="21" s="1"/>
  <c r="S50" i="21" s="1"/>
  <c r="T50" i="21" s="1"/>
  <c r="U50" i="21" s="1"/>
  <c r="V50" i="21" s="1"/>
  <c r="W50" i="21" s="1"/>
  <c r="X50" i="21" s="1"/>
  <c r="Y50" i="21" s="1"/>
  <c r="Z50" i="21" s="1"/>
  <c r="B50" i="25"/>
  <c r="C50" i="25" s="1"/>
  <c r="D50" i="25" s="1"/>
  <c r="E50" i="25" s="1"/>
  <c r="F50" i="25" s="1"/>
  <c r="G50" i="25" s="1"/>
  <c r="H50" i="25" s="1"/>
  <c r="I50" i="25" s="1"/>
  <c r="J50" i="25" s="1"/>
  <c r="K50" i="25" s="1"/>
  <c r="L50" i="25" s="1"/>
  <c r="M50" i="25" s="1"/>
  <c r="N50" i="25" s="1"/>
  <c r="O50" i="25" s="1"/>
  <c r="P50" i="25" s="1"/>
  <c r="Q50" i="25" s="1"/>
  <c r="R50" i="25" s="1"/>
  <c r="S50" i="25" s="1"/>
  <c r="T50" i="25" s="1"/>
  <c r="U50" i="25" s="1"/>
  <c r="V50" i="25" s="1"/>
  <c r="W50" i="25" s="1"/>
  <c r="X50" i="25" s="1"/>
  <c r="Y50" i="25" s="1"/>
  <c r="Z50" i="25" s="1"/>
  <c r="N32" i="21"/>
  <c r="K32" i="21"/>
  <c r="J32" i="21"/>
  <c r="D32" i="21"/>
  <c r="G32" i="21"/>
  <c r="S32" i="21"/>
  <c r="I32" i="21"/>
  <c r="U32" i="21"/>
  <c r="F32" i="21"/>
  <c r="H32" i="21"/>
  <c r="T32" i="21"/>
  <c r="D19" i="4"/>
  <c r="E19" i="4"/>
  <c r="I19" i="4"/>
  <c r="M19" i="4"/>
  <c r="Q19" i="4"/>
  <c r="U19" i="4"/>
  <c r="Y19" i="4"/>
  <c r="W32" i="1" s="1"/>
  <c r="L19" i="4"/>
  <c r="X19" i="4"/>
  <c r="V32" i="1" s="1"/>
  <c r="F19" i="4"/>
  <c r="J19" i="4"/>
  <c r="N19" i="4"/>
  <c r="R19" i="4"/>
  <c r="V19" i="4"/>
  <c r="Z19" i="4"/>
  <c r="X32" i="1" s="1"/>
  <c r="H19" i="4"/>
  <c r="T19" i="4"/>
  <c r="AB19" i="4"/>
  <c r="Z32" i="1" s="1"/>
  <c r="G19" i="4"/>
  <c r="K19" i="4"/>
  <c r="O19" i="4"/>
  <c r="S19" i="4"/>
  <c r="W19" i="4"/>
  <c r="AA19" i="4"/>
  <c r="Y32" i="1" s="1"/>
  <c r="P19" i="4"/>
  <c r="AD19" i="24"/>
  <c r="E16" i="22"/>
  <c r="F16" i="22" s="1"/>
  <c r="E12" i="22"/>
  <c r="E14" i="22" s="1"/>
  <c r="P32" i="17"/>
  <c r="M32" i="17"/>
  <c r="S32" i="17"/>
  <c r="N32" i="17"/>
  <c r="H32" i="17"/>
  <c r="T32" i="17"/>
  <c r="K32" i="17"/>
  <c r="G32" i="17"/>
  <c r="U32" i="17"/>
  <c r="F32" i="17"/>
  <c r="R32" i="17"/>
  <c r="O32" i="17"/>
  <c r="L32" i="17"/>
  <c r="J32" i="17"/>
  <c r="I32" i="17"/>
  <c r="E32" i="17"/>
  <c r="Q32" i="17"/>
  <c r="B32" i="17"/>
  <c r="C32" i="17"/>
  <c r="AD18" i="19"/>
  <c r="AD18" i="13"/>
  <c r="D19" i="19"/>
  <c r="AD19" i="19" s="1"/>
  <c r="E12" i="18"/>
  <c r="E14" i="18" s="1"/>
  <c r="E16" i="18"/>
  <c r="E12" i="14"/>
  <c r="D19" i="13"/>
  <c r="AD19" i="13" s="1"/>
  <c r="E16" i="14"/>
  <c r="B50" i="17"/>
  <c r="C50" i="17" s="1"/>
  <c r="D50" i="17" s="1"/>
  <c r="E50" i="17" s="1"/>
  <c r="F50" i="17" s="1"/>
  <c r="G50" i="17" s="1"/>
  <c r="H50" i="17" s="1"/>
  <c r="I50" i="17" s="1"/>
  <c r="J50" i="17" s="1"/>
  <c r="K50" i="17" s="1"/>
  <c r="L50" i="17" s="1"/>
  <c r="M50" i="17" s="1"/>
  <c r="N50" i="17" s="1"/>
  <c r="O50" i="17" s="1"/>
  <c r="P50" i="17" s="1"/>
  <c r="Q50" i="17" s="1"/>
  <c r="R50" i="17" s="1"/>
  <c r="S50" i="17" s="1"/>
  <c r="T50" i="17" s="1"/>
  <c r="U50" i="17" s="1"/>
  <c r="V50" i="17" s="1"/>
  <c r="W50" i="17" s="1"/>
  <c r="X50" i="17" s="1"/>
  <c r="Y50" i="17" s="1"/>
  <c r="Z50" i="17" s="1"/>
  <c r="B50" i="15"/>
  <c r="C50" i="15" s="1"/>
  <c r="D50" i="15" s="1"/>
  <c r="E50" i="15" s="1"/>
  <c r="F50" i="15" s="1"/>
  <c r="G50" i="15" s="1"/>
  <c r="H50" i="15" s="1"/>
  <c r="I50" i="15" s="1"/>
  <c r="J50" i="15" s="1"/>
  <c r="K50" i="15" s="1"/>
  <c r="L50" i="15" s="1"/>
  <c r="M50" i="15" s="1"/>
  <c r="N50" i="15" s="1"/>
  <c r="O50" i="15" s="1"/>
  <c r="P50" i="15" s="1"/>
  <c r="Q50" i="15" s="1"/>
  <c r="R50" i="15" s="1"/>
  <c r="S50" i="15" s="1"/>
  <c r="T50" i="15" s="1"/>
  <c r="U50" i="15" s="1"/>
  <c r="AD19" i="20"/>
  <c r="D32" i="17"/>
  <c r="B32" i="15"/>
  <c r="AD19" i="16"/>
  <c r="S45" i="13"/>
  <c r="T45" i="2"/>
  <c r="AD19" i="10"/>
  <c r="D19" i="9"/>
  <c r="AD19" i="9" s="1"/>
  <c r="E16" i="8"/>
  <c r="E12" i="8"/>
  <c r="E14" i="8" s="1"/>
  <c r="AD18" i="9"/>
  <c r="H86" i="5" l="1"/>
  <c r="H88" i="5" s="1"/>
  <c r="B11" i="29"/>
  <c r="B12" i="29" s="1"/>
  <c r="B22" i="29" s="1"/>
  <c r="I3" i="36" s="1"/>
  <c r="B11" i="33"/>
  <c r="B12" i="33" s="1"/>
  <c r="B22" i="33" s="1"/>
  <c r="J3" i="36" s="1"/>
  <c r="R7" i="37"/>
  <c r="Q5" i="35"/>
  <c r="I75" i="5"/>
  <c r="I86" i="5" s="1"/>
  <c r="I88" i="5" s="1"/>
  <c r="D7" i="31"/>
  <c r="D19" i="27"/>
  <c r="AD19" i="27" s="1"/>
  <c r="AD21" i="27" s="1"/>
  <c r="S32" i="25"/>
  <c r="J32" i="25"/>
  <c r="K32" i="25"/>
  <c r="C32" i="25"/>
  <c r="G32" i="25"/>
  <c r="U32" i="25"/>
  <c r="P32" i="25"/>
  <c r="H32" i="25"/>
  <c r="R32" i="25"/>
  <c r="N32" i="25"/>
  <c r="O32" i="25"/>
  <c r="E32" i="25"/>
  <c r="F32" i="25"/>
  <c r="D32" i="25"/>
  <c r="T32" i="25"/>
  <c r="M32" i="25"/>
  <c r="B32" i="25"/>
  <c r="Q32" i="25"/>
  <c r="L32" i="25"/>
  <c r="AD19" i="28"/>
  <c r="I32" i="25"/>
  <c r="AD19" i="23"/>
  <c r="AD21" i="23" s="1"/>
  <c r="E12" i="26"/>
  <c r="E16" i="26"/>
  <c r="G75" i="5"/>
  <c r="G86" i="5" s="1"/>
  <c r="G88" i="5" s="1"/>
  <c r="D13" i="23"/>
  <c r="D23" i="24"/>
  <c r="E18" i="22"/>
  <c r="E13" i="22"/>
  <c r="G16" i="22"/>
  <c r="AD21" i="13"/>
  <c r="E14" i="14"/>
  <c r="E13" i="14" s="1"/>
  <c r="D21" i="13"/>
  <c r="F16" i="18"/>
  <c r="G16" i="18" s="1"/>
  <c r="H16" i="18" s="1"/>
  <c r="I16" i="18" s="1"/>
  <c r="J16" i="18" s="1"/>
  <c r="K16" i="18" s="1"/>
  <c r="L16" i="18" s="1"/>
  <c r="M16" i="18" s="1"/>
  <c r="N16" i="18" s="1"/>
  <c r="O16" i="18" s="1"/>
  <c r="P16" i="18" s="1"/>
  <c r="Q16" i="18" s="1"/>
  <c r="R16" i="18" s="1"/>
  <c r="S16" i="18" s="1"/>
  <c r="T16" i="18" s="1"/>
  <c r="E13" i="18"/>
  <c r="F16" i="14"/>
  <c r="E18" i="18"/>
  <c r="D13" i="19"/>
  <c r="D23" i="20"/>
  <c r="D21" i="19"/>
  <c r="AD21" i="19"/>
  <c r="T45" i="13"/>
  <c r="U45" i="2"/>
  <c r="D21" i="9"/>
  <c r="AD21" i="9"/>
  <c r="D23" i="10"/>
  <c r="B34" i="7" s="1"/>
  <c r="D13" i="9"/>
  <c r="F16" i="8"/>
  <c r="G16" i="8" s="1"/>
  <c r="H16" i="8" s="1"/>
  <c r="I16" i="8" s="1"/>
  <c r="J16" i="8" s="1"/>
  <c r="K16" i="8" s="1"/>
  <c r="E18" i="8"/>
  <c r="E13" i="8"/>
  <c r="D11" i="3"/>
  <c r="AD28" i="2"/>
  <c r="AB21" i="2"/>
  <c r="AA21" i="2"/>
  <c r="Z21" i="2"/>
  <c r="Y21" i="2"/>
  <c r="X21" i="2"/>
  <c r="W21" i="2"/>
  <c r="V21" i="2"/>
  <c r="U21" i="2"/>
  <c r="T21" i="2"/>
  <c r="S21" i="2"/>
  <c r="R21" i="2"/>
  <c r="Q21" i="2"/>
  <c r="P21" i="2"/>
  <c r="O21" i="2"/>
  <c r="N21" i="2"/>
  <c r="M21" i="2"/>
  <c r="L21" i="2"/>
  <c r="K21" i="2"/>
  <c r="J21" i="2"/>
  <c r="I21" i="2"/>
  <c r="H21" i="2"/>
  <c r="G21" i="2"/>
  <c r="F21" i="2"/>
  <c r="E21" i="2"/>
  <c r="U19" i="35" l="1"/>
  <c r="S32" i="33" s="1"/>
  <c r="E19" i="35"/>
  <c r="C32" i="33" s="1"/>
  <c r="X19" i="35"/>
  <c r="H19" i="35"/>
  <c r="F32" i="33" s="1"/>
  <c r="F19" i="35"/>
  <c r="D32" i="33" s="1"/>
  <c r="O19" i="35"/>
  <c r="M32" i="33" s="1"/>
  <c r="M19" i="35"/>
  <c r="K32" i="33" s="1"/>
  <c r="P19" i="35"/>
  <c r="N32" i="33" s="1"/>
  <c r="W19" i="35"/>
  <c r="U32" i="33" s="1"/>
  <c r="R7" i="33"/>
  <c r="L19" i="35"/>
  <c r="J32" i="33" s="1"/>
  <c r="Q19" i="35"/>
  <c r="O32" i="33" s="1"/>
  <c r="V19" i="35"/>
  <c r="T32" i="33" s="1"/>
  <c r="T19" i="35"/>
  <c r="R32" i="33" s="1"/>
  <c r="D19" i="35"/>
  <c r="AA19" i="35"/>
  <c r="K19" i="35"/>
  <c r="I32" i="33" s="1"/>
  <c r="D18" i="37"/>
  <c r="AD18" i="37" s="1"/>
  <c r="J19" i="35"/>
  <c r="H32" i="33" s="1"/>
  <c r="R19" i="35"/>
  <c r="P32" i="33" s="1"/>
  <c r="G19" i="35"/>
  <c r="E32" i="33" s="1"/>
  <c r="Y19" i="35"/>
  <c r="I19" i="35"/>
  <c r="G32" i="33" s="1"/>
  <c r="AB19" i="35"/>
  <c r="N19" i="35"/>
  <c r="L32" i="33" s="1"/>
  <c r="S19" i="35"/>
  <c r="Q32" i="33" s="1"/>
  <c r="Z19" i="35"/>
  <c r="D5" i="34"/>
  <c r="D9" i="34" s="1"/>
  <c r="D18" i="31"/>
  <c r="AD18" i="31" s="1"/>
  <c r="D5" i="30"/>
  <c r="D9" i="30" s="1"/>
  <c r="R7" i="29"/>
  <c r="S7" i="37"/>
  <c r="R5" i="35"/>
  <c r="B57" i="33"/>
  <c r="B59" i="33" s="1"/>
  <c r="H14" i="33"/>
  <c r="B52" i="33"/>
  <c r="C52" i="33" s="1"/>
  <c r="D52" i="33" s="1"/>
  <c r="E52" i="33" s="1"/>
  <c r="F52" i="33" s="1"/>
  <c r="G52" i="33" s="1"/>
  <c r="H52" i="33" s="1"/>
  <c r="I52" i="33" s="1"/>
  <c r="J52" i="33" s="1"/>
  <c r="K52" i="33" s="1"/>
  <c r="L52" i="33" s="1"/>
  <c r="M52" i="33" s="1"/>
  <c r="N52" i="33" s="1"/>
  <c r="O52" i="33" s="1"/>
  <c r="P52" i="33" s="1"/>
  <c r="Q52" i="33" s="1"/>
  <c r="R52" i="33" s="1"/>
  <c r="S52" i="33" s="1"/>
  <c r="T52" i="33" s="1"/>
  <c r="U52" i="33" s="1"/>
  <c r="D21" i="27"/>
  <c r="E7" i="31"/>
  <c r="D5" i="32"/>
  <c r="B57" i="29"/>
  <c r="H14" i="29"/>
  <c r="D7" i="27"/>
  <c r="F16" i="26"/>
  <c r="E14" i="26"/>
  <c r="H14" i="25"/>
  <c r="B57" i="25"/>
  <c r="B52" i="21"/>
  <c r="C52" i="21" s="1"/>
  <c r="D52" i="21" s="1"/>
  <c r="E52" i="21" s="1"/>
  <c r="F52" i="21" s="1"/>
  <c r="G52" i="21" s="1"/>
  <c r="H52" i="21" s="1"/>
  <c r="I52" i="21" s="1"/>
  <c r="J52" i="21" s="1"/>
  <c r="K52" i="21" s="1"/>
  <c r="L52" i="21" s="1"/>
  <c r="M52" i="21" s="1"/>
  <c r="N52" i="21" s="1"/>
  <c r="O52" i="21" s="1"/>
  <c r="P52" i="21" s="1"/>
  <c r="Q52" i="21" s="1"/>
  <c r="R52" i="21" s="1"/>
  <c r="S52" i="21" s="1"/>
  <c r="T52" i="21" s="1"/>
  <c r="U52" i="21" s="1"/>
  <c r="V52" i="21" s="1"/>
  <c r="W52" i="21" s="1"/>
  <c r="X52" i="21" s="1"/>
  <c r="Y52" i="21" s="1"/>
  <c r="Z52" i="21" s="1"/>
  <c r="B52" i="25"/>
  <c r="C52" i="25" s="1"/>
  <c r="D52" i="25" s="1"/>
  <c r="E52" i="25" s="1"/>
  <c r="F52" i="25" s="1"/>
  <c r="G52" i="25" s="1"/>
  <c r="H52" i="25" s="1"/>
  <c r="I52" i="25" s="1"/>
  <c r="J52" i="25" s="1"/>
  <c r="K52" i="25" s="1"/>
  <c r="L52" i="25" s="1"/>
  <c r="M52" i="25" s="1"/>
  <c r="N52" i="25" s="1"/>
  <c r="O52" i="25" s="1"/>
  <c r="P52" i="25" s="1"/>
  <c r="Q52" i="25" s="1"/>
  <c r="R52" i="25" s="1"/>
  <c r="S52" i="25" s="1"/>
  <c r="T52" i="25" s="1"/>
  <c r="U52" i="25" s="1"/>
  <c r="V52" i="25" s="1"/>
  <c r="W52" i="25" s="1"/>
  <c r="X52" i="25" s="1"/>
  <c r="Y52" i="25" s="1"/>
  <c r="Z52" i="25" s="1"/>
  <c r="B34" i="21"/>
  <c r="B57" i="17"/>
  <c r="E15" i="22"/>
  <c r="F12" i="22" s="1"/>
  <c r="F14" i="22" s="1"/>
  <c r="D23" i="23"/>
  <c r="D37" i="23" s="1"/>
  <c r="H14" i="17"/>
  <c r="H16" i="17" s="1"/>
  <c r="H16" i="22"/>
  <c r="D7" i="19"/>
  <c r="B34" i="17"/>
  <c r="D7" i="9"/>
  <c r="B57" i="7"/>
  <c r="C57" i="7" s="1"/>
  <c r="D57" i="7" s="1"/>
  <c r="E57" i="7" s="1"/>
  <c r="F57" i="7" s="1"/>
  <c r="G57" i="7" s="1"/>
  <c r="H57" i="7" s="1"/>
  <c r="I57" i="7" s="1"/>
  <c r="J57" i="7" s="1"/>
  <c r="K57" i="7" s="1"/>
  <c r="L57" i="7" s="1"/>
  <c r="M57" i="7" s="1"/>
  <c r="N57" i="7" s="1"/>
  <c r="O57" i="7" s="1"/>
  <c r="P57" i="7" s="1"/>
  <c r="Q57" i="7" s="1"/>
  <c r="R57" i="7" s="1"/>
  <c r="S57" i="7" s="1"/>
  <c r="T57" i="7" s="1"/>
  <c r="U57" i="7" s="1"/>
  <c r="V57" i="7" s="1"/>
  <c r="H14" i="7"/>
  <c r="H16" i="7" s="1"/>
  <c r="D9" i="9" s="1"/>
  <c r="E18" i="14"/>
  <c r="D23" i="13"/>
  <c r="E15" i="14"/>
  <c r="F12" i="14" s="1"/>
  <c r="G16" i="14"/>
  <c r="E15" i="18"/>
  <c r="F12" i="18" s="1"/>
  <c r="D23" i="19"/>
  <c r="B52" i="17"/>
  <c r="C52" i="17" s="1"/>
  <c r="D52" i="17" s="1"/>
  <c r="E52" i="17" s="1"/>
  <c r="F52" i="17" s="1"/>
  <c r="G52" i="17" s="1"/>
  <c r="H52" i="17" s="1"/>
  <c r="I52" i="17" s="1"/>
  <c r="J52" i="17" s="1"/>
  <c r="K52" i="17" s="1"/>
  <c r="L52" i="17" s="1"/>
  <c r="M52" i="17" s="1"/>
  <c r="N52" i="17" s="1"/>
  <c r="O52" i="17" s="1"/>
  <c r="P52" i="17" s="1"/>
  <c r="Q52" i="17" s="1"/>
  <c r="R52" i="17" s="1"/>
  <c r="S52" i="17" s="1"/>
  <c r="T52" i="17" s="1"/>
  <c r="U52" i="17" s="1"/>
  <c r="V52" i="17" s="1"/>
  <c r="W52" i="17" s="1"/>
  <c r="X52" i="17" s="1"/>
  <c r="Y52" i="17" s="1"/>
  <c r="Z52" i="17" s="1"/>
  <c r="B52" i="15"/>
  <c r="C52" i="15" s="1"/>
  <c r="D52" i="15" s="1"/>
  <c r="E52" i="15" s="1"/>
  <c r="F52" i="15" s="1"/>
  <c r="G52" i="15" s="1"/>
  <c r="H52" i="15" s="1"/>
  <c r="I52" i="15" s="1"/>
  <c r="J52" i="15" s="1"/>
  <c r="K52" i="15" s="1"/>
  <c r="L52" i="15" s="1"/>
  <c r="M52" i="15" s="1"/>
  <c r="N52" i="15" s="1"/>
  <c r="O52" i="15" s="1"/>
  <c r="P52" i="15" s="1"/>
  <c r="Q52" i="15" s="1"/>
  <c r="R52" i="15" s="1"/>
  <c r="S52" i="15" s="1"/>
  <c r="T52" i="15" s="1"/>
  <c r="U52" i="15" s="1"/>
  <c r="D23" i="16"/>
  <c r="B34" i="15" s="1"/>
  <c r="D13" i="13"/>
  <c r="U16" i="18"/>
  <c r="U45" i="13"/>
  <c r="V45" i="2"/>
  <c r="H14" i="1"/>
  <c r="H16" i="1" s="1"/>
  <c r="B57" i="1"/>
  <c r="D7" i="2"/>
  <c r="E15" i="8"/>
  <c r="F12" i="8" s="1"/>
  <c r="D23" i="9"/>
  <c r="L16" i="8"/>
  <c r="W57" i="7" l="1"/>
  <c r="B60" i="17"/>
  <c r="F14" i="36" s="1"/>
  <c r="D19" i="31"/>
  <c r="E16" i="30"/>
  <c r="E12" i="30"/>
  <c r="E14" i="30" s="1"/>
  <c r="B60" i="29" s="1"/>
  <c r="I14" i="36" s="1"/>
  <c r="B32" i="33"/>
  <c r="AD19" i="35"/>
  <c r="D19" i="32"/>
  <c r="Q19" i="32"/>
  <c r="O32" i="29" s="1"/>
  <c r="K19" i="32"/>
  <c r="I32" i="29" s="1"/>
  <c r="AA19" i="32"/>
  <c r="Y32" i="29" s="1"/>
  <c r="X19" i="32"/>
  <c r="V32" i="29" s="1"/>
  <c r="N19" i="32"/>
  <c r="L32" i="29" s="1"/>
  <c r="H19" i="32"/>
  <c r="F32" i="29" s="1"/>
  <c r="I19" i="32"/>
  <c r="G32" i="29" s="1"/>
  <c r="Y19" i="32"/>
  <c r="W32" i="29" s="1"/>
  <c r="S19" i="32"/>
  <c r="Q32" i="29" s="1"/>
  <c r="P19" i="32"/>
  <c r="N32" i="29" s="1"/>
  <c r="F19" i="32"/>
  <c r="D32" i="29" s="1"/>
  <c r="V19" i="32"/>
  <c r="T32" i="29" s="1"/>
  <c r="M19" i="32"/>
  <c r="K32" i="29" s="1"/>
  <c r="W19" i="32"/>
  <c r="U32" i="29" s="1"/>
  <c r="J19" i="32"/>
  <c r="H32" i="29" s="1"/>
  <c r="Z19" i="32"/>
  <c r="X32" i="29" s="1"/>
  <c r="E19" i="32"/>
  <c r="C32" i="29" s="1"/>
  <c r="U19" i="32"/>
  <c r="S32" i="29" s="1"/>
  <c r="O19" i="32"/>
  <c r="M32" i="29" s="1"/>
  <c r="L19" i="32"/>
  <c r="J32" i="29" s="1"/>
  <c r="AB19" i="32"/>
  <c r="Z32" i="29" s="1"/>
  <c r="R19" i="32"/>
  <c r="P32" i="29" s="1"/>
  <c r="G19" i="32"/>
  <c r="E32" i="29" s="1"/>
  <c r="T19" i="32"/>
  <c r="R32" i="29" s="1"/>
  <c r="D19" i="37"/>
  <c r="E12" i="34"/>
  <c r="E14" i="34" s="1"/>
  <c r="B60" i="33" s="1"/>
  <c r="J14" i="36" s="1"/>
  <c r="E16" i="34"/>
  <c r="C57" i="29"/>
  <c r="C57" i="33"/>
  <c r="T7" i="37"/>
  <c r="S5" i="35"/>
  <c r="E7" i="2"/>
  <c r="E5" i="4" s="1"/>
  <c r="H16" i="33"/>
  <c r="C53" i="29"/>
  <c r="D53" i="29" s="1"/>
  <c r="E53" i="29" s="1"/>
  <c r="F53" i="29" s="1"/>
  <c r="G53" i="29" s="1"/>
  <c r="H53" i="29" s="1"/>
  <c r="I53" i="29" s="1"/>
  <c r="J53" i="29" s="1"/>
  <c r="K53" i="29" s="1"/>
  <c r="L53" i="29" s="1"/>
  <c r="M53" i="29" s="1"/>
  <c r="N53" i="29" s="1"/>
  <c r="O53" i="29" s="1"/>
  <c r="P53" i="29" s="1"/>
  <c r="Q53" i="29" s="1"/>
  <c r="R53" i="29" s="1"/>
  <c r="S53" i="29" s="1"/>
  <c r="T53" i="29" s="1"/>
  <c r="U53" i="29" s="1"/>
  <c r="V53" i="29" s="1"/>
  <c r="W53" i="29" s="1"/>
  <c r="X53" i="29" s="1"/>
  <c r="Y53" i="29" s="1"/>
  <c r="Z53" i="29" s="1"/>
  <c r="B53" i="33"/>
  <c r="C53" i="33" s="1"/>
  <c r="D53" i="33" s="1"/>
  <c r="E53" i="33" s="1"/>
  <c r="F53" i="33" s="1"/>
  <c r="G53" i="33" s="1"/>
  <c r="H53" i="33" s="1"/>
  <c r="I53" i="33" s="1"/>
  <c r="J53" i="33" s="1"/>
  <c r="K53" i="33" s="1"/>
  <c r="L53" i="33" s="1"/>
  <c r="M53" i="33" s="1"/>
  <c r="N53" i="33" s="1"/>
  <c r="O53" i="33" s="1"/>
  <c r="P53" i="33" s="1"/>
  <c r="Q53" i="33" s="1"/>
  <c r="R53" i="33" s="1"/>
  <c r="S53" i="33" s="1"/>
  <c r="T53" i="33" s="1"/>
  <c r="U53" i="33" s="1"/>
  <c r="F7" i="31"/>
  <c r="E5" i="32"/>
  <c r="D8" i="32"/>
  <c r="B29" i="29" s="1"/>
  <c r="B60" i="25"/>
  <c r="H14" i="36" s="1"/>
  <c r="H16" i="29"/>
  <c r="D9" i="31" s="1"/>
  <c r="B62" i="29" s="1"/>
  <c r="I16" i="36" s="1"/>
  <c r="I8" i="36" s="1"/>
  <c r="D23" i="28"/>
  <c r="C57" i="25"/>
  <c r="E7" i="27"/>
  <c r="D5" i="28"/>
  <c r="E18" i="26"/>
  <c r="D13" i="27"/>
  <c r="D7" i="23"/>
  <c r="E7" i="23" s="1"/>
  <c r="E13" i="26"/>
  <c r="G16" i="26"/>
  <c r="H16" i="26" s="1"/>
  <c r="I16" i="26" s="1"/>
  <c r="H16" i="25"/>
  <c r="B53" i="21"/>
  <c r="C53" i="21" s="1"/>
  <c r="D53" i="21" s="1"/>
  <c r="E53" i="21" s="1"/>
  <c r="F53" i="21" s="1"/>
  <c r="G53" i="21" s="1"/>
  <c r="H53" i="21" s="1"/>
  <c r="I53" i="21" s="1"/>
  <c r="J53" i="21" s="1"/>
  <c r="K53" i="21" s="1"/>
  <c r="L53" i="21" s="1"/>
  <c r="M53" i="21" s="1"/>
  <c r="N53" i="21" s="1"/>
  <c r="O53" i="21" s="1"/>
  <c r="P53" i="21" s="1"/>
  <c r="Q53" i="21" s="1"/>
  <c r="R53" i="21" s="1"/>
  <c r="S53" i="21" s="1"/>
  <c r="T53" i="21" s="1"/>
  <c r="U53" i="21" s="1"/>
  <c r="V53" i="21" s="1"/>
  <c r="W53" i="21" s="1"/>
  <c r="X53" i="21" s="1"/>
  <c r="Y53" i="21" s="1"/>
  <c r="Z53" i="21" s="1"/>
  <c r="B53" i="25"/>
  <c r="C53" i="25" s="1"/>
  <c r="D53" i="25" s="1"/>
  <c r="E53" i="25" s="1"/>
  <c r="F53" i="25" s="1"/>
  <c r="G53" i="25" s="1"/>
  <c r="H53" i="25" s="1"/>
  <c r="I53" i="25" s="1"/>
  <c r="J53" i="25" s="1"/>
  <c r="K53" i="25" s="1"/>
  <c r="L53" i="25" s="1"/>
  <c r="M53" i="25" s="1"/>
  <c r="N53" i="25" s="1"/>
  <c r="O53" i="25" s="1"/>
  <c r="P53" i="25" s="1"/>
  <c r="Q53" i="25" s="1"/>
  <c r="R53" i="25" s="1"/>
  <c r="S53" i="25" s="1"/>
  <c r="T53" i="25" s="1"/>
  <c r="U53" i="25" s="1"/>
  <c r="V53" i="25" s="1"/>
  <c r="W53" i="25" s="1"/>
  <c r="X53" i="25" s="1"/>
  <c r="Y53" i="25" s="1"/>
  <c r="Z53" i="25" s="1"/>
  <c r="B61" i="17"/>
  <c r="F15" i="36" s="1"/>
  <c r="F7" i="36" s="1"/>
  <c r="C57" i="17"/>
  <c r="F13" i="22"/>
  <c r="E23" i="24"/>
  <c r="E7" i="19"/>
  <c r="F7" i="19" s="1"/>
  <c r="E13" i="23"/>
  <c r="I16" i="22"/>
  <c r="D5" i="20"/>
  <c r="D8" i="20" s="1"/>
  <c r="B60" i="7"/>
  <c r="C14" i="36" s="1"/>
  <c r="H14" i="21"/>
  <c r="B57" i="21"/>
  <c r="E7" i="9"/>
  <c r="D5" i="10"/>
  <c r="D8" i="10" s="1"/>
  <c r="B29" i="7" s="1"/>
  <c r="B61" i="7"/>
  <c r="C15" i="36" s="1"/>
  <c r="C7" i="36" s="1"/>
  <c r="D37" i="13"/>
  <c r="B53" i="15"/>
  <c r="C53" i="15" s="1"/>
  <c r="D53" i="15" s="1"/>
  <c r="E53" i="15" s="1"/>
  <c r="F53" i="15" s="1"/>
  <c r="G53" i="15" s="1"/>
  <c r="H53" i="15" s="1"/>
  <c r="I53" i="15" s="1"/>
  <c r="J53" i="15" s="1"/>
  <c r="K53" i="15" s="1"/>
  <c r="L53" i="15" s="1"/>
  <c r="M53" i="15" s="1"/>
  <c r="N53" i="15" s="1"/>
  <c r="O53" i="15" s="1"/>
  <c r="P53" i="15" s="1"/>
  <c r="Q53" i="15" s="1"/>
  <c r="R53" i="15" s="1"/>
  <c r="S53" i="15" s="1"/>
  <c r="T53" i="15" s="1"/>
  <c r="U53" i="15" s="1"/>
  <c r="B53" i="17"/>
  <c r="C53" i="17" s="1"/>
  <c r="D53" i="17" s="1"/>
  <c r="E53" i="17" s="1"/>
  <c r="F53" i="17" s="1"/>
  <c r="G53" i="17" s="1"/>
  <c r="H53" i="17" s="1"/>
  <c r="I53" i="17" s="1"/>
  <c r="J53" i="17" s="1"/>
  <c r="K53" i="17" s="1"/>
  <c r="L53" i="17" s="1"/>
  <c r="M53" i="17" s="1"/>
  <c r="N53" i="17" s="1"/>
  <c r="O53" i="17" s="1"/>
  <c r="P53" i="17" s="1"/>
  <c r="Q53" i="17" s="1"/>
  <c r="R53" i="17" s="1"/>
  <c r="S53" i="17" s="1"/>
  <c r="T53" i="17" s="1"/>
  <c r="U53" i="17" s="1"/>
  <c r="V53" i="17" s="1"/>
  <c r="W53" i="17" s="1"/>
  <c r="X53" i="17" s="1"/>
  <c r="Y53" i="17" s="1"/>
  <c r="Z53" i="17" s="1"/>
  <c r="D7" i="13"/>
  <c r="B57" i="15"/>
  <c r="H14" i="15"/>
  <c r="H16" i="15" s="1"/>
  <c r="D9" i="13" s="1"/>
  <c r="H16" i="14"/>
  <c r="D9" i="19"/>
  <c r="D37" i="19"/>
  <c r="F14" i="14"/>
  <c r="F14" i="18"/>
  <c r="V16" i="18"/>
  <c r="B62" i="7"/>
  <c r="C16" i="36" s="1"/>
  <c r="C8" i="36" s="1"/>
  <c r="E9" i="9"/>
  <c r="F9" i="9" s="1"/>
  <c r="G9" i="9" s="1"/>
  <c r="H9" i="9" s="1"/>
  <c r="I9" i="9" s="1"/>
  <c r="J9" i="9" s="1"/>
  <c r="K9" i="9" s="1"/>
  <c r="L9" i="9" s="1"/>
  <c r="M9" i="9" s="1"/>
  <c r="N9" i="9" s="1"/>
  <c r="O9" i="9" s="1"/>
  <c r="P9" i="9" s="1"/>
  <c r="Q9" i="9" s="1"/>
  <c r="R9" i="9" s="1"/>
  <c r="S9" i="9" s="1"/>
  <c r="T9" i="9" s="1"/>
  <c r="U9" i="9" s="1"/>
  <c r="V9" i="9" s="1"/>
  <c r="W9" i="9" s="1"/>
  <c r="X9" i="9" s="1"/>
  <c r="V45" i="13"/>
  <c r="W45" i="2"/>
  <c r="C57" i="1"/>
  <c r="D5" i="4"/>
  <c r="D13" i="10"/>
  <c r="F14" i="8"/>
  <c r="D37" i="9"/>
  <c r="M16" i="8"/>
  <c r="D9" i="2"/>
  <c r="C6" i="36" l="1"/>
  <c r="H6" i="36"/>
  <c r="J6" i="36"/>
  <c r="I6" i="36"/>
  <c r="F6" i="36"/>
  <c r="Y9" i="9"/>
  <c r="V62" i="7"/>
  <c r="X57" i="7"/>
  <c r="B32" i="29"/>
  <c r="AD19" i="32"/>
  <c r="F16" i="34"/>
  <c r="G16" i="34" s="1"/>
  <c r="H16" i="34" s="1"/>
  <c r="I16" i="34" s="1"/>
  <c r="E18" i="34"/>
  <c r="E13" i="34"/>
  <c r="F16" i="30"/>
  <c r="G16" i="30" s="1"/>
  <c r="H16" i="30" s="1"/>
  <c r="I16" i="30" s="1"/>
  <c r="E18" i="30"/>
  <c r="E13" i="30"/>
  <c r="D13" i="31"/>
  <c r="D23" i="32"/>
  <c r="B34" i="29" s="1"/>
  <c r="D23" i="35"/>
  <c r="B34" i="33" s="1"/>
  <c r="D13" i="37"/>
  <c r="AD19" i="31"/>
  <c r="AD21" i="31" s="1"/>
  <c r="D21" i="31"/>
  <c r="D57" i="33"/>
  <c r="J13" i="36"/>
  <c r="J5" i="36" s="1"/>
  <c r="U7" i="37"/>
  <c r="T5" i="35"/>
  <c r="D8" i="35"/>
  <c r="B29" i="33" s="1"/>
  <c r="E9" i="2"/>
  <c r="F7" i="2"/>
  <c r="E8" i="35"/>
  <c r="C29" i="33" s="1"/>
  <c r="D9" i="37"/>
  <c r="B62" i="33" s="1"/>
  <c r="J16" i="36" s="1"/>
  <c r="J8" i="36" s="1"/>
  <c r="E8" i="32"/>
  <c r="C29" i="29" s="1"/>
  <c r="G7" i="31"/>
  <c r="F5" i="32"/>
  <c r="D57" i="25"/>
  <c r="B61" i="25"/>
  <c r="H15" i="36" s="1"/>
  <c r="H7" i="36" s="1"/>
  <c r="B34" i="25"/>
  <c r="D57" i="29"/>
  <c r="F7" i="27"/>
  <c r="E5" i="28"/>
  <c r="E8" i="28" s="1"/>
  <c r="D5" i="24"/>
  <c r="D8" i="24" s="1"/>
  <c r="E15" i="26"/>
  <c r="F12" i="26" s="1"/>
  <c r="F14" i="26" s="1"/>
  <c r="D23" i="27"/>
  <c r="D37" i="27" s="1"/>
  <c r="D9" i="27"/>
  <c r="B61" i="21"/>
  <c r="G15" i="36" s="1"/>
  <c r="G7" i="36" s="1"/>
  <c r="J16" i="26"/>
  <c r="D57" i="17"/>
  <c r="C34" i="21"/>
  <c r="F15" i="22"/>
  <c r="G12" i="22" s="1"/>
  <c r="G14" i="22" s="1"/>
  <c r="F18" i="22"/>
  <c r="E23" i="23"/>
  <c r="B60" i="21"/>
  <c r="G14" i="36" s="1"/>
  <c r="C57" i="21"/>
  <c r="E5" i="20"/>
  <c r="E8" i="20" s="1"/>
  <c r="C29" i="17" s="1"/>
  <c r="F7" i="23"/>
  <c r="E5" i="24"/>
  <c r="E8" i="24" s="1"/>
  <c r="J16" i="22"/>
  <c r="C60" i="7"/>
  <c r="B29" i="17"/>
  <c r="F7" i="9"/>
  <c r="E5" i="10"/>
  <c r="E8" i="10" s="1"/>
  <c r="C29" i="7" s="1"/>
  <c r="H16" i="21"/>
  <c r="C62" i="7"/>
  <c r="F13" i="18"/>
  <c r="E23" i="20"/>
  <c r="E13" i="19"/>
  <c r="C60" i="17"/>
  <c r="B62" i="17"/>
  <c r="F16" i="36" s="1"/>
  <c r="F8" i="36" s="1"/>
  <c r="D13" i="20"/>
  <c r="E9" i="19"/>
  <c r="I16" i="14"/>
  <c r="D5" i="16"/>
  <c r="E7" i="13"/>
  <c r="E23" i="16"/>
  <c r="C34" i="15" s="1"/>
  <c r="E13" i="13"/>
  <c r="F13" i="14"/>
  <c r="E9" i="13"/>
  <c r="D13" i="16"/>
  <c r="B62" i="15"/>
  <c r="E16" i="36" s="1"/>
  <c r="E8" i="36" s="1"/>
  <c r="G7" i="19"/>
  <c r="F5" i="20"/>
  <c r="F8" i="20" s="1"/>
  <c r="C57" i="15"/>
  <c r="B60" i="15"/>
  <c r="E14" i="36" s="1"/>
  <c r="B61" i="15"/>
  <c r="E15" i="36" s="1"/>
  <c r="E7" i="36" s="1"/>
  <c r="W16" i="18"/>
  <c r="W45" i="13"/>
  <c r="X45" i="2"/>
  <c r="D57" i="1"/>
  <c r="E13" i="10"/>
  <c r="F13" i="8"/>
  <c r="C61" i="7" s="1"/>
  <c r="E13" i="9"/>
  <c r="E23" i="10"/>
  <c r="C34" i="7" s="1"/>
  <c r="N16" i="8"/>
  <c r="B62" i="1"/>
  <c r="D16" i="36" s="1"/>
  <c r="D8" i="36" s="1"/>
  <c r="D13" i="4"/>
  <c r="G6" i="36" l="1"/>
  <c r="E6" i="36"/>
  <c r="Y57" i="7"/>
  <c r="Z9" i="9"/>
  <c r="W62" i="7"/>
  <c r="D23" i="31"/>
  <c r="D37" i="31" s="1"/>
  <c r="B61" i="29"/>
  <c r="I15" i="36" s="1"/>
  <c r="E15" i="30"/>
  <c r="F12" i="30" s="1"/>
  <c r="F14" i="30" s="1"/>
  <c r="B61" i="33"/>
  <c r="J15" i="36" s="1"/>
  <c r="E15" i="34"/>
  <c r="F12" i="34" s="1"/>
  <c r="F14" i="34" s="1"/>
  <c r="D23" i="37"/>
  <c r="E57" i="33"/>
  <c r="E9" i="37"/>
  <c r="D13" i="35"/>
  <c r="D14" i="35" s="1"/>
  <c r="V7" i="37"/>
  <c r="U5" i="35"/>
  <c r="G7" i="2"/>
  <c r="G5" i="4" s="1"/>
  <c r="F5" i="4"/>
  <c r="F9" i="2"/>
  <c r="J16" i="34"/>
  <c r="F8" i="32"/>
  <c r="D29" i="29" s="1"/>
  <c r="E9" i="31"/>
  <c r="D13" i="32"/>
  <c r="H7" i="31"/>
  <c r="G5" i="32"/>
  <c r="E57" i="25"/>
  <c r="J16" i="30"/>
  <c r="C29" i="25"/>
  <c r="B62" i="25"/>
  <c r="H16" i="36" s="1"/>
  <c r="H8" i="36" s="1"/>
  <c r="E57" i="29"/>
  <c r="E23" i="28"/>
  <c r="C60" i="25"/>
  <c r="D13" i="28"/>
  <c r="G7" i="27"/>
  <c r="F5" i="28"/>
  <c r="F8" i="28" s="1"/>
  <c r="F23" i="24"/>
  <c r="D34" i="21" s="1"/>
  <c r="D8" i="28"/>
  <c r="E9" i="27"/>
  <c r="F13" i="26"/>
  <c r="E13" i="27"/>
  <c r="F13" i="23"/>
  <c r="C61" i="21"/>
  <c r="K16" i="26"/>
  <c r="E57" i="17"/>
  <c r="B29" i="21"/>
  <c r="C29" i="21"/>
  <c r="G13" i="22"/>
  <c r="D57" i="21"/>
  <c r="C60" i="21"/>
  <c r="G7" i="23"/>
  <c r="F5" i="24"/>
  <c r="F8" i="24" s="1"/>
  <c r="D9" i="23"/>
  <c r="E37" i="23"/>
  <c r="K16" i="22"/>
  <c r="E62" i="7"/>
  <c r="G7" i="9"/>
  <c r="F5" i="10"/>
  <c r="F8" i="10" s="1"/>
  <c r="D29" i="7" s="1"/>
  <c r="D62" i="7"/>
  <c r="C61" i="15"/>
  <c r="E23" i="13"/>
  <c r="E37" i="13" s="1"/>
  <c r="F18" i="14"/>
  <c r="F15" i="14"/>
  <c r="G12" i="14" s="1"/>
  <c r="E5" i="16"/>
  <c r="E8" i="16" s="1"/>
  <c r="F7" i="13"/>
  <c r="D29" i="17"/>
  <c r="D8" i="16"/>
  <c r="F9" i="19"/>
  <c r="E13" i="20"/>
  <c r="C62" i="17"/>
  <c r="D57" i="15"/>
  <c r="H7" i="19"/>
  <c r="G5" i="20"/>
  <c r="C34" i="17"/>
  <c r="C62" i="15"/>
  <c r="F9" i="13"/>
  <c r="E13" i="16"/>
  <c r="C60" i="15"/>
  <c r="J16" i="14"/>
  <c r="E23" i="19"/>
  <c r="C61" i="17"/>
  <c r="F18" i="18"/>
  <c r="F15" i="18"/>
  <c r="G12" i="18" s="1"/>
  <c r="X16" i="18"/>
  <c r="X45" i="13"/>
  <c r="Y45" i="2"/>
  <c r="E57" i="1"/>
  <c r="F13" i="10"/>
  <c r="F18" i="8"/>
  <c r="E23" i="9"/>
  <c r="F15" i="8"/>
  <c r="G12" i="8" s="1"/>
  <c r="O16" i="8"/>
  <c r="C62" i="1"/>
  <c r="E13" i="4"/>
  <c r="R7" i="1"/>
  <c r="D18" i="2"/>
  <c r="D5" i="3"/>
  <c r="D9" i="3" s="1"/>
  <c r="J7" i="36" l="1"/>
  <c r="J4" i="36"/>
  <c r="I7" i="36"/>
  <c r="Z57" i="7"/>
  <c r="AA9" i="9"/>
  <c r="X62" i="7"/>
  <c r="B63" i="33"/>
  <c r="B64" i="33" s="1"/>
  <c r="J18" i="36" s="1"/>
  <c r="E13" i="37"/>
  <c r="E23" i="35"/>
  <c r="C34" i="33" s="1"/>
  <c r="C60" i="33"/>
  <c r="F13" i="34"/>
  <c r="F15" i="34" s="1"/>
  <c r="G12" i="34" s="1"/>
  <c r="G14" i="34" s="1"/>
  <c r="C60" i="29"/>
  <c r="E23" i="32"/>
  <c r="C34" i="29" s="1"/>
  <c r="F13" i="30"/>
  <c r="E13" i="31"/>
  <c r="C62" i="33"/>
  <c r="F57" i="33"/>
  <c r="D16" i="35"/>
  <c r="D21" i="35" s="1"/>
  <c r="B30" i="33"/>
  <c r="W7" i="37"/>
  <c r="V5" i="35"/>
  <c r="F9" i="37"/>
  <c r="D62" i="33" s="1"/>
  <c r="E13" i="35"/>
  <c r="F8" i="35"/>
  <c r="D29" i="33" s="1"/>
  <c r="G9" i="2"/>
  <c r="E62" i="1" s="1"/>
  <c r="H7" i="2"/>
  <c r="H5" i="4" s="1"/>
  <c r="G8" i="35"/>
  <c r="E29" i="33" s="1"/>
  <c r="E16" i="3"/>
  <c r="F16" i="3" s="1"/>
  <c r="K16" i="34"/>
  <c r="C62" i="29"/>
  <c r="G8" i="32"/>
  <c r="E29" i="29" s="1"/>
  <c r="I7" i="31"/>
  <c r="H5" i="32"/>
  <c r="F9" i="31"/>
  <c r="E13" i="32"/>
  <c r="F57" i="25"/>
  <c r="K16" i="30"/>
  <c r="B29" i="25"/>
  <c r="C34" i="25"/>
  <c r="D29" i="25"/>
  <c r="F57" i="29"/>
  <c r="C62" i="25"/>
  <c r="F15" i="26"/>
  <c r="G12" i="26" s="1"/>
  <c r="G14" i="26" s="1"/>
  <c r="C61" i="25"/>
  <c r="F9" i="27"/>
  <c r="E13" i="28"/>
  <c r="H7" i="27"/>
  <c r="G5" i="28"/>
  <c r="G8" i="28" s="1"/>
  <c r="F57" i="17"/>
  <c r="F18" i="26"/>
  <c r="E23" i="27"/>
  <c r="E37" i="27" s="1"/>
  <c r="L16" i="26"/>
  <c r="G18" i="22"/>
  <c r="D29" i="21"/>
  <c r="D61" i="21"/>
  <c r="G15" i="22"/>
  <c r="H12" i="22" s="1"/>
  <c r="H14" i="22" s="1"/>
  <c r="F23" i="23"/>
  <c r="D13" i="24"/>
  <c r="B62" i="21"/>
  <c r="E57" i="21"/>
  <c r="D60" i="21"/>
  <c r="H7" i="23"/>
  <c r="G5" i="24"/>
  <c r="G8" i="24" s="1"/>
  <c r="E9" i="23"/>
  <c r="L16" i="22"/>
  <c r="H7" i="9"/>
  <c r="G5" i="10"/>
  <c r="G8" i="10" s="1"/>
  <c r="E29" i="7" s="1"/>
  <c r="F62" i="7"/>
  <c r="I7" i="19"/>
  <c r="H5" i="20"/>
  <c r="H8" i="20" s="1"/>
  <c r="B29" i="15"/>
  <c r="G7" i="13"/>
  <c r="F5" i="16"/>
  <c r="G14" i="14"/>
  <c r="E37" i="19"/>
  <c r="C29" i="15"/>
  <c r="G14" i="18"/>
  <c r="K16" i="14"/>
  <c r="L16" i="14" s="1"/>
  <c r="M16" i="14" s="1"/>
  <c r="N16" i="14" s="1"/>
  <c r="O16" i="14" s="1"/>
  <c r="P16" i="14" s="1"/>
  <c r="Q16" i="14" s="1"/>
  <c r="R16" i="14" s="1"/>
  <c r="S16" i="14" s="1"/>
  <c r="T16" i="14" s="1"/>
  <c r="U16" i="14" s="1"/>
  <c r="V16" i="14" s="1"/>
  <c r="W16" i="14" s="1"/>
  <c r="X16" i="14" s="1"/>
  <c r="Y16" i="14" s="1"/>
  <c r="Z16" i="14" s="1"/>
  <c r="F13" i="16"/>
  <c r="D62" i="15"/>
  <c r="G9" i="13"/>
  <c r="G8" i="20"/>
  <c r="E57" i="15"/>
  <c r="G9" i="19"/>
  <c r="F13" i="20"/>
  <c r="D62" i="17"/>
  <c r="Y16" i="18"/>
  <c r="Y45" i="13"/>
  <c r="Z45" i="2"/>
  <c r="F13" i="4"/>
  <c r="F57" i="1"/>
  <c r="M32" i="1"/>
  <c r="Q32" i="1"/>
  <c r="D32" i="1"/>
  <c r="O32" i="1"/>
  <c r="C32" i="1"/>
  <c r="G13" i="10"/>
  <c r="H32" i="1"/>
  <c r="R32" i="1"/>
  <c r="N32" i="1"/>
  <c r="J32" i="1"/>
  <c r="F32" i="1"/>
  <c r="I32" i="1"/>
  <c r="U32" i="1"/>
  <c r="T32" i="1"/>
  <c r="K32" i="1"/>
  <c r="B32" i="1"/>
  <c r="L32" i="1"/>
  <c r="S32" i="1"/>
  <c r="P32" i="1"/>
  <c r="E32" i="1"/>
  <c r="G32" i="1"/>
  <c r="E37" i="9"/>
  <c r="G14" i="8"/>
  <c r="D60" i="7" s="1"/>
  <c r="P16" i="8"/>
  <c r="D62" i="1"/>
  <c r="D19" i="2"/>
  <c r="D21" i="2" s="1"/>
  <c r="AB9" i="9" l="1"/>
  <c r="Z62" i="7" s="1"/>
  <c r="Y62" i="7"/>
  <c r="D60" i="33"/>
  <c r="F13" i="37"/>
  <c r="J17" i="36"/>
  <c r="J24" i="36" s="1"/>
  <c r="F15" i="30"/>
  <c r="G12" i="30" s="1"/>
  <c r="G14" i="30" s="1"/>
  <c r="E23" i="31"/>
  <c r="E37" i="31" s="1"/>
  <c r="C61" i="29"/>
  <c r="F18" i="30"/>
  <c r="G13" i="34"/>
  <c r="G18" i="34" s="1"/>
  <c r="F23" i="35"/>
  <c r="D34" i="33" s="1"/>
  <c r="E23" i="37"/>
  <c r="C61" i="33"/>
  <c r="F18" i="34"/>
  <c r="G16" i="36"/>
  <c r="G57" i="33"/>
  <c r="G13" i="4"/>
  <c r="D17" i="35"/>
  <c r="G9" i="37"/>
  <c r="E62" i="33" s="1"/>
  <c r="F13" i="35"/>
  <c r="X7" i="37"/>
  <c r="W5" i="35"/>
  <c r="H9" i="2"/>
  <c r="H13" i="4" s="1"/>
  <c r="I7" i="2"/>
  <c r="I5" i="4" s="1"/>
  <c r="H8" i="35"/>
  <c r="F29" i="33" s="1"/>
  <c r="AD19" i="37"/>
  <c r="AD21" i="37" s="1"/>
  <c r="D21" i="37"/>
  <c r="L16" i="34"/>
  <c r="B31" i="33"/>
  <c r="B33" i="33" s="1"/>
  <c r="B35" i="33" s="1"/>
  <c r="J10" i="36" s="1"/>
  <c r="D62" i="29"/>
  <c r="H8" i="32"/>
  <c r="F29" i="29" s="1"/>
  <c r="G9" i="31"/>
  <c r="F13" i="32"/>
  <c r="J7" i="31"/>
  <c r="I5" i="32"/>
  <c r="F13" i="27"/>
  <c r="G57" i="25"/>
  <c r="L16" i="30"/>
  <c r="D62" i="25"/>
  <c r="F23" i="28"/>
  <c r="G57" i="29"/>
  <c r="E29" i="25"/>
  <c r="G13" i="26"/>
  <c r="G18" i="26" s="1"/>
  <c r="D60" i="25"/>
  <c r="I7" i="27"/>
  <c r="H5" i="28"/>
  <c r="H8" i="28" s="1"/>
  <c r="G9" i="27"/>
  <c r="F13" i="28"/>
  <c r="G57" i="17"/>
  <c r="M16" i="26"/>
  <c r="E29" i="21"/>
  <c r="G23" i="24"/>
  <c r="H13" i="22"/>
  <c r="G13" i="23"/>
  <c r="E13" i="24"/>
  <c r="C62" i="21"/>
  <c r="F57" i="21"/>
  <c r="E60" i="21"/>
  <c r="I7" i="23"/>
  <c r="H5" i="24"/>
  <c r="H8" i="24" s="1"/>
  <c r="F9" i="23"/>
  <c r="M16" i="22"/>
  <c r="I7" i="9"/>
  <c r="H5" i="10"/>
  <c r="H8" i="10" s="1"/>
  <c r="F29" i="7" s="1"/>
  <c r="G62" i="7"/>
  <c r="H9" i="19"/>
  <c r="G13" i="20"/>
  <c r="E62" i="17"/>
  <c r="D60" i="15"/>
  <c r="F13" i="13"/>
  <c r="F23" i="16"/>
  <c r="D34" i="15" s="1"/>
  <c r="G13" i="14"/>
  <c r="F29" i="17"/>
  <c r="E29" i="17"/>
  <c r="G13" i="16"/>
  <c r="E62" i="15"/>
  <c r="H9" i="13"/>
  <c r="J7" i="19"/>
  <c r="I5" i="20"/>
  <c r="F57" i="15"/>
  <c r="G13" i="18"/>
  <c r="F23" i="20"/>
  <c r="F13" i="19"/>
  <c r="D60" i="17"/>
  <c r="F8" i="16"/>
  <c r="H7" i="13"/>
  <c r="G5" i="16"/>
  <c r="G8" i="16" s="1"/>
  <c r="Z16" i="18"/>
  <c r="AA16" i="14"/>
  <c r="Z45" i="13"/>
  <c r="AA45" i="2"/>
  <c r="G57" i="1"/>
  <c r="H13" i="10"/>
  <c r="G13" i="8"/>
  <c r="D61" i="7" s="1"/>
  <c r="F13" i="9"/>
  <c r="F23" i="10"/>
  <c r="D34" i="7" s="1"/>
  <c r="Q16" i="8"/>
  <c r="G16" i="3"/>
  <c r="G8" i="36" l="1"/>
  <c r="J9" i="36"/>
  <c r="G15" i="34"/>
  <c r="H12" i="34" s="1"/>
  <c r="H14" i="34" s="1"/>
  <c r="E60" i="33" s="1"/>
  <c r="F23" i="37"/>
  <c r="D61" i="33"/>
  <c r="G13" i="30"/>
  <c r="F23" i="32"/>
  <c r="D34" i="29" s="1"/>
  <c r="F13" i="31"/>
  <c r="D60" i="29"/>
  <c r="H57" i="33"/>
  <c r="F62" i="1"/>
  <c r="Y7" i="37"/>
  <c r="X5" i="35"/>
  <c r="H9" i="37"/>
  <c r="F62" i="33" s="1"/>
  <c r="G13" i="35"/>
  <c r="J7" i="2"/>
  <c r="J5" i="4" s="1"/>
  <c r="I9" i="2"/>
  <c r="G62" i="1" s="1"/>
  <c r="M16" i="34"/>
  <c r="E62" i="29"/>
  <c r="H9" i="31"/>
  <c r="G13" i="32"/>
  <c r="K7" i="31"/>
  <c r="J5" i="32"/>
  <c r="I8" i="32"/>
  <c r="G29" i="29" s="1"/>
  <c r="F23" i="27"/>
  <c r="F37" i="27" s="1"/>
  <c r="H57" i="25"/>
  <c r="M16" i="30"/>
  <c r="F29" i="25"/>
  <c r="G15" i="26"/>
  <c r="H12" i="26" s="1"/>
  <c r="H14" i="26" s="1"/>
  <c r="H57" i="29"/>
  <c r="D34" i="25"/>
  <c r="D61" i="25"/>
  <c r="E62" i="25"/>
  <c r="H57" i="17"/>
  <c r="H9" i="27"/>
  <c r="G13" i="28"/>
  <c r="J7" i="27"/>
  <c r="I5" i="28"/>
  <c r="I8" i="28" s="1"/>
  <c r="E61" i="21"/>
  <c r="N16" i="26"/>
  <c r="E34" i="21"/>
  <c r="F29" i="21"/>
  <c r="G23" i="23"/>
  <c r="H15" i="22"/>
  <c r="I12" i="22" s="1"/>
  <c r="I14" i="22" s="1"/>
  <c r="H18" i="22"/>
  <c r="F13" i="24"/>
  <c r="D62" i="21"/>
  <c r="G57" i="21"/>
  <c r="J7" i="23"/>
  <c r="I5" i="24"/>
  <c r="I8" i="24" s="1"/>
  <c r="G9" i="23"/>
  <c r="N16" i="22"/>
  <c r="H62" i="7"/>
  <c r="J7" i="9"/>
  <c r="I5" i="10"/>
  <c r="I8" i="10" s="1"/>
  <c r="G29" i="7" s="1"/>
  <c r="G57" i="15"/>
  <c r="I9" i="19"/>
  <c r="H13" i="20"/>
  <c r="F62" i="17"/>
  <c r="D29" i="15"/>
  <c r="D34" i="17"/>
  <c r="I8" i="20"/>
  <c r="F62" i="15"/>
  <c r="I9" i="13"/>
  <c r="H13" i="16"/>
  <c r="E29" i="15"/>
  <c r="G18" i="18"/>
  <c r="F23" i="19"/>
  <c r="D61" i="17"/>
  <c r="G15" i="18"/>
  <c r="H12" i="18" s="1"/>
  <c r="K7" i="19"/>
  <c r="J5" i="20"/>
  <c r="J8" i="20" s="1"/>
  <c r="D61" i="15"/>
  <c r="G18" i="14"/>
  <c r="F23" i="13"/>
  <c r="F37" i="13" s="1"/>
  <c r="G15" i="14"/>
  <c r="H12" i="14" s="1"/>
  <c r="I7" i="13"/>
  <c r="H5" i="16"/>
  <c r="H8" i="16" s="1"/>
  <c r="AA16" i="18"/>
  <c r="AB16" i="14"/>
  <c r="AA45" i="13"/>
  <c r="AB45" i="2"/>
  <c r="H57" i="1"/>
  <c r="I13" i="10"/>
  <c r="G18" i="8"/>
  <c r="F23" i="9"/>
  <c r="G15" i="8"/>
  <c r="H12" i="8" s="1"/>
  <c r="R16" i="8"/>
  <c r="H16" i="3"/>
  <c r="I16" i="3" s="1"/>
  <c r="J16" i="3" s="1"/>
  <c r="K16" i="3" s="1"/>
  <c r="L16" i="3" s="1"/>
  <c r="M16" i="3" s="1"/>
  <c r="N16" i="3" s="1"/>
  <c r="O16" i="3" s="1"/>
  <c r="P16" i="3" s="1"/>
  <c r="Q16" i="3" s="1"/>
  <c r="R16" i="3" s="1"/>
  <c r="S16" i="3" s="1"/>
  <c r="T16" i="3" s="1"/>
  <c r="U16" i="3" s="1"/>
  <c r="V16" i="3" s="1"/>
  <c r="W16" i="3" s="1"/>
  <c r="X16" i="3" s="1"/>
  <c r="Y16" i="3" s="1"/>
  <c r="Z16" i="3" s="1"/>
  <c r="AA16" i="3" s="1"/>
  <c r="AB16" i="3" s="1"/>
  <c r="AC16" i="3" s="1"/>
  <c r="H13" i="34" l="1"/>
  <c r="E61" i="33" s="1"/>
  <c r="G13" i="37"/>
  <c r="G23" i="35"/>
  <c r="E34" i="33" s="1"/>
  <c r="I57" i="17"/>
  <c r="J57" i="17" s="1"/>
  <c r="G15" i="30"/>
  <c r="H12" i="30" s="1"/>
  <c r="H14" i="30" s="1"/>
  <c r="F23" i="31"/>
  <c r="G18" i="30"/>
  <c r="D61" i="29"/>
  <c r="I57" i="33"/>
  <c r="I13" i="4"/>
  <c r="I9" i="37"/>
  <c r="G62" i="33" s="1"/>
  <c r="H13" i="35"/>
  <c r="Z7" i="37"/>
  <c r="Y5" i="35"/>
  <c r="J9" i="2"/>
  <c r="H62" i="1" s="1"/>
  <c r="I8" i="35"/>
  <c r="G29" i="33" s="1"/>
  <c r="K7" i="2"/>
  <c r="K5" i="4" s="1"/>
  <c r="J8" i="35"/>
  <c r="H29" i="33" s="1"/>
  <c r="N16" i="34"/>
  <c r="F62" i="29"/>
  <c r="J8" i="32"/>
  <c r="H29" i="29" s="1"/>
  <c r="I9" i="31"/>
  <c r="H13" i="32"/>
  <c r="L7" i="31"/>
  <c r="K5" i="32"/>
  <c r="I57" i="25"/>
  <c r="N16" i="30"/>
  <c r="E60" i="25"/>
  <c r="G23" i="28"/>
  <c r="G13" i="27"/>
  <c r="H13" i="26"/>
  <c r="I57" i="29"/>
  <c r="G29" i="25"/>
  <c r="F62" i="25"/>
  <c r="K7" i="27"/>
  <c r="J5" i="28"/>
  <c r="J8" i="28" s="1"/>
  <c r="I9" i="27"/>
  <c r="H13" i="28"/>
  <c r="F60" i="21"/>
  <c r="H57" i="21"/>
  <c r="O16" i="26"/>
  <c r="H23" i="24"/>
  <c r="H13" i="23"/>
  <c r="I13" i="22"/>
  <c r="G29" i="21"/>
  <c r="G13" i="24"/>
  <c r="E62" i="21"/>
  <c r="K7" i="23"/>
  <c r="J5" i="24"/>
  <c r="J8" i="24" s="1"/>
  <c r="H9" i="23"/>
  <c r="F37" i="23"/>
  <c r="O16" i="22"/>
  <c r="K7" i="9"/>
  <c r="J5" i="10"/>
  <c r="J8" i="10" s="1"/>
  <c r="H29" i="7" s="1"/>
  <c r="F29" i="15"/>
  <c r="H14" i="14"/>
  <c r="H14" i="18"/>
  <c r="H57" i="15"/>
  <c r="J7" i="13"/>
  <c r="I5" i="16"/>
  <c r="I8" i="16" s="1"/>
  <c r="G29" i="17"/>
  <c r="H29" i="17"/>
  <c r="F37" i="19"/>
  <c r="G62" i="15"/>
  <c r="J9" i="13"/>
  <c r="I13" i="16"/>
  <c r="L7" i="19"/>
  <c r="K5" i="20"/>
  <c r="K8" i="20" s="1"/>
  <c r="J9" i="19"/>
  <c r="I13" i="20"/>
  <c r="G62" i="17"/>
  <c r="AB16" i="18"/>
  <c r="AC16" i="14"/>
  <c r="AB45" i="13"/>
  <c r="I57" i="1"/>
  <c r="J13" i="10"/>
  <c r="H14" i="8"/>
  <c r="E60" i="7" s="1"/>
  <c r="F37" i="9"/>
  <c r="S16" i="8"/>
  <c r="H15" i="34" l="1"/>
  <c r="I12" i="34" s="1"/>
  <c r="I14" i="34" s="1"/>
  <c r="F60" i="33" s="1"/>
  <c r="H18" i="34"/>
  <c r="F37" i="31"/>
  <c r="G23" i="37"/>
  <c r="E60" i="29"/>
  <c r="G23" i="32"/>
  <c r="E34" i="29" s="1"/>
  <c r="G13" i="31"/>
  <c r="H13" i="30"/>
  <c r="J57" i="33"/>
  <c r="J13" i="4"/>
  <c r="AA7" i="37"/>
  <c r="Z5" i="35"/>
  <c r="J9" i="37"/>
  <c r="H62" i="33" s="1"/>
  <c r="I13" i="35"/>
  <c r="K9" i="2"/>
  <c r="K13" i="4" s="1"/>
  <c r="L7" i="2"/>
  <c r="L5" i="4" s="1"/>
  <c r="K8" i="32"/>
  <c r="I29" i="29" s="1"/>
  <c r="O16" i="34"/>
  <c r="G62" i="29"/>
  <c r="J9" i="31"/>
  <c r="I13" i="32"/>
  <c r="M7" i="31"/>
  <c r="L5" i="32"/>
  <c r="J57" i="25"/>
  <c r="E34" i="25"/>
  <c r="O16" i="30"/>
  <c r="G23" i="27"/>
  <c r="G37" i="27" s="1"/>
  <c r="E61" i="25"/>
  <c r="H18" i="26"/>
  <c r="H15" i="26"/>
  <c r="I12" i="26" s="1"/>
  <c r="I14" i="26" s="1"/>
  <c r="G62" i="25"/>
  <c r="H29" i="25"/>
  <c r="J57" i="29"/>
  <c r="J9" i="27"/>
  <c r="I13" i="28"/>
  <c r="L7" i="27"/>
  <c r="K5" i="28"/>
  <c r="K8" i="28" s="1"/>
  <c r="I57" i="21"/>
  <c r="P16" i="26"/>
  <c r="H29" i="21"/>
  <c r="I15" i="22"/>
  <c r="J12" i="22" s="1"/>
  <c r="I18" i="22"/>
  <c r="H23" i="23"/>
  <c r="F61" i="21"/>
  <c r="F34" i="21"/>
  <c r="H13" i="24"/>
  <c r="F62" i="21"/>
  <c r="L7" i="23"/>
  <c r="K5" i="24"/>
  <c r="K8" i="24" s="1"/>
  <c r="I9" i="23"/>
  <c r="P16" i="22"/>
  <c r="J62" i="7"/>
  <c r="I62" i="7"/>
  <c r="L7" i="9"/>
  <c r="K5" i="10"/>
  <c r="K8" i="10" s="1"/>
  <c r="I29" i="7" s="1"/>
  <c r="H62" i="15"/>
  <c r="K9" i="13"/>
  <c r="J13" i="16"/>
  <c r="K7" i="13"/>
  <c r="J5" i="16"/>
  <c r="E60" i="15"/>
  <c r="G23" i="16"/>
  <c r="E34" i="15" s="1"/>
  <c r="G13" i="13"/>
  <c r="H13" i="14"/>
  <c r="K57" i="17"/>
  <c r="I57" i="15"/>
  <c r="K9" i="19"/>
  <c r="J13" i="20"/>
  <c r="H62" i="17"/>
  <c r="I29" i="17"/>
  <c r="H13" i="18"/>
  <c r="G23" i="20"/>
  <c r="G13" i="19"/>
  <c r="E60" i="17"/>
  <c r="M7" i="19"/>
  <c r="L5" i="20"/>
  <c r="L8" i="20" s="1"/>
  <c r="G29" i="15"/>
  <c r="AC16" i="18"/>
  <c r="J57" i="1"/>
  <c r="K13" i="10"/>
  <c r="H13" i="8"/>
  <c r="E61" i="7" s="1"/>
  <c r="G13" i="9"/>
  <c r="G23" i="10"/>
  <c r="E34" i="7" s="1"/>
  <c r="T16" i="8"/>
  <c r="AD18" i="2"/>
  <c r="H13" i="37" l="1"/>
  <c r="I13" i="34"/>
  <c r="I18" i="34" s="1"/>
  <c r="H23" i="35"/>
  <c r="F34" i="33" s="1"/>
  <c r="H18" i="30"/>
  <c r="E61" i="29"/>
  <c r="H15" i="30"/>
  <c r="I12" i="30" s="1"/>
  <c r="I14" i="30" s="1"/>
  <c r="G23" i="31"/>
  <c r="K57" i="33"/>
  <c r="I62" i="1"/>
  <c r="AB7" i="37"/>
  <c r="AB5" i="35" s="1"/>
  <c r="AA5" i="35"/>
  <c r="K9" i="37"/>
  <c r="I62" i="33" s="1"/>
  <c r="J13" i="35"/>
  <c r="K8" i="35"/>
  <c r="I29" i="33" s="1"/>
  <c r="M7" i="2"/>
  <c r="M5" i="4" s="1"/>
  <c r="L8" i="35"/>
  <c r="J29" i="33" s="1"/>
  <c r="L9" i="2"/>
  <c r="J62" i="1" s="1"/>
  <c r="P16" i="34"/>
  <c r="H62" i="29"/>
  <c r="L8" i="32"/>
  <c r="J29" i="29" s="1"/>
  <c r="N7" i="31"/>
  <c r="M5" i="32"/>
  <c r="K9" i="31"/>
  <c r="J13" i="32"/>
  <c r="K57" i="25"/>
  <c r="P16" i="30"/>
  <c r="F60" i="25"/>
  <c r="I13" i="26"/>
  <c r="H13" i="27"/>
  <c r="H23" i="28"/>
  <c r="K57" i="29"/>
  <c r="I29" i="25"/>
  <c r="H62" i="25"/>
  <c r="M7" i="27"/>
  <c r="L5" i="28"/>
  <c r="L8" i="28" s="1"/>
  <c r="K9" i="27"/>
  <c r="J13" i="28"/>
  <c r="J57" i="21"/>
  <c r="Q16" i="26"/>
  <c r="J14" i="22"/>
  <c r="I29" i="21"/>
  <c r="I13" i="24"/>
  <c r="G62" i="21"/>
  <c r="M7" i="23"/>
  <c r="L5" i="24"/>
  <c r="L8" i="24" s="1"/>
  <c r="J9" i="23"/>
  <c r="Q16" i="22"/>
  <c r="M7" i="9"/>
  <c r="L5" i="10"/>
  <c r="L8" i="10" s="1"/>
  <c r="J29" i="7" s="1"/>
  <c r="K62" i="7"/>
  <c r="J29" i="17"/>
  <c r="J57" i="15"/>
  <c r="L57" i="17"/>
  <c r="N7" i="19"/>
  <c r="M5" i="20"/>
  <c r="M8" i="20" s="1"/>
  <c r="E61" i="15"/>
  <c r="G23" i="13"/>
  <c r="G37" i="13" s="1"/>
  <c r="H18" i="14"/>
  <c r="H15" i="14"/>
  <c r="I12" i="14" s="1"/>
  <c r="E34" i="17"/>
  <c r="L9" i="19"/>
  <c r="K13" i="20"/>
  <c r="I62" i="17"/>
  <c r="J8" i="16"/>
  <c r="H18" i="18"/>
  <c r="G23" i="19"/>
  <c r="E61" i="17"/>
  <c r="H15" i="18"/>
  <c r="I12" i="18" s="1"/>
  <c r="L7" i="13"/>
  <c r="K5" i="16"/>
  <c r="K8" i="16" s="1"/>
  <c r="K13" i="16"/>
  <c r="I62" i="15"/>
  <c r="L9" i="13"/>
  <c r="K57" i="1"/>
  <c r="L13" i="10"/>
  <c r="H18" i="8"/>
  <c r="G23" i="9"/>
  <c r="H15" i="8"/>
  <c r="I12" i="8" s="1"/>
  <c r="U16" i="8"/>
  <c r="AD6" i="4"/>
  <c r="E12" i="3"/>
  <c r="F61" i="33" l="1"/>
  <c r="H23" i="37"/>
  <c r="I15" i="34"/>
  <c r="J12" i="34" s="1"/>
  <c r="J14" i="34" s="1"/>
  <c r="G60" i="33" s="1"/>
  <c r="G37" i="31"/>
  <c r="H13" i="31"/>
  <c r="F60" i="29"/>
  <c r="I13" i="30"/>
  <c r="H23" i="32"/>
  <c r="F34" i="29" s="1"/>
  <c r="L57" i="33"/>
  <c r="L13" i="4"/>
  <c r="L9" i="37"/>
  <c r="J62" i="33" s="1"/>
  <c r="K13" i="35"/>
  <c r="M9" i="2"/>
  <c r="K62" i="1" s="1"/>
  <c r="N7" i="2"/>
  <c r="N5" i="4" s="1"/>
  <c r="M8" i="35"/>
  <c r="K29" i="33" s="1"/>
  <c r="Q16" i="34"/>
  <c r="I62" i="29"/>
  <c r="M8" i="32"/>
  <c r="K29" i="29" s="1"/>
  <c r="L9" i="31"/>
  <c r="K13" i="32"/>
  <c r="O7" i="31"/>
  <c r="N5" i="32"/>
  <c r="L57" i="25"/>
  <c r="Q16" i="30"/>
  <c r="F34" i="25"/>
  <c r="F61" i="25"/>
  <c r="H23" i="27"/>
  <c r="H37" i="27" s="1"/>
  <c r="I15" i="26"/>
  <c r="J12" i="26" s="1"/>
  <c r="J14" i="26" s="1"/>
  <c r="I18" i="26"/>
  <c r="L57" i="29"/>
  <c r="J29" i="25"/>
  <c r="I62" i="25"/>
  <c r="N7" i="27"/>
  <c r="M5" i="28"/>
  <c r="M8" i="28" s="1"/>
  <c r="L9" i="27"/>
  <c r="K13" i="28"/>
  <c r="K57" i="21"/>
  <c r="R16" i="26"/>
  <c r="J29" i="21"/>
  <c r="J13" i="22"/>
  <c r="I13" i="23"/>
  <c r="I23" i="24"/>
  <c r="G60" i="21"/>
  <c r="J13" i="24"/>
  <c r="H62" i="21"/>
  <c r="N7" i="23"/>
  <c r="M5" i="24"/>
  <c r="M8" i="24" s="1"/>
  <c r="K9" i="23"/>
  <c r="G37" i="23"/>
  <c r="R16" i="22"/>
  <c r="N7" i="9"/>
  <c r="M5" i="10"/>
  <c r="M8" i="10" s="1"/>
  <c r="K29" i="7" s="1"/>
  <c r="L62" i="7"/>
  <c r="I14" i="14"/>
  <c r="I14" i="18"/>
  <c r="H29" i="15"/>
  <c r="K29" i="17"/>
  <c r="J62" i="15"/>
  <c r="M9" i="13"/>
  <c r="L13" i="16"/>
  <c r="I29" i="15"/>
  <c r="M9" i="19"/>
  <c r="L13" i="20"/>
  <c r="J62" i="17"/>
  <c r="O7" i="19"/>
  <c r="N5" i="20"/>
  <c r="N8" i="20" s="1"/>
  <c r="K57" i="15"/>
  <c r="M7" i="13"/>
  <c r="L5" i="16"/>
  <c r="L8" i="16" s="1"/>
  <c r="G37" i="19"/>
  <c r="M57" i="17"/>
  <c r="L57" i="1"/>
  <c r="M13" i="10"/>
  <c r="I14" i="8"/>
  <c r="F60" i="7" s="1"/>
  <c r="G37" i="9"/>
  <c r="V16" i="8"/>
  <c r="E14" i="3"/>
  <c r="AD19" i="4"/>
  <c r="D8" i="4"/>
  <c r="AD19" i="2"/>
  <c r="AD21" i="2" s="1"/>
  <c r="I23" i="35" l="1"/>
  <c r="G34" i="33" s="1"/>
  <c r="I13" i="37"/>
  <c r="J13" i="34"/>
  <c r="I23" i="37" s="1"/>
  <c r="F61" i="29"/>
  <c r="I15" i="30"/>
  <c r="J12" i="30" s="1"/>
  <c r="J14" i="30" s="1"/>
  <c r="I18" i="30"/>
  <c r="H23" i="31"/>
  <c r="M57" i="33"/>
  <c r="M13" i="4"/>
  <c r="M9" i="37"/>
  <c r="K62" i="33" s="1"/>
  <c r="L13" i="35"/>
  <c r="D25" i="35"/>
  <c r="D27" i="35" s="1"/>
  <c r="O7" i="2"/>
  <c r="O5" i="4" s="1"/>
  <c r="N8" i="35"/>
  <c r="L29" i="33" s="1"/>
  <c r="N9" i="2"/>
  <c r="L62" i="1" s="1"/>
  <c r="R16" i="34"/>
  <c r="J62" i="29"/>
  <c r="N8" i="32"/>
  <c r="L29" i="29" s="1"/>
  <c r="M9" i="31"/>
  <c r="L13" i="32"/>
  <c r="P7" i="31"/>
  <c r="O5" i="32"/>
  <c r="M57" i="25"/>
  <c r="R16" i="30"/>
  <c r="K29" i="25"/>
  <c r="M57" i="29"/>
  <c r="J62" i="25"/>
  <c r="I23" i="28"/>
  <c r="G60" i="25"/>
  <c r="M9" i="27"/>
  <c r="L13" i="28"/>
  <c r="O7" i="27"/>
  <c r="N5" i="28"/>
  <c r="N8" i="28" s="1"/>
  <c r="J13" i="26"/>
  <c r="I13" i="27"/>
  <c r="L57" i="21"/>
  <c r="S16" i="26"/>
  <c r="G61" i="21"/>
  <c r="J18" i="22"/>
  <c r="I23" i="23"/>
  <c r="J15" i="22"/>
  <c r="K12" i="22" s="1"/>
  <c r="K29" i="21"/>
  <c r="G34" i="21"/>
  <c r="K13" i="24"/>
  <c r="I62" i="21"/>
  <c r="O7" i="23"/>
  <c r="N5" i="24"/>
  <c r="N8" i="24" s="1"/>
  <c r="L9" i="23"/>
  <c r="S16" i="22"/>
  <c r="O7" i="9"/>
  <c r="N5" i="10"/>
  <c r="N8" i="10" s="1"/>
  <c r="L29" i="7" s="1"/>
  <c r="N7" i="13"/>
  <c r="M5" i="16"/>
  <c r="M8" i="16" s="1"/>
  <c r="L57" i="15"/>
  <c r="L29" i="17"/>
  <c r="N9" i="13"/>
  <c r="M13" i="16"/>
  <c r="K62" i="15"/>
  <c r="P7" i="19"/>
  <c r="O5" i="20"/>
  <c r="O8" i="20" s="1"/>
  <c r="I13" i="18"/>
  <c r="H23" i="20"/>
  <c r="H13" i="19"/>
  <c r="F60" i="17"/>
  <c r="F60" i="15"/>
  <c r="H13" i="13"/>
  <c r="H23" i="16"/>
  <c r="I13" i="14"/>
  <c r="N57" i="17"/>
  <c r="N9" i="19"/>
  <c r="M13" i="20"/>
  <c r="K62" i="17"/>
  <c r="J29" i="15"/>
  <c r="M57" i="1"/>
  <c r="N13" i="10"/>
  <c r="I13" i="8"/>
  <c r="F61" i="7" s="1"/>
  <c r="H23" i="10"/>
  <c r="H13" i="9"/>
  <c r="W16" i="8"/>
  <c r="B60" i="1"/>
  <c r="D14" i="36" s="1"/>
  <c r="E13" i="3"/>
  <c r="E18" i="3"/>
  <c r="B29" i="1"/>
  <c r="D23" i="4"/>
  <c r="D13" i="2"/>
  <c r="E8" i="4"/>
  <c r="J15" i="34" l="1"/>
  <c r="K12" i="34" s="1"/>
  <c r="K14" i="34" s="1"/>
  <c r="H60" i="33" s="1"/>
  <c r="G61" i="33"/>
  <c r="J18" i="34"/>
  <c r="D6" i="36"/>
  <c r="H37" i="31"/>
  <c r="I23" i="32"/>
  <c r="G60" i="29"/>
  <c r="I13" i="31"/>
  <c r="J13" i="30"/>
  <c r="F34" i="7"/>
  <c r="N57" i="33"/>
  <c r="N13" i="4"/>
  <c r="N9" i="37"/>
  <c r="L62" i="33" s="1"/>
  <c r="M13" i="35"/>
  <c r="O9" i="2"/>
  <c r="O13" i="4" s="1"/>
  <c r="P7" i="2"/>
  <c r="P5" i="4" s="1"/>
  <c r="O8" i="35"/>
  <c r="M29" i="33" s="1"/>
  <c r="D37" i="37"/>
  <c r="S16" i="34"/>
  <c r="K62" i="29"/>
  <c r="O8" i="32"/>
  <c r="M29" i="29" s="1"/>
  <c r="Q7" i="31"/>
  <c r="P5" i="32"/>
  <c r="N9" i="31"/>
  <c r="M13" i="32"/>
  <c r="N57" i="25"/>
  <c r="S16" i="30"/>
  <c r="G34" i="25"/>
  <c r="L29" i="25"/>
  <c r="N57" i="29"/>
  <c r="K62" i="25"/>
  <c r="I23" i="27"/>
  <c r="G61" i="25"/>
  <c r="P7" i="27"/>
  <c r="O5" i="28"/>
  <c r="O8" i="28" s="1"/>
  <c r="N9" i="27"/>
  <c r="M13" i="28"/>
  <c r="J18" i="26"/>
  <c r="J15" i="26"/>
  <c r="K12" i="26" s="1"/>
  <c r="M57" i="21"/>
  <c r="T16" i="26"/>
  <c r="K14" i="22"/>
  <c r="L29" i="21"/>
  <c r="L13" i="24"/>
  <c r="J62" i="21"/>
  <c r="P7" i="23"/>
  <c r="O5" i="24"/>
  <c r="O8" i="24" s="1"/>
  <c r="M9" i="23"/>
  <c r="T16" i="22"/>
  <c r="M62" i="7"/>
  <c r="P7" i="9"/>
  <c r="O5" i="10"/>
  <c r="O8" i="10" s="1"/>
  <c r="M29" i="7" s="1"/>
  <c r="O57" i="17"/>
  <c r="L62" i="15"/>
  <c r="O9" i="13"/>
  <c r="N13" i="16"/>
  <c r="M57" i="15"/>
  <c r="K29" i="15"/>
  <c r="O9" i="19"/>
  <c r="N13" i="20"/>
  <c r="L62" i="17"/>
  <c r="F34" i="17"/>
  <c r="M29" i="17"/>
  <c r="O7" i="13"/>
  <c r="N5" i="16"/>
  <c r="N8" i="16" s="1"/>
  <c r="F61" i="15"/>
  <c r="H23" i="13"/>
  <c r="H37" i="13" s="1"/>
  <c r="I18" i="14"/>
  <c r="I15" i="14"/>
  <c r="J12" i="14" s="1"/>
  <c r="I18" i="18"/>
  <c r="H23" i="19"/>
  <c r="H37" i="19" s="1"/>
  <c r="F61" i="17"/>
  <c r="I15" i="18"/>
  <c r="J12" i="18" s="1"/>
  <c r="Q7" i="19"/>
  <c r="P5" i="20"/>
  <c r="P8" i="20" s="1"/>
  <c r="F34" i="15"/>
  <c r="N57" i="1"/>
  <c r="O13" i="10"/>
  <c r="N62" i="7"/>
  <c r="B34" i="1"/>
  <c r="I18" i="8"/>
  <c r="H23" i="9"/>
  <c r="I15" i="8"/>
  <c r="J12" i="8" s="1"/>
  <c r="X16" i="8"/>
  <c r="B61" i="1"/>
  <c r="D23" i="2"/>
  <c r="D37" i="2" s="1"/>
  <c r="E15" i="3"/>
  <c r="F12" i="3" s="1"/>
  <c r="F14" i="3" s="1"/>
  <c r="C29" i="1"/>
  <c r="F8" i="4"/>
  <c r="K13" i="34" l="1"/>
  <c r="H61" i="33" s="1"/>
  <c r="J13" i="37"/>
  <c r="J23" i="35"/>
  <c r="H34" i="33" s="1"/>
  <c r="J15" i="30"/>
  <c r="K12" i="30" s="1"/>
  <c r="K14" i="30" s="1"/>
  <c r="G61" i="29"/>
  <c r="I23" i="31"/>
  <c r="I37" i="31" s="1"/>
  <c r="J18" i="30"/>
  <c r="G34" i="29"/>
  <c r="D15" i="36"/>
  <c r="J23" i="37"/>
  <c r="K15" i="34"/>
  <c r="L12" i="34" s="1"/>
  <c r="L14" i="34" s="1"/>
  <c r="I60" i="33" s="1"/>
  <c r="O57" i="33"/>
  <c r="O9" i="37"/>
  <c r="M62" i="33" s="1"/>
  <c r="N13" i="35"/>
  <c r="M62" i="1"/>
  <c r="Q7" i="2"/>
  <c r="Q5" i="4" s="1"/>
  <c r="P8" i="35"/>
  <c r="N29" i="33" s="1"/>
  <c r="P9" i="2"/>
  <c r="N62" i="1" s="1"/>
  <c r="T16" i="34"/>
  <c r="L62" i="29"/>
  <c r="P8" i="32"/>
  <c r="N29" i="29" s="1"/>
  <c r="R7" i="31"/>
  <c r="Q5" i="32"/>
  <c r="O9" i="31"/>
  <c r="N13" i="32"/>
  <c r="O57" i="25"/>
  <c r="T16" i="30"/>
  <c r="I37" i="27"/>
  <c r="M29" i="25"/>
  <c r="O57" i="29"/>
  <c r="L62" i="25"/>
  <c r="O9" i="27"/>
  <c r="N13" i="28"/>
  <c r="Q7" i="27"/>
  <c r="P5" i="28"/>
  <c r="P8" i="28" s="1"/>
  <c r="K14" i="26"/>
  <c r="N57" i="21"/>
  <c r="U16" i="26"/>
  <c r="J23" i="24"/>
  <c r="H60" i="21"/>
  <c r="K13" i="22"/>
  <c r="J13" i="23"/>
  <c r="M29" i="21"/>
  <c r="M13" i="24"/>
  <c r="K62" i="21"/>
  <c r="Q7" i="23"/>
  <c r="P5" i="24"/>
  <c r="P8" i="24" s="1"/>
  <c r="N9" i="23"/>
  <c r="H37" i="23"/>
  <c r="U16" i="22"/>
  <c r="Q7" i="9"/>
  <c r="P5" i="10"/>
  <c r="P8" i="10" s="1"/>
  <c r="N29" i="7" s="1"/>
  <c r="O62" i="7"/>
  <c r="R7" i="19"/>
  <c r="Q5" i="20"/>
  <c r="Q8" i="20" s="1"/>
  <c r="P7" i="13"/>
  <c r="O5" i="16"/>
  <c r="O8" i="16" s="1"/>
  <c r="P57" i="17"/>
  <c r="J14" i="18"/>
  <c r="P9" i="19"/>
  <c r="O13" i="20"/>
  <c r="M62" i="17"/>
  <c r="M62" i="15"/>
  <c r="P9" i="13"/>
  <c r="O13" i="16"/>
  <c r="N57" i="15"/>
  <c r="N29" i="17"/>
  <c r="J14" i="14"/>
  <c r="L29" i="15"/>
  <c r="O57" i="1"/>
  <c r="P13" i="10"/>
  <c r="F13" i="3"/>
  <c r="C60" i="1"/>
  <c r="J14" i="8"/>
  <c r="G60" i="7" s="1"/>
  <c r="H37" i="9"/>
  <c r="Y16" i="8"/>
  <c r="D29" i="1"/>
  <c r="E23" i="4"/>
  <c r="E13" i="2"/>
  <c r="G8" i="4"/>
  <c r="K18" i="34" l="1"/>
  <c r="D7" i="36"/>
  <c r="J23" i="32"/>
  <c r="H34" i="29" s="1"/>
  <c r="J13" i="31"/>
  <c r="H60" i="29"/>
  <c r="K13" i="30"/>
  <c r="L13" i="34"/>
  <c r="K23" i="37" s="1"/>
  <c r="K23" i="35"/>
  <c r="I34" i="33" s="1"/>
  <c r="K13" i="37"/>
  <c r="P57" i="33"/>
  <c r="P9" i="37"/>
  <c r="N62" i="33" s="1"/>
  <c r="O13" i="35"/>
  <c r="P13" i="4"/>
  <c r="Q9" i="2"/>
  <c r="O62" i="1" s="1"/>
  <c r="R7" i="2"/>
  <c r="Q8" i="35"/>
  <c r="O29" i="33" s="1"/>
  <c r="E23" i="2"/>
  <c r="E37" i="2" s="1"/>
  <c r="U16" i="34"/>
  <c r="M62" i="29"/>
  <c r="Q8" i="32"/>
  <c r="O29" i="29" s="1"/>
  <c r="S7" i="31"/>
  <c r="R5" i="32"/>
  <c r="P9" i="31"/>
  <c r="O13" i="32"/>
  <c r="P57" i="25"/>
  <c r="U16" i="30"/>
  <c r="N29" i="25"/>
  <c r="P57" i="29"/>
  <c r="M62" i="25"/>
  <c r="J23" i="28"/>
  <c r="H60" i="25"/>
  <c r="R7" i="27"/>
  <c r="Q5" i="28"/>
  <c r="Q8" i="28" s="1"/>
  <c r="P9" i="27"/>
  <c r="O13" i="28"/>
  <c r="K13" i="26"/>
  <c r="J13" i="27"/>
  <c r="O57" i="21"/>
  <c r="V16" i="26"/>
  <c r="N29" i="21"/>
  <c r="H34" i="21"/>
  <c r="H61" i="21"/>
  <c r="K18" i="22"/>
  <c r="J23" i="23"/>
  <c r="K15" i="22"/>
  <c r="L12" i="22" s="1"/>
  <c r="N13" i="24"/>
  <c r="L62" i="21"/>
  <c r="R7" i="23"/>
  <c r="Q5" i="24"/>
  <c r="Q8" i="24" s="1"/>
  <c r="O9" i="23"/>
  <c r="V16" i="22"/>
  <c r="P62" i="7"/>
  <c r="R7" i="9"/>
  <c r="Q5" i="10"/>
  <c r="Q8" i="10" s="1"/>
  <c r="O29" i="7" s="1"/>
  <c r="O57" i="15"/>
  <c r="Q7" i="13"/>
  <c r="P5" i="16"/>
  <c r="P8" i="16" s="1"/>
  <c r="Q9" i="13"/>
  <c r="P13" i="16"/>
  <c r="N62" i="15"/>
  <c r="G60" i="15"/>
  <c r="I13" i="13"/>
  <c r="I23" i="16"/>
  <c r="J13" i="14"/>
  <c r="Q9" i="19"/>
  <c r="P13" i="20"/>
  <c r="N62" i="17"/>
  <c r="Q57" i="17"/>
  <c r="O29" i="17"/>
  <c r="J13" i="18"/>
  <c r="I23" i="20"/>
  <c r="I13" i="19"/>
  <c r="G60" i="17"/>
  <c r="M29" i="15"/>
  <c r="S7" i="19"/>
  <c r="R5" i="20"/>
  <c r="R8" i="20" s="1"/>
  <c r="F18" i="3"/>
  <c r="P57" i="1"/>
  <c r="Q13" i="10"/>
  <c r="F15" i="3"/>
  <c r="G12" i="3" s="1"/>
  <c r="G14" i="3" s="1"/>
  <c r="C61" i="1"/>
  <c r="J13" i="8"/>
  <c r="G61" i="7" s="1"/>
  <c r="I13" i="9"/>
  <c r="I23" i="10"/>
  <c r="Z16" i="8"/>
  <c r="E29" i="1"/>
  <c r="C34" i="1"/>
  <c r="H8" i="4"/>
  <c r="K15" i="30" l="1"/>
  <c r="L12" i="30" s="1"/>
  <c r="J23" i="31"/>
  <c r="J37" i="31" s="1"/>
  <c r="H61" i="29"/>
  <c r="K18" i="30"/>
  <c r="L15" i="34"/>
  <c r="M12" i="34" s="1"/>
  <c r="M14" i="34" s="1"/>
  <c r="J60" i="33" s="1"/>
  <c r="L18" i="34"/>
  <c r="I61" i="33"/>
  <c r="G34" i="7"/>
  <c r="Q57" i="33"/>
  <c r="Q9" i="37"/>
  <c r="O62" i="33" s="1"/>
  <c r="P13" i="35"/>
  <c r="Q13" i="4"/>
  <c r="S7" i="2"/>
  <c r="S5" i="4" s="1"/>
  <c r="R8" i="35"/>
  <c r="P29" i="33" s="1"/>
  <c r="R9" i="2"/>
  <c r="P62" i="1" s="1"/>
  <c r="R5" i="4"/>
  <c r="E37" i="37"/>
  <c r="V16" i="34"/>
  <c r="R8" i="32"/>
  <c r="P29" i="29" s="1"/>
  <c r="N62" i="29"/>
  <c r="Q9" i="31"/>
  <c r="P13" i="32"/>
  <c r="T7" i="31"/>
  <c r="S5" i="32"/>
  <c r="Q57" i="25"/>
  <c r="V16" i="30"/>
  <c r="H34" i="25"/>
  <c r="O29" i="25"/>
  <c r="Q57" i="29"/>
  <c r="N62" i="25"/>
  <c r="J23" i="27"/>
  <c r="H61" i="25"/>
  <c r="S7" i="27"/>
  <c r="R5" i="28"/>
  <c r="R8" i="28" s="1"/>
  <c r="Q9" i="27"/>
  <c r="P13" i="28"/>
  <c r="K18" i="26"/>
  <c r="K15" i="26"/>
  <c r="L12" i="26" s="1"/>
  <c r="P57" i="21"/>
  <c r="W16" i="26"/>
  <c r="O29" i="21"/>
  <c r="L14" i="22"/>
  <c r="O13" i="24"/>
  <c r="M62" i="21"/>
  <c r="S7" i="23"/>
  <c r="R5" i="24"/>
  <c r="R8" i="24" s="1"/>
  <c r="P9" i="23"/>
  <c r="I37" i="23"/>
  <c r="W16" i="22"/>
  <c r="S7" i="9"/>
  <c r="R5" i="10"/>
  <c r="R8" i="10" s="1"/>
  <c r="P29" i="7" s="1"/>
  <c r="Q62" i="7"/>
  <c r="G61" i="15"/>
  <c r="J18" i="14"/>
  <c r="I23" i="13"/>
  <c r="I37" i="13" s="1"/>
  <c r="J15" i="14"/>
  <c r="K12" i="14" s="1"/>
  <c r="R7" i="13"/>
  <c r="Q5" i="16"/>
  <c r="Q8" i="16" s="1"/>
  <c r="P57" i="15"/>
  <c r="N29" i="15"/>
  <c r="P29" i="17"/>
  <c r="G34" i="17"/>
  <c r="R57" i="17"/>
  <c r="R9" i="19"/>
  <c r="Q13" i="20"/>
  <c r="O62" i="17"/>
  <c r="G34" i="15"/>
  <c r="T7" i="19"/>
  <c r="S5" i="20"/>
  <c r="S8" i="20" s="1"/>
  <c r="J18" i="18"/>
  <c r="I23" i="19"/>
  <c r="I37" i="19" s="1"/>
  <c r="G61" i="17"/>
  <c r="J15" i="18"/>
  <c r="K12" i="18" s="1"/>
  <c r="R9" i="13"/>
  <c r="Q13" i="16"/>
  <c r="O62" i="15"/>
  <c r="Q57" i="1"/>
  <c r="R13" i="10"/>
  <c r="G13" i="3"/>
  <c r="D60" i="1"/>
  <c r="J18" i="8"/>
  <c r="I23" i="9"/>
  <c r="I37" i="9" s="1"/>
  <c r="J15" i="8"/>
  <c r="K12" i="8" s="1"/>
  <c r="AA16" i="8"/>
  <c r="F29" i="1"/>
  <c r="F13" i="2"/>
  <c r="F23" i="4"/>
  <c r="I8" i="4"/>
  <c r="L14" i="30" l="1"/>
  <c r="L13" i="37"/>
  <c r="M13" i="34"/>
  <c r="J61" i="33" s="1"/>
  <c r="L23" i="35"/>
  <c r="J34" i="33" s="1"/>
  <c r="R57" i="33"/>
  <c r="R13" i="4"/>
  <c r="R9" i="37"/>
  <c r="P62" i="33" s="1"/>
  <c r="Q13" i="35"/>
  <c r="T7" i="2"/>
  <c r="S8" i="35"/>
  <c r="Q29" i="33" s="1"/>
  <c r="S9" i="2"/>
  <c r="Q62" i="1" s="1"/>
  <c r="D61" i="1"/>
  <c r="W16" i="34"/>
  <c r="O62" i="29"/>
  <c r="S8" i="32"/>
  <c r="Q29" i="29" s="1"/>
  <c r="R9" i="31"/>
  <c r="Q13" i="32"/>
  <c r="U7" i="31"/>
  <c r="T5" i="32"/>
  <c r="R57" i="25"/>
  <c r="W16" i="30"/>
  <c r="P29" i="25"/>
  <c r="R57" i="29"/>
  <c r="O62" i="25"/>
  <c r="J37" i="27"/>
  <c r="R9" i="27"/>
  <c r="Q13" i="28"/>
  <c r="T7" i="27"/>
  <c r="S5" i="28"/>
  <c r="S8" i="28" s="1"/>
  <c r="L14" i="26"/>
  <c r="Q57" i="21"/>
  <c r="X16" i="26"/>
  <c r="P29" i="21"/>
  <c r="K13" i="23"/>
  <c r="K23" i="24"/>
  <c r="I60" i="21"/>
  <c r="L13" i="22"/>
  <c r="P13" i="24"/>
  <c r="N62" i="21"/>
  <c r="T7" i="23"/>
  <c r="S5" i="24"/>
  <c r="S8" i="24" s="1"/>
  <c r="Q9" i="23"/>
  <c r="X16" i="22"/>
  <c r="T7" i="9"/>
  <c r="S5" i="10"/>
  <c r="S8" i="10" s="1"/>
  <c r="Q29" i="7" s="1"/>
  <c r="R62" i="7"/>
  <c r="Q29" i="17"/>
  <c r="S9" i="19"/>
  <c r="R13" i="20"/>
  <c r="P62" i="17"/>
  <c r="O29" i="15"/>
  <c r="K14" i="14"/>
  <c r="P62" i="15"/>
  <c r="S9" i="13"/>
  <c r="R13" i="16"/>
  <c r="U7" i="19"/>
  <c r="T5" i="20"/>
  <c r="T8" i="20" s="1"/>
  <c r="Q57" i="15"/>
  <c r="S7" i="13"/>
  <c r="R5" i="16"/>
  <c r="R8" i="16" s="1"/>
  <c r="K14" i="18"/>
  <c r="S57" i="17"/>
  <c r="G15" i="3"/>
  <c r="H12" i="3" s="1"/>
  <c r="H14" i="3" s="1"/>
  <c r="F23" i="2"/>
  <c r="F37" i="2" s="1"/>
  <c r="G18" i="3"/>
  <c r="R57" i="1"/>
  <c r="S13" i="10"/>
  <c r="K14" i="8"/>
  <c r="H60" i="7" s="1"/>
  <c r="AB16" i="8"/>
  <c r="D34" i="1"/>
  <c r="G29" i="1"/>
  <c r="J8" i="4"/>
  <c r="L13" i="30" l="1"/>
  <c r="K23" i="32"/>
  <c r="I34" i="29" s="1"/>
  <c r="K13" i="31"/>
  <c r="I60" i="29"/>
  <c r="M18" i="34"/>
  <c r="L23" i="37"/>
  <c r="M15" i="34"/>
  <c r="N12" i="34" s="1"/>
  <c r="N14" i="34" s="1"/>
  <c r="K60" i="33" s="1"/>
  <c r="S57" i="33"/>
  <c r="S13" i="4"/>
  <c r="S9" i="37"/>
  <c r="Q62" i="33" s="1"/>
  <c r="R13" i="35"/>
  <c r="U7" i="2"/>
  <c r="U5" i="4" s="1"/>
  <c r="T8" i="35"/>
  <c r="R29" i="33" s="1"/>
  <c r="T9" i="2"/>
  <c r="T13" i="4" s="1"/>
  <c r="T5" i="4"/>
  <c r="F37" i="37"/>
  <c r="E60" i="1"/>
  <c r="X16" i="34"/>
  <c r="P62" i="29"/>
  <c r="T8" i="32"/>
  <c r="R29" i="29" s="1"/>
  <c r="V7" i="31"/>
  <c r="U5" i="32"/>
  <c r="S9" i="31"/>
  <c r="R13" i="32"/>
  <c r="S57" i="25"/>
  <c r="X16" i="30"/>
  <c r="Q29" i="25"/>
  <c r="P62" i="25"/>
  <c r="S57" i="29"/>
  <c r="K23" i="28"/>
  <c r="I60" i="25"/>
  <c r="S9" i="27"/>
  <c r="R13" i="28"/>
  <c r="U7" i="27"/>
  <c r="T5" i="28"/>
  <c r="T8" i="28" s="1"/>
  <c r="L13" i="26"/>
  <c r="K13" i="27"/>
  <c r="R57" i="21"/>
  <c r="Y16" i="26"/>
  <c r="I34" i="21"/>
  <c r="Q29" i="21"/>
  <c r="I61" i="21"/>
  <c r="K23" i="23"/>
  <c r="L18" i="22"/>
  <c r="L15" i="22"/>
  <c r="M12" i="22" s="1"/>
  <c r="Q13" i="24"/>
  <c r="O62" i="21"/>
  <c r="U7" i="23"/>
  <c r="T5" i="24"/>
  <c r="T8" i="24" s="1"/>
  <c r="R9" i="23"/>
  <c r="Y16" i="22"/>
  <c r="S62" i="7"/>
  <c r="U7" i="9"/>
  <c r="T5" i="10"/>
  <c r="T8" i="10" s="1"/>
  <c r="R29" i="7" s="1"/>
  <c r="R57" i="15"/>
  <c r="V7" i="19"/>
  <c r="U5" i="20"/>
  <c r="U8" i="20" s="1"/>
  <c r="P29" i="15"/>
  <c r="T9" i="19"/>
  <c r="S13" i="20"/>
  <c r="Q62" i="17"/>
  <c r="T57" i="17"/>
  <c r="K13" i="18"/>
  <c r="J23" i="20"/>
  <c r="J13" i="19"/>
  <c r="H60" i="17"/>
  <c r="T7" i="13"/>
  <c r="S5" i="16"/>
  <c r="S8" i="16" s="1"/>
  <c r="R29" i="17"/>
  <c r="T9" i="13"/>
  <c r="S13" i="16"/>
  <c r="Q62" i="15"/>
  <c r="H60" i="15"/>
  <c r="J23" i="16"/>
  <c r="J13" i="13"/>
  <c r="K13" i="14"/>
  <c r="S57" i="1"/>
  <c r="T13" i="10"/>
  <c r="K13" i="8"/>
  <c r="H61" i="7" s="1"/>
  <c r="J13" i="9"/>
  <c r="J23" i="10"/>
  <c r="AC16" i="8"/>
  <c r="G13" i="2"/>
  <c r="H13" i="3"/>
  <c r="G23" i="4"/>
  <c r="H29" i="1"/>
  <c r="K8" i="4"/>
  <c r="L18" i="30" l="1"/>
  <c r="I61" i="29"/>
  <c r="K23" i="31"/>
  <c r="K37" i="31" s="1"/>
  <c r="L15" i="30"/>
  <c r="M12" i="30" s="1"/>
  <c r="M14" i="30" s="1"/>
  <c r="M13" i="37"/>
  <c r="M23" i="35"/>
  <c r="K34" i="33" s="1"/>
  <c r="N13" i="34"/>
  <c r="H34" i="7"/>
  <c r="T57" i="33"/>
  <c r="R62" i="1"/>
  <c r="T9" i="37"/>
  <c r="R62" i="33" s="1"/>
  <c r="S13" i="35"/>
  <c r="U9" i="2"/>
  <c r="V7" i="2"/>
  <c r="V5" i="4" s="1"/>
  <c r="U8" i="35"/>
  <c r="S29" i="33" s="1"/>
  <c r="E61" i="1"/>
  <c r="Y16" i="34"/>
  <c r="Q62" i="29"/>
  <c r="U8" i="32"/>
  <c r="S29" i="29" s="1"/>
  <c r="T9" i="31"/>
  <c r="S13" i="32"/>
  <c r="W7" i="31"/>
  <c r="V5" i="32"/>
  <c r="T57" i="25"/>
  <c r="Y16" i="30"/>
  <c r="R29" i="25"/>
  <c r="T57" i="29"/>
  <c r="I34" i="25"/>
  <c r="Q62" i="25"/>
  <c r="K23" i="27"/>
  <c r="I61" i="25"/>
  <c r="T9" i="27"/>
  <c r="S13" i="28"/>
  <c r="V7" i="27"/>
  <c r="U5" i="28"/>
  <c r="U8" i="28" s="1"/>
  <c r="L18" i="26"/>
  <c r="L15" i="26"/>
  <c r="M12" i="26" s="1"/>
  <c r="S57" i="21"/>
  <c r="Z16" i="26"/>
  <c r="M14" i="22"/>
  <c r="R29" i="21"/>
  <c r="R13" i="24"/>
  <c r="P62" i="21"/>
  <c r="V7" i="23"/>
  <c r="U5" i="24"/>
  <c r="U8" i="24" s="1"/>
  <c r="S9" i="23"/>
  <c r="J37" i="23"/>
  <c r="Z16" i="22"/>
  <c r="V7" i="9"/>
  <c r="U5" i="10"/>
  <c r="U8" i="10" s="1"/>
  <c r="S29" i="7" s="1"/>
  <c r="T62" i="7"/>
  <c r="H61" i="15"/>
  <c r="K18" i="14"/>
  <c r="J23" i="13"/>
  <c r="J37" i="13" s="1"/>
  <c r="K15" i="14"/>
  <c r="L12" i="14" s="1"/>
  <c r="U7" i="13"/>
  <c r="T5" i="16"/>
  <c r="T8" i="16" s="1"/>
  <c r="K18" i="18"/>
  <c r="J23" i="19"/>
  <c r="J37" i="19" s="1"/>
  <c r="H61" i="17"/>
  <c r="K15" i="18"/>
  <c r="L12" i="18" s="1"/>
  <c r="U9" i="19"/>
  <c r="T13" i="20"/>
  <c r="R62" i="17"/>
  <c r="S57" i="15"/>
  <c r="S29" i="17"/>
  <c r="H34" i="15"/>
  <c r="R62" i="15"/>
  <c r="U9" i="13"/>
  <c r="T13" i="16"/>
  <c r="U57" i="17"/>
  <c r="W7" i="19"/>
  <c r="V5" i="20"/>
  <c r="V8" i="20" s="1"/>
  <c r="Q29" i="15"/>
  <c r="H34" i="17"/>
  <c r="T57" i="1"/>
  <c r="U13" i="10"/>
  <c r="E34" i="1"/>
  <c r="K18" i="8"/>
  <c r="J23" i="9"/>
  <c r="J37" i="9" s="1"/>
  <c r="K15" i="8"/>
  <c r="L12" i="8" s="1"/>
  <c r="H18" i="3"/>
  <c r="G23" i="2"/>
  <c r="G37" i="2" s="1"/>
  <c r="H15" i="3"/>
  <c r="I12" i="3" s="1"/>
  <c r="I29" i="1"/>
  <c r="L8" i="4"/>
  <c r="V57" i="17" l="1"/>
  <c r="L13" i="31"/>
  <c r="L23" i="32"/>
  <c r="J34" i="29" s="1"/>
  <c r="M13" i="30"/>
  <c r="J60" i="29"/>
  <c r="N15" i="34"/>
  <c r="O12" i="34" s="1"/>
  <c r="O14" i="34" s="1"/>
  <c r="M23" i="37"/>
  <c r="K61" i="33"/>
  <c r="N18" i="34"/>
  <c r="U57" i="33"/>
  <c r="U9" i="37"/>
  <c r="S62" i="33" s="1"/>
  <c r="T13" i="35"/>
  <c r="W7" i="2"/>
  <c r="V8" i="35"/>
  <c r="T29" i="33" s="1"/>
  <c r="V9" i="2"/>
  <c r="V13" i="4" s="1"/>
  <c r="U13" i="4"/>
  <c r="S62" i="1"/>
  <c r="G37" i="37"/>
  <c r="Z16" i="34"/>
  <c r="R62" i="29"/>
  <c r="V8" i="32"/>
  <c r="T29" i="29" s="1"/>
  <c r="U9" i="31"/>
  <c r="T13" i="32"/>
  <c r="X7" i="31"/>
  <c r="W5" i="32"/>
  <c r="U57" i="25"/>
  <c r="Z16" i="30"/>
  <c r="U57" i="29"/>
  <c r="S29" i="25"/>
  <c r="K37" i="27"/>
  <c r="R62" i="25"/>
  <c r="W7" i="27"/>
  <c r="V5" i="28"/>
  <c r="V8" i="28" s="1"/>
  <c r="U9" i="27"/>
  <c r="T13" i="28"/>
  <c r="M14" i="26"/>
  <c r="T57" i="21"/>
  <c r="AA16" i="26"/>
  <c r="S29" i="21"/>
  <c r="L23" i="24"/>
  <c r="L13" i="23"/>
  <c r="J60" i="21"/>
  <c r="M13" i="22"/>
  <c r="S13" i="24"/>
  <c r="Q62" i="21"/>
  <c r="W7" i="23"/>
  <c r="V5" i="24"/>
  <c r="V8" i="24" s="1"/>
  <c r="T9" i="23"/>
  <c r="AA16" i="22"/>
  <c r="W7" i="9"/>
  <c r="V5" i="10"/>
  <c r="V8" i="10" s="1"/>
  <c r="T29" i="7" s="1"/>
  <c r="U62" i="7"/>
  <c r="T29" i="17"/>
  <c r="R29" i="15"/>
  <c r="L14" i="14"/>
  <c r="X7" i="19"/>
  <c r="W5" i="20"/>
  <c r="W8" i="20" s="1"/>
  <c r="V9" i="13"/>
  <c r="U13" i="16"/>
  <c r="S62" i="15"/>
  <c r="V7" i="13"/>
  <c r="U5" i="16"/>
  <c r="U8" i="16" s="1"/>
  <c r="T57" i="15"/>
  <c r="V9" i="19"/>
  <c r="U13" i="20"/>
  <c r="S62" i="17"/>
  <c r="U57" i="1"/>
  <c r="L14" i="18"/>
  <c r="V13" i="10"/>
  <c r="L14" i="8"/>
  <c r="I60" i="7" s="1"/>
  <c r="I14" i="3"/>
  <c r="J29" i="1"/>
  <c r="M8" i="4"/>
  <c r="V57" i="1" l="1"/>
  <c r="V57" i="29"/>
  <c r="W57" i="17"/>
  <c r="V57" i="25"/>
  <c r="M15" i="30"/>
  <c r="N12" i="30" s="1"/>
  <c r="J61" i="29"/>
  <c r="L23" i="31"/>
  <c r="M18" i="30"/>
  <c r="L60" i="33"/>
  <c r="N13" i="37"/>
  <c r="O13" i="34"/>
  <c r="N23" i="35"/>
  <c r="L34" i="33" s="1"/>
  <c r="T62" i="1"/>
  <c r="V9" i="37"/>
  <c r="T62" i="33" s="1"/>
  <c r="U13" i="35"/>
  <c r="W9" i="2"/>
  <c r="U62" i="1" s="1"/>
  <c r="X7" i="2"/>
  <c r="X5" i="4" s="1"/>
  <c r="W8" i="35"/>
  <c r="U29" i="33" s="1"/>
  <c r="W5" i="4"/>
  <c r="F60" i="1"/>
  <c r="AA16" i="34"/>
  <c r="S62" i="29"/>
  <c r="W8" i="32"/>
  <c r="U29" i="29" s="1"/>
  <c r="Y7" i="31"/>
  <c r="X5" i="32"/>
  <c r="V9" i="31"/>
  <c r="U13" i="32"/>
  <c r="AA16" i="30"/>
  <c r="S62" i="25"/>
  <c r="T29" i="25"/>
  <c r="L23" i="28"/>
  <c r="J60" i="25"/>
  <c r="V9" i="27"/>
  <c r="U13" i="28"/>
  <c r="X7" i="27"/>
  <c r="W5" i="28"/>
  <c r="W8" i="28" s="1"/>
  <c r="M13" i="26"/>
  <c r="L13" i="27"/>
  <c r="U57" i="21"/>
  <c r="AB16" i="26"/>
  <c r="J34" i="21"/>
  <c r="T29" i="21"/>
  <c r="J61" i="21"/>
  <c r="M18" i="22"/>
  <c r="L23" i="23"/>
  <c r="M15" i="22"/>
  <c r="N12" i="22" s="1"/>
  <c r="T13" i="24"/>
  <c r="R62" i="21"/>
  <c r="X7" i="23"/>
  <c r="W5" i="24"/>
  <c r="W8" i="24" s="1"/>
  <c r="U9" i="23"/>
  <c r="AB16" i="22"/>
  <c r="X7" i="9"/>
  <c r="W5" i="10"/>
  <c r="W8" i="10" s="1"/>
  <c r="U29" i="7" s="1"/>
  <c r="W9" i="19"/>
  <c r="V13" i="20"/>
  <c r="T62" i="17"/>
  <c r="U29" i="17"/>
  <c r="I60" i="15"/>
  <c r="K13" i="13"/>
  <c r="K23" i="16"/>
  <c r="L13" i="14"/>
  <c r="S29" i="15"/>
  <c r="Y7" i="19"/>
  <c r="X5" i="20"/>
  <c r="X8" i="20" s="1"/>
  <c r="V29" i="17" s="1"/>
  <c r="L13" i="18"/>
  <c r="K23" i="20"/>
  <c r="K13" i="19"/>
  <c r="I60" i="17"/>
  <c r="U57" i="15"/>
  <c r="W7" i="13"/>
  <c r="V5" i="16"/>
  <c r="V8" i="16" s="1"/>
  <c r="W9" i="13"/>
  <c r="V13" i="16"/>
  <c r="T62" i="15"/>
  <c r="W13" i="10"/>
  <c r="L13" i="8"/>
  <c r="I61" i="7" s="1"/>
  <c r="K13" i="9"/>
  <c r="K23" i="10"/>
  <c r="I13" i="3"/>
  <c r="H13" i="2"/>
  <c r="H23" i="4"/>
  <c r="K29" i="1"/>
  <c r="N8" i="4"/>
  <c r="W57" i="1" l="1"/>
  <c r="V57" i="21"/>
  <c r="W57" i="25"/>
  <c r="X57" i="17"/>
  <c r="W57" i="29"/>
  <c r="N14" i="30"/>
  <c r="L61" i="33"/>
  <c r="N23" i="37"/>
  <c r="O15" i="34"/>
  <c r="P12" i="34" s="1"/>
  <c r="P14" i="34" s="1"/>
  <c r="O18" i="34"/>
  <c r="I34" i="7"/>
  <c r="W13" i="4"/>
  <c r="W9" i="37"/>
  <c r="U62" i="33" s="1"/>
  <c r="V13" i="35"/>
  <c r="X9" i="2"/>
  <c r="Y7" i="2"/>
  <c r="Y5" i="4" s="1"/>
  <c r="X8" i="35"/>
  <c r="F61" i="1"/>
  <c r="AB16" i="34"/>
  <c r="X8" i="32"/>
  <c r="V29" i="29" s="1"/>
  <c r="T62" i="29"/>
  <c r="W9" i="31"/>
  <c r="V13" i="32"/>
  <c r="Z7" i="31"/>
  <c r="Y5" i="32"/>
  <c r="L37" i="31"/>
  <c r="AB16" i="30"/>
  <c r="U29" i="25"/>
  <c r="T62" i="25"/>
  <c r="J34" i="25"/>
  <c r="L23" i="27"/>
  <c r="J61" i="25"/>
  <c r="Y7" i="27"/>
  <c r="X5" i="28"/>
  <c r="X8" i="28" s="1"/>
  <c r="V29" i="25" s="1"/>
  <c r="W9" i="27"/>
  <c r="V13" i="28"/>
  <c r="M18" i="26"/>
  <c r="M15" i="26"/>
  <c r="N12" i="26" s="1"/>
  <c r="AC16" i="26"/>
  <c r="U29" i="21"/>
  <c r="N14" i="22"/>
  <c r="U13" i="24"/>
  <c r="S62" i="21"/>
  <c r="Y7" i="23"/>
  <c r="X5" i="24"/>
  <c r="X8" i="24" s="1"/>
  <c r="V29" i="21" s="1"/>
  <c r="V9" i="23"/>
  <c r="K37" i="23"/>
  <c r="AC16" i="22"/>
  <c r="Y7" i="9"/>
  <c r="X5" i="10"/>
  <c r="X8" i="10" s="1"/>
  <c r="V29" i="7" s="1"/>
  <c r="T29" i="15"/>
  <c r="L18" i="18"/>
  <c r="K23" i="19"/>
  <c r="K37" i="19" s="1"/>
  <c r="I61" i="17"/>
  <c r="L15" i="18"/>
  <c r="M12" i="18" s="1"/>
  <c r="I34" i="15"/>
  <c r="X7" i="13"/>
  <c r="W5" i="16"/>
  <c r="W8" i="16" s="1"/>
  <c r="Z7" i="19"/>
  <c r="Y5" i="20"/>
  <c r="Y8" i="20" s="1"/>
  <c r="W29" i="17" s="1"/>
  <c r="X9" i="19"/>
  <c r="V62" i="17" s="1"/>
  <c r="W13" i="20"/>
  <c r="U62" i="17"/>
  <c r="W13" i="16"/>
  <c r="U62" i="15"/>
  <c r="X9" i="13"/>
  <c r="I34" i="17"/>
  <c r="I61" i="15"/>
  <c r="K23" i="13"/>
  <c r="K37" i="13" s="1"/>
  <c r="L18" i="14"/>
  <c r="L15" i="14"/>
  <c r="M12" i="14" s="1"/>
  <c r="X13" i="10"/>
  <c r="L18" i="8"/>
  <c r="K23" i="9"/>
  <c r="K37" i="9" s="1"/>
  <c r="L15" i="8"/>
  <c r="M12" i="8" s="1"/>
  <c r="F34" i="1"/>
  <c r="I18" i="3"/>
  <c r="H23" i="2"/>
  <c r="H37" i="2" s="1"/>
  <c r="I15" i="3"/>
  <c r="J12" i="3" s="1"/>
  <c r="L29" i="1"/>
  <c r="O8" i="4"/>
  <c r="X57" i="1" l="1"/>
  <c r="Y57" i="17"/>
  <c r="X13" i="4"/>
  <c r="V62" i="1"/>
  <c r="X57" i="29"/>
  <c r="X57" i="25"/>
  <c r="W57" i="21"/>
  <c r="M13" i="31"/>
  <c r="K60" i="29"/>
  <c r="M23" i="32"/>
  <c r="K34" i="29" s="1"/>
  <c r="N13" i="30"/>
  <c r="M60" i="33"/>
  <c r="O13" i="37"/>
  <c r="O23" i="35"/>
  <c r="M34" i="33" s="1"/>
  <c r="P13" i="34"/>
  <c r="X9" i="37"/>
  <c r="W13" i="35"/>
  <c r="Z7" i="2"/>
  <c r="Z5" i="4" s="1"/>
  <c r="Y8" i="35"/>
  <c r="Y9" i="2"/>
  <c r="H37" i="37"/>
  <c r="AC16" i="34"/>
  <c r="U62" i="29"/>
  <c r="Y8" i="32"/>
  <c r="W29" i="29" s="1"/>
  <c r="X9" i="31"/>
  <c r="V62" i="29" s="1"/>
  <c r="W13" i="32"/>
  <c r="AA7" i="31"/>
  <c r="Z5" i="32"/>
  <c r="AC16" i="30"/>
  <c r="L37" i="27"/>
  <c r="U62" i="25"/>
  <c r="Z7" i="27"/>
  <c r="Y5" i="28"/>
  <c r="Y8" i="28" s="1"/>
  <c r="W29" i="25" s="1"/>
  <c r="X9" i="27"/>
  <c r="V62" i="25" s="1"/>
  <c r="W13" i="28"/>
  <c r="N14" i="26"/>
  <c r="N13" i="22"/>
  <c r="M23" i="24"/>
  <c r="M13" i="23"/>
  <c r="K60" i="21"/>
  <c r="V13" i="24"/>
  <c r="T62" i="21"/>
  <c r="Z7" i="23"/>
  <c r="Y5" i="24"/>
  <c r="Y8" i="24" s="1"/>
  <c r="W29" i="21" s="1"/>
  <c r="W9" i="23"/>
  <c r="Z7" i="9"/>
  <c r="Y5" i="10"/>
  <c r="Y8" i="10" s="1"/>
  <c r="W29" i="7" s="1"/>
  <c r="U29" i="15"/>
  <c r="M14" i="18"/>
  <c r="Y9" i="13"/>
  <c r="X13" i="16"/>
  <c r="Y7" i="13"/>
  <c r="X5" i="16"/>
  <c r="X8" i="16" s="1"/>
  <c r="Y9" i="19"/>
  <c r="W62" i="17" s="1"/>
  <c r="X13" i="20"/>
  <c r="M14" i="14"/>
  <c r="AA7" i="19"/>
  <c r="Z5" i="20"/>
  <c r="Z8" i="20" s="1"/>
  <c r="X29" i="17" s="1"/>
  <c r="Y13" i="10"/>
  <c r="M14" i="8"/>
  <c r="J60" i="7" s="1"/>
  <c r="J14" i="3"/>
  <c r="M29" i="1"/>
  <c r="P8" i="4"/>
  <c r="Y57" i="1" l="1"/>
  <c r="Y13" i="4"/>
  <c r="W62" i="1"/>
  <c r="Y57" i="29"/>
  <c r="Y57" i="25"/>
  <c r="Z57" i="17"/>
  <c r="X57" i="21"/>
  <c r="K61" i="29"/>
  <c r="N18" i="30"/>
  <c r="M23" i="31"/>
  <c r="N15" i="30"/>
  <c r="O12" i="30" s="1"/>
  <c r="P18" i="34"/>
  <c r="P15" i="34"/>
  <c r="Q12" i="34" s="1"/>
  <c r="M61" i="33"/>
  <c r="O23" i="37"/>
  <c r="Y9" i="37"/>
  <c r="X13" i="35"/>
  <c r="AA7" i="2"/>
  <c r="AA5" i="4" s="1"/>
  <c r="Z8" i="35"/>
  <c r="Z9" i="2"/>
  <c r="G60" i="1"/>
  <c r="Z8" i="32"/>
  <c r="X29" i="29" s="1"/>
  <c r="AB7" i="31"/>
  <c r="AB5" i="32" s="1"/>
  <c r="AA5" i="32"/>
  <c r="Y9" i="31"/>
  <c r="W62" i="29" s="1"/>
  <c r="X13" i="32"/>
  <c r="M23" i="28"/>
  <c r="K60" i="25"/>
  <c r="AA7" i="27"/>
  <c r="Z5" i="28"/>
  <c r="Z8" i="28" s="1"/>
  <c r="X29" i="25" s="1"/>
  <c r="Y9" i="27"/>
  <c r="W62" i="25" s="1"/>
  <c r="X13" i="28"/>
  <c r="N13" i="26"/>
  <c r="M13" i="27"/>
  <c r="K34" i="21"/>
  <c r="U62" i="21"/>
  <c r="K61" i="21"/>
  <c r="N18" i="22"/>
  <c r="M23" i="23"/>
  <c r="N15" i="22"/>
  <c r="O12" i="22" s="1"/>
  <c r="AA7" i="23"/>
  <c r="Z5" i="24"/>
  <c r="Z8" i="24" s="1"/>
  <c r="X29" i="21" s="1"/>
  <c r="X9" i="23"/>
  <c r="V62" i="21" s="1"/>
  <c r="W13" i="24"/>
  <c r="AA7" i="9"/>
  <c r="Z5" i="10"/>
  <c r="Z8" i="10" s="1"/>
  <c r="X29" i="7" s="1"/>
  <c r="J60" i="15"/>
  <c r="L23" i="16"/>
  <c r="M13" i="14"/>
  <c r="L13" i="13"/>
  <c r="Z7" i="13"/>
  <c r="Y5" i="16"/>
  <c r="Y8" i="16" s="1"/>
  <c r="AB7" i="19"/>
  <c r="AA5" i="20"/>
  <c r="AA8" i="20" s="1"/>
  <c r="Y29" i="17" s="1"/>
  <c r="Z9" i="19"/>
  <c r="X62" i="17" s="1"/>
  <c r="Y13" i="20"/>
  <c r="Y13" i="16"/>
  <c r="Z9" i="13"/>
  <c r="M13" i="18"/>
  <c r="L23" i="20"/>
  <c r="L13" i="19"/>
  <c r="J60" i="17"/>
  <c r="Z13" i="10"/>
  <c r="M13" i="8"/>
  <c r="J61" i="7" s="1"/>
  <c r="L23" i="10"/>
  <c r="L13" i="9"/>
  <c r="J13" i="3"/>
  <c r="I23" i="4"/>
  <c r="I13" i="2"/>
  <c r="N29" i="1"/>
  <c r="Q8" i="4"/>
  <c r="Z57" i="1" l="1"/>
  <c r="Z57" i="25"/>
  <c r="Z13" i="4"/>
  <c r="X62" i="1"/>
  <c r="Y57" i="21"/>
  <c r="Z57" i="29"/>
  <c r="O14" i="30"/>
  <c r="Q14" i="34"/>
  <c r="J34" i="7"/>
  <c r="Z9" i="37"/>
  <c r="Y13" i="35"/>
  <c r="AB7" i="2"/>
  <c r="AA8" i="35"/>
  <c r="AA9" i="2"/>
  <c r="AD7" i="37"/>
  <c r="G61" i="1"/>
  <c r="I37" i="37"/>
  <c r="K34" i="25"/>
  <c r="AA8" i="32"/>
  <c r="Y29" i="29" s="1"/>
  <c r="Z9" i="31"/>
  <c r="X62" i="29" s="1"/>
  <c r="Y13" i="32"/>
  <c r="M37" i="31"/>
  <c r="AD7" i="31"/>
  <c r="M23" i="27"/>
  <c r="M37" i="27" s="1"/>
  <c r="K61" i="25"/>
  <c r="Z9" i="27"/>
  <c r="X62" i="25" s="1"/>
  <c r="Y13" i="28"/>
  <c r="AB7" i="27"/>
  <c r="AA5" i="28"/>
  <c r="AA8" i="28" s="1"/>
  <c r="Y29" i="25" s="1"/>
  <c r="X13" i="24"/>
  <c r="N18" i="26"/>
  <c r="N15" i="26"/>
  <c r="O12" i="26" s="1"/>
  <c r="O14" i="22"/>
  <c r="Y9" i="23"/>
  <c r="W62" i="21" s="1"/>
  <c r="AB7" i="23"/>
  <c r="AA5" i="24"/>
  <c r="AA8" i="24" s="1"/>
  <c r="Y29" i="21" s="1"/>
  <c r="L37" i="23"/>
  <c r="AB7" i="9"/>
  <c r="AB5" i="10" s="1"/>
  <c r="AB8" i="10" s="1"/>
  <c r="Z29" i="7" s="1"/>
  <c r="AA5" i="10"/>
  <c r="AA8" i="10" s="1"/>
  <c r="Y29" i="7" s="1"/>
  <c r="AA9" i="13"/>
  <c r="Z13" i="16"/>
  <c r="AA9" i="19"/>
  <c r="Y62" i="17" s="1"/>
  <c r="Z13" i="20"/>
  <c r="AA7" i="13"/>
  <c r="Z5" i="16"/>
  <c r="Z8" i="16" s="1"/>
  <c r="J61" i="15"/>
  <c r="M18" i="14"/>
  <c r="L23" i="13"/>
  <c r="L37" i="13" s="1"/>
  <c r="M15" i="14"/>
  <c r="N12" i="14" s="1"/>
  <c r="M18" i="18"/>
  <c r="L23" i="19"/>
  <c r="L37" i="19" s="1"/>
  <c r="J61" i="17"/>
  <c r="M15" i="18"/>
  <c r="N12" i="18" s="1"/>
  <c r="J34" i="17"/>
  <c r="AB5" i="20"/>
  <c r="AD7" i="19"/>
  <c r="J34" i="15"/>
  <c r="AA13" i="10"/>
  <c r="M18" i="8"/>
  <c r="L23" i="9"/>
  <c r="L37" i="9" s="1"/>
  <c r="M15" i="8"/>
  <c r="N12" i="8" s="1"/>
  <c r="G34" i="1"/>
  <c r="J18" i="3"/>
  <c r="I23" i="2"/>
  <c r="J15" i="3"/>
  <c r="K12" i="3" s="1"/>
  <c r="O29" i="1"/>
  <c r="R8" i="4"/>
  <c r="AA13" i="4" l="1"/>
  <c r="Y62" i="1"/>
  <c r="Z57" i="21"/>
  <c r="L60" i="29"/>
  <c r="O13" i="30"/>
  <c r="N13" i="31"/>
  <c r="N23" i="32"/>
  <c r="L34" i="29" s="1"/>
  <c r="N60" i="33"/>
  <c r="P23" i="35"/>
  <c r="N34" i="33" s="1"/>
  <c r="Q13" i="34"/>
  <c r="P13" i="37"/>
  <c r="AA9" i="37"/>
  <c r="Z13" i="35"/>
  <c r="AB5" i="4"/>
  <c r="AD5" i="4" s="1"/>
  <c r="AB8" i="35"/>
  <c r="AD5" i="35"/>
  <c r="AD8" i="35" s="1"/>
  <c r="AB9" i="2"/>
  <c r="AD7" i="2"/>
  <c r="AA9" i="31"/>
  <c r="Y62" i="29" s="1"/>
  <c r="Z13" i="32"/>
  <c r="AB5" i="28"/>
  <c r="AA9" i="27"/>
  <c r="Y62" i="25" s="1"/>
  <c r="Z13" i="28"/>
  <c r="AB5" i="24"/>
  <c r="AB8" i="24" s="1"/>
  <c r="Z29" i="21" s="1"/>
  <c r="Y13" i="24"/>
  <c r="O14" i="26"/>
  <c r="N13" i="23"/>
  <c r="N23" i="24"/>
  <c r="O13" i="22"/>
  <c r="L60" i="21"/>
  <c r="Z9" i="23"/>
  <c r="X62" i="21" s="1"/>
  <c r="AD7" i="23"/>
  <c r="AD5" i="10"/>
  <c r="AD8" i="10" s="1"/>
  <c r="AD7" i="9"/>
  <c r="N14" i="18"/>
  <c r="AB8" i="20"/>
  <c r="Z29" i="17" s="1"/>
  <c r="AD5" i="20"/>
  <c r="AD8" i="20" s="1"/>
  <c r="N14" i="14"/>
  <c r="AB9" i="13"/>
  <c r="AB13" i="16" s="1"/>
  <c r="AA13" i="16"/>
  <c r="AB7" i="13"/>
  <c r="AA5" i="16"/>
  <c r="AA8" i="16" s="1"/>
  <c r="AB9" i="19"/>
  <c r="Z62" i="17" s="1"/>
  <c r="AA13" i="20"/>
  <c r="AB13" i="10"/>
  <c r="N14" i="8"/>
  <c r="K60" i="7" s="1"/>
  <c r="K14" i="3"/>
  <c r="I37" i="2"/>
  <c r="P29" i="1"/>
  <c r="S8" i="4"/>
  <c r="AB13" i="4" l="1"/>
  <c r="AD13" i="4" s="1"/>
  <c r="Z62" i="1"/>
  <c r="L61" i="29"/>
  <c r="N23" i="31"/>
  <c r="O18" i="30"/>
  <c r="O15" i="30"/>
  <c r="P12" i="30" s="1"/>
  <c r="N61" i="33"/>
  <c r="P23" i="37"/>
  <c r="Q15" i="34"/>
  <c r="R12" i="34" s="1"/>
  <c r="AB9" i="37"/>
  <c r="AA13" i="35"/>
  <c r="H60" i="1"/>
  <c r="AB9" i="31"/>
  <c r="Z62" i="29" s="1"/>
  <c r="AA13" i="32"/>
  <c r="AB8" i="32"/>
  <c r="Z29" i="29" s="1"/>
  <c r="AD5" i="32"/>
  <c r="AD8" i="32" s="1"/>
  <c r="AD5" i="24"/>
  <c r="AD8" i="24" s="1"/>
  <c r="N23" i="28"/>
  <c r="L60" i="25"/>
  <c r="AB9" i="27"/>
  <c r="Z62" i="25" s="1"/>
  <c r="AA13" i="28"/>
  <c r="Z13" i="24"/>
  <c r="AB8" i="28"/>
  <c r="Z29" i="25" s="1"/>
  <c r="AD5" i="28"/>
  <c r="AD8" i="28" s="1"/>
  <c r="O13" i="26"/>
  <c r="N13" i="27"/>
  <c r="AD7" i="27"/>
  <c r="L34" i="21"/>
  <c r="L61" i="21"/>
  <c r="O18" i="22"/>
  <c r="N23" i="23"/>
  <c r="O15" i="22"/>
  <c r="P12" i="22" s="1"/>
  <c r="AA9" i="23"/>
  <c r="Y62" i="21" s="1"/>
  <c r="K60" i="15"/>
  <c r="M23" i="16"/>
  <c r="M13" i="13"/>
  <c r="N13" i="14"/>
  <c r="AD13" i="16"/>
  <c r="AB5" i="16"/>
  <c r="AD7" i="13"/>
  <c r="N13" i="18"/>
  <c r="M23" i="20"/>
  <c r="M13" i="19"/>
  <c r="K60" i="17"/>
  <c r="AB13" i="20"/>
  <c r="AD13" i="10"/>
  <c r="N13" i="8"/>
  <c r="K61" i="7" s="1"/>
  <c r="M13" i="9"/>
  <c r="M23" i="10"/>
  <c r="K13" i="3"/>
  <c r="J23" i="4"/>
  <c r="J13" i="2"/>
  <c r="Q29" i="1"/>
  <c r="T8" i="4"/>
  <c r="P14" i="30" l="1"/>
  <c r="R14" i="34"/>
  <c r="K34" i="7"/>
  <c r="AB13" i="35"/>
  <c r="H61" i="1"/>
  <c r="J37" i="37"/>
  <c r="AB13" i="32"/>
  <c r="AB13" i="28"/>
  <c r="N37" i="31"/>
  <c r="L34" i="25"/>
  <c r="N23" i="27"/>
  <c r="N37" i="27" s="1"/>
  <c r="L61" i="25"/>
  <c r="AA13" i="24"/>
  <c r="O18" i="26"/>
  <c r="O15" i="26"/>
  <c r="P12" i="26" s="1"/>
  <c r="P14" i="22"/>
  <c r="AB9" i="23"/>
  <c r="Z62" i="21" s="1"/>
  <c r="M37" i="23"/>
  <c r="K34" i="17"/>
  <c r="K61" i="15"/>
  <c r="N18" i="14"/>
  <c r="M23" i="13"/>
  <c r="M37" i="13" s="1"/>
  <c r="N15" i="14"/>
  <c r="O12" i="14" s="1"/>
  <c r="AD13" i="20"/>
  <c r="N18" i="18"/>
  <c r="M23" i="19"/>
  <c r="M37" i="19" s="1"/>
  <c r="K61" i="17"/>
  <c r="N15" i="18"/>
  <c r="O12" i="18" s="1"/>
  <c r="AB8" i="16"/>
  <c r="AD5" i="16"/>
  <c r="AD8" i="16" s="1"/>
  <c r="K34" i="15"/>
  <c r="N18" i="8"/>
  <c r="M23" i="9"/>
  <c r="M37" i="9" s="1"/>
  <c r="N15" i="8"/>
  <c r="O12" i="8" s="1"/>
  <c r="H34" i="1"/>
  <c r="K18" i="3"/>
  <c r="J23" i="2"/>
  <c r="J37" i="2" s="1"/>
  <c r="K15" i="3"/>
  <c r="L12" i="3" s="1"/>
  <c r="R29" i="1"/>
  <c r="U8" i="4"/>
  <c r="P13" i="30" l="1"/>
  <c r="O13" i="31"/>
  <c r="O23" i="32"/>
  <c r="M34" i="29" s="1"/>
  <c r="M60" i="29"/>
  <c r="O60" i="33"/>
  <c r="Q13" i="37"/>
  <c r="Q23" i="35"/>
  <c r="O34" i="33" s="1"/>
  <c r="R13" i="34"/>
  <c r="AD13" i="35"/>
  <c r="AD13" i="32"/>
  <c r="AB13" i="24"/>
  <c r="P14" i="26"/>
  <c r="O23" i="24"/>
  <c r="O13" i="23"/>
  <c r="M60" i="21"/>
  <c r="P13" i="22"/>
  <c r="O14" i="18"/>
  <c r="O14" i="14"/>
  <c r="O14" i="8"/>
  <c r="L60" i="7" s="1"/>
  <c r="L14" i="3"/>
  <c r="S29" i="1"/>
  <c r="V8" i="4"/>
  <c r="P18" i="30" l="1"/>
  <c r="M61" i="29"/>
  <c r="O23" i="31"/>
  <c r="P15" i="30"/>
  <c r="Q12" i="30" s="1"/>
  <c r="Q23" i="37"/>
  <c r="O61" i="33"/>
  <c r="R15" i="34"/>
  <c r="S12" i="34" s="1"/>
  <c r="S14" i="34" s="1"/>
  <c r="I60" i="1"/>
  <c r="O23" i="28"/>
  <c r="M60" i="25"/>
  <c r="AD13" i="24"/>
  <c r="AD13" i="28"/>
  <c r="P13" i="26"/>
  <c r="O13" i="27"/>
  <c r="M34" i="21"/>
  <c r="M61" i="21"/>
  <c r="O23" i="23"/>
  <c r="P18" i="22"/>
  <c r="P15" i="22"/>
  <c r="Q12" i="22" s="1"/>
  <c r="O13" i="18"/>
  <c r="N23" i="20"/>
  <c r="N13" i="19"/>
  <c r="L60" i="17"/>
  <c r="L60" i="15"/>
  <c r="N13" i="13"/>
  <c r="O13" i="14"/>
  <c r="N23" i="16"/>
  <c r="O13" i="8"/>
  <c r="L61" i="7" s="1"/>
  <c r="N13" i="9"/>
  <c r="N23" i="10"/>
  <c r="L13" i="3"/>
  <c r="K13" i="2"/>
  <c r="K23" i="4"/>
  <c r="T29" i="1"/>
  <c r="W8" i="4"/>
  <c r="Q14" i="30" l="1"/>
  <c r="P60" i="33"/>
  <c r="S13" i="34"/>
  <c r="R23" i="35"/>
  <c r="P34" i="33" s="1"/>
  <c r="R13" i="37"/>
  <c r="L34" i="7"/>
  <c r="I61" i="1"/>
  <c r="K37" i="37"/>
  <c r="O37" i="31"/>
  <c r="M34" i="25"/>
  <c r="O23" i="27"/>
  <c r="M61" i="25"/>
  <c r="P18" i="26"/>
  <c r="P15" i="26"/>
  <c r="Q12" i="26" s="1"/>
  <c r="Q14" i="26" s="1"/>
  <c r="Q14" i="22"/>
  <c r="N37" i="23"/>
  <c r="L34" i="17"/>
  <c r="L34" i="15"/>
  <c r="O18" i="18"/>
  <c r="N23" i="19"/>
  <c r="N37" i="19" s="1"/>
  <c r="L61" i="17"/>
  <c r="O15" i="18"/>
  <c r="P12" i="18" s="1"/>
  <c r="L61" i="15"/>
  <c r="O18" i="14"/>
  <c r="N23" i="13"/>
  <c r="N37" i="13" s="1"/>
  <c r="O15" i="14"/>
  <c r="P12" i="14" s="1"/>
  <c r="O18" i="8"/>
  <c r="N23" i="9"/>
  <c r="N37" i="9" s="1"/>
  <c r="O15" i="8"/>
  <c r="P12" i="8" s="1"/>
  <c r="I34" i="1"/>
  <c r="L18" i="3"/>
  <c r="K23" i="2"/>
  <c r="K37" i="2" s="1"/>
  <c r="L15" i="3"/>
  <c r="M12" i="3" s="1"/>
  <c r="U29" i="1"/>
  <c r="X8" i="4"/>
  <c r="V29" i="1" s="1"/>
  <c r="P23" i="32" l="1"/>
  <c r="N34" i="29" s="1"/>
  <c r="Q13" i="30"/>
  <c r="N60" i="29"/>
  <c r="P13" i="31"/>
  <c r="S15" i="34"/>
  <c r="T12" i="34" s="1"/>
  <c r="R23" i="37"/>
  <c r="P61" i="33"/>
  <c r="O37" i="27"/>
  <c r="P23" i="28"/>
  <c r="N60" i="25"/>
  <c r="Q13" i="26"/>
  <c r="P13" i="27"/>
  <c r="P13" i="23"/>
  <c r="N60" i="21"/>
  <c r="P23" i="24"/>
  <c r="Q13" i="22"/>
  <c r="P14" i="14"/>
  <c r="P14" i="18"/>
  <c r="P14" i="8"/>
  <c r="M60" i="7" s="1"/>
  <c r="M14" i="3"/>
  <c r="Y8" i="4"/>
  <c r="W29" i="1" s="1"/>
  <c r="P23" i="31" l="1"/>
  <c r="P37" i="31" s="1"/>
  <c r="N61" i="29"/>
  <c r="Q15" i="30"/>
  <c r="R12" i="30" s="1"/>
  <c r="R14" i="30" s="1"/>
  <c r="T14" i="34"/>
  <c r="J60" i="1"/>
  <c r="N34" i="25"/>
  <c r="N61" i="25"/>
  <c r="Q15" i="26"/>
  <c r="R12" i="26" s="1"/>
  <c r="R14" i="26" s="1"/>
  <c r="P23" i="27"/>
  <c r="N34" i="21"/>
  <c r="N61" i="21"/>
  <c r="P23" i="23"/>
  <c r="Q15" i="22"/>
  <c r="R12" i="22" s="1"/>
  <c r="P13" i="18"/>
  <c r="O23" i="20"/>
  <c r="O13" i="19"/>
  <c r="M60" i="17"/>
  <c r="M60" i="15"/>
  <c r="O13" i="13"/>
  <c r="O23" i="16"/>
  <c r="P13" i="14"/>
  <c r="P13" i="8"/>
  <c r="M61" i="7" s="1"/>
  <c r="O13" i="9"/>
  <c r="O23" i="10"/>
  <c r="M13" i="3"/>
  <c r="L13" i="2"/>
  <c r="L23" i="4"/>
  <c r="Z8" i="4"/>
  <c r="X29" i="1" s="1"/>
  <c r="O60" i="29" l="1"/>
  <c r="R13" i="30"/>
  <c r="Q13" i="31"/>
  <c r="Q23" i="32"/>
  <c r="O34" i="29" s="1"/>
  <c r="Q60" i="33"/>
  <c r="S13" i="37"/>
  <c r="T13" i="34"/>
  <c r="S23" i="35"/>
  <c r="Q34" i="33" s="1"/>
  <c r="M34" i="7"/>
  <c r="J61" i="1"/>
  <c r="L37" i="37"/>
  <c r="Q13" i="27"/>
  <c r="P37" i="27"/>
  <c r="R13" i="26"/>
  <c r="Q23" i="28"/>
  <c r="O60" i="25"/>
  <c r="R14" i="22"/>
  <c r="O37" i="23"/>
  <c r="M34" i="15"/>
  <c r="M34" i="17"/>
  <c r="M61" i="15"/>
  <c r="P18" i="14"/>
  <c r="O23" i="13"/>
  <c r="O37" i="13" s="1"/>
  <c r="P15" i="14"/>
  <c r="Q12" i="14" s="1"/>
  <c r="P18" i="18"/>
  <c r="O23" i="19"/>
  <c r="O37" i="19" s="1"/>
  <c r="M61" i="17"/>
  <c r="P15" i="18"/>
  <c r="Q12" i="18" s="1"/>
  <c r="Q14" i="18" s="1"/>
  <c r="P18" i="8"/>
  <c r="O23" i="9"/>
  <c r="O37" i="9" s="1"/>
  <c r="P15" i="8"/>
  <c r="Q12" i="8" s="1"/>
  <c r="Q14" i="8" s="1"/>
  <c r="N60" i="7" s="1"/>
  <c r="J34" i="1"/>
  <c r="M18" i="3"/>
  <c r="L23" i="2"/>
  <c r="L37" i="2" s="1"/>
  <c r="M15" i="3"/>
  <c r="N12" i="3" s="1"/>
  <c r="AA8" i="4"/>
  <c r="Y29" i="1" s="1"/>
  <c r="R15" i="30" l="1"/>
  <c r="S12" i="30" s="1"/>
  <c r="Q23" i="31"/>
  <c r="Q37" i="31" s="1"/>
  <c r="O61" i="29"/>
  <c r="S23" i="37"/>
  <c r="Q61" i="33"/>
  <c r="T15" i="34"/>
  <c r="U12" i="34" s="1"/>
  <c r="R15" i="26"/>
  <c r="S12" i="26" s="1"/>
  <c r="S14" i="26" s="1"/>
  <c r="Q23" i="27"/>
  <c r="O34" i="25"/>
  <c r="O61" i="25"/>
  <c r="O60" i="21"/>
  <c r="Q23" i="24"/>
  <c r="R13" i="22"/>
  <c r="Q13" i="23"/>
  <c r="Q13" i="18"/>
  <c r="P23" i="20"/>
  <c r="P13" i="19"/>
  <c r="N60" i="17"/>
  <c r="Q14" i="14"/>
  <c r="Q13" i="8"/>
  <c r="N61" i="7" s="1"/>
  <c r="P23" i="10"/>
  <c r="P13" i="9"/>
  <c r="N14" i="3"/>
  <c r="AB8" i="4"/>
  <c r="Z29" i="1" s="1"/>
  <c r="AD8" i="4"/>
  <c r="S14" i="30" l="1"/>
  <c r="U14" i="34"/>
  <c r="N34" i="7"/>
  <c r="K60" i="1"/>
  <c r="R13" i="27"/>
  <c r="P60" i="25"/>
  <c r="R23" i="28"/>
  <c r="Q37" i="27"/>
  <c r="S13" i="26"/>
  <c r="S15" i="26" s="1"/>
  <c r="T12" i="26" s="1"/>
  <c r="T14" i="26" s="1"/>
  <c r="O34" i="21"/>
  <c r="O61" i="21"/>
  <c r="Q23" i="23"/>
  <c r="R15" i="22"/>
  <c r="S12" i="22" s="1"/>
  <c r="P37" i="23"/>
  <c r="N60" i="15"/>
  <c r="Q13" i="14"/>
  <c r="P23" i="16"/>
  <c r="P13" i="13"/>
  <c r="Q15" i="18"/>
  <c r="R12" i="18" s="1"/>
  <c r="R14" i="18" s="1"/>
  <c r="P23" i="19"/>
  <c r="P37" i="19" s="1"/>
  <c r="N61" i="17"/>
  <c r="N34" i="17"/>
  <c r="Q15" i="8"/>
  <c r="R12" i="8" s="1"/>
  <c r="R14" i="8" s="1"/>
  <c r="O60" i="7" s="1"/>
  <c r="P23" i="9"/>
  <c r="P37" i="9" s="1"/>
  <c r="N13" i="3"/>
  <c r="M23" i="4"/>
  <c r="M13" i="2"/>
  <c r="R23" i="32" l="1"/>
  <c r="R13" i="31"/>
  <c r="P60" i="29"/>
  <c r="S13" i="30"/>
  <c r="T13" i="37"/>
  <c r="R60" i="33"/>
  <c r="U13" i="34"/>
  <c r="T23" i="35"/>
  <c r="R34" i="33" s="1"/>
  <c r="K61" i="1"/>
  <c r="M37" i="37"/>
  <c r="P34" i="25"/>
  <c r="R23" i="27"/>
  <c r="S13" i="27"/>
  <c r="P61" i="25"/>
  <c r="Q60" i="25"/>
  <c r="S23" i="28"/>
  <c r="T13" i="26"/>
  <c r="S14" i="22"/>
  <c r="N34" i="15"/>
  <c r="N61" i="15"/>
  <c r="P23" i="13"/>
  <c r="P37" i="13" s="1"/>
  <c r="Q15" i="14"/>
  <c r="R12" i="14" s="1"/>
  <c r="R13" i="18"/>
  <c r="Q23" i="20"/>
  <c r="Q13" i="19"/>
  <c r="O60" i="17"/>
  <c r="R13" i="8"/>
  <c r="O61" i="7" s="1"/>
  <c r="Q13" i="9"/>
  <c r="Q23" i="10"/>
  <c r="K34" i="1"/>
  <c r="N18" i="3"/>
  <c r="M23" i="2"/>
  <c r="M37" i="2" s="1"/>
  <c r="N15" i="3"/>
  <c r="O12" i="3" s="1"/>
  <c r="P34" i="29" l="1"/>
  <c r="R23" i="31"/>
  <c r="R37" i="31" s="1"/>
  <c r="P61" i="29"/>
  <c r="S15" i="30"/>
  <c r="T12" i="30" s="1"/>
  <c r="T23" i="37"/>
  <c r="R61" i="33"/>
  <c r="U15" i="34"/>
  <c r="V12" i="34" s="1"/>
  <c r="O34" i="7"/>
  <c r="T15" i="26"/>
  <c r="U12" i="26" s="1"/>
  <c r="U14" i="26" s="1"/>
  <c r="Q34" i="25"/>
  <c r="S23" i="27"/>
  <c r="Q61" i="25"/>
  <c r="P60" i="21"/>
  <c r="R13" i="23"/>
  <c r="R23" i="24"/>
  <c r="S13" i="22"/>
  <c r="R37" i="27" s="1"/>
  <c r="Q37" i="23"/>
  <c r="R15" i="18"/>
  <c r="S12" i="18" s="1"/>
  <c r="Q23" i="19"/>
  <c r="Q37" i="19" s="1"/>
  <c r="O61" i="17"/>
  <c r="R14" i="14"/>
  <c r="O34" i="17"/>
  <c r="R15" i="8"/>
  <c r="S12" i="8" s="1"/>
  <c r="S14" i="8" s="1"/>
  <c r="P60" i="7" s="1"/>
  <c r="Q23" i="9"/>
  <c r="Q37" i="9" s="1"/>
  <c r="O14" i="3"/>
  <c r="T14" i="30" l="1"/>
  <c r="V14" i="34"/>
  <c r="L60" i="1"/>
  <c r="T13" i="27"/>
  <c r="T23" i="28"/>
  <c r="R60" i="25"/>
  <c r="U13" i="26"/>
  <c r="P34" i="21"/>
  <c r="P61" i="21"/>
  <c r="R23" i="23"/>
  <c r="S15" i="22"/>
  <c r="T12" i="22" s="1"/>
  <c r="O60" i="15"/>
  <c r="Q13" i="13"/>
  <c r="R13" i="14"/>
  <c r="Q23" i="16"/>
  <c r="S14" i="18"/>
  <c r="S13" i="8"/>
  <c r="P61" i="7" s="1"/>
  <c r="R13" i="9"/>
  <c r="R23" i="10"/>
  <c r="O13" i="3"/>
  <c r="N23" i="4"/>
  <c r="N13" i="2"/>
  <c r="T13" i="30" l="1"/>
  <c r="S13" i="31"/>
  <c r="Q60" i="29"/>
  <c r="S23" i="32"/>
  <c r="S60" i="33"/>
  <c r="V13" i="34"/>
  <c r="U23" i="35"/>
  <c r="S34" i="33" s="1"/>
  <c r="U13" i="37"/>
  <c r="P34" i="7"/>
  <c r="L61" i="1"/>
  <c r="N37" i="37"/>
  <c r="R34" i="25"/>
  <c r="T23" i="27"/>
  <c r="R61" i="25"/>
  <c r="U15" i="26"/>
  <c r="V12" i="26" s="1"/>
  <c r="V14" i="26" s="1"/>
  <c r="T14" i="22"/>
  <c r="O34" i="15"/>
  <c r="S13" i="18"/>
  <c r="R23" i="20"/>
  <c r="R13" i="19"/>
  <c r="P60" i="17"/>
  <c r="O61" i="15"/>
  <c r="Q23" i="13"/>
  <c r="Q37" i="13" s="1"/>
  <c r="R15" i="14"/>
  <c r="S12" i="14" s="1"/>
  <c r="S15" i="8"/>
  <c r="T12" i="8" s="1"/>
  <c r="T14" i="8" s="1"/>
  <c r="Q60" i="7" s="1"/>
  <c r="R23" i="9"/>
  <c r="R37" i="9" s="1"/>
  <c r="L34" i="1"/>
  <c r="O18" i="3"/>
  <c r="N23" i="2"/>
  <c r="N37" i="2" s="1"/>
  <c r="O15" i="3"/>
  <c r="P12" i="3" s="1"/>
  <c r="Q34" i="29" l="1"/>
  <c r="Q61" i="29"/>
  <c r="S23" i="31"/>
  <c r="S37" i="31" s="1"/>
  <c r="T15" i="30"/>
  <c r="U12" i="30" s="1"/>
  <c r="S61" i="33"/>
  <c r="U23" i="37"/>
  <c r="V15" i="34"/>
  <c r="W12" i="34" s="1"/>
  <c r="V13" i="26"/>
  <c r="V15" i="26" s="1"/>
  <c r="W12" i="26" s="1"/>
  <c r="W14" i="26" s="1"/>
  <c r="U23" i="28"/>
  <c r="S60" i="25"/>
  <c r="U13" i="27"/>
  <c r="Q60" i="21"/>
  <c r="T13" i="22"/>
  <c r="S37" i="27" s="1"/>
  <c r="S23" i="24"/>
  <c r="S13" i="23"/>
  <c r="R37" i="23"/>
  <c r="P34" i="17"/>
  <c r="R23" i="19"/>
  <c r="R37" i="19" s="1"/>
  <c r="P61" i="17"/>
  <c r="S15" i="18"/>
  <c r="T12" i="18" s="1"/>
  <c r="T14" i="18" s="1"/>
  <c r="S14" i="14"/>
  <c r="T13" i="8"/>
  <c r="Q61" i="7" s="1"/>
  <c r="S13" i="9"/>
  <c r="S23" i="10"/>
  <c r="P14" i="3"/>
  <c r="U14" i="30" l="1"/>
  <c r="W14" i="34"/>
  <c r="Q34" i="7"/>
  <c r="M60" i="1"/>
  <c r="S34" i="25"/>
  <c r="W13" i="26"/>
  <c r="V23" i="27" s="1"/>
  <c r="S61" i="25"/>
  <c r="U23" i="27"/>
  <c r="V23" i="28"/>
  <c r="V13" i="27"/>
  <c r="T60" i="25"/>
  <c r="S23" i="23"/>
  <c r="Q61" i="21"/>
  <c r="T15" i="22"/>
  <c r="U12" i="22" s="1"/>
  <c r="Q34" i="21"/>
  <c r="P60" i="15"/>
  <c r="R13" i="13"/>
  <c r="S13" i="14"/>
  <c r="R23" i="16"/>
  <c r="T13" i="18"/>
  <c r="S23" i="20"/>
  <c r="S13" i="19"/>
  <c r="Q60" i="17"/>
  <c r="T15" i="8"/>
  <c r="U12" i="8" s="1"/>
  <c r="U14" i="8" s="1"/>
  <c r="R60" i="7" s="1"/>
  <c r="S23" i="9"/>
  <c r="S37" i="9" s="1"/>
  <c r="O13" i="2"/>
  <c r="P13" i="3"/>
  <c r="O23" i="4"/>
  <c r="R60" i="29" l="1"/>
  <c r="T13" i="31"/>
  <c r="T23" i="32"/>
  <c r="U13" i="30"/>
  <c r="T60" i="33"/>
  <c r="V13" i="37"/>
  <c r="V23" i="35"/>
  <c r="T34" i="33" s="1"/>
  <c r="W13" i="34"/>
  <c r="W15" i="26"/>
  <c r="X12" i="26" s="1"/>
  <c r="X14" i="26" s="1"/>
  <c r="M61" i="1"/>
  <c r="O37" i="37"/>
  <c r="T34" i="25"/>
  <c r="T61" i="25"/>
  <c r="U14" i="22"/>
  <c r="S37" i="23"/>
  <c r="T15" i="18"/>
  <c r="U12" i="18" s="1"/>
  <c r="U14" i="18" s="1"/>
  <c r="S23" i="19"/>
  <c r="S37" i="19" s="1"/>
  <c r="Q61" i="17"/>
  <c r="P34" i="15"/>
  <c r="P61" i="15"/>
  <c r="R23" i="13"/>
  <c r="R37" i="13" s="1"/>
  <c r="S15" i="14"/>
  <c r="T12" i="14" s="1"/>
  <c r="Q34" i="17"/>
  <c r="U13" i="8"/>
  <c r="R61" i="7" s="1"/>
  <c r="T23" i="10"/>
  <c r="T13" i="9"/>
  <c r="P18" i="3"/>
  <c r="O23" i="2"/>
  <c r="O37" i="2" s="1"/>
  <c r="P15" i="3"/>
  <c r="Q12" i="3" s="1"/>
  <c r="M34" i="1"/>
  <c r="T23" i="31" l="1"/>
  <c r="T37" i="31" s="1"/>
  <c r="R61" i="29"/>
  <c r="U15" i="30"/>
  <c r="V12" i="30" s="1"/>
  <c r="R34" i="29"/>
  <c r="T61" i="33"/>
  <c r="V23" i="37"/>
  <c r="W15" i="34"/>
  <c r="X12" i="34" s="1"/>
  <c r="R34" i="7"/>
  <c r="W23" i="28"/>
  <c r="U60" i="25"/>
  <c r="W13" i="27"/>
  <c r="X13" i="26"/>
  <c r="X15" i="26" s="1"/>
  <c r="Y12" i="26" s="1"/>
  <c r="Y14" i="26" s="1"/>
  <c r="V60" i="25" s="1"/>
  <c r="U13" i="22"/>
  <c r="T37" i="27" s="1"/>
  <c r="T23" i="24"/>
  <c r="R60" i="21"/>
  <c r="T13" i="23"/>
  <c r="T14" i="14"/>
  <c r="U13" i="18"/>
  <c r="T13" i="19"/>
  <c r="T23" i="20"/>
  <c r="R60" i="17"/>
  <c r="U15" i="8"/>
  <c r="V12" i="8" s="1"/>
  <c r="V14" i="8" s="1"/>
  <c r="S60" i="7" s="1"/>
  <c r="T23" i="9"/>
  <c r="T37" i="9" s="1"/>
  <c r="Q14" i="3"/>
  <c r="V14" i="30" l="1"/>
  <c r="X14" i="34"/>
  <c r="U34" i="25"/>
  <c r="U61" i="25"/>
  <c r="W23" i="27"/>
  <c r="N60" i="1"/>
  <c r="X23" i="28"/>
  <c r="V34" i="25" s="1"/>
  <c r="Y13" i="26"/>
  <c r="V61" i="25" s="1"/>
  <c r="X13" i="27"/>
  <c r="R34" i="21"/>
  <c r="R61" i="21"/>
  <c r="T23" i="23"/>
  <c r="T37" i="23" s="1"/>
  <c r="U15" i="22"/>
  <c r="V12" i="22" s="1"/>
  <c r="R34" i="17"/>
  <c r="Q60" i="15"/>
  <c r="T13" i="14"/>
  <c r="S13" i="13"/>
  <c r="S23" i="16"/>
  <c r="U15" i="18"/>
  <c r="V12" i="18" s="1"/>
  <c r="V14" i="18" s="1"/>
  <c r="T23" i="19"/>
  <c r="T37" i="19" s="1"/>
  <c r="R61" i="17"/>
  <c r="V13" i="8"/>
  <c r="S61" i="7" s="1"/>
  <c r="U13" i="9"/>
  <c r="U23" i="10"/>
  <c r="Q13" i="3"/>
  <c r="P13" i="2"/>
  <c r="P23" i="4"/>
  <c r="V13" i="30" l="1"/>
  <c r="U23" i="32"/>
  <c r="U13" i="31"/>
  <c r="S60" i="29"/>
  <c r="U60" i="33"/>
  <c r="X13" i="34"/>
  <c r="W23" i="35"/>
  <c r="U34" i="33" s="1"/>
  <c r="W13" i="37"/>
  <c r="S34" i="7"/>
  <c r="N61" i="1"/>
  <c r="P37" i="37"/>
  <c r="Y15" i="26"/>
  <c r="Z12" i="26" s="1"/>
  <c r="Z14" i="26" s="1"/>
  <c r="W60" i="25" s="1"/>
  <c r="X23" i="27"/>
  <c r="V14" i="22"/>
  <c r="Q34" i="15"/>
  <c r="V13" i="18"/>
  <c r="U23" i="20"/>
  <c r="U13" i="19"/>
  <c r="S60" i="17"/>
  <c r="Q61" i="15"/>
  <c r="S23" i="13"/>
  <c r="S37" i="13" s="1"/>
  <c r="T15" i="14"/>
  <c r="U12" i="14" s="1"/>
  <c r="V15" i="8"/>
  <c r="W12" i="8" s="1"/>
  <c r="W14" i="8" s="1"/>
  <c r="T60" i="7" s="1"/>
  <c r="U23" i="9"/>
  <c r="U37" i="9" s="1"/>
  <c r="N34" i="1"/>
  <c r="P23" i="2"/>
  <c r="P37" i="2" s="1"/>
  <c r="Q15" i="3"/>
  <c r="R12" i="3" s="1"/>
  <c r="U23" i="31" l="1"/>
  <c r="U37" i="31" s="1"/>
  <c r="S61" i="29"/>
  <c r="V15" i="30"/>
  <c r="W12" i="30" s="1"/>
  <c r="W14" i="30" s="1"/>
  <c r="S34" i="29"/>
  <c r="U61" i="33"/>
  <c r="W23" i="37"/>
  <c r="X15" i="34"/>
  <c r="Y12" i="34" s="1"/>
  <c r="Y23" i="28"/>
  <c r="W34" i="25" s="1"/>
  <c r="Y13" i="27"/>
  <c r="Z13" i="26"/>
  <c r="W61" i="25" s="1"/>
  <c r="V13" i="22"/>
  <c r="U37" i="27" s="1"/>
  <c r="U13" i="23"/>
  <c r="S60" i="21"/>
  <c r="U23" i="24"/>
  <c r="U14" i="14"/>
  <c r="V15" i="18"/>
  <c r="W12" i="18" s="1"/>
  <c r="U23" i="19"/>
  <c r="U37" i="19" s="1"/>
  <c r="S61" i="17"/>
  <c r="S34" i="17"/>
  <c r="W13" i="8"/>
  <c r="T61" i="7" s="1"/>
  <c r="V13" i="9"/>
  <c r="V23" i="10"/>
  <c r="R14" i="3"/>
  <c r="V23" i="32" l="1"/>
  <c r="V13" i="31"/>
  <c r="T60" i="29"/>
  <c r="W13" i="30"/>
  <c r="Y14" i="34"/>
  <c r="T34" i="7"/>
  <c r="O60" i="1"/>
  <c r="Z15" i="26"/>
  <c r="AA12" i="26" s="1"/>
  <c r="Y23" i="27"/>
  <c r="U23" i="23"/>
  <c r="U37" i="23" s="1"/>
  <c r="S61" i="21"/>
  <c r="V15" i="22"/>
  <c r="W12" i="22" s="1"/>
  <c r="S34" i="21"/>
  <c r="W14" i="18"/>
  <c r="R60" i="15"/>
  <c r="U13" i="14"/>
  <c r="T13" i="13"/>
  <c r="T23" i="16"/>
  <c r="W15" i="8"/>
  <c r="X12" i="8" s="1"/>
  <c r="X14" i="8" s="1"/>
  <c r="U60" i="7" s="1"/>
  <c r="V23" i="9"/>
  <c r="V37" i="9" s="1"/>
  <c r="Q23" i="4"/>
  <c r="R13" i="3"/>
  <c r="Q13" i="2"/>
  <c r="W15" i="30" l="1"/>
  <c r="X12" i="30" s="1"/>
  <c r="T61" i="29"/>
  <c r="V23" i="31"/>
  <c r="V37" i="31" s="1"/>
  <c r="T34" i="29"/>
  <c r="X13" i="37"/>
  <c r="Y13" i="34"/>
  <c r="X23" i="35"/>
  <c r="O61" i="1"/>
  <c r="Q37" i="37"/>
  <c r="AA14" i="26"/>
  <c r="X60" i="25" s="1"/>
  <c r="W14" i="22"/>
  <c r="R34" i="15"/>
  <c r="W13" i="18"/>
  <c r="V23" i="20"/>
  <c r="V13" i="19"/>
  <c r="T60" i="17"/>
  <c r="R61" i="15"/>
  <c r="T23" i="13"/>
  <c r="T37" i="13" s="1"/>
  <c r="U15" i="14"/>
  <c r="V12" i="14" s="1"/>
  <c r="X13" i="8"/>
  <c r="U61" i="7" s="1"/>
  <c r="W13" i="9"/>
  <c r="W23" i="10"/>
  <c r="Q23" i="2"/>
  <c r="Q37" i="2" s="1"/>
  <c r="R15" i="3"/>
  <c r="S12" i="3" s="1"/>
  <c r="O34" i="1"/>
  <c r="X14" i="30" l="1"/>
  <c r="X23" i="37"/>
  <c r="Y15" i="34"/>
  <c r="Z12" i="34" s="1"/>
  <c r="U34" i="7"/>
  <c r="Z23" i="28"/>
  <c r="X34" i="25" s="1"/>
  <c r="Z13" i="27"/>
  <c r="AA13" i="26"/>
  <c r="X61" i="25" s="1"/>
  <c r="V23" i="24"/>
  <c r="W13" i="22"/>
  <c r="V37" i="27" s="1"/>
  <c r="V13" i="23"/>
  <c r="T60" i="21"/>
  <c r="V14" i="14"/>
  <c r="T34" i="17"/>
  <c r="V23" i="19"/>
  <c r="V37" i="19" s="1"/>
  <c r="T61" i="17"/>
  <c r="W15" i="18"/>
  <c r="X12" i="18" s="1"/>
  <c r="X14" i="18" s="1"/>
  <c r="X15" i="8"/>
  <c r="Y12" i="8" s="1"/>
  <c r="Y14" i="8" s="1"/>
  <c r="V60" i="7" s="1"/>
  <c r="W23" i="9"/>
  <c r="W37" i="9" s="1"/>
  <c r="S14" i="3"/>
  <c r="X13" i="30" l="1"/>
  <c r="W13" i="31"/>
  <c r="U60" i="29"/>
  <c r="W23" i="32"/>
  <c r="Z14" i="34"/>
  <c r="P60" i="1"/>
  <c r="Z23" i="27"/>
  <c r="AA15" i="26"/>
  <c r="AB12" i="26" s="1"/>
  <c r="T34" i="21"/>
  <c r="T61" i="21"/>
  <c r="V23" i="23"/>
  <c r="V37" i="23" s="1"/>
  <c r="W15" i="22"/>
  <c r="X12" i="22" s="1"/>
  <c r="S60" i="15"/>
  <c r="U23" i="16"/>
  <c r="U13" i="13"/>
  <c r="V13" i="14"/>
  <c r="X13" i="18"/>
  <c r="W23" i="20"/>
  <c r="W13" i="19"/>
  <c r="U60" i="17"/>
  <c r="Y13" i="8"/>
  <c r="V61" i="7" s="1"/>
  <c r="X23" i="10"/>
  <c r="X13" i="9"/>
  <c r="R13" i="2"/>
  <c r="S13" i="3"/>
  <c r="R23" i="4"/>
  <c r="V34" i="7" l="1"/>
  <c r="U34" i="29"/>
  <c r="U61" i="29"/>
  <c r="W23" i="31"/>
  <c r="W37" i="31" s="1"/>
  <c r="X15" i="30"/>
  <c r="Y12" i="30" s="1"/>
  <c r="Z13" i="34"/>
  <c r="Y13" i="37"/>
  <c r="Y23" i="35"/>
  <c r="P61" i="1"/>
  <c r="R37" i="37"/>
  <c r="AB14" i="26"/>
  <c r="Y60" i="25" s="1"/>
  <c r="X14" i="22"/>
  <c r="S61" i="15"/>
  <c r="U23" i="13"/>
  <c r="U37" i="13" s="1"/>
  <c r="V15" i="14"/>
  <c r="W12" i="14" s="1"/>
  <c r="U34" i="17"/>
  <c r="S34" i="15"/>
  <c r="X15" i="18"/>
  <c r="Y12" i="18" s="1"/>
  <c r="Y14" i="18" s="1"/>
  <c r="V60" i="17" s="1"/>
  <c r="W23" i="19"/>
  <c r="W37" i="19" s="1"/>
  <c r="U61" i="17"/>
  <c r="Y15" i="8"/>
  <c r="Z12" i="8" s="1"/>
  <c r="Z14" i="8" s="1"/>
  <c r="W60" i="7" s="1"/>
  <c r="X23" i="9"/>
  <c r="X37" i="9" s="1"/>
  <c r="R23" i="2"/>
  <c r="R37" i="2" s="1"/>
  <c r="S15" i="3"/>
  <c r="T12" i="3" s="1"/>
  <c r="P34" i="1"/>
  <c r="Y14" i="30" l="1"/>
  <c r="V60" i="29" s="1"/>
  <c r="Y23" i="37"/>
  <c r="Z15" i="34"/>
  <c r="AA12" i="34" s="1"/>
  <c r="AA23" i="28"/>
  <c r="Y34" i="25" s="1"/>
  <c r="AA13" i="27"/>
  <c r="AB13" i="26"/>
  <c r="Y61" i="25" s="1"/>
  <c r="W13" i="23"/>
  <c r="U60" i="21"/>
  <c r="W23" i="24"/>
  <c r="X13" i="22"/>
  <c r="W37" i="27" s="1"/>
  <c r="W14" i="14"/>
  <c r="Y13" i="18"/>
  <c r="V61" i="17" s="1"/>
  <c r="X23" i="20"/>
  <c r="X13" i="19"/>
  <c r="Z13" i="8"/>
  <c r="W61" i="7" s="1"/>
  <c r="Y13" i="9"/>
  <c r="Y23" i="10"/>
  <c r="T14" i="3"/>
  <c r="W34" i="7" l="1"/>
  <c r="V34" i="17"/>
  <c r="Y13" i="30"/>
  <c r="V61" i="29" s="1"/>
  <c r="X23" i="32"/>
  <c r="X13" i="31"/>
  <c r="AA14" i="34"/>
  <c r="Q60" i="1"/>
  <c r="AA23" i="27"/>
  <c r="AB15" i="26"/>
  <c r="AC12" i="26" s="1"/>
  <c r="AC14" i="26" s="1"/>
  <c r="Z60" i="25" s="1"/>
  <c r="W23" i="23"/>
  <c r="W37" i="23" s="1"/>
  <c r="U61" i="21"/>
  <c r="X15" i="22"/>
  <c r="Y12" i="22" s="1"/>
  <c r="U34" i="21"/>
  <c r="Y15" i="18"/>
  <c r="Z12" i="18" s="1"/>
  <c r="Z14" i="18" s="1"/>
  <c r="W60" i="17" s="1"/>
  <c r="X23" i="19"/>
  <c r="X37" i="19" s="1"/>
  <c r="T60" i="15"/>
  <c r="V23" i="16"/>
  <c r="V13" i="13"/>
  <c r="W13" i="14"/>
  <c r="Z15" i="8"/>
  <c r="AA12" i="8" s="1"/>
  <c r="Y23" i="9"/>
  <c r="Y37" i="9" s="1"/>
  <c r="T13" i="3"/>
  <c r="S13" i="2"/>
  <c r="S23" i="4"/>
  <c r="V34" i="29" l="1"/>
  <c r="X23" i="31"/>
  <c r="X37" i="31" s="1"/>
  <c r="Y15" i="30"/>
  <c r="Z12" i="30" s="1"/>
  <c r="Z13" i="37"/>
  <c r="Z23" i="35"/>
  <c r="AA13" i="34"/>
  <c r="Q61" i="1"/>
  <c r="S37" i="37"/>
  <c r="AC13" i="26"/>
  <c r="Z61" i="25" s="1"/>
  <c r="AB23" i="28"/>
  <c r="Z34" i="25" s="1"/>
  <c r="AB13" i="27"/>
  <c r="Y14" i="22"/>
  <c r="V60" i="21" s="1"/>
  <c r="T34" i="15"/>
  <c r="Z13" i="18"/>
  <c r="W61" i="17" s="1"/>
  <c r="Y23" i="20"/>
  <c r="Y13" i="19"/>
  <c r="T61" i="15"/>
  <c r="V23" i="13"/>
  <c r="V37" i="13" s="1"/>
  <c r="W15" i="14"/>
  <c r="X12" i="14" s="1"/>
  <c r="AA14" i="8"/>
  <c r="X60" i="7" s="1"/>
  <c r="Q34" i="1"/>
  <c r="S23" i="2"/>
  <c r="S37" i="2" s="1"/>
  <c r="T15" i="3"/>
  <c r="U12" i="3" s="1"/>
  <c r="W34" i="17" l="1"/>
  <c r="Z14" i="30"/>
  <c r="W60" i="29" s="1"/>
  <c r="Z23" i="37"/>
  <c r="AA15" i="34"/>
  <c r="AB12" i="34" s="1"/>
  <c r="AC15" i="26"/>
  <c r="AB23" i="27"/>
  <c r="X23" i="24"/>
  <c r="X13" i="23"/>
  <c r="Y13" i="22"/>
  <c r="X14" i="14"/>
  <c r="Z15" i="18"/>
  <c r="AA12" i="18" s="1"/>
  <c r="Y23" i="19"/>
  <c r="Y37" i="19" s="1"/>
  <c r="AA13" i="8"/>
  <c r="X61" i="7" s="1"/>
  <c r="Z13" i="9"/>
  <c r="Z23" i="10"/>
  <c r="U14" i="3"/>
  <c r="X34" i="7" l="1"/>
  <c r="V34" i="21"/>
  <c r="X37" i="27"/>
  <c r="V61" i="21"/>
  <c r="Y23" i="32"/>
  <c r="W34" i="29" s="1"/>
  <c r="Y13" i="31"/>
  <c r="Z13" i="30"/>
  <c r="W61" i="29" s="1"/>
  <c r="AB14" i="34"/>
  <c r="R60" i="1"/>
  <c r="X23" i="23"/>
  <c r="X37" i="23" s="1"/>
  <c r="Y15" i="22"/>
  <c r="Z12" i="22" s="1"/>
  <c r="AA14" i="18"/>
  <c r="X60" i="17" s="1"/>
  <c r="U60" i="15"/>
  <c r="X13" i="14"/>
  <c r="W13" i="13"/>
  <c r="W23" i="16"/>
  <c r="Z23" i="9"/>
  <c r="Z37" i="9" s="1"/>
  <c r="AA15" i="8"/>
  <c r="AB12" i="8" s="1"/>
  <c r="AB14" i="8" s="1"/>
  <c r="Y60" i="7" s="1"/>
  <c r="U13" i="3"/>
  <c r="T13" i="2"/>
  <c r="T23" i="4"/>
  <c r="Y23" i="31" l="1"/>
  <c r="Z15" i="30"/>
  <c r="AA12" i="30" s="1"/>
  <c r="AA13" i="37"/>
  <c r="AA23" i="35"/>
  <c r="AB13" i="34"/>
  <c r="R61" i="1"/>
  <c r="T37" i="37"/>
  <c r="Z14" i="22"/>
  <c r="W60" i="21" s="1"/>
  <c r="U61" i="15"/>
  <c r="W23" i="13"/>
  <c r="W37" i="13" s="1"/>
  <c r="X15" i="14"/>
  <c r="Y12" i="14" s="1"/>
  <c r="U34" i="15"/>
  <c r="AA13" i="18"/>
  <c r="X61" i="17" s="1"/>
  <c r="Z23" i="20"/>
  <c r="Z13" i="19"/>
  <c r="AB13" i="8"/>
  <c r="Y61" i="7" s="1"/>
  <c r="AA13" i="9"/>
  <c r="AA23" i="10"/>
  <c r="R34" i="1"/>
  <c r="T23" i="2"/>
  <c r="T37" i="2" s="1"/>
  <c r="U15" i="3"/>
  <c r="V12" i="3" s="1"/>
  <c r="Y34" i="7" l="1"/>
  <c r="X34" i="17"/>
  <c r="AA14" i="30"/>
  <c r="X60" i="29" s="1"/>
  <c r="Y37" i="31"/>
  <c r="AA23" i="37"/>
  <c r="AB15" i="34"/>
  <c r="AC12" i="34" s="1"/>
  <c r="Z13" i="22"/>
  <c r="Y23" i="24"/>
  <c r="Y13" i="23"/>
  <c r="Z23" i="19"/>
  <c r="Z37" i="19" s="1"/>
  <c r="AA15" i="18"/>
  <c r="AB12" i="18" s="1"/>
  <c r="AB14" i="18" s="1"/>
  <c r="Y60" i="17" s="1"/>
  <c r="Y14" i="14"/>
  <c r="AB15" i="8"/>
  <c r="AC12" i="8" s="1"/>
  <c r="AC14" i="8" s="1"/>
  <c r="Z60" i="7" s="1"/>
  <c r="AA23" i="9"/>
  <c r="AA37" i="9" s="1"/>
  <c r="V14" i="3"/>
  <c r="W34" i="21" l="1"/>
  <c r="Y37" i="27"/>
  <c r="W61" i="21"/>
  <c r="Z23" i="32"/>
  <c r="X34" i="29" s="1"/>
  <c r="Z13" i="31"/>
  <c r="AA13" i="30"/>
  <c r="X61" i="29" s="1"/>
  <c r="AC14" i="34"/>
  <c r="S60" i="1"/>
  <c r="Y23" i="23"/>
  <c r="Y37" i="23" s="1"/>
  <c r="Z15" i="22"/>
  <c r="AA12" i="22" s="1"/>
  <c r="X23" i="16"/>
  <c r="Y13" i="14"/>
  <c r="X13" i="13"/>
  <c r="AB13" i="18"/>
  <c r="Y61" i="17" s="1"/>
  <c r="AA23" i="20"/>
  <c r="AA13" i="19"/>
  <c r="AC13" i="8"/>
  <c r="Z61" i="7" s="1"/>
  <c r="AB23" i="10"/>
  <c r="Z34" i="7" s="1"/>
  <c r="AB13" i="9"/>
  <c r="U23" i="4"/>
  <c r="V13" i="3"/>
  <c r="U13" i="2"/>
  <c r="Y34" i="17" l="1"/>
  <c r="Z23" i="31"/>
  <c r="AA15" i="30"/>
  <c r="AB12" i="30" s="1"/>
  <c r="AC13" i="34"/>
  <c r="AB13" i="37"/>
  <c r="AB23" i="35"/>
  <c r="S61" i="1"/>
  <c r="U37" i="37"/>
  <c r="AA14" i="22"/>
  <c r="X60" i="21" s="1"/>
  <c r="AB15" i="18"/>
  <c r="AC12" i="18" s="1"/>
  <c r="AC14" i="18" s="1"/>
  <c r="Z60" i="17" s="1"/>
  <c r="AA23" i="19"/>
  <c r="AA37" i="19" s="1"/>
  <c r="X23" i="13"/>
  <c r="X37" i="13" s="1"/>
  <c r="Y15" i="14"/>
  <c r="Z12" i="14" s="1"/>
  <c r="AD23" i="10"/>
  <c r="AD13" i="9"/>
  <c r="AC15" i="8"/>
  <c r="AB23" i="9"/>
  <c r="U23" i="2"/>
  <c r="U37" i="2" s="1"/>
  <c r="V15" i="3"/>
  <c r="W12" i="3" s="1"/>
  <c r="S34" i="1"/>
  <c r="AB14" i="30" l="1"/>
  <c r="Y60" i="29" s="1"/>
  <c r="Z37" i="31"/>
  <c r="AB23" i="37"/>
  <c r="AC15" i="34"/>
  <c r="Z13" i="23"/>
  <c r="Z23" i="24"/>
  <c r="AA13" i="22"/>
  <c r="Z14" i="14"/>
  <c r="AC13" i="18"/>
  <c r="Z61" i="17" s="1"/>
  <c r="AB23" i="20"/>
  <c r="Z34" i="17" s="1"/>
  <c r="AB13" i="19"/>
  <c r="AB37" i="9"/>
  <c r="AD23" i="9"/>
  <c r="W14" i="3"/>
  <c r="X34" i="21" l="1"/>
  <c r="Z37" i="27"/>
  <c r="X61" i="21"/>
  <c r="AB13" i="30"/>
  <c r="Y61" i="29" s="1"/>
  <c r="AA23" i="32"/>
  <c r="Y34" i="29" s="1"/>
  <c r="AA13" i="31"/>
  <c r="T60" i="1"/>
  <c r="Z23" i="23"/>
  <c r="Z37" i="23" s="1"/>
  <c r="AA15" i="22"/>
  <c r="AB12" i="22" s="1"/>
  <c r="AC15" i="18"/>
  <c r="AB23" i="19"/>
  <c r="AD23" i="19" s="1"/>
  <c r="AD13" i="19"/>
  <c r="Y23" i="16"/>
  <c r="Z13" i="14"/>
  <c r="Y13" i="13"/>
  <c r="AD23" i="20"/>
  <c r="W13" i="3"/>
  <c r="V13" i="2"/>
  <c r="V23" i="4"/>
  <c r="AA23" i="31" l="1"/>
  <c r="AB15" i="30"/>
  <c r="AC12" i="30" s="1"/>
  <c r="T61" i="1"/>
  <c r="V37" i="37"/>
  <c r="AB14" i="22"/>
  <c r="Y60" i="21" s="1"/>
  <c r="AB37" i="19"/>
  <c r="Y23" i="13"/>
  <c r="Y37" i="13" s="1"/>
  <c r="Z15" i="14"/>
  <c r="AA12" i="14" s="1"/>
  <c r="T34" i="1"/>
  <c r="V23" i="2"/>
  <c r="V37" i="2" s="1"/>
  <c r="W15" i="3"/>
  <c r="X12" i="3" s="1"/>
  <c r="AC14" i="30" l="1"/>
  <c r="Z60" i="29" s="1"/>
  <c r="AA37" i="31"/>
  <c r="AB13" i="22"/>
  <c r="AA23" i="24"/>
  <c r="Y34" i="21" s="1"/>
  <c r="AA13" i="23"/>
  <c r="AA14" i="14"/>
  <c r="X14" i="3"/>
  <c r="AA37" i="27" l="1"/>
  <c r="Y61" i="21"/>
  <c r="AC13" i="30"/>
  <c r="Z61" i="29" s="1"/>
  <c r="AB13" i="31"/>
  <c r="AB23" i="32"/>
  <c r="Z34" i="29" s="1"/>
  <c r="U60" i="1"/>
  <c r="AA23" i="23"/>
  <c r="AB15" i="22"/>
  <c r="AC12" i="22" s="1"/>
  <c r="AA13" i="14"/>
  <c r="Z23" i="16"/>
  <c r="Z13" i="13"/>
  <c r="W13" i="2"/>
  <c r="X13" i="3"/>
  <c r="W23" i="4"/>
  <c r="AD13" i="31" l="1"/>
  <c r="AB23" i="31"/>
  <c r="AC15" i="30"/>
  <c r="AD23" i="32"/>
  <c r="U61" i="1"/>
  <c r="W37" i="37"/>
  <c r="AA37" i="23"/>
  <c r="AC14" i="22"/>
  <c r="Z60" i="21" s="1"/>
  <c r="Z23" i="13"/>
  <c r="Z37" i="13" s="1"/>
  <c r="AA15" i="14"/>
  <c r="AB12" i="14" s="1"/>
  <c r="W23" i="2"/>
  <c r="W37" i="2" s="1"/>
  <c r="X15" i="3"/>
  <c r="Y12" i="3" s="1"/>
  <c r="U34" i="1"/>
  <c r="AB37" i="31" l="1"/>
  <c r="AD23" i="31"/>
  <c r="AD23" i="28"/>
  <c r="AD13" i="27"/>
  <c r="AB23" i="24"/>
  <c r="Z34" i="21" s="1"/>
  <c r="AB13" i="23"/>
  <c r="AC13" i="22"/>
  <c r="Z61" i="21" s="1"/>
  <c r="AB14" i="14"/>
  <c r="Y14" i="3"/>
  <c r="V60" i="1" s="1"/>
  <c r="AB37" i="27" l="1"/>
  <c r="AD23" i="27"/>
  <c r="AB23" i="23"/>
  <c r="AC15" i="22"/>
  <c r="AD13" i="23"/>
  <c r="AD23" i="24"/>
  <c r="AB13" i="14"/>
  <c r="AA13" i="13"/>
  <c r="AA23" i="16"/>
  <c r="X13" i="2"/>
  <c r="Y13" i="3"/>
  <c r="X23" i="4"/>
  <c r="V34" i="1" l="1"/>
  <c r="X37" i="37"/>
  <c r="V61" i="1"/>
  <c r="AB37" i="23"/>
  <c r="AD23" i="23"/>
  <c r="AA23" i="13"/>
  <c r="AA37" i="13" s="1"/>
  <c r="AB15" i="14"/>
  <c r="AC12" i="14" s="1"/>
  <c r="X23" i="2"/>
  <c r="X37" i="2" s="1"/>
  <c r="Y15" i="3"/>
  <c r="Z12" i="3" s="1"/>
  <c r="AC14" i="14" l="1"/>
  <c r="Z14" i="3"/>
  <c r="W60" i="1" s="1"/>
  <c r="AB23" i="16" l="1"/>
  <c r="AC13" i="14"/>
  <c r="AB13" i="13"/>
  <c r="Z13" i="3"/>
  <c r="Y13" i="2"/>
  <c r="Y23" i="4"/>
  <c r="W34" i="1" l="1"/>
  <c r="Y37" i="37"/>
  <c r="W61" i="1"/>
  <c r="AB23" i="13"/>
  <c r="AC15" i="14"/>
  <c r="AD23" i="16"/>
  <c r="AD13" i="13"/>
  <c r="Y23" i="2"/>
  <c r="Y37" i="2" s="1"/>
  <c r="Z15" i="3"/>
  <c r="AA12" i="3" s="1"/>
  <c r="AD23" i="13" l="1"/>
  <c r="AB37" i="13"/>
  <c r="AA14" i="3"/>
  <c r="X60" i="1" s="1"/>
  <c r="AA13" i="3" l="1"/>
  <c r="Z23" i="4"/>
  <c r="Z13" i="2"/>
  <c r="X34" i="1" l="1"/>
  <c r="Z37" i="37"/>
  <c r="X61" i="1"/>
  <c r="Z23" i="2"/>
  <c r="Z37" i="2" s="1"/>
  <c r="AA15" i="3"/>
  <c r="AB12" i="3" s="1"/>
  <c r="AB14" i="3" l="1"/>
  <c r="Y60" i="1" s="1"/>
  <c r="AA13" i="2" l="1"/>
  <c r="AB13" i="3"/>
  <c r="AA23" i="4"/>
  <c r="Y34" i="1" s="1"/>
  <c r="AA37" i="37" l="1"/>
  <c r="Y61" i="1"/>
  <c r="AA23" i="2"/>
  <c r="AA37" i="2" s="1"/>
  <c r="AB15" i="3"/>
  <c r="AC12" i="3" s="1"/>
  <c r="AC14" i="3" l="1"/>
  <c r="Z60" i="1" s="1"/>
  <c r="AD23" i="35" l="1"/>
  <c r="AD13" i="37"/>
  <c r="AB13" i="2"/>
  <c r="AC13" i="3"/>
  <c r="Z61" i="1" s="1"/>
  <c r="AB23" i="4"/>
  <c r="Z34" i="1" s="1"/>
  <c r="AB37" i="37" l="1"/>
  <c r="AD23" i="37"/>
  <c r="AD23" i="4"/>
  <c r="AB23" i="2"/>
  <c r="AD23" i="2" s="1"/>
  <c r="AC15" i="3"/>
  <c r="AD13" i="2"/>
  <c r="AB37" i="2" l="1"/>
  <c r="B42" i="5" l="1"/>
  <c r="B45" i="5" s="1"/>
  <c r="B48" i="5" s="1"/>
  <c r="B51" i="7" l="1"/>
  <c r="B48" i="7"/>
  <c r="C48" i="7" s="1"/>
  <c r="D48" i="7" s="1"/>
  <c r="E48" i="7" s="1"/>
  <c r="F48" i="7" s="1"/>
  <c r="G48" i="7" s="1"/>
  <c r="H48" i="7" s="1"/>
  <c r="I48" i="7" s="1"/>
  <c r="J48" i="7" s="1"/>
  <c r="K48" i="7" s="1"/>
  <c r="L48" i="7" s="1"/>
  <c r="M48" i="7" s="1"/>
  <c r="N48" i="7" s="1"/>
  <c r="O48" i="7" s="1"/>
  <c r="P48" i="7" s="1"/>
  <c r="Q48" i="7" s="1"/>
  <c r="R48" i="7" s="1"/>
  <c r="S48" i="7" s="1"/>
  <c r="T48" i="7" s="1"/>
  <c r="U48" i="7" s="1"/>
  <c r="V48" i="7" s="1"/>
  <c r="W48" i="7" s="1"/>
  <c r="X48" i="7" s="1"/>
  <c r="Y48" i="7" s="1"/>
  <c r="Z48" i="7" s="1"/>
  <c r="D42" i="5" l="1"/>
  <c r="E42" i="5"/>
  <c r="F42" i="5"/>
  <c r="M15" i="7"/>
  <c r="B49" i="5"/>
  <c r="B75" i="5"/>
  <c r="B86" i="5" s="1"/>
  <c r="B88" i="5" s="1"/>
  <c r="B53" i="5"/>
  <c r="B54" i="7"/>
  <c r="C51" i="7"/>
  <c r="D51" i="7" l="1"/>
  <c r="C54" i="7"/>
  <c r="M17" i="17"/>
  <c r="E45" i="5"/>
  <c r="E48" i="5" s="1"/>
  <c r="M18" i="7"/>
  <c r="H24" i="7" s="1"/>
  <c r="D8" i="9"/>
  <c r="F44" i="5"/>
  <c r="F46" i="5" s="1"/>
  <c r="D45" i="5"/>
  <c r="D48" i="5" s="1"/>
  <c r="M17" i="15"/>
  <c r="F45" i="5" l="1"/>
  <c r="F48" i="5" s="1"/>
  <c r="E53" i="5"/>
  <c r="E49" i="5"/>
  <c r="M15" i="17"/>
  <c r="M18" i="17" s="1"/>
  <c r="E75" i="5"/>
  <c r="E86" i="5" s="1"/>
  <c r="E88" i="5" s="1"/>
  <c r="M17" i="21"/>
  <c r="M15" i="15"/>
  <c r="M18" i="15" s="1"/>
  <c r="D49" i="5"/>
  <c r="D75" i="5"/>
  <c r="D86" i="5" s="1"/>
  <c r="D88" i="5" s="1"/>
  <c r="D53" i="5"/>
  <c r="B59" i="7"/>
  <c r="E8" i="9"/>
  <c r="D12" i="10"/>
  <c r="D11" i="9"/>
  <c r="E51" i="7"/>
  <c r="D54" i="7"/>
  <c r="C59" i="7" l="1"/>
  <c r="C63" i="7" s="1"/>
  <c r="C64" i="7" s="1"/>
  <c r="F8" i="9"/>
  <c r="E11" i="9"/>
  <c r="E12" i="10"/>
  <c r="E14" i="10" s="1"/>
  <c r="D15" i="9"/>
  <c r="D26" i="9" s="1"/>
  <c r="D36" i="9"/>
  <c r="D39" i="9" s="1"/>
  <c r="C13" i="36"/>
  <c r="B63" i="7"/>
  <c r="Z8" i="13"/>
  <c r="Y8" i="13"/>
  <c r="AA8" i="13"/>
  <c r="R8" i="13"/>
  <c r="J8" i="13"/>
  <c r="Q8" i="13"/>
  <c r="F8" i="13"/>
  <c r="E8" i="13"/>
  <c r="M8" i="13"/>
  <c r="S8" i="13"/>
  <c r="AB8" i="13"/>
  <c r="X8" i="13"/>
  <c r="H8" i="13"/>
  <c r="D8" i="13"/>
  <c r="V8" i="13"/>
  <c r="P8" i="13"/>
  <c r="I8" i="13"/>
  <c r="T8" i="13"/>
  <c r="O8" i="13"/>
  <c r="G8" i="13"/>
  <c r="N8" i="13"/>
  <c r="L8" i="13"/>
  <c r="U8" i="13"/>
  <c r="W8" i="13"/>
  <c r="K8" i="13"/>
  <c r="K8" i="19"/>
  <c r="H8" i="19"/>
  <c r="J8" i="19"/>
  <c r="R8" i="19"/>
  <c r="V8" i="19"/>
  <c r="P8" i="19"/>
  <c r="W8" i="19"/>
  <c r="X8" i="19"/>
  <c r="M8" i="19"/>
  <c r="Y8" i="19"/>
  <c r="F8" i="19"/>
  <c r="E8" i="19"/>
  <c r="N8" i="19"/>
  <c r="D8" i="19"/>
  <c r="U8" i="19"/>
  <c r="Q8" i="19"/>
  <c r="S8" i="19"/>
  <c r="Z8" i="19"/>
  <c r="I8" i="19"/>
  <c r="T8" i="19"/>
  <c r="AB8" i="19"/>
  <c r="G8" i="19"/>
  <c r="AA8" i="19"/>
  <c r="O8" i="19"/>
  <c r="L8" i="19"/>
  <c r="D14" i="10"/>
  <c r="F51" i="7"/>
  <c r="E54" i="7"/>
  <c r="M15" i="21"/>
  <c r="M18" i="21" s="1"/>
  <c r="F75" i="5"/>
  <c r="F86" i="5" s="1"/>
  <c r="F88" i="5" s="1"/>
  <c r="F53" i="5"/>
  <c r="F49" i="5"/>
  <c r="G11" i="19" l="1"/>
  <c r="E59" i="17"/>
  <c r="E63" i="17" s="1"/>
  <c r="E64" i="17" s="1"/>
  <c r="G12" i="20"/>
  <c r="G14" i="20" s="1"/>
  <c r="Y12" i="20"/>
  <c r="Y14" i="20" s="1"/>
  <c r="Y11" i="19"/>
  <c r="W59" i="17"/>
  <c r="W63" i="17" s="1"/>
  <c r="W64" i="17" s="1"/>
  <c r="U11" i="13"/>
  <c r="S59" i="15"/>
  <c r="S63" i="15" s="1"/>
  <c r="S64" i="15" s="1"/>
  <c r="U12" i="16"/>
  <c r="U14" i="16" s="1"/>
  <c r="AB11" i="13"/>
  <c r="AB12" i="16"/>
  <c r="AB14" i="16" s="1"/>
  <c r="AB16" i="16" s="1"/>
  <c r="K8" i="23"/>
  <c r="W8" i="23"/>
  <c r="AB8" i="23"/>
  <c r="J8" i="23"/>
  <c r="R8" i="23"/>
  <c r="V8" i="23"/>
  <c r="N8" i="23"/>
  <c r="P8" i="23"/>
  <c r="I8" i="23"/>
  <c r="X8" i="23"/>
  <c r="O8" i="23"/>
  <c r="Q8" i="23"/>
  <c r="U8" i="23"/>
  <c r="S8" i="23"/>
  <c r="T8" i="23"/>
  <c r="Y8" i="23"/>
  <c r="E8" i="23"/>
  <c r="G8" i="23"/>
  <c r="L8" i="23"/>
  <c r="Z8" i="23"/>
  <c r="H8" i="23"/>
  <c r="D8" i="23"/>
  <c r="M8" i="23"/>
  <c r="F8" i="23"/>
  <c r="AA8" i="23"/>
  <c r="L11" i="19"/>
  <c r="J59" i="17"/>
  <c r="J63" i="17" s="1"/>
  <c r="J64" i="17" s="1"/>
  <c r="L12" i="20"/>
  <c r="L14" i="20" s="1"/>
  <c r="Z59" i="17"/>
  <c r="Z63" i="17" s="1"/>
  <c r="Z64" i="17" s="1"/>
  <c r="AB12" i="20"/>
  <c r="AB14" i="20" s="1"/>
  <c r="AB11" i="19"/>
  <c r="S12" i="20"/>
  <c r="S14" i="20" s="1"/>
  <c r="Q59" i="17"/>
  <c r="Q63" i="17" s="1"/>
  <c r="Q64" i="17" s="1"/>
  <c r="S11" i="19"/>
  <c r="N11" i="19"/>
  <c r="N12" i="20"/>
  <c r="N14" i="20" s="1"/>
  <c r="L59" i="17"/>
  <c r="L63" i="17" s="1"/>
  <c r="L64" i="17" s="1"/>
  <c r="M11" i="19"/>
  <c r="M12" i="20"/>
  <c r="M14" i="20" s="1"/>
  <c r="K59" i="17"/>
  <c r="K63" i="17" s="1"/>
  <c r="K64" i="17" s="1"/>
  <c r="V11" i="19"/>
  <c r="V12" i="20"/>
  <c r="V14" i="20" s="1"/>
  <c r="T59" i="17"/>
  <c r="T63" i="17" s="1"/>
  <c r="T64" i="17" s="1"/>
  <c r="K11" i="19"/>
  <c r="K12" i="20"/>
  <c r="K14" i="20" s="1"/>
  <c r="I59" i="17"/>
  <c r="I63" i="17" s="1"/>
  <c r="I64" i="17" s="1"/>
  <c r="L12" i="16"/>
  <c r="L14" i="16" s="1"/>
  <c r="L11" i="13"/>
  <c r="J59" i="15"/>
  <c r="J63" i="15" s="1"/>
  <c r="J64" i="15" s="1"/>
  <c r="T11" i="13"/>
  <c r="T12" i="16"/>
  <c r="T14" i="16" s="1"/>
  <c r="R59" i="15"/>
  <c r="R63" i="15" s="1"/>
  <c r="R64" i="15" s="1"/>
  <c r="D12" i="16"/>
  <c r="B59" i="15"/>
  <c r="D11" i="13"/>
  <c r="H24" i="15"/>
  <c r="AD8" i="13"/>
  <c r="AD11" i="13" s="1"/>
  <c r="AD15" i="13" s="1"/>
  <c r="AD26" i="13" s="1"/>
  <c r="AD30" i="13" s="1"/>
  <c r="S12" i="16"/>
  <c r="S14" i="16" s="1"/>
  <c r="Q59" i="15"/>
  <c r="Q63" i="15" s="1"/>
  <c r="Q64" i="15" s="1"/>
  <c r="S11" i="13"/>
  <c r="Q11" i="13"/>
  <c r="Q12" i="16"/>
  <c r="Q14" i="16" s="1"/>
  <c r="O59" i="15"/>
  <c r="O63" i="15" s="1"/>
  <c r="O64" i="15" s="1"/>
  <c r="Y12" i="16"/>
  <c r="Y14" i="16" s="1"/>
  <c r="Y16" i="16" s="1"/>
  <c r="Y11" i="13"/>
  <c r="F11" i="9"/>
  <c r="G8" i="9"/>
  <c r="F12" i="10"/>
  <c r="D59" i="7"/>
  <c r="D63" i="7" s="1"/>
  <c r="D64" i="7" s="1"/>
  <c r="D12" i="20"/>
  <c r="B59" i="17"/>
  <c r="D11" i="19"/>
  <c r="H24" i="17"/>
  <c r="AD8" i="19"/>
  <c r="AD11" i="19" s="1"/>
  <c r="AD15" i="19" s="1"/>
  <c r="AD26" i="19" s="1"/>
  <c r="AD30" i="19" s="1"/>
  <c r="H11" i="19"/>
  <c r="F59" i="17"/>
  <c r="F63" i="17" s="1"/>
  <c r="F64" i="17" s="1"/>
  <c r="H12" i="20"/>
  <c r="H14" i="20" s="1"/>
  <c r="V11" i="13"/>
  <c r="V12" i="16"/>
  <c r="V14" i="16" s="1"/>
  <c r="T59" i="15"/>
  <c r="T63" i="15" s="1"/>
  <c r="T64" i="15" s="1"/>
  <c r="AA11" i="13"/>
  <c r="AA12" i="16"/>
  <c r="AA14" i="16" s="1"/>
  <c r="AA16" i="16" s="1"/>
  <c r="B30" i="7"/>
  <c r="B31" i="7" s="1"/>
  <c r="B33" i="7" s="1"/>
  <c r="B35" i="7" s="1"/>
  <c r="C10" i="36" s="1"/>
  <c r="D16" i="10"/>
  <c r="O12" i="20"/>
  <c r="O14" i="20" s="1"/>
  <c r="M59" i="17"/>
  <c r="M63" i="17" s="1"/>
  <c r="M64" i="17" s="1"/>
  <c r="O11" i="19"/>
  <c r="T12" i="20"/>
  <c r="T14" i="20" s="1"/>
  <c r="T11" i="19"/>
  <c r="R59" i="17"/>
  <c r="R63" i="17" s="1"/>
  <c r="R64" i="17" s="1"/>
  <c r="Q12" i="20"/>
  <c r="Q14" i="20" s="1"/>
  <c r="Q11" i="19"/>
  <c r="O59" i="17"/>
  <c r="O63" i="17" s="1"/>
  <c r="O64" i="17" s="1"/>
  <c r="E11" i="19"/>
  <c r="E12" i="20"/>
  <c r="E14" i="20" s="1"/>
  <c r="C59" i="17"/>
  <c r="C63" i="17" s="1"/>
  <c r="C64" i="17" s="1"/>
  <c r="X12" i="20"/>
  <c r="X14" i="20" s="1"/>
  <c r="X11" i="19"/>
  <c r="V59" i="17"/>
  <c r="V63" i="17" s="1"/>
  <c r="V64" i="17" s="1"/>
  <c r="R12" i="20"/>
  <c r="R14" i="20" s="1"/>
  <c r="P59" i="17"/>
  <c r="P63" i="17" s="1"/>
  <c r="P64" i="17" s="1"/>
  <c r="R11" i="19"/>
  <c r="K11" i="13"/>
  <c r="K12" i="16"/>
  <c r="K14" i="16" s="1"/>
  <c r="I59" i="15"/>
  <c r="I63" i="15" s="1"/>
  <c r="I64" i="15" s="1"/>
  <c r="N11" i="13"/>
  <c r="N12" i="16"/>
  <c r="N14" i="16" s="1"/>
  <c r="L59" i="15"/>
  <c r="L63" i="15" s="1"/>
  <c r="L64" i="15" s="1"/>
  <c r="I11" i="13"/>
  <c r="I12" i="16"/>
  <c r="I14" i="16" s="1"/>
  <c r="G59" i="15"/>
  <c r="G63" i="15" s="1"/>
  <c r="G64" i="15" s="1"/>
  <c r="H11" i="13"/>
  <c r="H12" i="16"/>
  <c r="H14" i="16" s="1"/>
  <c r="F59" i="15"/>
  <c r="F63" i="15" s="1"/>
  <c r="F64" i="15" s="1"/>
  <c r="M12" i="16"/>
  <c r="M14" i="16" s="1"/>
  <c r="M11" i="13"/>
  <c r="K59" i="15"/>
  <c r="K63" i="15" s="1"/>
  <c r="K64" i="15" s="1"/>
  <c r="J11" i="13"/>
  <c r="J12" i="16"/>
  <c r="J14" i="16" s="1"/>
  <c r="H59" i="15"/>
  <c r="H63" i="15" s="1"/>
  <c r="H64" i="15" s="1"/>
  <c r="Z11" i="13"/>
  <c r="Z12" i="16"/>
  <c r="Z14" i="16" s="1"/>
  <c r="Z16" i="16" s="1"/>
  <c r="B37" i="7"/>
  <c r="C11" i="36" s="1"/>
  <c r="D30" i="9"/>
  <c r="E28" i="9" s="1"/>
  <c r="F54" i="7"/>
  <c r="G51" i="7"/>
  <c r="Z12" i="20"/>
  <c r="Z14" i="20" s="1"/>
  <c r="X59" i="17"/>
  <c r="X63" i="17" s="1"/>
  <c r="X64" i="17" s="1"/>
  <c r="Z11" i="19"/>
  <c r="N59" i="17"/>
  <c r="N63" i="17" s="1"/>
  <c r="N64" i="17" s="1"/>
  <c r="P12" i="20"/>
  <c r="P14" i="20" s="1"/>
  <c r="P11" i="19"/>
  <c r="O12" i="16"/>
  <c r="O14" i="16" s="1"/>
  <c r="O11" i="13"/>
  <c r="M59" i="15"/>
  <c r="M63" i="15" s="1"/>
  <c r="M64" i="15" s="1"/>
  <c r="F11" i="13"/>
  <c r="D59" i="15"/>
  <c r="D63" i="15" s="1"/>
  <c r="D64" i="15" s="1"/>
  <c r="F12" i="16"/>
  <c r="F14" i="16" s="1"/>
  <c r="C5" i="36"/>
  <c r="C4" i="36"/>
  <c r="E15" i="9"/>
  <c r="E26" i="9" s="1"/>
  <c r="E36" i="9"/>
  <c r="E39" i="9" s="1"/>
  <c r="AA11" i="19"/>
  <c r="AA12" i="20"/>
  <c r="AA14" i="20" s="1"/>
  <c r="Y59" i="17"/>
  <c r="Y63" i="17" s="1"/>
  <c r="Y64" i="17" s="1"/>
  <c r="I11" i="19"/>
  <c r="G59" i="17"/>
  <c r="G63" i="17" s="1"/>
  <c r="G64" i="17" s="1"/>
  <c r="I12" i="20"/>
  <c r="I14" i="20" s="1"/>
  <c r="U12" i="20"/>
  <c r="U14" i="20" s="1"/>
  <c r="U11" i="19"/>
  <c r="S59" i="17"/>
  <c r="S63" i="17" s="1"/>
  <c r="S64" i="17" s="1"/>
  <c r="F11" i="19"/>
  <c r="D59" i="17"/>
  <c r="D63" i="17" s="1"/>
  <c r="D64" i="17" s="1"/>
  <c r="F12" i="20"/>
  <c r="F14" i="20" s="1"/>
  <c r="W11" i="19"/>
  <c r="W12" i="20"/>
  <c r="W14" i="20" s="1"/>
  <c r="U59" i="17"/>
  <c r="U63" i="17" s="1"/>
  <c r="U64" i="17" s="1"/>
  <c r="J12" i="20"/>
  <c r="J14" i="20" s="1"/>
  <c r="H59" i="17"/>
  <c r="H63" i="17" s="1"/>
  <c r="H64" i="17" s="1"/>
  <c r="J11" i="19"/>
  <c r="W12" i="16"/>
  <c r="W14" i="16" s="1"/>
  <c r="W11" i="13"/>
  <c r="U59" i="15"/>
  <c r="U63" i="15" s="1"/>
  <c r="U64" i="15" s="1"/>
  <c r="G11" i="13"/>
  <c r="G12" i="16"/>
  <c r="G14" i="16" s="1"/>
  <c r="E59" i="15"/>
  <c r="E63" i="15" s="1"/>
  <c r="E64" i="15" s="1"/>
  <c r="P11" i="13"/>
  <c r="P12" i="16"/>
  <c r="P14" i="16" s="1"/>
  <c r="N59" i="15"/>
  <c r="N63" i="15" s="1"/>
  <c r="N64" i="15" s="1"/>
  <c r="X12" i="16"/>
  <c r="X14" i="16" s="1"/>
  <c r="X16" i="16" s="1"/>
  <c r="X11" i="13"/>
  <c r="C59" i="15"/>
  <c r="C63" i="15" s="1"/>
  <c r="C64" i="15" s="1"/>
  <c r="E12" i="16"/>
  <c r="E14" i="16" s="1"/>
  <c r="E11" i="13"/>
  <c r="R12" i="16"/>
  <c r="R14" i="16" s="1"/>
  <c r="R11" i="13"/>
  <c r="P59" i="15"/>
  <c r="P63" i="15" s="1"/>
  <c r="P64" i="15" s="1"/>
  <c r="B64" i="7"/>
  <c r="C18" i="36" s="1"/>
  <c r="C17" i="36"/>
  <c r="E16" i="10"/>
  <c r="C30" i="7"/>
  <c r="C31" i="7" s="1"/>
  <c r="C33" i="7" s="1"/>
  <c r="C35" i="7" s="1"/>
  <c r="W16" i="20" l="1"/>
  <c r="U30" i="17"/>
  <c r="U31" i="17" s="1"/>
  <c r="U33" i="17" s="1"/>
  <c r="U35" i="17" s="1"/>
  <c r="F16" i="16"/>
  <c r="D30" i="15"/>
  <c r="D31" i="15" s="1"/>
  <c r="D33" i="15" s="1"/>
  <c r="D35" i="15" s="1"/>
  <c r="H16" i="16"/>
  <c r="F30" i="15"/>
  <c r="F31" i="15" s="1"/>
  <c r="F33" i="15" s="1"/>
  <c r="F35" i="15" s="1"/>
  <c r="T15" i="19"/>
  <c r="T26" i="19" s="1"/>
  <c r="T36" i="19"/>
  <c r="T39" i="19" s="1"/>
  <c r="H16" i="20"/>
  <c r="F30" i="17"/>
  <c r="F31" i="17" s="1"/>
  <c r="F33" i="17" s="1"/>
  <c r="F35" i="17" s="1"/>
  <c r="T16" i="16"/>
  <c r="R30" i="15"/>
  <c r="R31" i="15" s="1"/>
  <c r="R33" i="15" s="1"/>
  <c r="R35" i="15" s="1"/>
  <c r="M16" i="20"/>
  <c r="K30" i="17"/>
  <c r="K31" i="17" s="1"/>
  <c r="K33" i="17" s="1"/>
  <c r="K35" i="17" s="1"/>
  <c r="M12" i="24"/>
  <c r="M14" i="24" s="1"/>
  <c r="K59" i="21"/>
  <c r="K63" i="21" s="1"/>
  <c r="K64" i="21" s="1"/>
  <c r="M11" i="23"/>
  <c r="L11" i="23"/>
  <c r="L12" i="24"/>
  <c r="L14" i="24" s="1"/>
  <c r="J59" i="21"/>
  <c r="J63" i="21" s="1"/>
  <c r="J64" i="21" s="1"/>
  <c r="O11" i="23"/>
  <c r="O12" i="24"/>
  <c r="O14" i="24" s="1"/>
  <c r="M59" i="21"/>
  <c r="M63" i="21" s="1"/>
  <c r="M64" i="21" s="1"/>
  <c r="AB12" i="24"/>
  <c r="AB14" i="24" s="1"/>
  <c r="AB11" i="23"/>
  <c r="Z59" i="21"/>
  <c r="Z63" i="21" s="1"/>
  <c r="Z64" i="21" s="1"/>
  <c r="AB15" i="13"/>
  <c r="AB26" i="13" s="1"/>
  <c r="AB36" i="13"/>
  <c r="C24" i="36"/>
  <c r="C9" i="36"/>
  <c r="R16" i="16"/>
  <c r="P30" i="15"/>
  <c r="P31" i="15" s="1"/>
  <c r="P33" i="15" s="1"/>
  <c r="P35" i="15" s="1"/>
  <c r="X15" i="13"/>
  <c r="X26" i="13" s="1"/>
  <c r="X36" i="13"/>
  <c r="P15" i="13"/>
  <c r="P26" i="13" s="1"/>
  <c r="P36" i="13"/>
  <c r="P39" i="13" s="1"/>
  <c r="W36" i="19"/>
  <c r="W39" i="19" s="1"/>
  <c r="W15" i="19"/>
  <c r="W26" i="19" s="1"/>
  <c r="AA36" i="19"/>
  <c r="AA39" i="19" s="1"/>
  <c r="AA15" i="19"/>
  <c r="AA26" i="19" s="1"/>
  <c r="C37" i="7"/>
  <c r="E30" i="9"/>
  <c r="F28" i="9" s="1"/>
  <c r="O16" i="16"/>
  <c r="M30" i="15"/>
  <c r="M31" i="15" s="1"/>
  <c r="M33" i="15" s="1"/>
  <c r="M35" i="15" s="1"/>
  <c r="Z15" i="19"/>
  <c r="Z26" i="19" s="1"/>
  <c r="Z36" i="19"/>
  <c r="Z39" i="19" s="1"/>
  <c r="M15" i="13"/>
  <c r="M26" i="13" s="1"/>
  <c r="M36" i="13"/>
  <c r="M39" i="13" s="1"/>
  <c r="H15" i="13"/>
  <c r="H26" i="13" s="1"/>
  <c r="H36" i="13"/>
  <c r="H39" i="13" s="1"/>
  <c r="K16" i="16"/>
  <c r="I30" i="15"/>
  <c r="I31" i="15" s="1"/>
  <c r="I33" i="15" s="1"/>
  <c r="I35" i="15" s="1"/>
  <c r="R16" i="20"/>
  <c r="P30" i="17"/>
  <c r="P31" i="17" s="1"/>
  <c r="P33" i="17" s="1"/>
  <c r="P35" i="17" s="1"/>
  <c r="Q15" i="19"/>
  <c r="Q26" i="19" s="1"/>
  <c r="Q36" i="19"/>
  <c r="Q39" i="19" s="1"/>
  <c r="T16" i="20"/>
  <c r="R30" i="17"/>
  <c r="R31" i="17" s="1"/>
  <c r="R33" i="17" s="1"/>
  <c r="R35" i="17" s="1"/>
  <c r="D17" i="10"/>
  <c r="D21" i="10"/>
  <c r="D25" i="10" s="1"/>
  <c r="D27" i="10" s="1"/>
  <c r="D36" i="19"/>
  <c r="D39" i="19" s="1"/>
  <c r="D15" i="19"/>
  <c r="D26" i="19" s="1"/>
  <c r="F14" i="10"/>
  <c r="Q16" i="16"/>
  <c r="O30" i="15"/>
  <c r="O31" i="15" s="1"/>
  <c r="O33" i="15" s="1"/>
  <c r="O35" i="15" s="1"/>
  <c r="S16" i="16"/>
  <c r="Q30" i="15"/>
  <c r="Q31" i="15" s="1"/>
  <c r="Q33" i="15" s="1"/>
  <c r="Q35" i="15" s="1"/>
  <c r="B63" i="15"/>
  <c r="E13" i="36"/>
  <c r="T15" i="13"/>
  <c r="T26" i="13" s="1"/>
  <c r="T36" i="13"/>
  <c r="T39" i="13" s="1"/>
  <c r="V16" i="20"/>
  <c r="T30" i="17"/>
  <c r="T31" i="17" s="1"/>
  <c r="T33" i="17" s="1"/>
  <c r="T35" i="17" s="1"/>
  <c r="M15" i="19"/>
  <c r="M26" i="19" s="1"/>
  <c r="M36" i="19"/>
  <c r="M39" i="19" s="1"/>
  <c r="S15" i="19"/>
  <c r="S26" i="19" s="1"/>
  <c r="S36" i="19"/>
  <c r="S39" i="19" s="1"/>
  <c r="AB16" i="20"/>
  <c r="Z30" i="17"/>
  <c r="Z31" i="17" s="1"/>
  <c r="Z33" i="17" s="1"/>
  <c r="Z35" i="17" s="1"/>
  <c r="L15" i="19"/>
  <c r="L26" i="19" s="1"/>
  <c r="L36" i="19"/>
  <c r="L39" i="19" s="1"/>
  <c r="D12" i="24"/>
  <c r="B59" i="21"/>
  <c r="D11" i="23"/>
  <c r="AD8" i="23"/>
  <c r="AD11" i="23" s="1"/>
  <c r="AD15" i="23" s="1"/>
  <c r="AD26" i="23" s="1"/>
  <c r="AD30" i="23" s="1"/>
  <c r="H24" i="21"/>
  <c r="G11" i="23"/>
  <c r="E59" i="21"/>
  <c r="E63" i="21" s="1"/>
  <c r="E64" i="21" s="1"/>
  <c r="G12" i="24"/>
  <c r="G14" i="24" s="1"/>
  <c r="S11" i="23"/>
  <c r="S12" i="24"/>
  <c r="S14" i="24" s="1"/>
  <c r="Q59" i="21"/>
  <c r="Q63" i="21" s="1"/>
  <c r="Q64" i="21" s="1"/>
  <c r="X12" i="24"/>
  <c r="X14" i="24" s="1"/>
  <c r="X11" i="23"/>
  <c r="V59" i="21"/>
  <c r="V63" i="21" s="1"/>
  <c r="V64" i="21" s="1"/>
  <c r="V11" i="23"/>
  <c r="T59" i="21"/>
  <c r="T63" i="21" s="1"/>
  <c r="T64" i="21" s="1"/>
  <c r="V12" i="24"/>
  <c r="V14" i="24" s="1"/>
  <c r="W12" i="24"/>
  <c r="W14" i="24" s="1"/>
  <c r="U59" i="21"/>
  <c r="U63" i="21" s="1"/>
  <c r="U64" i="21" s="1"/>
  <c r="W11" i="23"/>
  <c r="U16" i="16"/>
  <c r="S30" i="15"/>
  <c r="S31" i="15" s="1"/>
  <c r="S33" i="15" s="1"/>
  <c r="S35" i="15" s="1"/>
  <c r="Y15" i="19"/>
  <c r="Y26" i="19" s="1"/>
  <c r="Y36" i="19"/>
  <c r="Y39" i="19" s="1"/>
  <c r="G36" i="19"/>
  <c r="G39" i="19" s="1"/>
  <c r="G15" i="19"/>
  <c r="G26" i="19" s="1"/>
  <c r="R15" i="13"/>
  <c r="R26" i="13" s="1"/>
  <c r="R36" i="13"/>
  <c r="R39" i="13" s="1"/>
  <c r="G15" i="13"/>
  <c r="G26" i="13" s="1"/>
  <c r="G36" i="13"/>
  <c r="G39" i="13" s="1"/>
  <c r="F15" i="19"/>
  <c r="F26" i="19" s="1"/>
  <c r="F36" i="19"/>
  <c r="F39" i="19" s="1"/>
  <c r="O15" i="13"/>
  <c r="O26" i="13" s="1"/>
  <c r="O36" i="13"/>
  <c r="O39" i="13" s="1"/>
  <c r="Z15" i="13"/>
  <c r="Z26" i="13" s="1"/>
  <c r="Z36" i="13"/>
  <c r="X16" i="20"/>
  <c r="V30" i="17"/>
  <c r="V31" i="17" s="1"/>
  <c r="V33" i="17" s="1"/>
  <c r="V35" i="17" s="1"/>
  <c r="O16" i="20"/>
  <c r="M30" i="17"/>
  <c r="M31" i="17" s="1"/>
  <c r="M33" i="17" s="1"/>
  <c r="M35" i="17" s="1"/>
  <c r="L16" i="16"/>
  <c r="J30" i="15"/>
  <c r="J31" i="15" s="1"/>
  <c r="J33" i="15" s="1"/>
  <c r="J35" i="15" s="1"/>
  <c r="T12" i="24"/>
  <c r="T14" i="24" s="1"/>
  <c r="R59" i="21"/>
  <c r="R63" i="21" s="1"/>
  <c r="R64" i="21" s="1"/>
  <c r="T11" i="23"/>
  <c r="X17" i="16"/>
  <c r="X21" i="16"/>
  <c r="X25" i="16" s="1"/>
  <c r="X27" i="16" s="1"/>
  <c r="J16" i="20"/>
  <c r="H30" i="17"/>
  <c r="H31" i="17" s="1"/>
  <c r="H33" i="17" s="1"/>
  <c r="H35" i="17" s="1"/>
  <c r="U15" i="19"/>
  <c r="U26" i="19" s="1"/>
  <c r="U36" i="19"/>
  <c r="U39" i="19" s="1"/>
  <c r="F15" i="13"/>
  <c r="F26" i="13" s="1"/>
  <c r="F36" i="13"/>
  <c r="F39" i="13" s="1"/>
  <c r="P15" i="19"/>
  <c r="P26" i="19" s="1"/>
  <c r="P36" i="19"/>
  <c r="P39" i="19" s="1"/>
  <c r="J16" i="16"/>
  <c r="H30" i="15"/>
  <c r="H31" i="15" s="1"/>
  <c r="H33" i="15" s="1"/>
  <c r="H35" i="15" s="1"/>
  <c r="M16" i="16"/>
  <c r="K30" i="15"/>
  <c r="K31" i="15" s="1"/>
  <c r="K33" i="15" s="1"/>
  <c r="K35" i="15" s="1"/>
  <c r="N16" i="16"/>
  <c r="L30" i="15"/>
  <c r="L31" i="15" s="1"/>
  <c r="L33" i="15" s="1"/>
  <c r="L35" i="15" s="1"/>
  <c r="K15" i="13"/>
  <c r="K26" i="13" s="1"/>
  <c r="K36" i="13"/>
  <c r="K39" i="13" s="1"/>
  <c r="E16" i="20"/>
  <c r="C30" i="17"/>
  <c r="C31" i="17" s="1"/>
  <c r="C33" i="17" s="1"/>
  <c r="C35" i="17" s="1"/>
  <c r="Q16" i="20"/>
  <c r="O30" i="17"/>
  <c r="O31" i="17" s="1"/>
  <c r="O33" i="17" s="1"/>
  <c r="O35" i="17" s="1"/>
  <c r="O36" i="19"/>
  <c r="O39" i="19" s="1"/>
  <c r="O15" i="19"/>
  <c r="O26" i="19" s="1"/>
  <c r="V16" i="16"/>
  <c r="T30" i="15"/>
  <c r="T31" i="15" s="1"/>
  <c r="T33" i="15" s="1"/>
  <c r="T35" i="15" s="1"/>
  <c r="H15" i="19"/>
  <c r="H26" i="19" s="1"/>
  <c r="H36" i="19"/>
  <c r="H39" i="19" s="1"/>
  <c r="F13" i="36"/>
  <c r="B63" i="17"/>
  <c r="E59" i="7"/>
  <c r="E63" i="7" s="1"/>
  <c r="E64" i="7" s="1"/>
  <c r="G12" i="10"/>
  <c r="G14" i="10" s="1"/>
  <c r="G11" i="9"/>
  <c r="H8" i="9"/>
  <c r="Y15" i="13"/>
  <c r="Y26" i="13" s="1"/>
  <c r="Y36" i="13"/>
  <c r="Q15" i="13"/>
  <c r="Q26" i="13" s="1"/>
  <c r="Q36" i="13"/>
  <c r="Q39" i="13" s="1"/>
  <c r="D14" i="16"/>
  <c r="AD12" i="16"/>
  <c r="AD14" i="16" s="1"/>
  <c r="AD16" i="16" s="1"/>
  <c r="K16" i="20"/>
  <c r="I30" i="17"/>
  <c r="I31" i="17" s="1"/>
  <c r="I33" i="17" s="1"/>
  <c r="I35" i="17" s="1"/>
  <c r="V36" i="19"/>
  <c r="V39" i="19" s="1"/>
  <c r="V15" i="19"/>
  <c r="V26" i="19" s="1"/>
  <c r="Y59" i="21"/>
  <c r="Y63" i="21" s="1"/>
  <c r="Y64" i="21" s="1"/>
  <c r="AA12" i="24"/>
  <c r="AA14" i="24" s="1"/>
  <c r="AA11" i="23"/>
  <c r="H11" i="23"/>
  <c r="H12" i="24"/>
  <c r="H14" i="24" s="1"/>
  <c r="F59" i="21"/>
  <c r="F63" i="21" s="1"/>
  <c r="F64" i="21" s="1"/>
  <c r="E12" i="24"/>
  <c r="E14" i="24" s="1"/>
  <c r="C59" i="21"/>
  <c r="C63" i="21" s="1"/>
  <c r="C64" i="21" s="1"/>
  <c r="E11" i="23"/>
  <c r="U12" i="24"/>
  <c r="U14" i="24" s="1"/>
  <c r="U11" i="23"/>
  <c r="S59" i="21"/>
  <c r="S63" i="21" s="1"/>
  <c r="S64" i="21" s="1"/>
  <c r="I12" i="24"/>
  <c r="I14" i="24" s="1"/>
  <c r="I11" i="23"/>
  <c r="G59" i="21"/>
  <c r="G63" i="21" s="1"/>
  <c r="G64" i="21" s="1"/>
  <c r="R11" i="23"/>
  <c r="R12" i="24"/>
  <c r="R14" i="24" s="1"/>
  <c r="P59" i="21"/>
  <c r="P63" i="21" s="1"/>
  <c r="P64" i="21" s="1"/>
  <c r="K11" i="23"/>
  <c r="K12" i="24"/>
  <c r="K14" i="24" s="1"/>
  <c r="I59" i="21"/>
  <c r="I63" i="21" s="1"/>
  <c r="I64" i="21" s="1"/>
  <c r="Y16" i="20"/>
  <c r="W30" i="17"/>
  <c r="W31" i="17" s="1"/>
  <c r="W33" i="17" s="1"/>
  <c r="W35" i="17" s="1"/>
  <c r="E21" i="10"/>
  <c r="E25" i="10" s="1"/>
  <c r="E27" i="10" s="1"/>
  <c r="E17" i="10"/>
  <c r="P16" i="16"/>
  <c r="N30" i="15"/>
  <c r="N31" i="15" s="1"/>
  <c r="N33" i="15" s="1"/>
  <c r="N35" i="15" s="1"/>
  <c r="J15" i="19"/>
  <c r="J26" i="19" s="1"/>
  <c r="J36" i="19"/>
  <c r="J39" i="19" s="1"/>
  <c r="I16" i="20"/>
  <c r="G30" i="17"/>
  <c r="G31" i="17" s="1"/>
  <c r="G33" i="17" s="1"/>
  <c r="G35" i="17" s="1"/>
  <c r="AA16" i="20"/>
  <c r="Y30" i="17"/>
  <c r="Y31" i="17" s="1"/>
  <c r="Y33" i="17" s="1"/>
  <c r="Y35" i="17" s="1"/>
  <c r="G54" i="7"/>
  <c r="H51" i="7"/>
  <c r="I15" i="13"/>
  <c r="I26" i="13" s="1"/>
  <c r="I36" i="13"/>
  <c r="I39" i="13" s="1"/>
  <c r="AA15" i="13"/>
  <c r="AA26" i="13" s="1"/>
  <c r="AA36" i="13"/>
  <c r="D36" i="13"/>
  <c r="D39" i="13" s="1"/>
  <c r="D15" i="13"/>
  <c r="D26" i="13" s="1"/>
  <c r="N15" i="19"/>
  <c r="N26" i="19" s="1"/>
  <c r="N36" i="19"/>
  <c r="N39" i="19" s="1"/>
  <c r="AB15" i="19"/>
  <c r="AB26" i="19" s="1"/>
  <c r="AB36" i="19"/>
  <c r="AB39" i="19" s="1"/>
  <c r="N12" i="24"/>
  <c r="N14" i="24" s="1"/>
  <c r="N11" i="23"/>
  <c r="L59" i="21"/>
  <c r="L63" i="21" s="1"/>
  <c r="L64" i="21" s="1"/>
  <c r="E15" i="13"/>
  <c r="E26" i="13" s="1"/>
  <c r="E36" i="13"/>
  <c r="E39" i="13" s="1"/>
  <c r="W15" i="13"/>
  <c r="W26" i="13" s="1"/>
  <c r="W36" i="13"/>
  <c r="W39" i="13" s="1"/>
  <c r="F16" i="20"/>
  <c r="D30" i="17"/>
  <c r="D31" i="17" s="1"/>
  <c r="D33" i="17" s="1"/>
  <c r="D35" i="17" s="1"/>
  <c r="I15" i="19"/>
  <c r="I26" i="19" s="1"/>
  <c r="I36" i="19"/>
  <c r="I39" i="19" s="1"/>
  <c r="E16" i="16"/>
  <c r="C30" i="15"/>
  <c r="C31" i="15" s="1"/>
  <c r="C33" i="15" s="1"/>
  <c r="C35" i="15" s="1"/>
  <c r="G16" i="16"/>
  <c r="E30" i="15"/>
  <c r="E31" i="15" s="1"/>
  <c r="E33" i="15" s="1"/>
  <c r="E35" i="15" s="1"/>
  <c r="W16" i="16"/>
  <c r="U30" i="15"/>
  <c r="U31" i="15" s="1"/>
  <c r="U33" i="15" s="1"/>
  <c r="U35" i="15" s="1"/>
  <c r="U16" i="20"/>
  <c r="S30" i="17"/>
  <c r="S31" i="17" s="1"/>
  <c r="S33" i="17" s="1"/>
  <c r="S35" i="17" s="1"/>
  <c r="P16" i="20"/>
  <c r="N30" i="17"/>
  <c r="N31" i="17" s="1"/>
  <c r="N33" i="17" s="1"/>
  <c r="N35" i="17" s="1"/>
  <c r="Z16" i="20"/>
  <c r="X30" i="17"/>
  <c r="X31" i="17" s="1"/>
  <c r="X33" i="17" s="1"/>
  <c r="X35" i="17" s="1"/>
  <c r="Z17" i="16"/>
  <c r="Z21" i="16"/>
  <c r="Z25" i="16" s="1"/>
  <c r="Z27" i="16" s="1"/>
  <c r="J15" i="13"/>
  <c r="J26" i="13" s="1"/>
  <c r="J36" i="13"/>
  <c r="J39" i="13" s="1"/>
  <c r="I16" i="16"/>
  <c r="G30" i="15"/>
  <c r="G31" i="15" s="1"/>
  <c r="G33" i="15" s="1"/>
  <c r="G35" i="15" s="1"/>
  <c r="N15" i="13"/>
  <c r="N26" i="13" s="1"/>
  <c r="N36" i="13"/>
  <c r="N39" i="13" s="1"/>
  <c r="R36" i="19"/>
  <c r="R39" i="19" s="1"/>
  <c r="R15" i="19"/>
  <c r="R26" i="19" s="1"/>
  <c r="X15" i="19"/>
  <c r="X26" i="19" s="1"/>
  <c r="X36" i="19"/>
  <c r="X39" i="19" s="1"/>
  <c r="E15" i="19"/>
  <c r="E26" i="19" s="1"/>
  <c r="E36" i="19"/>
  <c r="E39" i="19" s="1"/>
  <c r="AA17" i="16"/>
  <c r="AA21" i="16"/>
  <c r="AA25" i="16" s="1"/>
  <c r="AA27" i="16" s="1"/>
  <c r="V15" i="13"/>
  <c r="V26" i="13" s="1"/>
  <c r="V36" i="13"/>
  <c r="V39" i="13" s="1"/>
  <c r="D14" i="20"/>
  <c r="AD12" i="20"/>
  <c r="AD14" i="20" s="1"/>
  <c r="AD16" i="20" s="1"/>
  <c r="F36" i="9"/>
  <c r="F39" i="9" s="1"/>
  <c r="F15" i="9"/>
  <c r="F26" i="9" s="1"/>
  <c r="Y17" i="16"/>
  <c r="Y21" i="16"/>
  <c r="Y25" i="16" s="1"/>
  <c r="Y27" i="16" s="1"/>
  <c r="S15" i="13"/>
  <c r="S26" i="13" s="1"/>
  <c r="S36" i="13"/>
  <c r="S39" i="13" s="1"/>
  <c r="L15" i="13"/>
  <c r="L26" i="13" s="1"/>
  <c r="L36" i="13"/>
  <c r="L39" i="13" s="1"/>
  <c r="K36" i="19"/>
  <c r="K39" i="19" s="1"/>
  <c r="K15" i="19"/>
  <c r="K26" i="19" s="1"/>
  <c r="N16" i="20"/>
  <c r="L30" i="17"/>
  <c r="L31" i="17" s="1"/>
  <c r="L33" i="17" s="1"/>
  <c r="L35" i="17" s="1"/>
  <c r="S16" i="20"/>
  <c r="Q30" i="17"/>
  <c r="Q31" i="17" s="1"/>
  <c r="Q33" i="17" s="1"/>
  <c r="Q35" i="17" s="1"/>
  <c r="L16" i="20"/>
  <c r="J30" i="17"/>
  <c r="J31" i="17" s="1"/>
  <c r="J33" i="17" s="1"/>
  <c r="J35" i="17" s="1"/>
  <c r="F12" i="24"/>
  <c r="F14" i="24" s="1"/>
  <c r="F11" i="23"/>
  <c r="D59" i="21"/>
  <c r="D63" i="21" s="1"/>
  <c r="D64" i="21" s="1"/>
  <c r="Z11" i="23"/>
  <c r="Z12" i="24"/>
  <c r="Z14" i="24" s="1"/>
  <c r="X59" i="21"/>
  <c r="X63" i="21" s="1"/>
  <c r="X64" i="21" s="1"/>
  <c r="Y11" i="23"/>
  <c r="W59" i="21"/>
  <c r="W63" i="21" s="1"/>
  <c r="W64" i="21" s="1"/>
  <c r="Y12" i="24"/>
  <c r="Y14" i="24" s="1"/>
  <c r="Q11" i="23"/>
  <c r="Q12" i="24"/>
  <c r="Q14" i="24" s="1"/>
  <c r="O59" i="21"/>
  <c r="O63" i="21" s="1"/>
  <c r="O64" i="21" s="1"/>
  <c r="P11" i="23"/>
  <c r="P12" i="24"/>
  <c r="P14" i="24" s="1"/>
  <c r="N59" i="21"/>
  <c r="N63" i="21" s="1"/>
  <c r="N64" i="21" s="1"/>
  <c r="J12" i="24"/>
  <c r="J14" i="24" s="1"/>
  <c r="J11" i="23"/>
  <c r="H59" i="21"/>
  <c r="H63" i="21" s="1"/>
  <c r="H64" i="21" s="1"/>
  <c r="AB17" i="16"/>
  <c r="AB21" i="16"/>
  <c r="AB25" i="16" s="1"/>
  <c r="AB27" i="16" s="1"/>
  <c r="U15" i="13"/>
  <c r="U26" i="13" s="1"/>
  <c r="U36" i="13"/>
  <c r="U39" i="13" s="1"/>
  <c r="G16" i="20"/>
  <c r="E30" i="17"/>
  <c r="E31" i="17" s="1"/>
  <c r="E33" i="17" s="1"/>
  <c r="E35" i="17" s="1"/>
  <c r="S37" i="15" l="1"/>
  <c r="N17" i="20"/>
  <c r="N21" i="20"/>
  <c r="N25" i="20" s="1"/>
  <c r="N27" i="20" s="1"/>
  <c r="V37" i="17"/>
  <c r="H37" i="15"/>
  <c r="I17" i="20"/>
  <c r="I21" i="20"/>
  <c r="I25" i="20" s="1"/>
  <c r="I27" i="20" s="1"/>
  <c r="P21" i="16"/>
  <c r="P25" i="16" s="1"/>
  <c r="P27" i="16" s="1"/>
  <c r="P17" i="16"/>
  <c r="G16" i="10"/>
  <c r="E30" i="7"/>
  <c r="E31" i="7" s="1"/>
  <c r="E33" i="7" s="1"/>
  <c r="E35" i="7" s="1"/>
  <c r="T15" i="23"/>
  <c r="T26" i="23" s="1"/>
  <c r="T36" i="23"/>
  <c r="T39" i="23" s="1"/>
  <c r="O21" i="20"/>
  <c r="O25" i="20" s="1"/>
  <c r="O27" i="20" s="1"/>
  <c r="O17" i="20"/>
  <c r="M37" i="15"/>
  <c r="V16" i="24"/>
  <c r="T30" i="21"/>
  <c r="T31" i="21" s="1"/>
  <c r="T33" i="21" s="1"/>
  <c r="T35" i="21" s="1"/>
  <c r="S15" i="23"/>
  <c r="S26" i="23" s="1"/>
  <c r="S36" i="23"/>
  <c r="S39" i="23" s="1"/>
  <c r="J37" i="17"/>
  <c r="E17" i="36"/>
  <c r="B64" i="15"/>
  <c r="E18" i="36" s="1"/>
  <c r="K21" i="16"/>
  <c r="K25" i="16" s="1"/>
  <c r="K27" i="16" s="1"/>
  <c r="K17" i="16"/>
  <c r="AB16" i="24"/>
  <c r="Z30" i="21"/>
  <c r="Z31" i="21" s="1"/>
  <c r="Z33" i="21" s="1"/>
  <c r="Z35" i="21" s="1"/>
  <c r="J16" i="24"/>
  <c r="H30" i="21"/>
  <c r="H31" i="21" s="1"/>
  <c r="H33" i="21" s="1"/>
  <c r="H35" i="21" s="1"/>
  <c r="Z15" i="23"/>
  <c r="Z26" i="23" s="1"/>
  <c r="Z36" i="23"/>
  <c r="I37" i="17"/>
  <c r="AD17" i="20"/>
  <c r="AD21" i="20"/>
  <c r="AD25" i="20" s="1"/>
  <c r="P37" i="17"/>
  <c r="P17" i="20"/>
  <c r="P21" i="20"/>
  <c r="P25" i="20" s="1"/>
  <c r="P27" i="20" s="1"/>
  <c r="U21" i="20"/>
  <c r="U25" i="20" s="1"/>
  <c r="U27" i="20" s="1"/>
  <c r="U17" i="20"/>
  <c r="G21" i="16"/>
  <c r="G25" i="16" s="1"/>
  <c r="G27" i="16" s="1"/>
  <c r="G17" i="16"/>
  <c r="G37" i="17"/>
  <c r="U37" i="15"/>
  <c r="B42" i="15"/>
  <c r="B37" i="15"/>
  <c r="E11" i="36" s="1"/>
  <c r="B43" i="15"/>
  <c r="D30" i="13"/>
  <c r="E28" i="13" s="1"/>
  <c r="E30" i="13" s="1"/>
  <c r="F28" i="13" s="1"/>
  <c r="F30" i="13" s="1"/>
  <c r="G28" i="13" s="1"/>
  <c r="G30" i="13" s="1"/>
  <c r="H28" i="13" s="1"/>
  <c r="H30" i="13" s="1"/>
  <c r="I28" i="13" s="1"/>
  <c r="I30" i="13" s="1"/>
  <c r="J28" i="13" s="1"/>
  <c r="J30" i="13" s="1"/>
  <c r="K28" i="13" s="1"/>
  <c r="K30" i="13" s="1"/>
  <c r="L28" i="13" s="1"/>
  <c r="L30" i="13" s="1"/>
  <c r="M28" i="13" s="1"/>
  <c r="M30" i="13" s="1"/>
  <c r="N28" i="13" s="1"/>
  <c r="N30" i="13" s="1"/>
  <c r="O28" i="13" s="1"/>
  <c r="O30" i="13" s="1"/>
  <c r="P28" i="13" s="1"/>
  <c r="P30" i="13" s="1"/>
  <c r="Q28" i="13" s="1"/>
  <c r="Q30" i="13" s="1"/>
  <c r="R28" i="13" s="1"/>
  <c r="R30" i="13" s="1"/>
  <c r="S28" i="13" s="1"/>
  <c r="S30" i="13" s="1"/>
  <c r="T28" i="13" s="1"/>
  <c r="T30" i="13" s="1"/>
  <c r="U28" i="13" s="1"/>
  <c r="U30" i="13" s="1"/>
  <c r="V28" i="13" s="1"/>
  <c r="V30" i="13" s="1"/>
  <c r="W28" i="13" s="1"/>
  <c r="W30" i="13" s="1"/>
  <c r="X28" i="13" s="1"/>
  <c r="X30" i="13" s="1"/>
  <c r="Y28" i="13" s="1"/>
  <c r="Y30" i="13" s="1"/>
  <c r="Z28" i="13" s="1"/>
  <c r="Z30" i="13" s="1"/>
  <c r="AA28" i="13" s="1"/>
  <c r="AA30" i="13" s="1"/>
  <c r="AB28" i="13" s="1"/>
  <c r="AB30" i="13" s="1"/>
  <c r="B44" i="15"/>
  <c r="E12" i="36" s="1"/>
  <c r="B41" i="15"/>
  <c r="I51" i="7"/>
  <c r="H54" i="7"/>
  <c r="K15" i="23"/>
  <c r="K26" i="23" s="1"/>
  <c r="K36" i="23"/>
  <c r="K39" i="23" s="1"/>
  <c r="U15" i="23"/>
  <c r="U26" i="23" s="1"/>
  <c r="U36" i="23"/>
  <c r="U39" i="23" s="1"/>
  <c r="E16" i="24"/>
  <c r="C30" i="21"/>
  <c r="C31" i="21" s="1"/>
  <c r="C33" i="21" s="1"/>
  <c r="C35" i="21" s="1"/>
  <c r="AA15" i="23"/>
  <c r="AA26" i="23" s="1"/>
  <c r="AA36" i="23"/>
  <c r="F37" i="17"/>
  <c r="Q21" i="20"/>
  <c r="Q25" i="20" s="1"/>
  <c r="Q27" i="20" s="1"/>
  <c r="Q17" i="20"/>
  <c r="I37" i="15"/>
  <c r="M21" i="16"/>
  <c r="M25" i="16" s="1"/>
  <c r="M27" i="16" s="1"/>
  <c r="M17" i="16"/>
  <c r="N37" i="17"/>
  <c r="J21" i="20"/>
  <c r="J25" i="20" s="1"/>
  <c r="J27" i="20" s="1"/>
  <c r="J17" i="20"/>
  <c r="E37" i="17"/>
  <c r="W15" i="23"/>
  <c r="W26" i="23" s="1"/>
  <c r="W36" i="23"/>
  <c r="W39" i="23" s="1"/>
  <c r="X16" i="24"/>
  <c r="V30" i="21"/>
  <c r="V31" i="21" s="1"/>
  <c r="V33" i="21" s="1"/>
  <c r="V35" i="21" s="1"/>
  <c r="G16" i="24"/>
  <c r="E30" i="21"/>
  <c r="E31" i="21" s="1"/>
  <c r="E33" i="21" s="1"/>
  <c r="E35" i="21" s="1"/>
  <c r="O21" i="16"/>
  <c r="O25" i="16" s="1"/>
  <c r="O27" i="16" s="1"/>
  <c r="O17" i="16"/>
  <c r="N37" i="15"/>
  <c r="R21" i="16"/>
  <c r="R25" i="16" s="1"/>
  <c r="R27" i="16" s="1"/>
  <c r="R17" i="16"/>
  <c r="L16" i="24"/>
  <c r="J30" i="21"/>
  <c r="J31" i="21" s="1"/>
  <c r="J33" i="21" s="1"/>
  <c r="J35" i="21" s="1"/>
  <c r="M16" i="24"/>
  <c r="K30" i="21"/>
  <c r="K31" i="21" s="1"/>
  <c r="K33" i="21" s="1"/>
  <c r="K35" i="21" s="1"/>
  <c r="M17" i="20"/>
  <c r="M21" i="20"/>
  <c r="M25" i="20" s="1"/>
  <c r="M27" i="20" s="1"/>
  <c r="H21" i="20"/>
  <c r="H25" i="20" s="1"/>
  <c r="H27" i="20" s="1"/>
  <c r="H17" i="20"/>
  <c r="H17" i="16"/>
  <c r="H21" i="16"/>
  <c r="H25" i="16" s="1"/>
  <c r="H27" i="16" s="1"/>
  <c r="F21" i="16"/>
  <c r="F25" i="16" s="1"/>
  <c r="F27" i="16" s="1"/>
  <c r="F17" i="16"/>
  <c r="J15" i="23"/>
  <c r="J26" i="23" s="1"/>
  <c r="J36" i="23"/>
  <c r="J39" i="23" s="1"/>
  <c r="Y16" i="24"/>
  <c r="W30" i="21"/>
  <c r="W31" i="21" s="1"/>
  <c r="W33" i="21" s="1"/>
  <c r="W35" i="21" s="1"/>
  <c r="X30" i="21"/>
  <c r="X31" i="21" s="1"/>
  <c r="X33" i="21" s="1"/>
  <c r="X35" i="21" s="1"/>
  <c r="Z16" i="24"/>
  <c r="J37" i="15"/>
  <c r="L37" i="15"/>
  <c r="N16" i="24"/>
  <c r="L30" i="21"/>
  <c r="L31" i="21" s="1"/>
  <c r="L33" i="21" s="1"/>
  <c r="L35" i="21" s="1"/>
  <c r="L37" i="17"/>
  <c r="H15" i="23"/>
  <c r="H26" i="23" s="1"/>
  <c r="H36" i="23"/>
  <c r="H39" i="23" s="1"/>
  <c r="E37" i="15"/>
  <c r="W37" i="17"/>
  <c r="X15" i="23"/>
  <c r="X26" i="23" s="1"/>
  <c r="X36" i="23"/>
  <c r="D14" i="24"/>
  <c r="AD12" i="24"/>
  <c r="AD14" i="24" s="1"/>
  <c r="AD16" i="24" s="1"/>
  <c r="V21" i="20"/>
  <c r="V25" i="20" s="1"/>
  <c r="V27" i="20" s="1"/>
  <c r="V17" i="20"/>
  <c r="Q21" i="16"/>
  <c r="Q25" i="16" s="1"/>
  <c r="Q27" i="16" s="1"/>
  <c r="Q17" i="16"/>
  <c r="O37" i="17"/>
  <c r="Y37" i="17"/>
  <c r="Y15" i="23"/>
  <c r="Y26" i="23" s="1"/>
  <c r="Y36" i="23"/>
  <c r="Q37" i="15"/>
  <c r="C37" i="17"/>
  <c r="I17" i="16"/>
  <c r="I21" i="16"/>
  <c r="I25" i="16" s="1"/>
  <c r="I27" i="16" s="1"/>
  <c r="Z37" i="17"/>
  <c r="B46" i="15"/>
  <c r="G37" i="15"/>
  <c r="AA17" i="20"/>
  <c r="AA21" i="20"/>
  <c r="AA25" i="20" s="1"/>
  <c r="AA27" i="20" s="1"/>
  <c r="H37" i="17"/>
  <c r="Y21" i="20"/>
  <c r="Y25" i="20" s="1"/>
  <c r="Y27" i="20" s="1"/>
  <c r="Y17" i="20"/>
  <c r="I15" i="23"/>
  <c r="I26" i="23" s="1"/>
  <c r="I36" i="23"/>
  <c r="I39" i="23" s="1"/>
  <c r="U16" i="24"/>
  <c r="S30" i="21"/>
  <c r="S31" i="21" s="1"/>
  <c r="S33" i="21" s="1"/>
  <c r="S35" i="21" s="1"/>
  <c r="AA16" i="24"/>
  <c r="Y30" i="21"/>
  <c r="Y31" i="21" s="1"/>
  <c r="Y33" i="21" s="1"/>
  <c r="Y35" i="21" s="1"/>
  <c r="K21" i="20"/>
  <c r="K25" i="20" s="1"/>
  <c r="K27" i="20" s="1"/>
  <c r="K17" i="20"/>
  <c r="O37" i="15"/>
  <c r="H11" i="9"/>
  <c r="I8" i="9"/>
  <c r="H12" i="10"/>
  <c r="H14" i="10" s="1"/>
  <c r="F59" i="7"/>
  <c r="F63" i="7" s="1"/>
  <c r="F64" i="7" s="1"/>
  <c r="F17" i="36"/>
  <c r="B64" i="17"/>
  <c r="F18" i="36" s="1"/>
  <c r="M37" i="17"/>
  <c r="T16" i="24"/>
  <c r="R30" i="21"/>
  <c r="R31" i="21" s="1"/>
  <c r="R33" i="21" s="1"/>
  <c r="R35" i="21" s="1"/>
  <c r="X21" i="20"/>
  <c r="X25" i="20" s="1"/>
  <c r="X27" i="20" s="1"/>
  <c r="X17" i="20"/>
  <c r="D37" i="17"/>
  <c r="P37" i="15"/>
  <c r="U17" i="16"/>
  <c r="U21" i="16"/>
  <c r="U25" i="16" s="1"/>
  <c r="U27" i="16" s="1"/>
  <c r="V15" i="23"/>
  <c r="V26" i="23" s="1"/>
  <c r="V36" i="23"/>
  <c r="V39" i="23" s="1"/>
  <c r="D36" i="23"/>
  <c r="D39" i="23" s="1"/>
  <c r="D15" i="23"/>
  <c r="D26" i="23" s="1"/>
  <c r="AB21" i="20"/>
  <c r="AB25" i="20" s="1"/>
  <c r="AB27" i="20" s="1"/>
  <c r="AB17" i="20"/>
  <c r="K37" i="17"/>
  <c r="R37" i="15"/>
  <c r="S17" i="16"/>
  <c r="S21" i="16"/>
  <c r="S25" i="16" s="1"/>
  <c r="S27" i="16" s="1"/>
  <c r="F16" i="10"/>
  <c r="D30" i="7"/>
  <c r="D31" i="7" s="1"/>
  <c r="D33" i="7" s="1"/>
  <c r="D35" i="7" s="1"/>
  <c r="T17" i="20"/>
  <c r="T21" i="20"/>
  <c r="T25" i="20" s="1"/>
  <c r="T27" i="20" s="1"/>
  <c r="R21" i="20"/>
  <c r="R25" i="20" s="1"/>
  <c r="R27" i="20" s="1"/>
  <c r="R17" i="20"/>
  <c r="F37" i="15"/>
  <c r="U37" i="17"/>
  <c r="O16" i="24"/>
  <c r="M30" i="21"/>
  <c r="M31" i="21" s="1"/>
  <c r="M33" i="21" s="1"/>
  <c r="M35" i="21" s="1"/>
  <c r="L15" i="23"/>
  <c r="L26" i="23" s="1"/>
  <c r="L36" i="23"/>
  <c r="L39" i="23" s="1"/>
  <c r="P15" i="23"/>
  <c r="P26" i="23" s="1"/>
  <c r="P36" i="23"/>
  <c r="P39" i="23" s="1"/>
  <c r="F16" i="24"/>
  <c r="D30" i="21"/>
  <c r="D31" i="21" s="1"/>
  <c r="D33" i="21" s="1"/>
  <c r="D35" i="21" s="1"/>
  <c r="L17" i="20"/>
  <c r="L21" i="20"/>
  <c r="L25" i="20" s="1"/>
  <c r="L27" i="20" s="1"/>
  <c r="T37" i="15"/>
  <c r="K16" i="24"/>
  <c r="I30" i="21"/>
  <c r="I31" i="21" s="1"/>
  <c r="I33" i="21" s="1"/>
  <c r="I35" i="21" s="1"/>
  <c r="R15" i="23"/>
  <c r="R26" i="23" s="1"/>
  <c r="R36" i="23"/>
  <c r="R39" i="23" s="1"/>
  <c r="D16" i="16"/>
  <c r="B30" i="15"/>
  <c r="B31" i="15" s="1"/>
  <c r="B33" i="15" s="1"/>
  <c r="B35" i="15" s="1"/>
  <c r="E10" i="36" s="1"/>
  <c r="L21" i="16"/>
  <c r="L25" i="16" s="1"/>
  <c r="L27" i="16" s="1"/>
  <c r="L17" i="16"/>
  <c r="Q37" i="17"/>
  <c r="B46" i="17"/>
  <c r="K37" i="15"/>
  <c r="G21" i="20"/>
  <c r="G25" i="20" s="1"/>
  <c r="G27" i="20" s="1"/>
  <c r="G17" i="20"/>
  <c r="Q16" i="24"/>
  <c r="O30" i="21"/>
  <c r="O31" i="21" s="1"/>
  <c r="O33" i="21" s="1"/>
  <c r="O35" i="21" s="1"/>
  <c r="S21" i="20"/>
  <c r="S25" i="20" s="1"/>
  <c r="S27" i="20" s="1"/>
  <c r="S17" i="20"/>
  <c r="D16" i="20"/>
  <c r="B30" i="17"/>
  <c r="B31" i="17" s="1"/>
  <c r="B33" i="17" s="1"/>
  <c r="B35" i="17" s="1"/>
  <c r="F10" i="36" s="1"/>
  <c r="P16" i="24"/>
  <c r="N30" i="21"/>
  <c r="N31" i="21" s="1"/>
  <c r="N33" i="21" s="1"/>
  <c r="N35" i="21" s="1"/>
  <c r="Q15" i="23"/>
  <c r="Q26" i="23" s="1"/>
  <c r="Q36" i="23"/>
  <c r="Q39" i="23" s="1"/>
  <c r="F15" i="23"/>
  <c r="F26" i="23" s="1"/>
  <c r="F36" i="23"/>
  <c r="F39" i="23" s="1"/>
  <c r="D37" i="7"/>
  <c r="F30" i="9"/>
  <c r="G28" i="9" s="1"/>
  <c r="Z21" i="20"/>
  <c r="Z25" i="20" s="1"/>
  <c r="Z27" i="20" s="1"/>
  <c r="Z17" i="20"/>
  <c r="W21" i="16"/>
  <c r="W25" i="16" s="1"/>
  <c r="W27" i="16" s="1"/>
  <c r="W17" i="16"/>
  <c r="E21" i="16"/>
  <c r="E25" i="16" s="1"/>
  <c r="E27" i="16" s="1"/>
  <c r="E17" i="16"/>
  <c r="F21" i="20"/>
  <c r="F25" i="20" s="1"/>
  <c r="F27" i="20" s="1"/>
  <c r="F17" i="20"/>
  <c r="C37" i="15"/>
  <c r="N15" i="23"/>
  <c r="N26" i="23" s="1"/>
  <c r="N36" i="23"/>
  <c r="N39" i="23" s="1"/>
  <c r="R16" i="24"/>
  <c r="P30" i="21"/>
  <c r="P31" i="21" s="1"/>
  <c r="P33" i="21" s="1"/>
  <c r="P35" i="21" s="1"/>
  <c r="I16" i="24"/>
  <c r="G30" i="21"/>
  <c r="G31" i="21" s="1"/>
  <c r="G33" i="21" s="1"/>
  <c r="G35" i="21" s="1"/>
  <c r="E15" i="23"/>
  <c r="E26" i="23" s="1"/>
  <c r="E36" i="23"/>
  <c r="E39" i="23" s="1"/>
  <c r="H16" i="24"/>
  <c r="F30" i="21"/>
  <c r="F31" i="21" s="1"/>
  <c r="F33" i="21" s="1"/>
  <c r="F35" i="21" s="1"/>
  <c r="T37" i="17"/>
  <c r="AD17" i="16"/>
  <c r="AD21" i="16"/>
  <c r="AD25" i="16" s="1"/>
  <c r="G36" i="9"/>
  <c r="G39" i="9" s="1"/>
  <c r="G15" i="9"/>
  <c r="G26" i="9" s="1"/>
  <c r="F4" i="36"/>
  <c r="F5" i="36"/>
  <c r="V21" i="16"/>
  <c r="V25" i="16" s="1"/>
  <c r="V27" i="16" s="1"/>
  <c r="V17" i="16"/>
  <c r="E21" i="20"/>
  <c r="E25" i="20" s="1"/>
  <c r="E27" i="20" s="1"/>
  <c r="E17" i="20"/>
  <c r="N17" i="16"/>
  <c r="N21" i="16"/>
  <c r="N25" i="16" s="1"/>
  <c r="N27" i="16" s="1"/>
  <c r="J21" i="16"/>
  <c r="J25" i="16" s="1"/>
  <c r="J27" i="16" s="1"/>
  <c r="J17" i="16"/>
  <c r="D37" i="15"/>
  <c r="S37" i="17"/>
  <c r="W16" i="24"/>
  <c r="U30" i="21"/>
  <c r="U31" i="21" s="1"/>
  <c r="U33" i="21" s="1"/>
  <c r="U35" i="21" s="1"/>
  <c r="S16" i="24"/>
  <c r="Q30" i="21"/>
  <c r="Q31" i="21" s="1"/>
  <c r="Q33" i="21" s="1"/>
  <c r="Q35" i="21" s="1"/>
  <c r="G15" i="23"/>
  <c r="G26" i="23" s="1"/>
  <c r="G36" i="23"/>
  <c r="G39" i="23" s="1"/>
  <c r="G13" i="36"/>
  <c r="B63" i="21"/>
  <c r="E5" i="36"/>
  <c r="E4" i="36"/>
  <c r="B42" i="17"/>
  <c r="B37" i="17"/>
  <c r="F11" i="36" s="1"/>
  <c r="B41" i="17"/>
  <c r="B43" i="17"/>
  <c r="B44" i="17"/>
  <c r="F12" i="36" s="1"/>
  <c r="D30" i="19"/>
  <c r="E28" i="19" s="1"/>
  <c r="E30" i="19" s="1"/>
  <c r="F28" i="19" s="1"/>
  <c r="F30" i="19" s="1"/>
  <c r="G28" i="19" s="1"/>
  <c r="G30" i="19" s="1"/>
  <c r="H28" i="19" s="1"/>
  <c r="H30" i="19" s="1"/>
  <c r="I28" i="19" s="1"/>
  <c r="I30" i="19" s="1"/>
  <c r="J28" i="19" s="1"/>
  <c r="J30" i="19" s="1"/>
  <c r="K28" i="19" s="1"/>
  <c r="K30" i="19" s="1"/>
  <c r="L28" i="19" s="1"/>
  <c r="L30" i="19" s="1"/>
  <c r="M28" i="19" s="1"/>
  <c r="M30" i="19" s="1"/>
  <c r="N28" i="19" s="1"/>
  <c r="N30" i="19" s="1"/>
  <c r="O28" i="19" s="1"/>
  <c r="O30" i="19" s="1"/>
  <c r="P28" i="19" s="1"/>
  <c r="P30" i="19" s="1"/>
  <c r="Q28" i="19" s="1"/>
  <c r="Q30" i="19" s="1"/>
  <c r="R28" i="19" s="1"/>
  <c r="R30" i="19" s="1"/>
  <c r="S28" i="19" s="1"/>
  <c r="S30" i="19" s="1"/>
  <c r="T28" i="19" s="1"/>
  <c r="T30" i="19" s="1"/>
  <c r="U28" i="19" s="1"/>
  <c r="U30" i="19" s="1"/>
  <c r="V28" i="19" s="1"/>
  <c r="V30" i="19" s="1"/>
  <c r="W28" i="19" s="1"/>
  <c r="W30" i="19" s="1"/>
  <c r="X28" i="19" s="1"/>
  <c r="X30" i="19" s="1"/>
  <c r="Y28" i="19" s="1"/>
  <c r="Y30" i="19" s="1"/>
  <c r="Z28" i="19" s="1"/>
  <c r="Z30" i="19" s="1"/>
  <c r="AA28" i="19" s="1"/>
  <c r="AA30" i="19" s="1"/>
  <c r="AB28" i="19" s="1"/>
  <c r="AB30" i="19" s="1"/>
  <c r="X37" i="17"/>
  <c r="AB15" i="23"/>
  <c r="AB26" i="23" s="1"/>
  <c r="AB36" i="23"/>
  <c r="O15" i="23"/>
  <c r="O26" i="23" s="1"/>
  <c r="O36" i="23"/>
  <c r="O39" i="23" s="1"/>
  <c r="M15" i="23"/>
  <c r="M26" i="23" s="1"/>
  <c r="M36" i="23"/>
  <c r="M39" i="23" s="1"/>
  <c r="T21" i="16"/>
  <c r="T25" i="16" s="1"/>
  <c r="T27" i="16" s="1"/>
  <c r="T17" i="16"/>
  <c r="R37" i="17"/>
  <c r="W21" i="20"/>
  <c r="W25" i="20" s="1"/>
  <c r="W27" i="20" s="1"/>
  <c r="W17" i="20"/>
  <c r="E37" i="7" l="1"/>
  <c r="G30" i="9"/>
  <c r="H28" i="9" s="1"/>
  <c r="F24" i="36"/>
  <c r="F9" i="36"/>
  <c r="B37" i="21"/>
  <c r="G11" i="36" s="1"/>
  <c r="D30" i="23"/>
  <c r="E28" i="23" s="1"/>
  <c r="E30" i="23" s="1"/>
  <c r="F28" i="23" s="1"/>
  <c r="F30" i="23" s="1"/>
  <c r="G28" i="23" s="1"/>
  <c r="G30" i="23" s="1"/>
  <c r="H28" i="23" s="1"/>
  <c r="H30" i="23" s="1"/>
  <c r="I28" i="23" s="1"/>
  <c r="I30" i="23" s="1"/>
  <c r="J28" i="23" s="1"/>
  <c r="J30" i="23" s="1"/>
  <c r="K28" i="23" s="1"/>
  <c r="K30" i="23" s="1"/>
  <c r="L28" i="23" s="1"/>
  <c r="L30" i="23" s="1"/>
  <c r="M28" i="23" s="1"/>
  <c r="M30" i="23" s="1"/>
  <c r="N28" i="23" s="1"/>
  <c r="N30" i="23" s="1"/>
  <c r="O28" i="23" s="1"/>
  <c r="O30" i="23" s="1"/>
  <c r="P28" i="23" s="1"/>
  <c r="P30" i="23" s="1"/>
  <c r="Q28" i="23" s="1"/>
  <c r="Q30" i="23" s="1"/>
  <c r="R28" i="23" s="1"/>
  <c r="R30" i="23" s="1"/>
  <c r="S28" i="23" s="1"/>
  <c r="S30" i="23" s="1"/>
  <c r="T28" i="23" s="1"/>
  <c r="T30" i="23" s="1"/>
  <c r="U28" i="23" s="1"/>
  <c r="U30" i="23" s="1"/>
  <c r="V28" i="23" s="1"/>
  <c r="V30" i="23" s="1"/>
  <c r="W28" i="23" s="1"/>
  <c r="W30" i="23" s="1"/>
  <c r="X28" i="23" s="1"/>
  <c r="X30" i="23" s="1"/>
  <c r="Y28" i="23" s="1"/>
  <c r="Y30" i="23" s="1"/>
  <c r="Z28" i="23" s="1"/>
  <c r="Z30" i="23" s="1"/>
  <c r="AA28" i="23" s="1"/>
  <c r="AA30" i="23" s="1"/>
  <c r="AB28" i="23" s="1"/>
  <c r="AB30" i="23" s="1"/>
  <c r="B44" i="21"/>
  <c r="G12" i="36" s="1"/>
  <c r="B42" i="21"/>
  <c r="B43" i="21"/>
  <c r="B41" i="21"/>
  <c r="W37" i="21"/>
  <c r="V37" i="21"/>
  <c r="F37" i="21"/>
  <c r="H37" i="21"/>
  <c r="L21" i="24"/>
  <c r="L25" i="24" s="1"/>
  <c r="L27" i="24" s="1"/>
  <c r="L17" i="24"/>
  <c r="P37" i="21"/>
  <c r="N37" i="21"/>
  <c r="F21" i="10"/>
  <c r="F25" i="10" s="1"/>
  <c r="F27" i="10" s="1"/>
  <c r="F17" i="10"/>
  <c r="T37" i="21"/>
  <c r="H15" i="9"/>
  <c r="H26" i="9" s="1"/>
  <c r="H36" i="9"/>
  <c r="H39" i="9" s="1"/>
  <c r="U17" i="24"/>
  <c r="U21" i="24"/>
  <c r="U25" i="24" s="1"/>
  <c r="U27" i="24" s="1"/>
  <c r="G21" i="24"/>
  <c r="G25" i="24" s="1"/>
  <c r="G27" i="24" s="1"/>
  <c r="G17" i="24"/>
  <c r="Y37" i="21"/>
  <c r="V17" i="24"/>
  <c r="V21" i="24"/>
  <c r="V25" i="24" s="1"/>
  <c r="V27" i="24" s="1"/>
  <c r="G5" i="36"/>
  <c r="G4" i="36"/>
  <c r="C37" i="21"/>
  <c r="R17" i="24"/>
  <c r="R21" i="24"/>
  <c r="R25" i="24" s="1"/>
  <c r="R27" i="24" s="1"/>
  <c r="D37" i="21"/>
  <c r="D21" i="20"/>
  <c r="D25" i="20" s="1"/>
  <c r="D27" i="20" s="1"/>
  <c r="D17" i="20"/>
  <c r="D21" i="16"/>
  <c r="D25" i="16" s="1"/>
  <c r="D27" i="16" s="1"/>
  <c r="D17" i="16"/>
  <c r="AA21" i="24"/>
  <c r="AA25" i="24" s="1"/>
  <c r="AA27" i="24" s="1"/>
  <c r="AA17" i="24"/>
  <c r="AD17" i="24"/>
  <c r="AD21" i="24"/>
  <c r="AD25" i="24" s="1"/>
  <c r="X17" i="24"/>
  <c r="X21" i="24"/>
  <c r="X25" i="24" s="1"/>
  <c r="X27" i="24" s="1"/>
  <c r="E21" i="24"/>
  <c r="E25" i="24" s="1"/>
  <c r="E27" i="24" s="1"/>
  <c r="E17" i="24"/>
  <c r="I37" i="21"/>
  <c r="X37" i="21"/>
  <c r="E24" i="36"/>
  <c r="E9" i="36"/>
  <c r="Q37" i="21"/>
  <c r="R37" i="21"/>
  <c r="G21" i="10"/>
  <c r="G25" i="10" s="1"/>
  <c r="G27" i="10" s="1"/>
  <c r="G17" i="10"/>
  <c r="G17" i="36"/>
  <c r="B64" i="21"/>
  <c r="G18" i="36" s="1"/>
  <c r="J37" i="21"/>
  <c r="Z21" i="24"/>
  <c r="Z25" i="24" s="1"/>
  <c r="Z27" i="24" s="1"/>
  <c r="Z17" i="24"/>
  <c r="U37" i="21"/>
  <c r="S37" i="21"/>
  <c r="J51" i="7"/>
  <c r="I54" i="7"/>
  <c r="J21" i="24"/>
  <c r="J25" i="24" s="1"/>
  <c r="J27" i="24" s="1"/>
  <c r="J17" i="24"/>
  <c r="AB21" i="24"/>
  <c r="AB25" i="24" s="1"/>
  <c r="AB27" i="24" s="1"/>
  <c r="AB17" i="24"/>
  <c r="M37" i="21"/>
  <c r="S17" i="24"/>
  <c r="S21" i="24"/>
  <c r="S25" i="24" s="1"/>
  <c r="S27" i="24" s="1"/>
  <c r="P21" i="24"/>
  <c r="P25" i="24" s="1"/>
  <c r="P27" i="24" s="1"/>
  <c r="P17" i="24"/>
  <c r="K21" i="24"/>
  <c r="K25" i="24" s="1"/>
  <c r="K27" i="24" s="1"/>
  <c r="K17" i="24"/>
  <c r="F21" i="24"/>
  <c r="F25" i="24" s="1"/>
  <c r="F27" i="24" s="1"/>
  <c r="F17" i="24"/>
  <c r="O21" i="24"/>
  <c r="O25" i="24" s="1"/>
  <c r="O27" i="24" s="1"/>
  <c r="O17" i="24"/>
  <c r="B46" i="21"/>
  <c r="T21" i="24"/>
  <c r="T25" i="24" s="1"/>
  <c r="T27" i="24" s="1"/>
  <c r="T17" i="24"/>
  <c r="H16" i="10"/>
  <c r="F30" i="7"/>
  <c r="F31" i="7" s="1"/>
  <c r="F33" i="7" s="1"/>
  <c r="F35" i="7" s="1"/>
  <c r="G37" i="21"/>
  <c r="K37" i="21"/>
  <c r="Z37" i="21"/>
  <c r="E37" i="21"/>
  <c r="W21" i="24"/>
  <c r="W25" i="24" s="1"/>
  <c r="W27" i="24" s="1"/>
  <c r="W17" i="24"/>
  <c r="H21" i="24"/>
  <c r="H25" i="24" s="1"/>
  <c r="H27" i="24" s="1"/>
  <c r="H17" i="24"/>
  <c r="I21" i="24"/>
  <c r="I25" i="24" s="1"/>
  <c r="I27" i="24" s="1"/>
  <c r="I17" i="24"/>
  <c r="L37" i="21"/>
  <c r="O37" i="21"/>
  <c r="Q21" i="24"/>
  <c r="Q25" i="24" s="1"/>
  <c r="Q27" i="24" s="1"/>
  <c r="Q17" i="24"/>
  <c r="I12" i="10"/>
  <c r="I14" i="10" s="1"/>
  <c r="I11" i="9"/>
  <c r="J8" i="9"/>
  <c r="G59" i="7"/>
  <c r="G63" i="7" s="1"/>
  <c r="G64" i="7" s="1"/>
  <c r="B30" i="21"/>
  <c r="B31" i="21" s="1"/>
  <c r="B33" i="21" s="1"/>
  <c r="B35" i="21" s="1"/>
  <c r="G10" i="36" s="1"/>
  <c r="D16" i="24"/>
  <c r="N21" i="24"/>
  <c r="N25" i="24" s="1"/>
  <c r="N27" i="24" s="1"/>
  <c r="N17" i="24"/>
  <c r="Y17" i="24"/>
  <c r="Y21" i="24"/>
  <c r="Y25" i="24" s="1"/>
  <c r="Y27" i="24" s="1"/>
  <c r="M21" i="24"/>
  <c r="M25" i="24" s="1"/>
  <c r="M27" i="24" s="1"/>
  <c r="M17" i="24"/>
  <c r="G24" i="36" l="1"/>
  <c r="G9" i="36"/>
  <c r="J11" i="9"/>
  <c r="K8" i="9"/>
  <c r="J12" i="10"/>
  <c r="J14" i="10" s="1"/>
  <c r="H59" i="7"/>
  <c r="H63" i="7" s="1"/>
  <c r="H64" i="7" s="1"/>
  <c r="H21" i="10"/>
  <c r="H25" i="10" s="1"/>
  <c r="H27" i="10" s="1"/>
  <c r="H17" i="10"/>
  <c r="K51" i="7"/>
  <c r="J54" i="7"/>
  <c r="D21" i="24"/>
  <c r="D25" i="24" s="1"/>
  <c r="D27" i="24" s="1"/>
  <c r="D17" i="24"/>
  <c r="I15" i="9"/>
  <c r="I26" i="9" s="1"/>
  <c r="I36" i="9"/>
  <c r="I39" i="9" s="1"/>
  <c r="F37" i="7"/>
  <c r="H30" i="9"/>
  <c r="I28" i="9" s="1"/>
  <c r="G30" i="7"/>
  <c r="G31" i="7" s="1"/>
  <c r="G33" i="7" s="1"/>
  <c r="G35" i="7" s="1"/>
  <c r="I16" i="10"/>
  <c r="K12" i="10" l="1"/>
  <c r="K14" i="10" s="1"/>
  <c r="K11" i="9"/>
  <c r="L8" i="9"/>
  <c r="I59" i="7"/>
  <c r="I63" i="7" s="1"/>
  <c r="I64" i="7" s="1"/>
  <c r="J15" i="9"/>
  <c r="J26" i="9" s="1"/>
  <c r="J36" i="9"/>
  <c r="J39" i="9" s="1"/>
  <c r="I17" i="10"/>
  <c r="I21" i="10"/>
  <c r="I25" i="10" s="1"/>
  <c r="I27" i="10" s="1"/>
  <c r="G37" i="7"/>
  <c r="I30" i="9"/>
  <c r="J28" i="9" s="1"/>
  <c r="K54" i="7"/>
  <c r="L51" i="7"/>
  <c r="H30" i="7"/>
  <c r="H31" i="7" s="1"/>
  <c r="H33" i="7" s="1"/>
  <c r="H35" i="7" s="1"/>
  <c r="J16" i="10"/>
  <c r="J21" i="10" l="1"/>
  <c r="J25" i="10" s="1"/>
  <c r="J27" i="10" s="1"/>
  <c r="J17" i="10"/>
  <c r="K15" i="9"/>
  <c r="K26" i="9" s="1"/>
  <c r="K36" i="9"/>
  <c r="K39" i="9" s="1"/>
  <c r="L54" i="7"/>
  <c r="M51" i="7"/>
  <c r="K16" i="10"/>
  <c r="I30" i="7"/>
  <c r="I31" i="7" s="1"/>
  <c r="I33" i="7" s="1"/>
  <c r="I35" i="7" s="1"/>
  <c r="H37" i="7"/>
  <c r="J30" i="9"/>
  <c r="K28" i="9" s="1"/>
  <c r="L12" i="10"/>
  <c r="L14" i="10" s="1"/>
  <c r="M8" i="9"/>
  <c r="L11" i="9"/>
  <c r="J59" i="7"/>
  <c r="J63" i="7" s="1"/>
  <c r="J64" i="7" s="1"/>
  <c r="N51" i="7" l="1"/>
  <c r="M54" i="7"/>
  <c r="L15" i="9"/>
  <c r="L26" i="9" s="1"/>
  <c r="L36" i="9"/>
  <c r="L39" i="9" s="1"/>
  <c r="M12" i="10"/>
  <c r="M14" i="10" s="1"/>
  <c r="N8" i="9"/>
  <c r="M11" i="9"/>
  <c r="K59" i="7"/>
  <c r="K63" i="7" s="1"/>
  <c r="K64" i="7" s="1"/>
  <c r="L16" i="10"/>
  <c r="J30" i="7"/>
  <c r="J31" i="7" s="1"/>
  <c r="J33" i="7" s="1"/>
  <c r="J35" i="7" s="1"/>
  <c r="K17" i="10"/>
  <c r="K21" i="10"/>
  <c r="K25" i="10" s="1"/>
  <c r="K27" i="10" s="1"/>
  <c r="I37" i="7"/>
  <c r="K30" i="9"/>
  <c r="L28" i="9" s="1"/>
  <c r="L17" i="10" l="1"/>
  <c r="L21" i="10"/>
  <c r="L25" i="10" s="1"/>
  <c r="L27" i="10" s="1"/>
  <c r="J37" i="7"/>
  <c r="L30" i="9"/>
  <c r="M28" i="9" s="1"/>
  <c r="M36" i="9"/>
  <c r="M39" i="9" s="1"/>
  <c r="M15" i="9"/>
  <c r="M26" i="9" s="1"/>
  <c r="N11" i="9"/>
  <c r="O8" i="9"/>
  <c r="N12" i="10"/>
  <c r="N14" i="10" s="1"/>
  <c r="L59" i="7"/>
  <c r="L63" i="7" s="1"/>
  <c r="L64" i="7" s="1"/>
  <c r="M16" i="10"/>
  <c r="K30" i="7"/>
  <c r="K31" i="7" s="1"/>
  <c r="K33" i="7" s="1"/>
  <c r="K35" i="7" s="1"/>
  <c r="N54" i="7"/>
  <c r="O51" i="7"/>
  <c r="M21" i="10" l="1"/>
  <c r="M25" i="10" s="1"/>
  <c r="M27" i="10" s="1"/>
  <c r="M17" i="10"/>
  <c r="L30" i="7"/>
  <c r="L31" i="7" s="1"/>
  <c r="L33" i="7" s="1"/>
  <c r="L35" i="7" s="1"/>
  <c r="N16" i="10"/>
  <c r="P51" i="7"/>
  <c r="O54" i="7"/>
  <c r="O12" i="10"/>
  <c r="O14" i="10" s="1"/>
  <c r="P8" i="9"/>
  <c r="M59" i="7"/>
  <c r="M63" i="7" s="1"/>
  <c r="M64" i="7" s="1"/>
  <c r="O11" i="9"/>
  <c r="K37" i="7"/>
  <c r="M30" i="9"/>
  <c r="N28" i="9" s="1"/>
  <c r="B41" i="7"/>
  <c r="N36" i="9"/>
  <c r="N39" i="9" s="1"/>
  <c r="N15" i="9"/>
  <c r="N26" i="9" s="1"/>
  <c r="Q51" i="7" l="1"/>
  <c r="P54" i="7"/>
  <c r="P12" i="10"/>
  <c r="P14" i="10" s="1"/>
  <c r="P11" i="9"/>
  <c r="N59" i="7"/>
  <c r="N63" i="7" s="1"/>
  <c r="N64" i="7" s="1"/>
  <c r="Q8" i="9"/>
  <c r="L37" i="7"/>
  <c r="N30" i="9"/>
  <c r="O28" i="9" s="1"/>
  <c r="O16" i="10"/>
  <c r="M30" i="7"/>
  <c r="M31" i="7" s="1"/>
  <c r="M33" i="7" s="1"/>
  <c r="M35" i="7" s="1"/>
  <c r="O36" i="9"/>
  <c r="O39" i="9" s="1"/>
  <c r="O15" i="9"/>
  <c r="O26" i="9" s="1"/>
  <c r="N21" i="10"/>
  <c r="N25" i="10" s="1"/>
  <c r="N27" i="10" s="1"/>
  <c r="N17" i="10"/>
  <c r="O59" i="7" l="1"/>
  <c r="O63" i="7" s="1"/>
  <c r="O64" i="7" s="1"/>
  <c r="R8" i="9"/>
  <c r="Q11" i="9"/>
  <c r="Q12" i="10"/>
  <c r="Q14" i="10" s="1"/>
  <c r="Q54" i="7"/>
  <c r="R51" i="7"/>
  <c r="M37" i="7"/>
  <c r="O30" i="9"/>
  <c r="P28" i="9" s="1"/>
  <c r="P36" i="9"/>
  <c r="P39" i="9" s="1"/>
  <c r="P15" i="9"/>
  <c r="P26" i="9" s="1"/>
  <c r="O21" i="10"/>
  <c r="O25" i="10" s="1"/>
  <c r="O27" i="10" s="1"/>
  <c r="O17" i="10"/>
  <c r="P16" i="10"/>
  <c r="N30" i="7"/>
  <c r="N31" i="7" s="1"/>
  <c r="N33" i="7" s="1"/>
  <c r="N35" i="7" s="1"/>
  <c r="Q15" i="9" l="1"/>
  <c r="Q26" i="9" s="1"/>
  <c r="Q36" i="9"/>
  <c r="Q39" i="9" s="1"/>
  <c r="N37" i="7"/>
  <c r="P30" i="9"/>
  <c r="Q28" i="9" s="1"/>
  <c r="S51" i="7"/>
  <c r="R54" i="7"/>
  <c r="R11" i="9"/>
  <c r="P59" i="7"/>
  <c r="P63" i="7" s="1"/>
  <c r="P64" i="7" s="1"/>
  <c r="S8" i="9"/>
  <c r="R12" i="10"/>
  <c r="R14" i="10" s="1"/>
  <c r="Q16" i="10"/>
  <c r="O30" i="7"/>
  <c r="O31" i="7" s="1"/>
  <c r="O33" i="7" s="1"/>
  <c r="O35" i="7" s="1"/>
  <c r="P21" i="10"/>
  <c r="P25" i="10" s="1"/>
  <c r="P27" i="10" s="1"/>
  <c r="P17" i="10"/>
  <c r="Q21" i="10" l="1"/>
  <c r="Q25" i="10" s="1"/>
  <c r="Q27" i="10" s="1"/>
  <c r="Q17" i="10"/>
  <c r="R15" i="9"/>
  <c r="R26" i="9" s="1"/>
  <c r="R36" i="9"/>
  <c r="R39" i="9" s="1"/>
  <c r="P30" i="7"/>
  <c r="P31" i="7" s="1"/>
  <c r="P33" i="7" s="1"/>
  <c r="P35" i="7" s="1"/>
  <c r="R16" i="10"/>
  <c r="S12" i="10"/>
  <c r="S14" i="10" s="1"/>
  <c r="T8" i="9"/>
  <c r="Q59" i="7"/>
  <c r="Q63" i="7" s="1"/>
  <c r="Q64" i="7" s="1"/>
  <c r="S11" i="9"/>
  <c r="S54" i="7"/>
  <c r="T51" i="7"/>
  <c r="O37" i="7"/>
  <c r="Q30" i="9"/>
  <c r="R28" i="9" s="1"/>
  <c r="S15" i="9" l="1"/>
  <c r="S26" i="9" s="1"/>
  <c r="S36" i="9"/>
  <c r="S39" i="9" s="1"/>
  <c r="P37" i="7"/>
  <c r="R30" i="9"/>
  <c r="S28" i="9" s="1"/>
  <c r="B42" i="7"/>
  <c r="U51" i="7"/>
  <c r="T54" i="7"/>
  <c r="R21" i="10"/>
  <c r="R25" i="10" s="1"/>
  <c r="R27" i="10" s="1"/>
  <c r="R17" i="10"/>
  <c r="T11" i="9"/>
  <c r="U8" i="9"/>
  <c r="T12" i="10"/>
  <c r="T14" i="10" s="1"/>
  <c r="R59" i="7"/>
  <c r="R63" i="7" s="1"/>
  <c r="R64" i="7" s="1"/>
  <c r="S16" i="10"/>
  <c r="Q30" i="7"/>
  <c r="Q31" i="7" s="1"/>
  <c r="Q33" i="7" s="1"/>
  <c r="Q35" i="7" s="1"/>
  <c r="S21" i="10" l="1"/>
  <c r="S25" i="10" s="1"/>
  <c r="S27" i="10" s="1"/>
  <c r="S17" i="10"/>
  <c r="T15" i="9"/>
  <c r="T26" i="9" s="1"/>
  <c r="T36" i="9"/>
  <c r="T39" i="9" s="1"/>
  <c r="V51" i="7"/>
  <c r="U54" i="7"/>
  <c r="T16" i="10"/>
  <c r="R30" i="7"/>
  <c r="R31" i="7" s="1"/>
  <c r="R33" i="7" s="1"/>
  <c r="R35" i="7" s="1"/>
  <c r="V8" i="9"/>
  <c r="U12" i="10"/>
  <c r="U14" i="10" s="1"/>
  <c r="S59" i="7"/>
  <c r="S63" i="7" s="1"/>
  <c r="S64" i="7" s="1"/>
  <c r="U11" i="9"/>
  <c r="Q37" i="7"/>
  <c r="S30" i="9"/>
  <c r="T28" i="9" s="1"/>
  <c r="U16" i="10" l="1"/>
  <c r="S30" i="7"/>
  <c r="S31" i="7" s="1"/>
  <c r="S33" i="7" s="1"/>
  <c r="S35" i="7" s="1"/>
  <c r="V11" i="9"/>
  <c r="W8" i="9"/>
  <c r="T59" i="7"/>
  <c r="T63" i="7" s="1"/>
  <c r="T64" i="7" s="1"/>
  <c r="V12" i="10"/>
  <c r="V14" i="10" s="1"/>
  <c r="T17" i="10"/>
  <c r="T21" i="10"/>
  <c r="T25" i="10" s="1"/>
  <c r="T27" i="10" s="1"/>
  <c r="V54" i="7"/>
  <c r="W51" i="7"/>
  <c r="T30" i="9"/>
  <c r="U28" i="9" s="1"/>
  <c r="R37" i="7"/>
  <c r="U15" i="9"/>
  <c r="U26" i="9" s="1"/>
  <c r="U36" i="9"/>
  <c r="U39" i="9" s="1"/>
  <c r="V16" i="10" l="1"/>
  <c r="T30" i="7"/>
  <c r="T31" i="7" s="1"/>
  <c r="T33" i="7" s="1"/>
  <c r="T35" i="7" s="1"/>
  <c r="X51" i="7"/>
  <c r="W54" i="7"/>
  <c r="X8" i="9"/>
  <c r="W11" i="9"/>
  <c r="U59" i="7"/>
  <c r="U63" i="7" s="1"/>
  <c r="U64" i="7" s="1"/>
  <c r="W12" i="10"/>
  <c r="W14" i="10" s="1"/>
  <c r="S37" i="7"/>
  <c r="U30" i="9"/>
  <c r="V28" i="9" s="1"/>
  <c r="V15" i="9"/>
  <c r="V26" i="9" s="1"/>
  <c r="V36" i="9"/>
  <c r="V39" i="9" s="1"/>
  <c r="U17" i="10"/>
  <c r="U21" i="10"/>
  <c r="U25" i="10" s="1"/>
  <c r="U27" i="10" s="1"/>
  <c r="U30" i="7" l="1"/>
  <c r="U31" i="7" s="1"/>
  <c r="U33" i="7" s="1"/>
  <c r="U35" i="7" s="1"/>
  <c r="W16" i="10"/>
  <c r="Y51" i="7"/>
  <c r="X54" i="7"/>
  <c r="W15" i="9"/>
  <c r="W26" i="9" s="1"/>
  <c r="W36" i="9"/>
  <c r="W39" i="9" s="1"/>
  <c r="V30" i="9"/>
  <c r="W28" i="9" s="1"/>
  <c r="T37" i="7"/>
  <c r="X11" i="9"/>
  <c r="Y8" i="9"/>
  <c r="X12" i="10"/>
  <c r="X14" i="10" s="1"/>
  <c r="V59" i="7"/>
  <c r="V63" i="7" s="1"/>
  <c r="V64" i="7" s="1"/>
  <c r="V21" i="10"/>
  <c r="V25" i="10" s="1"/>
  <c r="V27" i="10" s="1"/>
  <c r="V17" i="10"/>
  <c r="W17" i="10" l="1"/>
  <c r="W21" i="10"/>
  <c r="W25" i="10" s="1"/>
  <c r="W27" i="10" s="1"/>
  <c r="X16" i="10"/>
  <c r="V30" i="7"/>
  <c r="V31" i="7" s="1"/>
  <c r="V33" i="7" s="1"/>
  <c r="V35" i="7" s="1"/>
  <c r="Y11" i="9"/>
  <c r="Y12" i="10"/>
  <c r="Y14" i="10" s="1"/>
  <c r="Z8" i="9"/>
  <c r="W59" i="7"/>
  <c r="W63" i="7" s="1"/>
  <c r="W64" i="7" s="1"/>
  <c r="X15" i="9"/>
  <c r="X26" i="9" s="1"/>
  <c r="X36" i="9"/>
  <c r="U37" i="7"/>
  <c r="W30" i="9"/>
  <c r="X28" i="9" s="1"/>
  <c r="B43" i="7"/>
  <c r="Z51" i="7"/>
  <c r="Z54" i="7" s="1"/>
  <c r="Y54" i="7"/>
  <c r="Z12" i="10" l="1"/>
  <c r="Z14" i="10" s="1"/>
  <c r="Z11" i="9"/>
  <c r="AA8" i="9"/>
  <c r="X59" i="7"/>
  <c r="X63" i="7" s="1"/>
  <c r="X64" i="7" s="1"/>
  <c r="X21" i="10"/>
  <c r="X25" i="10" s="1"/>
  <c r="X27" i="10" s="1"/>
  <c r="X17" i="10"/>
  <c r="Y16" i="10"/>
  <c r="W30" i="7"/>
  <c r="W31" i="7" s="1"/>
  <c r="W33" i="7" s="1"/>
  <c r="W35" i="7" s="1"/>
  <c r="V37" i="7"/>
  <c r="X30" i="9"/>
  <c r="Y28" i="9" s="1"/>
  <c r="Y15" i="9"/>
  <c r="Y26" i="9" s="1"/>
  <c r="Y36" i="9"/>
  <c r="W37" i="7" l="1"/>
  <c r="Y30" i="9"/>
  <c r="Z28" i="9" s="1"/>
  <c r="AA12" i="10"/>
  <c r="AA14" i="10" s="1"/>
  <c r="Y59" i="7"/>
  <c r="Y63" i="7" s="1"/>
  <c r="Y64" i="7" s="1"/>
  <c r="AB8" i="9"/>
  <c r="AA11" i="9"/>
  <c r="Z15" i="9"/>
  <c r="Z26" i="9" s="1"/>
  <c r="Z36" i="9"/>
  <c r="Y21" i="10"/>
  <c r="Y25" i="10" s="1"/>
  <c r="Y27" i="10" s="1"/>
  <c r="Y17" i="10"/>
  <c r="Z16" i="10"/>
  <c r="X30" i="7"/>
  <c r="X31" i="7" s="1"/>
  <c r="X33" i="7" s="1"/>
  <c r="X35" i="7" s="1"/>
  <c r="AA15" i="9" l="1"/>
  <c r="AA26" i="9" s="1"/>
  <c r="AA36" i="9"/>
  <c r="Z17" i="10"/>
  <c r="Z21" i="10"/>
  <c r="Z25" i="10" s="1"/>
  <c r="Z27" i="10" s="1"/>
  <c r="AB11" i="9"/>
  <c r="Z59" i="7"/>
  <c r="Z63" i="7" s="1"/>
  <c r="Z64" i="7" s="1"/>
  <c r="AB12" i="10"/>
  <c r="AD8" i="9"/>
  <c r="AD11" i="9" s="1"/>
  <c r="AD15" i="9" s="1"/>
  <c r="AD26" i="9" s="1"/>
  <c r="AD30" i="9" s="1"/>
  <c r="X37" i="7"/>
  <c r="Z30" i="9"/>
  <c r="AA28" i="9" s="1"/>
  <c r="AA16" i="10"/>
  <c r="Y30" i="7"/>
  <c r="Y31" i="7" s="1"/>
  <c r="Y33" i="7" s="1"/>
  <c r="Y35" i="7" s="1"/>
  <c r="AB14" i="10" l="1"/>
  <c r="AD12" i="10"/>
  <c r="AD14" i="10" s="1"/>
  <c r="AD16" i="10" s="1"/>
  <c r="AA21" i="10"/>
  <c r="AA25" i="10" s="1"/>
  <c r="AA27" i="10" s="1"/>
  <c r="AA17" i="10"/>
  <c r="AB15" i="9"/>
  <c r="AB26" i="9" s="1"/>
  <c r="AB36" i="9"/>
  <c r="Y37" i="7"/>
  <c r="AA30" i="9"/>
  <c r="AB28" i="9" s="1"/>
  <c r="AD17" i="10" l="1"/>
  <c r="AD21" i="10"/>
  <c r="AD25" i="10" s="1"/>
  <c r="AB30" i="9"/>
  <c r="Z37" i="7"/>
  <c r="B44" i="7"/>
  <c r="C12" i="36" s="1"/>
  <c r="Z30" i="7"/>
  <c r="Z31" i="7" s="1"/>
  <c r="Z33" i="7" s="1"/>
  <c r="Z35" i="7" s="1"/>
  <c r="AB16" i="10"/>
  <c r="AB21" i="10" l="1"/>
  <c r="AB25" i="10" s="1"/>
  <c r="AB27" i="10" s="1"/>
  <c r="AB17" i="10"/>
  <c r="G29" i="5"/>
  <c r="G42" i="5" s="1"/>
  <c r="I29" i="5"/>
  <c r="M16" i="33" s="1"/>
  <c r="H29" i="5"/>
  <c r="H42" i="5" s="1"/>
  <c r="B48" i="29" s="1"/>
  <c r="C48" i="29" s="1"/>
  <c r="D48" i="29" s="1"/>
  <c r="E48" i="29" s="1"/>
  <c r="F48" i="29" s="1"/>
  <c r="G48" i="29" s="1"/>
  <c r="H48" i="29" s="1"/>
  <c r="I48" i="29" s="1"/>
  <c r="J48" i="29" s="1"/>
  <c r="K48" i="29" s="1"/>
  <c r="L48" i="29" s="1"/>
  <c r="M48" i="29" s="1"/>
  <c r="N48" i="29" s="1"/>
  <c r="O48" i="29" s="1"/>
  <c r="P48" i="29" s="1"/>
  <c r="Q48" i="29" s="1"/>
  <c r="R48" i="29" s="1"/>
  <c r="S48" i="29" s="1"/>
  <c r="T48" i="29" s="1"/>
  <c r="U48" i="29" s="1"/>
  <c r="V48" i="29" s="1"/>
  <c r="W48" i="29" s="1"/>
  <c r="X48" i="29" s="1"/>
  <c r="Y48" i="29" s="1"/>
  <c r="Z48" i="29" s="1"/>
  <c r="I42" i="5" l="1"/>
  <c r="M17" i="33" s="1"/>
  <c r="M18" i="33" s="1"/>
  <c r="G44" i="5"/>
  <c r="G46" i="5" s="1"/>
  <c r="M17" i="25"/>
  <c r="M18" i="25" s="1"/>
  <c r="H44" i="5"/>
  <c r="M17" i="29" s="1"/>
  <c r="M18" i="29" s="1"/>
  <c r="I44" i="5"/>
  <c r="G45" i="5" l="1"/>
  <c r="U8" i="27" s="1"/>
  <c r="S59" i="25" s="1"/>
  <c r="S63" i="25" s="1"/>
  <c r="S64" i="25" s="1"/>
  <c r="L8" i="27"/>
  <c r="H8" i="27"/>
  <c r="I8" i="27"/>
  <c r="Y8" i="27"/>
  <c r="W8" i="27"/>
  <c r="X8" i="27"/>
  <c r="AB8" i="27"/>
  <c r="E8" i="27"/>
  <c r="K8" i="27"/>
  <c r="R8" i="27"/>
  <c r="G49" i="5"/>
  <c r="V8" i="27"/>
  <c r="M8" i="27"/>
  <c r="N8" i="27"/>
  <c r="S8" i="27"/>
  <c r="D8" i="27"/>
  <c r="AA8" i="27"/>
  <c r="J8" i="27"/>
  <c r="I46" i="5"/>
  <c r="I45" i="5"/>
  <c r="Q8" i="27"/>
  <c r="H46" i="5"/>
  <c r="B52" i="29" s="1"/>
  <c r="C52" i="29" s="1"/>
  <c r="D52" i="29" s="1"/>
  <c r="E52" i="29" s="1"/>
  <c r="F52" i="29" s="1"/>
  <c r="G52" i="29" s="1"/>
  <c r="H52" i="29" s="1"/>
  <c r="I52" i="29" s="1"/>
  <c r="J52" i="29" s="1"/>
  <c r="K52" i="29" s="1"/>
  <c r="L52" i="29" s="1"/>
  <c r="M52" i="29" s="1"/>
  <c r="N52" i="29" s="1"/>
  <c r="O52" i="29" s="1"/>
  <c r="P52" i="29" s="1"/>
  <c r="Q52" i="29" s="1"/>
  <c r="R52" i="29" s="1"/>
  <c r="S52" i="29" s="1"/>
  <c r="T52" i="29" s="1"/>
  <c r="U52" i="29" s="1"/>
  <c r="V52" i="29" s="1"/>
  <c r="W52" i="29" s="1"/>
  <c r="X52" i="29" s="1"/>
  <c r="Y52" i="29" s="1"/>
  <c r="Z52" i="29" s="1"/>
  <c r="B50" i="29"/>
  <c r="C50" i="29" s="1"/>
  <c r="D50" i="29" s="1"/>
  <c r="E50" i="29" s="1"/>
  <c r="F50" i="29" s="1"/>
  <c r="G50" i="29" s="1"/>
  <c r="H50" i="29" s="1"/>
  <c r="I50" i="29" s="1"/>
  <c r="J50" i="29" s="1"/>
  <c r="K50" i="29" s="1"/>
  <c r="L50" i="29" s="1"/>
  <c r="M50" i="29" s="1"/>
  <c r="N50" i="29" s="1"/>
  <c r="O50" i="29" s="1"/>
  <c r="P50" i="29" s="1"/>
  <c r="Q50" i="29" s="1"/>
  <c r="R50" i="29" s="1"/>
  <c r="S50" i="29" s="1"/>
  <c r="T50" i="29" s="1"/>
  <c r="U50" i="29" s="1"/>
  <c r="V50" i="29" s="1"/>
  <c r="W50" i="29" s="1"/>
  <c r="X50" i="29" s="1"/>
  <c r="Y50" i="29" s="1"/>
  <c r="Z50" i="29" s="1"/>
  <c r="H45" i="5"/>
  <c r="AB8" i="31" s="1"/>
  <c r="P8" i="27"/>
  <c r="O8" i="27"/>
  <c r="F8" i="27"/>
  <c r="T8" i="27"/>
  <c r="G8" i="27"/>
  <c r="Z8" i="27"/>
  <c r="U12" i="28" l="1"/>
  <c r="U14" i="28" s="1"/>
  <c r="U11" i="27"/>
  <c r="AB11" i="31"/>
  <c r="Z59" i="29"/>
  <c r="Z63" i="29" s="1"/>
  <c r="Z64" i="29" s="1"/>
  <c r="AB12" i="32"/>
  <c r="AB14" i="32" s="1"/>
  <c r="T12" i="28"/>
  <c r="T14" i="28" s="1"/>
  <c r="T11" i="27"/>
  <c r="R59" i="25"/>
  <c r="R63" i="25" s="1"/>
  <c r="R64" i="25" s="1"/>
  <c r="I49" i="5"/>
  <c r="R8" i="37"/>
  <c r="AB8" i="37"/>
  <c r="E8" i="37"/>
  <c r="E11" i="37" s="1"/>
  <c r="J8" i="37"/>
  <c r="AA8" i="37"/>
  <c r="S8" i="37"/>
  <c r="M8" i="37"/>
  <c r="K8" i="37"/>
  <c r="O8" i="37"/>
  <c r="V8" i="37"/>
  <c r="H8" i="37"/>
  <c r="Z8" i="37"/>
  <c r="F8" i="37"/>
  <c r="G8" i="37"/>
  <c r="L8" i="37"/>
  <c r="D8" i="37"/>
  <c r="X8" i="37"/>
  <c r="P8" i="37"/>
  <c r="W8" i="37"/>
  <c r="I8" i="37"/>
  <c r="Y8" i="37"/>
  <c r="T8" i="37"/>
  <c r="N8" i="37"/>
  <c r="U8" i="37"/>
  <c r="Q8" i="37"/>
  <c r="V11" i="27"/>
  <c r="V12" i="28"/>
  <c r="V14" i="28" s="1"/>
  <c r="T59" i="25"/>
  <c r="T63" i="25" s="1"/>
  <c r="T64" i="25" s="1"/>
  <c r="W59" i="25"/>
  <c r="W63" i="25" s="1"/>
  <c r="W64" i="25" s="1"/>
  <c r="Y11" i="27"/>
  <c r="Y12" i="28"/>
  <c r="Y14" i="28" s="1"/>
  <c r="K8" i="31"/>
  <c r="T8" i="31"/>
  <c r="E8" i="31"/>
  <c r="Y8" i="31"/>
  <c r="L12" i="28"/>
  <c r="L14" i="28" s="1"/>
  <c r="L11" i="27"/>
  <c r="J59" i="25"/>
  <c r="J63" i="25" s="1"/>
  <c r="J64" i="25" s="1"/>
  <c r="F12" i="28"/>
  <c r="F14" i="28" s="1"/>
  <c r="D59" i="25"/>
  <c r="D63" i="25" s="1"/>
  <c r="D64" i="25" s="1"/>
  <c r="F11" i="27"/>
  <c r="S12" i="28"/>
  <c r="S14" i="28" s="1"/>
  <c r="S11" i="27"/>
  <c r="Q59" i="25"/>
  <c r="Q63" i="25" s="1"/>
  <c r="Q64" i="25" s="1"/>
  <c r="N12" i="28"/>
  <c r="N14" i="28" s="1"/>
  <c r="N11" i="27"/>
  <c r="L59" i="25"/>
  <c r="L63" i="25" s="1"/>
  <c r="L64" i="25" s="1"/>
  <c r="P59" i="25"/>
  <c r="P63" i="25" s="1"/>
  <c r="P64" i="25" s="1"/>
  <c r="R11" i="27"/>
  <c r="R12" i="28"/>
  <c r="R14" i="28" s="1"/>
  <c r="V59" i="25"/>
  <c r="V63" i="25" s="1"/>
  <c r="V64" i="25" s="1"/>
  <c r="X11" i="27"/>
  <c r="X12" i="28"/>
  <c r="X14" i="28" s="1"/>
  <c r="H12" i="28"/>
  <c r="H14" i="28" s="1"/>
  <c r="F59" i="25"/>
  <c r="F63" i="25" s="1"/>
  <c r="F64" i="25" s="1"/>
  <c r="H11" i="27"/>
  <c r="AA8" i="31"/>
  <c r="D8" i="31"/>
  <c r="W8" i="31"/>
  <c r="I8" i="31"/>
  <c r="L8" i="31"/>
  <c r="U15" i="27"/>
  <c r="U26" i="27" s="1"/>
  <c r="U36" i="27"/>
  <c r="U39" i="27" s="1"/>
  <c r="H49" i="5"/>
  <c r="B51" i="29"/>
  <c r="D11" i="27"/>
  <c r="AD8" i="27"/>
  <c r="AD11" i="27" s="1"/>
  <c r="AD15" i="27" s="1"/>
  <c r="AD26" i="27" s="1"/>
  <c r="AD30" i="27" s="1"/>
  <c r="B59" i="25"/>
  <c r="H24" i="25"/>
  <c r="D12" i="28"/>
  <c r="C59" i="25"/>
  <c r="C63" i="25" s="1"/>
  <c r="C64" i="25" s="1"/>
  <c r="E12" i="28"/>
  <c r="E14" i="28" s="1"/>
  <c r="E11" i="27"/>
  <c r="N8" i="31"/>
  <c r="G8" i="31"/>
  <c r="AB11" i="27"/>
  <c r="AB12" i="28"/>
  <c r="AB14" i="28" s="1"/>
  <c r="Z59" i="25"/>
  <c r="Z63" i="25" s="1"/>
  <c r="Z64" i="25" s="1"/>
  <c r="I11" i="27"/>
  <c r="G59" i="25"/>
  <c r="G63" i="25" s="1"/>
  <c r="G64" i="25" s="1"/>
  <c r="I12" i="28"/>
  <c r="I14" i="28" s="1"/>
  <c r="Z8" i="31"/>
  <c r="R8" i="31"/>
  <c r="Q8" i="31"/>
  <c r="M8" i="31"/>
  <c r="S8" i="31"/>
  <c r="X8" i="31"/>
  <c r="S30" i="25"/>
  <c r="S31" i="25" s="1"/>
  <c r="S33" i="25" s="1"/>
  <c r="S35" i="25" s="1"/>
  <c r="U16" i="28"/>
  <c r="Z11" i="27"/>
  <c r="X59" i="25"/>
  <c r="X63" i="25" s="1"/>
  <c r="X64" i="25" s="1"/>
  <c r="Z12" i="28"/>
  <c r="Z14" i="28" s="1"/>
  <c r="O12" i="28"/>
  <c r="O14" i="28" s="1"/>
  <c r="M59" i="25"/>
  <c r="M63" i="25" s="1"/>
  <c r="M64" i="25" s="1"/>
  <c r="O11" i="27"/>
  <c r="J11" i="27"/>
  <c r="J12" i="28"/>
  <c r="J14" i="28" s="1"/>
  <c r="H59" i="25"/>
  <c r="H63" i="25" s="1"/>
  <c r="H64" i="25" s="1"/>
  <c r="E59" i="25"/>
  <c r="E63" i="25" s="1"/>
  <c r="E64" i="25" s="1"/>
  <c r="G12" i="28"/>
  <c r="G14" i="28" s="1"/>
  <c r="G11" i="27"/>
  <c r="N59" i="25"/>
  <c r="N63" i="25" s="1"/>
  <c r="N64" i="25" s="1"/>
  <c r="P11" i="27"/>
  <c r="P12" i="28"/>
  <c r="P14" i="28" s="1"/>
  <c r="Q12" i="28"/>
  <c r="Q14" i="28" s="1"/>
  <c r="O59" i="25"/>
  <c r="O63" i="25" s="1"/>
  <c r="O64" i="25" s="1"/>
  <c r="Q11" i="27"/>
  <c r="Y59" i="25"/>
  <c r="Y63" i="25" s="1"/>
  <c r="Y64" i="25" s="1"/>
  <c r="AA12" i="28"/>
  <c r="AA14" i="28" s="1"/>
  <c r="AA11" i="27"/>
  <c r="K59" i="25"/>
  <c r="K63" i="25" s="1"/>
  <c r="K64" i="25" s="1"/>
  <c r="M11" i="27"/>
  <c r="M12" i="28"/>
  <c r="M14" i="28" s="1"/>
  <c r="K11" i="27"/>
  <c r="I59" i="25"/>
  <c r="I63" i="25" s="1"/>
  <c r="I64" i="25" s="1"/>
  <c r="K12" i="28"/>
  <c r="K14" i="28" s="1"/>
  <c r="W11" i="27"/>
  <c r="U59" i="25"/>
  <c r="U63" i="25" s="1"/>
  <c r="U64" i="25" s="1"/>
  <c r="W12" i="28"/>
  <c r="W14" i="28" s="1"/>
  <c r="P8" i="31"/>
  <c r="H8" i="31"/>
  <c r="J8" i="31"/>
  <c r="O8" i="31"/>
  <c r="F8" i="31"/>
  <c r="U8" i="31"/>
  <c r="V8" i="31"/>
  <c r="F59" i="33" l="1"/>
  <c r="F63" i="33" s="1"/>
  <c r="F64" i="33" s="1"/>
  <c r="H11" i="31"/>
  <c r="F59" i="29"/>
  <c r="F63" i="29" s="1"/>
  <c r="F64" i="29" s="1"/>
  <c r="H12" i="32"/>
  <c r="H14" i="32" s="1"/>
  <c r="M16" i="28"/>
  <c r="K30" i="25"/>
  <c r="K31" i="25" s="1"/>
  <c r="K33" i="25" s="1"/>
  <c r="K35" i="25" s="1"/>
  <c r="O30" i="25"/>
  <c r="O31" i="25" s="1"/>
  <c r="O33" i="25" s="1"/>
  <c r="O35" i="25" s="1"/>
  <c r="Q16" i="28"/>
  <c r="H30" i="25"/>
  <c r="H31" i="25" s="1"/>
  <c r="H33" i="25" s="1"/>
  <c r="H35" i="25" s="1"/>
  <c r="J16" i="28"/>
  <c r="M11" i="31"/>
  <c r="K59" i="33"/>
  <c r="K63" i="33" s="1"/>
  <c r="K64" i="33" s="1"/>
  <c r="K59" i="29"/>
  <c r="K63" i="29" s="1"/>
  <c r="K64" i="29" s="1"/>
  <c r="M12" i="32"/>
  <c r="M14" i="32" s="1"/>
  <c r="AB16" i="28"/>
  <c r="Z30" i="25"/>
  <c r="Z31" i="25" s="1"/>
  <c r="Z33" i="25" s="1"/>
  <c r="Z35" i="25" s="1"/>
  <c r="E36" i="27"/>
  <c r="E39" i="27" s="1"/>
  <c r="E15" i="27"/>
  <c r="E26" i="27" s="1"/>
  <c r="B54" i="29"/>
  <c r="C51" i="29"/>
  <c r="AA11" i="31"/>
  <c r="AA12" i="32"/>
  <c r="AA14" i="32" s="1"/>
  <c r="Y59" i="29"/>
  <c r="Y63" i="29" s="1"/>
  <c r="Y64" i="29" s="1"/>
  <c r="L30" i="25"/>
  <c r="L31" i="25" s="1"/>
  <c r="L33" i="25" s="1"/>
  <c r="L35" i="25" s="1"/>
  <c r="N16" i="28"/>
  <c r="L36" i="27"/>
  <c r="L39" i="27" s="1"/>
  <c r="L15" i="27"/>
  <c r="L26" i="27" s="1"/>
  <c r="R59" i="29"/>
  <c r="R63" i="29" s="1"/>
  <c r="R64" i="29" s="1"/>
  <c r="T11" i="31"/>
  <c r="T12" i="32"/>
  <c r="T14" i="32" s="1"/>
  <c r="R59" i="33"/>
  <c r="R63" i="33" s="1"/>
  <c r="R64" i="33" s="1"/>
  <c r="Q12" i="35"/>
  <c r="Q14" i="35" s="1"/>
  <c r="Q11" i="37"/>
  <c r="X11" i="37"/>
  <c r="X12" i="35"/>
  <c r="X14" i="35" s="1"/>
  <c r="X16" i="35" s="1"/>
  <c r="O12" i="35"/>
  <c r="O14" i="35" s="1"/>
  <c r="O11" i="37"/>
  <c r="R12" i="35"/>
  <c r="R14" i="35" s="1"/>
  <c r="R11" i="37"/>
  <c r="F12" i="32"/>
  <c r="F14" i="32" s="1"/>
  <c r="D59" i="29"/>
  <c r="D63" i="29" s="1"/>
  <c r="D64" i="29" s="1"/>
  <c r="F11" i="31"/>
  <c r="K16" i="28"/>
  <c r="I30" i="25"/>
  <c r="I31" i="25" s="1"/>
  <c r="I33" i="25" s="1"/>
  <c r="I35" i="25" s="1"/>
  <c r="M36" i="27"/>
  <c r="M39" i="27" s="1"/>
  <c r="M15" i="27"/>
  <c r="M26" i="27" s="1"/>
  <c r="P16" i="28"/>
  <c r="N30" i="25"/>
  <c r="N31" i="25" s="1"/>
  <c r="N33" i="25" s="1"/>
  <c r="N35" i="25" s="1"/>
  <c r="J36" i="27"/>
  <c r="J39" i="27" s="1"/>
  <c r="J15" i="27"/>
  <c r="J26" i="27" s="1"/>
  <c r="Z16" i="28"/>
  <c r="X30" i="25"/>
  <c r="X31" i="25" s="1"/>
  <c r="X33" i="25" s="1"/>
  <c r="X35" i="25" s="1"/>
  <c r="H36" i="27"/>
  <c r="H39" i="27" s="1"/>
  <c r="H15" i="27"/>
  <c r="H26" i="27" s="1"/>
  <c r="I12" i="35"/>
  <c r="I14" i="35" s="1"/>
  <c r="I11" i="37"/>
  <c r="K12" i="35"/>
  <c r="K14" i="35" s="1"/>
  <c r="K11" i="37"/>
  <c r="M59" i="33"/>
  <c r="M63" i="33" s="1"/>
  <c r="M64" i="33" s="1"/>
  <c r="M59" i="29"/>
  <c r="M63" i="29" s="1"/>
  <c r="M64" i="29" s="1"/>
  <c r="O11" i="31"/>
  <c r="O12" i="32"/>
  <c r="O14" i="32" s="1"/>
  <c r="Q15" i="27"/>
  <c r="Q26" i="27" s="1"/>
  <c r="Q36" i="27"/>
  <c r="Q39" i="27" s="1"/>
  <c r="P36" i="27"/>
  <c r="P39" i="27" s="1"/>
  <c r="P15" i="27"/>
  <c r="P26" i="27" s="1"/>
  <c r="R12" i="32"/>
  <c r="R14" i="32" s="1"/>
  <c r="P59" i="33"/>
  <c r="P63" i="33" s="1"/>
  <c r="P64" i="33" s="1"/>
  <c r="R11" i="31"/>
  <c r="P59" i="29"/>
  <c r="P63" i="29" s="1"/>
  <c r="P64" i="29" s="1"/>
  <c r="I15" i="27"/>
  <c r="I26" i="27" s="1"/>
  <c r="I36" i="27"/>
  <c r="I39" i="27" s="1"/>
  <c r="E59" i="33"/>
  <c r="E63" i="33" s="1"/>
  <c r="E64" i="33" s="1"/>
  <c r="G11" i="31"/>
  <c r="G12" i="32"/>
  <c r="G14" i="32" s="1"/>
  <c r="E59" i="29"/>
  <c r="E63" i="29" s="1"/>
  <c r="E64" i="29" s="1"/>
  <c r="U59" i="29"/>
  <c r="U63" i="29" s="1"/>
  <c r="U64" i="29" s="1"/>
  <c r="W12" i="32"/>
  <c r="W14" i="32" s="1"/>
  <c r="W11" i="31"/>
  <c r="U59" i="33"/>
  <c r="U63" i="33" s="1"/>
  <c r="U64" i="33" s="1"/>
  <c r="S36" i="27"/>
  <c r="S39" i="27" s="1"/>
  <c r="S15" i="27"/>
  <c r="S26" i="27" s="1"/>
  <c r="F16" i="28"/>
  <c r="D30" i="25"/>
  <c r="D31" i="25" s="1"/>
  <c r="D33" i="25" s="1"/>
  <c r="D35" i="25" s="1"/>
  <c r="Y11" i="31"/>
  <c r="Y12" i="32"/>
  <c r="Y14" i="32" s="1"/>
  <c r="W59" i="29"/>
  <c r="W63" i="29" s="1"/>
  <c r="W64" i="29" s="1"/>
  <c r="Y16" i="28"/>
  <c r="W30" i="25"/>
  <c r="W31" i="25" s="1"/>
  <c r="W33" i="25" s="1"/>
  <c r="W35" i="25" s="1"/>
  <c r="T30" i="25"/>
  <c r="T31" i="25" s="1"/>
  <c r="T33" i="25" s="1"/>
  <c r="T35" i="25" s="1"/>
  <c r="V16" i="28"/>
  <c r="N12" i="35"/>
  <c r="N14" i="35" s="1"/>
  <c r="N11" i="37"/>
  <c r="W11" i="37"/>
  <c r="W12" i="35"/>
  <c r="W14" i="35" s="1"/>
  <c r="L11" i="37"/>
  <c r="L12" i="35"/>
  <c r="L14" i="35" s="1"/>
  <c r="H12" i="35"/>
  <c r="H14" i="35" s="1"/>
  <c r="H11" i="37"/>
  <c r="M12" i="35"/>
  <c r="M14" i="35" s="1"/>
  <c r="M11" i="37"/>
  <c r="E15" i="37"/>
  <c r="E26" i="37" s="1"/>
  <c r="E36" i="37"/>
  <c r="E39" i="37" s="1"/>
  <c r="S59" i="29"/>
  <c r="S63" i="29" s="1"/>
  <c r="S64" i="29" s="1"/>
  <c r="S59" i="33"/>
  <c r="S63" i="33" s="1"/>
  <c r="S64" i="33" s="1"/>
  <c r="U12" i="32"/>
  <c r="U14" i="32" s="1"/>
  <c r="U11" i="31"/>
  <c r="W36" i="27"/>
  <c r="W39" i="27" s="1"/>
  <c r="W15" i="27"/>
  <c r="W26" i="27" s="1"/>
  <c r="AA16" i="28"/>
  <c r="Y30" i="25"/>
  <c r="Y31" i="25" s="1"/>
  <c r="Y33" i="25" s="1"/>
  <c r="Y35" i="25" s="1"/>
  <c r="G36" i="27"/>
  <c r="G39" i="27" s="1"/>
  <c r="G15" i="27"/>
  <c r="G26" i="27" s="1"/>
  <c r="M30" i="25"/>
  <c r="M31" i="25" s="1"/>
  <c r="M33" i="25" s="1"/>
  <c r="M35" i="25" s="1"/>
  <c r="O16" i="28"/>
  <c r="U21" i="28"/>
  <c r="U25" i="28" s="1"/>
  <c r="U27" i="28" s="1"/>
  <c r="U17" i="28"/>
  <c r="G30" i="25"/>
  <c r="G31" i="25" s="1"/>
  <c r="G33" i="25" s="1"/>
  <c r="G35" i="25" s="1"/>
  <c r="I16" i="28"/>
  <c r="L11" i="31"/>
  <c r="J59" i="29"/>
  <c r="J63" i="29" s="1"/>
  <c r="J64" i="29" s="1"/>
  <c r="L12" i="32"/>
  <c r="L14" i="32" s="1"/>
  <c r="J59" i="33"/>
  <c r="J63" i="33" s="1"/>
  <c r="J64" i="33" s="1"/>
  <c r="X16" i="28"/>
  <c r="V30" i="25"/>
  <c r="V31" i="25" s="1"/>
  <c r="V33" i="25" s="1"/>
  <c r="V35" i="25" s="1"/>
  <c r="R36" i="27"/>
  <c r="R39" i="27" s="1"/>
  <c r="R15" i="27"/>
  <c r="R26" i="27" s="1"/>
  <c r="F36" i="27"/>
  <c r="F39" i="27" s="1"/>
  <c r="F15" i="27"/>
  <c r="F26" i="27" s="1"/>
  <c r="Y12" i="35"/>
  <c r="Y14" i="35" s="1"/>
  <c r="Y16" i="35" s="1"/>
  <c r="Y11" i="37"/>
  <c r="D59" i="33"/>
  <c r="D63" i="33" s="1"/>
  <c r="D64" i="33" s="1"/>
  <c r="F11" i="37"/>
  <c r="F12" i="35"/>
  <c r="F14" i="35" s="1"/>
  <c r="AA12" i="35"/>
  <c r="AA14" i="35" s="1"/>
  <c r="AA16" i="35" s="1"/>
  <c r="AA11" i="37"/>
  <c r="T16" i="28"/>
  <c r="R30" i="25"/>
  <c r="R31" i="25" s="1"/>
  <c r="R33" i="25" s="1"/>
  <c r="R35" i="25" s="1"/>
  <c r="N59" i="29"/>
  <c r="N63" i="29" s="1"/>
  <c r="N64" i="29" s="1"/>
  <c r="P12" i="32"/>
  <c r="P14" i="32" s="1"/>
  <c r="P11" i="31"/>
  <c r="N59" i="33"/>
  <c r="N63" i="33" s="1"/>
  <c r="N64" i="33" s="1"/>
  <c r="E30" i="25"/>
  <c r="E31" i="25" s="1"/>
  <c r="E33" i="25" s="1"/>
  <c r="E35" i="25" s="1"/>
  <c r="G16" i="28"/>
  <c r="Q11" i="31"/>
  <c r="O59" i="29"/>
  <c r="O63" i="29" s="1"/>
  <c r="O64" i="29" s="1"/>
  <c r="Q12" i="32"/>
  <c r="Q14" i="32" s="1"/>
  <c r="O59" i="33"/>
  <c r="O63" i="33" s="1"/>
  <c r="O64" i="33" s="1"/>
  <c r="AB15" i="27"/>
  <c r="AB26" i="27" s="1"/>
  <c r="AB36" i="27"/>
  <c r="E16" i="28"/>
  <c r="C30" i="25"/>
  <c r="C31" i="25" s="1"/>
  <c r="C33" i="25" s="1"/>
  <c r="C35" i="25" s="1"/>
  <c r="B63" i="25"/>
  <c r="H13" i="36"/>
  <c r="G59" i="29"/>
  <c r="G63" i="29" s="1"/>
  <c r="G64" i="29" s="1"/>
  <c r="I12" i="32"/>
  <c r="I14" i="32" s="1"/>
  <c r="G59" i="33"/>
  <c r="G63" i="33" s="1"/>
  <c r="G64" i="33" s="1"/>
  <c r="I11" i="31"/>
  <c r="X36" i="27"/>
  <c r="X15" i="27"/>
  <c r="X26" i="27" s="1"/>
  <c r="L16" i="28"/>
  <c r="J30" i="25"/>
  <c r="J31" i="25" s="1"/>
  <c r="J33" i="25" s="1"/>
  <c r="J35" i="25" s="1"/>
  <c r="I59" i="33"/>
  <c r="I63" i="33" s="1"/>
  <c r="I64" i="33" s="1"/>
  <c r="I59" i="29"/>
  <c r="I63" i="29" s="1"/>
  <c r="I64" i="29" s="1"/>
  <c r="K12" i="32"/>
  <c r="K14" i="32" s="1"/>
  <c r="K11" i="31"/>
  <c r="U11" i="37"/>
  <c r="U12" i="35"/>
  <c r="U14" i="35" s="1"/>
  <c r="H24" i="33"/>
  <c r="I24" i="33" s="1"/>
  <c r="C59" i="33"/>
  <c r="C63" i="33" s="1"/>
  <c r="C64" i="33" s="1"/>
  <c r="E12" i="35"/>
  <c r="AD8" i="37"/>
  <c r="AD11" i="37" s="1"/>
  <c r="AD15" i="37" s="1"/>
  <c r="AD26" i="37" s="1"/>
  <c r="AD30" i="37" s="1"/>
  <c r="D11" i="37"/>
  <c r="Z11" i="37"/>
  <c r="Z12" i="35"/>
  <c r="Z14" i="35" s="1"/>
  <c r="Z16" i="35" s="1"/>
  <c r="J12" i="35"/>
  <c r="J14" i="35" s="1"/>
  <c r="J11" i="37"/>
  <c r="Z30" i="29"/>
  <c r="Z31" i="29" s="1"/>
  <c r="Z33" i="29" s="1"/>
  <c r="Z35" i="29" s="1"/>
  <c r="AB16" i="32"/>
  <c r="W16" i="28"/>
  <c r="U30" i="25"/>
  <c r="U31" i="25" s="1"/>
  <c r="U33" i="25" s="1"/>
  <c r="U35" i="25" s="1"/>
  <c r="O15" i="27"/>
  <c r="O26" i="27" s="1"/>
  <c r="O36" i="27"/>
  <c r="O39" i="27" s="1"/>
  <c r="V59" i="29"/>
  <c r="V63" i="29" s="1"/>
  <c r="V64" i="29" s="1"/>
  <c r="X11" i="31"/>
  <c r="X12" i="32"/>
  <c r="X14" i="32" s="1"/>
  <c r="V12" i="32"/>
  <c r="V14" i="32" s="1"/>
  <c r="T59" i="29"/>
  <c r="T63" i="29" s="1"/>
  <c r="T64" i="29" s="1"/>
  <c r="V11" i="31"/>
  <c r="T59" i="33"/>
  <c r="T63" i="33" s="1"/>
  <c r="T64" i="33" s="1"/>
  <c r="H59" i="33"/>
  <c r="H63" i="33" s="1"/>
  <c r="H64" i="33" s="1"/>
  <c r="H59" i="29"/>
  <c r="H63" i="29" s="1"/>
  <c r="H64" i="29" s="1"/>
  <c r="J11" i="31"/>
  <c r="J12" i="32"/>
  <c r="J14" i="32" s="1"/>
  <c r="K15" i="27"/>
  <c r="K26" i="27" s="1"/>
  <c r="K36" i="27"/>
  <c r="K39" i="27" s="1"/>
  <c r="AA15" i="27"/>
  <c r="AA26" i="27" s="1"/>
  <c r="AA36" i="27"/>
  <c r="Z36" i="27"/>
  <c r="Z15" i="27"/>
  <c r="Z26" i="27" s="1"/>
  <c r="Q59" i="29"/>
  <c r="Q63" i="29" s="1"/>
  <c r="Q64" i="29" s="1"/>
  <c r="Q59" i="33"/>
  <c r="Q63" i="33" s="1"/>
  <c r="Q64" i="33" s="1"/>
  <c r="S12" i="32"/>
  <c r="S14" i="32" s="1"/>
  <c r="S11" i="31"/>
  <c r="Z11" i="31"/>
  <c r="Z12" i="32"/>
  <c r="Z14" i="32" s="1"/>
  <c r="X59" i="29"/>
  <c r="X63" i="29" s="1"/>
  <c r="X64" i="29" s="1"/>
  <c r="L59" i="29"/>
  <c r="L63" i="29" s="1"/>
  <c r="L64" i="29" s="1"/>
  <c r="N11" i="31"/>
  <c r="L59" i="33"/>
  <c r="L63" i="33" s="1"/>
  <c r="L64" i="33" s="1"/>
  <c r="N12" i="32"/>
  <c r="N14" i="32" s="1"/>
  <c r="D14" i="28"/>
  <c r="AD12" i="28"/>
  <c r="AD14" i="28" s="1"/>
  <c r="AD16" i="28" s="1"/>
  <c r="D36" i="27"/>
  <c r="D39" i="27" s="1"/>
  <c r="D15" i="27"/>
  <c r="D26" i="27" s="1"/>
  <c r="S37" i="25"/>
  <c r="AD8" i="31"/>
  <c r="AD11" i="31" s="1"/>
  <c r="AD15" i="31" s="1"/>
  <c r="AD26" i="31" s="1"/>
  <c r="AD30" i="31" s="1"/>
  <c r="D12" i="32"/>
  <c r="B59" i="29"/>
  <c r="D11" i="31"/>
  <c r="H24" i="29"/>
  <c r="F30" i="25"/>
  <c r="F31" i="25" s="1"/>
  <c r="F33" i="25" s="1"/>
  <c r="F35" i="25" s="1"/>
  <c r="H16" i="28"/>
  <c r="R16" i="28"/>
  <c r="P30" i="25"/>
  <c r="P31" i="25" s="1"/>
  <c r="P33" i="25" s="1"/>
  <c r="P35" i="25" s="1"/>
  <c r="N36" i="27"/>
  <c r="N39" i="27" s="1"/>
  <c r="N15" i="27"/>
  <c r="N26" i="27" s="1"/>
  <c r="S16" i="28"/>
  <c r="Q30" i="25"/>
  <c r="Q31" i="25" s="1"/>
  <c r="Q33" i="25" s="1"/>
  <c r="Q35" i="25" s="1"/>
  <c r="E12" i="32"/>
  <c r="E14" i="32" s="1"/>
  <c r="E11" i="31"/>
  <c r="C59" i="29"/>
  <c r="C63" i="29" s="1"/>
  <c r="C64" i="29" s="1"/>
  <c r="Y36" i="27"/>
  <c r="Y15" i="27"/>
  <c r="Y26" i="27" s="1"/>
  <c r="V15" i="27"/>
  <c r="V26" i="27" s="1"/>
  <c r="V36" i="27"/>
  <c r="V39" i="27" s="1"/>
  <c r="T12" i="35"/>
  <c r="T14" i="35" s="1"/>
  <c r="T11" i="37"/>
  <c r="P11" i="37"/>
  <c r="P12" i="35"/>
  <c r="P14" i="35" s="1"/>
  <c r="G11" i="37"/>
  <c r="G12" i="35"/>
  <c r="G14" i="35" s="1"/>
  <c r="V12" i="35"/>
  <c r="V14" i="35" s="1"/>
  <c r="V11" i="37"/>
  <c r="S11" i="37"/>
  <c r="S12" i="35"/>
  <c r="S14" i="35" s="1"/>
  <c r="AB12" i="35"/>
  <c r="AB14" i="35" s="1"/>
  <c r="AB16" i="35" s="1"/>
  <c r="AB11" i="37"/>
  <c r="T36" i="27"/>
  <c r="T39" i="27" s="1"/>
  <c r="T15" i="27"/>
  <c r="T26" i="27" s="1"/>
  <c r="AB15" i="31"/>
  <c r="AB26" i="31" s="1"/>
  <c r="AB36" i="31"/>
  <c r="Z37" i="29" l="1"/>
  <c r="T30" i="33"/>
  <c r="T31" i="33" s="1"/>
  <c r="T33" i="33" s="1"/>
  <c r="T35" i="33" s="1"/>
  <c r="V16" i="35"/>
  <c r="T37" i="25"/>
  <c r="L37" i="25"/>
  <c r="B63" i="29"/>
  <c r="I13" i="36"/>
  <c r="X37" i="25"/>
  <c r="W21" i="28"/>
  <c r="W25" i="28" s="1"/>
  <c r="W27" i="28" s="1"/>
  <c r="W17" i="28"/>
  <c r="J16" i="35"/>
  <c r="H30" i="33"/>
  <c r="H31" i="33" s="1"/>
  <c r="H33" i="33" s="1"/>
  <c r="H35" i="33" s="1"/>
  <c r="I16" i="32"/>
  <c r="G30" i="29"/>
  <c r="G31" i="29" s="1"/>
  <c r="G33" i="29" s="1"/>
  <c r="G35" i="29" s="1"/>
  <c r="P16" i="32"/>
  <c r="N30" i="29"/>
  <c r="N31" i="29" s="1"/>
  <c r="N33" i="29" s="1"/>
  <c r="N35" i="29" s="1"/>
  <c r="AA15" i="37"/>
  <c r="AA26" i="37" s="1"/>
  <c r="AA36" i="37"/>
  <c r="X21" i="28"/>
  <c r="X25" i="28" s="1"/>
  <c r="X27" i="28" s="1"/>
  <c r="X17" i="28"/>
  <c r="L15" i="31"/>
  <c r="L26" i="31" s="1"/>
  <c r="L36" i="31"/>
  <c r="L39" i="31" s="1"/>
  <c r="K30" i="33"/>
  <c r="K31" i="33" s="1"/>
  <c r="K33" i="33" s="1"/>
  <c r="K35" i="33" s="1"/>
  <c r="M16" i="35"/>
  <c r="L30" i="33"/>
  <c r="L31" i="33" s="1"/>
  <c r="L33" i="33" s="1"/>
  <c r="L35" i="33" s="1"/>
  <c r="N16" i="35"/>
  <c r="Y21" i="28"/>
  <c r="Y25" i="28" s="1"/>
  <c r="Y27" i="28" s="1"/>
  <c r="Y17" i="28"/>
  <c r="O16" i="35"/>
  <c r="M30" i="33"/>
  <c r="M31" i="33" s="1"/>
  <c r="M33" i="33" s="1"/>
  <c r="M35" i="33" s="1"/>
  <c r="C54" i="29"/>
  <c r="D51" i="29"/>
  <c r="H16" i="32"/>
  <c r="F30" i="29"/>
  <c r="F31" i="29" s="1"/>
  <c r="F33" i="29" s="1"/>
  <c r="F35" i="29" s="1"/>
  <c r="S16" i="35"/>
  <c r="Q30" i="33"/>
  <c r="Q31" i="33" s="1"/>
  <c r="Q33" i="33" s="1"/>
  <c r="Q35" i="33" s="1"/>
  <c r="T15" i="37"/>
  <c r="T26" i="37" s="1"/>
  <c r="T36" i="37"/>
  <c r="T39" i="37" s="1"/>
  <c r="E16" i="32"/>
  <c r="C30" i="29"/>
  <c r="C31" i="29" s="1"/>
  <c r="C33" i="29" s="1"/>
  <c r="C35" i="29" s="1"/>
  <c r="B37" i="25"/>
  <c r="H11" i="36" s="1"/>
  <c r="D30" i="27"/>
  <c r="E28" i="27" s="1"/>
  <c r="B44" i="25"/>
  <c r="H12" i="36" s="1"/>
  <c r="B42" i="25"/>
  <c r="B43" i="25"/>
  <c r="B41" i="25"/>
  <c r="N16" i="32"/>
  <c r="L30" i="29"/>
  <c r="L31" i="29" s="1"/>
  <c r="L33" i="29" s="1"/>
  <c r="L35" i="29" s="1"/>
  <c r="Q30" i="29"/>
  <c r="Q31" i="29" s="1"/>
  <c r="Q33" i="29" s="1"/>
  <c r="Q35" i="29" s="1"/>
  <c r="S16" i="32"/>
  <c r="AB17" i="32"/>
  <c r="AB21" i="32"/>
  <c r="AB25" i="32" s="1"/>
  <c r="AB27" i="32" s="1"/>
  <c r="AD12" i="35"/>
  <c r="AD14" i="35" s="1"/>
  <c r="AD16" i="35" s="1"/>
  <c r="E14" i="35"/>
  <c r="U15" i="37"/>
  <c r="U26" i="37" s="1"/>
  <c r="U36" i="37"/>
  <c r="U39" i="37" s="1"/>
  <c r="O30" i="29"/>
  <c r="O31" i="29" s="1"/>
  <c r="O33" i="29" s="1"/>
  <c r="O35" i="29" s="1"/>
  <c r="Q16" i="32"/>
  <c r="Y36" i="37"/>
  <c r="Y15" i="37"/>
  <c r="Y26" i="37" s="1"/>
  <c r="I21" i="28"/>
  <c r="I25" i="28" s="1"/>
  <c r="I27" i="28" s="1"/>
  <c r="I17" i="28"/>
  <c r="O17" i="28"/>
  <c r="O21" i="28"/>
  <c r="O25" i="28" s="1"/>
  <c r="O27" i="28" s="1"/>
  <c r="W16" i="35"/>
  <c r="U30" i="33"/>
  <c r="U31" i="33" s="1"/>
  <c r="U33" i="33" s="1"/>
  <c r="U35" i="33" s="1"/>
  <c r="V17" i="28"/>
  <c r="V21" i="28"/>
  <c r="V25" i="28" s="1"/>
  <c r="V27" i="28" s="1"/>
  <c r="F17" i="28"/>
  <c r="F21" i="28"/>
  <c r="F25" i="28" s="1"/>
  <c r="F27" i="28" s="1"/>
  <c r="G16" i="32"/>
  <c r="E30" i="29"/>
  <c r="E31" i="29" s="1"/>
  <c r="E33" i="29" s="1"/>
  <c r="E35" i="29" s="1"/>
  <c r="R16" i="32"/>
  <c r="P30" i="29"/>
  <c r="P31" i="29" s="1"/>
  <c r="P33" i="29" s="1"/>
  <c r="P35" i="29" s="1"/>
  <c r="Z17" i="28"/>
  <c r="Z21" i="28"/>
  <c r="Z25" i="28" s="1"/>
  <c r="Z27" i="28" s="1"/>
  <c r="K21" i="28"/>
  <c r="K25" i="28" s="1"/>
  <c r="K27" i="28" s="1"/>
  <c r="K17" i="28"/>
  <c r="X17" i="35"/>
  <c r="X21" i="35"/>
  <c r="X25" i="35" s="1"/>
  <c r="X27" i="35" s="1"/>
  <c r="AB21" i="28"/>
  <c r="AB25" i="28" s="1"/>
  <c r="AB27" i="28" s="1"/>
  <c r="AB17" i="28"/>
  <c r="G15" i="37"/>
  <c r="G26" i="37" s="1"/>
  <c r="G36" i="37"/>
  <c r="G39" i="37" s="1"/>
  <c r="B46" i="25"/>
  <c r="Z16" i="32"/>
  <c r="X30" i="29"/>
  <c r="X31" i="29" s="1"/>
  <c r="X33" i="29" s="1"/>
  <c r="X35" i="29" s="1"/>
  <c r="H30" i="29"/>
  <c r="H31" i="29" s="1"/>
  <c r="H33" i="29" s="1"/>
  <c r="H35" i="29" s="1"/>
  <c r="J16" i="32"/>
  <c r="V30" i="29"/>
  <c r="V31" i="29" s="1"/>
  <c r="V33" i="29" s="1"/>
  <c r="V35" i="29" s="1"/>
  <c r="X16" i="32"/>
  <c r="M37" i="25"/>
  <c r="Z36" i="37"/>
  <c r="Z15" i="37"/>
  <c r="Z26" i="37" s="1"/>
  <c r="K15" i="31"/>
  <c r="K26" i="31" s="1"/>
  <c r="K36" i="31"/>
  <c r="K39" i="31" s="1"/>
  <c r="I36" i="31"/>
  <c r="I39" i="31" s="1"/>
  <c r="I15" i="31"/>
  <c r="I26" i="31" s="1"/>
  <c r="H5" i="36"/>
  <c r="H4" i="36"/>
  <c r="D30" i="33"/>
  <c r="D31" i="33" s="1"/>
  <c r="D33" i="33" s="1"/>
  <c r="D35" i="33" s="1"/>
  <c r="F16" i="35"/>
  <c r="Y21" i="35"/>
  <c r="Y25" i="35" s="1"/>
  <c r="Y27" i="35" s="1"/>
  <c r="Y17" i="35"/>
  <c r="J30" i="29"/>
  <c r="J31" i="29" s="1"/>
  <c r="J33" i="29" s="1"/>
  <c r="J35" i="29" s="1"/>
  <c r="L16" i="32"/>
  <c r="AA17" i="28"/>
  <c r="AA21" i="28"/>
  <c r="AA25" i="28" s="1"/>
  <c r="AA27" i="28" s="1"/>
  <c r="S30" i="29"/>
  <c r="S31" i="29" s="1"/>
  <c r="S33" i="29" s="1"/>
  <c r="S35" i="29" s="1"/>
  <c r="U16" i="32"/>
  <c r="C37" i="33"/>
  <c r="H16" i="35"/>
  <c r="F30" i="33"/>
  <c r="F31" i="33" s="1"/>
  <c r="F33" i="33" s="1"/>
  <c r="F35" i="33" s="1"/>
  <c r="W15" i="37"/>
  <c r="W26" i="37" s="1"/>
  <c r="W36" i="37"/>
  <c r="W39" i="37" s="1"/>
  <c r="Y16" i="32"/>
  <c r="W30" i="29"/>
  <c r="W31" i="29" s="1"/>
  <c r="W33" i="29" s="1"/>
  <c r="W35" i="29" s="1"/>
  <c r="Q37" i="25"/>
  <c r="U30" i="29"/>
  <c r="U31" i="29" s="1"/>
  <c r="U33" i="29" s="1"/>
  <c r="U35" i="29" s="1"/>
  <c r="W16" i="32"/>
  <c r="G36" i="31"/>
  <c r="G39" i="31" s="1"/>
  <c r="G15" i="31"/>
  <c r="G26" i="31" s="1"/>
  <c r="N37" i="25"/>
  <c r="M30" i="29"/>
  <c r="M31" i="29" s="1"/>
  <c r="M33" i="29" s="1"/>
  <c r="M35" i="29" s="1"/>
  <c r="O16" i="32"/>
  <c r="K36" i="37"/>
  <c r="K39" i="37" s="1"/>
  <c r="K15" i="37"/>
  <c r="K26" i="37" s="1"/>
  <c r="F37" i="25"/>
  <c r="H37" i="25"/>
  <c r="K37" i="25"/>
  <c r="F36" i="31"/>
  <c r="F39" i="31" s="1"/>
  <c r="F15" i="31"/>
  <c r="F26" i="31" s="1"/>
  <c r="P30" i="33"/>
  <c r="P31" i="33" s="1"/>
  <c r="P33" i="33" s="1"/>
  <c r="P35" i="33" s="1"/>
  <c r="R16" i="35"/>
  <c r="X15" i="37"/>
  <c r="X26" i="37" s="1"/>
  <c r="X36" i="37"/>
  <c r="R30" i="29"/>
  <c r="R31" i="29" s="1"/>
  <c r="R33" i="29" s="1"/>
  <c r="R35" i="29" s="1"/>
  <c r="T16" i="32"/>
  <c r="Y30" i="29"/>
  <c r="Y31" i="29" s="1"/>
  <c r="Y33" i="29" s="1"/>
  <c r="Y35" i="29" s="1"/>
  <c r="AA16" i="32"/>
  <c r="C37" i="25"/>
  <c r="E30" i="27"/>
  <c r="F28" i="27" s="1"/>
  <c r="K30" i="29"/>
  <c r="K31" i="29" s="1"/>
  <c r="K33" i="29" s="1"/>
  <c r="K35" i="29" s="1"/>
  <c r="M16" i="32"/>
  <c r="J17" i="28"/>
  <c r="J21" i="28"/>
  <c r="J25" i="28" s="1"/>
  <c r="J27" i="28" s="1"/>
  <c r="H36" i="31"/>
  <c r="H39" i="31" s="1"/>
  <c r="H15" i="31"/>
  <c r="H26" i="31" s="1"/>
  <c r="AB21" i="35"/>
  <c r="AB25" i="35" s="1"/>
  <c r="AB27" i="35" s="1"/>
  <c r="AB17" i="35"/>
  <c r="P15" i="37"/>
  <c r="P26" i="37" s="1"/>
  <c r="P36" i="37"/>
  <c r="P39" i="37" s="1"/>
  <c r="E36" i="31"/>
  <c r="E39" i="31" s="1"/>
  <c r="E15" i="31"/>
  <c r="E26" i="31" s="1"/>
  <c r="H21" i="28"/>
  <c r="H25" i="28" s="1"/>
  <c r="H27" i="28" s="1"/>
  <c r="H17" i="28"/>
  <c r="B30" i="25"/>
  <c r="B31" i="25" s="1"/>
  <c r="B33" i="25" s="1"/>
  <c r="B35" i="25" s="1"/>
  <c r="H10" i="36" s="1"/>
  <c r="D16" i="28"/>
  <c r="S15" i="31"/>
  <c r="S26" i="31" s="1"/>
  <c r="S36" i="31"/>
  <c r="S39" i="31" s="1"/>
  <c r="U16" i="35"/>
  <c r="S30" i="33"/>
  <c r="S31" i="33" s="1"/>
  <c r="S33" i="33" s="1"/>
  <c r="S35" i="33" s="1"/>
  <c r="V37" i="25"/>
  <c r="G17" i="28"/>
  <c r="G21" i="28"/>
  <c r="G25" i="28" s="1"/>
  <c r="G27" i="28" s="1"/>
  <c r="L36" i="37"/>
  <c r="L39" i="37" s="1"/>
  <c r="L15" i="37"/>
  <c r="L26" i="37" s="1"/>
  <c r="I36" i="37"/>
  <c r="I39" i="37" s="1"/>
  <c r="I15" i="37"/>
  <c r="I26" i="37" s="1"/>
  <c r="D30" i="29"/>
  <c r="D31" i="29" s="1"/>
  <c r="D33" i="29" s="1"/>
  <c r="D35" i="29" s="1"/>
  <c r="F16" i="32"/>
  <c r="Q16" i="35"/>
  <c r="O30" i="33"/>
  <c r="O31" i="33" s="1"/>
  <c r="O33" i="33" s="1"/>
  <c r="O35" i="33" s="1"/>
  <c r="Q21" i="28"/>
  <c r="Q25" i="28" s="1"/>
  <c r="Q27" i="28" s="1"/>
  <c r="Q17" i="28"/>
  <c r="R37" i="25"/>
  <c r="E30" i="33"/>
  <c r="E31" i="33" s="1"/>
  <c r="E33" i="33" s="1"/>
  <c r="E35" i="33" s="1"/>
  <c r="G16" i="35"/>
  <c r="W37" i="25"/>
  <c r="AD12" i="32"/>
  <c r="AD14" i="32" s="1"/>
  <c r="AD16" i="32" s="1"/>
  <c r="D14" i="32"/>
  <c r="I37" i="25"/>
  <c r="T30" i="29"/>
  <c r="T31" i="29" s="1"/>
  <c r="T33" i="29" s="1"/>
  <c r="T35" i="29" s="1"/>
  <c r="V16" i="32"/>
  <c r="Z21" i="35"/>
  <c r="Z25" i="35" s="1"/>
  <c r="Z27" i="35" s="1"/>
  <c r="Z17" i="35"/>
  <c r="E21" i="28"/>
  <c r="E25" i="28" s="1"/>
  <c r="E27" i="28" s="1"/>
  <c r="E17" i="28"/>
  <c r="AA17" i="35"/>
  <c r="AA21" i="35"/>
  <c r="AA25" i="35" s="1"/>
  <c r="AA27" i="35" s="1"/>
  <c r="P37" i="25"/>
  <c r="U15" i="31"/>
  <c r="U26" i="31" s="1"/>
  <c r="U36" i="31"/>
  <c r="U39" i="31" s="1"/>
  <c r="H36" i="37"/>
  <c r="H39" i="37" s="1"/>
  <c r="H15" i="37"/>
  <c r="H26" i="37" s="1"/>
  <c r="W36" i="31"/>
  <c r="W39" i="31" s="1"/>
  <c r="W15" i="31"/>
  <c r="W26" i="31" s="1"/>
  <c r="G37" i="25"/>
  <c r="O37" i="25"/>
  <c r="G30" i="33"/>
  <c r="G31" i="33" s="1"/>
  <c r="G33" i="33" s="1"/>
  <c r="G35" i="33" s="1"/>
  <c r="I16" i="35"/>
  <c r="P21" i="28"/>
  <c r="P25" i="28" s="1"/>
  <c r="P27" i="28" s="1"/>
  <c r="P17" i="28"/>
  <c r="R15" i="37"/>
  <c r="R26" i="37" s="1"/>
  <c r="R36" i="37"/>
  <c r="R39" i="37" s="1"/>
  <c r="J37" i="25"/>
  <c r="M36" i="31"/>
  <c r="M39" i="31" s="1"/>
  <c r="M15" i="31"/>
  <c r="M26" i="31" s="1"/>
  <c r="S36" i="37"/>
  <c r="S39" i="37" s="1"/>
  <c r="S15" i="37"/>
  <c r="S26" i="37" s="1"/>
  <c r="T16" i="35"/>
  <c r="R30" i="33"/>
  <c r="R31" i="33" s="1"/>
  <c r="R33" i="33" s="1"/>
  <c r="R35" i="33" s="1"/>
  <c r="AB36" i="37"/>
  <c r="AB15" i="37"/>
  <c r="AB26" i="37" s="1"/>
  <c r="V36" i="37"/>
  <c r="V39" i="37" s="1"/>
  <c r="V15" i="37"/>
  <c r="V26" i="37" s="1"/>
  <c r="N30" i="33"/>
  <c r="N31" i="33" s="1"/>
  <c r="N33" i="33" s="1"/>
  <c r="N35" i="33" s="1"/>
  <c r="P16" i="35"/>
  <c r="S21" i="28"/>
  <c r="S25" i="28" s="1"/>
  <c r="S27" i="28" s="1"/>
  <c r="S17" i="28"/>
  <c r="R17" i="28"/>
  <c r="R21" i="28"/>
  <c r="R25" i="28" s="1"/>
  <c r="R27" i="28" s="1"/>
  <c r="D36" i="31"/>
  <c r="D39" i="31" s="1"/>
  <c r="D15" i="31"/>
  <c r="D26" i="31" s="1"/>
  <c r="AD21" i="28"/>
  <c r="AD25" i="28" s="1"/>
  <c r="AD17" i="28"/>
  <c r="N15" i="31"/>
  <c r="N26" i="31" s="1"/>
  <c r="N36" i="31"/>
  <c r="N39" i="31" s="1"/>
  <c r="Z15" i="31"/>
  <c r="Z26" i="31" s="1"/>
  <c r="Z36" i="31"/>
  <c r="Y37" i="25"/>
  <c r="J36" i="31"/>
  <c r="J39" i="31" s="1"/>
  <c r="J15" i="31"/>
  <c r="J26" i="31" s="1"/>
  <c r="V36" i="31"/>
  <c r="V39" i="31" s="1"/>
  <c r="V15" i="31"/>
  <c r="V26" i="31" s="1"/>
  <c r="X15" i="31"/>
  <c r="X26" i="31" s="1"/>
  <c r="X36" i="31"/>
  <c r="J15" i="37"/>
  <c r="J26" i="37" s="1"/>
  <c r="J36" i="37"/>
  <c r="J39" i="37" s="1"/>
  <c r="D36" i="37"/>
  <c r="D39" i="37" s="1"/>
  <c r="D15" i="37"/>
  <c r="D26" i="37" s="1"/>
  <c r="I30" i="29"/>
  <c r="I31" i="29" s="1"/>
  <c r="I33" i="29" s="1"/>
  <c r="I35" i="29" s="1"/>
  <c r="K16" i="32"/>
  <c r="L21" i="28"/>
  <c r="L25" i="28" s="1"/>
  <c r="L27" i="28" s="1"/>
  <c r="L17" i="28"/>
  <c r="B64" i="25"/>
  <c r="H18" i="36" s="1"/>
  <c r="H17" i="36"/>
  <c r="Z37" i="25"/>
  <c r="Q15" i="31"/>
  <c r="Q26" i="31" s="1"/>
  <c r="Q36" i="31"/>
  <c r="Q39" i="31" s="1"/>
  <c r="P15" i="31"/>
  <c r="P26" i="31" s="1"/>
  <c r="P36" i="31"/>
  <c r="P39" i="31" s="1"/>
  <c r="T17" i="28"/>
  <c r="T21" i="28"/>
  <c r="T25" i="28" s="1"/>
  <c r="T27" i="28" s="1"/>
  <c r="F15" i="37"/>
  <c r="F26" i="37" s="1"/>
  <c r="F36" i="37"/>
  <c r="F39" i="37" s="1"/>
  <c r="F30" i="27"/>
  <c r="G28" i="27" s="1"/>
  <c r="G30" i="27" s="1"/>
  <c r="H28" i="27" s="1"/>
  <c r="H30" i="27" s="1"/>
  <c r="I28" i="27" s="1"/>
  <c r="I30" i="27" s="1"/>
  <c r="J28" i="27" s="1"/>
  <c r="J30" i="27" s="1"/>
  <c r="K28" i="27" s="1"/>
  <c r="K30" i="27" s="1"/>
  <c r="L28" i="27" s="1"/>
  <c r="L30" i="27" s="1"/>
  <c r="M28" i="27" s="1"/>
  <c r="M30" i="27" s="1"/>
  <c r="N28" i="27" s="1"/>
  <c r="N30" i="27" s="1"/>
  <c r="O28" i="27" s="1"/>
  <c r="O30" i="27" s="1"/>
  <c r="P28" i="27" s="1"/>
  <c r="P30" i="27" s="1"/>
  <c r="Q28" i="27" s="1"/>
  <c r="Q30" i="27" s="1"/>
  <c r="R28" i="27" s="1"/>
  <c r="R30" i="27" s="1"/>
  <c r="S28" i="27" s="1"/>
  <c r="S30" i="27" s="1"/>
  <c r="T28" i="27" s="1"/>
  <c r="T30" i="27" s="1"/>
  <c r="U28" i="27" s="1"/>
  <c r="U30" i="27" s="1"/>
  <c r="V28" i="27" s="1"/>
  <c r="V30" i="27" s="1"/>
  <c r="W28" i="27" s="1"/>
  <c r="W30" i="27" s="1"/>
  <c r="X28" i="27" s="1"/>
  <c r="X30" i="27" s="1"/>
  <c r="Y28" i="27" s="1"/>
  <c r="Y30" i="27" s="1"/>
  <c r="Z28" i="27" s="1"/>
  <c r="Z30" i="27" s="1"/>
  <c r="AA28" i="27" s="1"/>
  <c r="AA30" i="27" s="1"/>
  <c r="AB28" i="27" s="1"/>
  <c r="AB30" i="27" s="1"/>
  <c r="D37" i="25"/>
  <c r="E37" i="25"/>
  <c r="U37" i="25"/>
  <c r="M36" i="37"/>
  <c r="M39" i="37" s="1"/>
  <c r="M15" i="37"/>
  <c r="M26" i="37" s="1"/>
  <c r="J30" i="33"/>
  <c r="J31" i="33" s="1"/>
  <c r="J33" i="33" s="1"/>
  <c r="J35" i="33" s="1"/>
  <c r="L16" i="35"/>
  <c r="N15" i="37"/>
  <c r="N26" i="37" s="1"/>
  <c r="N36" i="37"/>
  <c r="N39" i="37" s="1"/>
  <c r="Y36" i="31"/>
  <c r="Y15" i="31"/>
  <c r="Y26" i="31" s="1"/>
  <c r="R15" i="31"/>
  <c r="R26" i="31" s="1"/>
  <c r="R36" i="31"/>
  <c r="R39" i="31" s="1"/>
  <c r="O36" i="31"/>
  <c r="O39" i="31" s="1"/>
  <c r="O15" i="31"/>
  <c r="O26" i="31" s="1"/>
  <c r="I30" i="33"/>
  <c r="I31" i="33" s="1"/>
  <c r="I33" i="33" s="1"/>
  <c r="I35" i="33" s="1"/>
  <c r="K16" i="35"/>
  <c r="O36" i="37"/>
  <c r="O39" i="37" s="1"/>
  <c r="O15" i="37"/>
  <c r="O26" i="37" s="1"/>
  <c r="Q36" i="37"/>
  <c r="Q39" i="37" s="1"/>
  <c r="Q15" i="37"/>
  <c r="Q26" i="37" s="1"/>
  <c r="T36" i="31"/>
  <c r="T39" i="31" s="1"/>
  <c r="T15" i="31"/>
  <c r="T26" i="31" s="1"/>
  <c r="N17" i="28"/>
  <c r="N21" i="28"/>
  <c r="N25" i="28" s="1"/>
  <c r="N27" i="28" s="1"/>
  <c r="AA36" i="31"/>
  <c r="AA15" i="31"/>
  <c r="AA26" i="31" s="1"/>
  <c r="M21" i="28"/>
  <c r="M25" i="28" s="1"/>
  <c r="M27" i="28" s="1"/>
  <c r="M17" i="28"/>
  <c r="L37" i="33" l="1"/>
  <c r="N37" i="29"/>
  <c r="V37" i="29"/>
  <c r="X37" i="29"/>
  <c r="S37" i="29"/>
  <c r="Q21" i="35"/>
  <c r="Q25" i="35" s="1"/>
  <c r="Q27" i="35" s="1"/>
  <c r="Q17" i="35"/>
  <c r="U37" i="33"/>
  <c r="I37" i="29"/>
  <c r="D54" i="29"/>
  <c r="E51" i="29"/>
  <c r="V21" i="35"/>
  <c r="V25" i="35" s="1"/>
  <c r="V27" i="35" s="1"/>
  <c r="V17" i="35"/>
  <c r="R37" i="29"/>
  <c r="M37" i="29"/>
  <c r="L21" i="35"/>
  <c r="L25" i="35" s="1"/>
  <c r="L27" i="35" s="1"/>
  <c r="L17" i="35"/>
  <c r="K17" i="32"/>
  <c r="K21" i="32"/>
  <c r="K25" i="32" s="1"/>
  <c r="K27" i="32" s="1"/>
  <c r="T37" i="29"/>
  <c r="I17" i="35"/>
  <c r="I21" i="35"/>
  <c r="I25" i="35" s="1"/>
  <c r="I27" i="35" s="1"/>
  <c r="V21" i="32"/>
  <c r="V25" i="32" s="1"/>
  <c r="V27" i="32" s="1"/>
  <c r="V17" i="32"/>
  <c r="G21" i="35"/>
  <c r="G25" i="35" s="1"/>
  <c r="G27" i="35" s="1"/>
  <c r="G17" i="35"/>
  <c r="J37" i="33"/>
  <c r="F37" i="29"/>
  <c r="D37" i="29"/>
  <c r="W21" i="32"/>
  <c r="W25" i="32" s="1"/>
  <c r="W27" i="32" s="1"/>
  <c r="W17" i="32"/>
  <c r="L21" i="32"/>
  <c r="L25" i="32" s="1"/>
  <c r="L27" i="32" s="1"/>
  <c r="L17" i="32"/>
  <c r="G37" i="29"/>
  <c r="S37" i="33"/>
  <c r="N21" i="32"/>
  <c r="N25" i="32" s="1"/>
  <c r="N27" i="32" s="1"/>
  <c r="N17" i="32"/>
  <c r="E21" i="32"/>
  <c r="E25" i="32" s="1"/>
  <c r="E27" i="32" s="1"/>
  <c r="E17" i="32"/>
  <c r="P17" i="32"/>
  <c r="P21" i="32"/>
  <c r="P25" i="32" s="1"/>
  <c r="P27" i="32" s="1"/>
  <c r="O37" i="29"/>
  <c r="H37" i="33"/>
  <c r="L37" i="29"/>
  <c r="B46" i="29"/>
  <c r="T17" i="35"/>
  <c r="T21" i="35"/>
  <c r="T25" i="35" s="1"/>
  <c r="T27" i="35" s="1"/>
  <c r="P37" i="33"/>
  <c r="AD21" i="32"/>
  <c r="AD25" i="32" s="1"/>
  <c r="AD17" i="32"/>
  <c r="Q37" i="29"/>
  <c r="N37" i="33"/>
  <c r="Y21" i="32"/>
  <c r="Y25" i="32" s="1"/>
  <c r="Y27" i="32" s="1"/>
  <c r="Y17" i="32"/>
  <c r="H17" i="35"/>
  <c r="H21" i="35"/>
  <c r="H25" i="35" s="1"/>
  <c r="H27" i="35" s="1"/>
  <c r="Z21" i="32"/>
  <c r="Z25" i="32" s="1"/>
  <c r="Z27" i="32" s="1"/>
  <c r="Z17" i="32"/>
  <c r="Q21" i="32"/>
  <c r="Q25" i="32" s="1"/>
  <c r="Q27" i="32" s="1"/>
  <c r="Q17" i="32"/>
  <c r="E16" i="35"/>
  <c r="C30" i="33"/>
  <c r="C31" i="33" s="1"/>
  <c r="C33" i="33" s="1"/>
  <c r="C35" i="33" s="1"/>
  <c r="S21" i="32"/>
  <c r="S25" i="32" s="1"/>
  <c r="S27" i="32" s="1"/>
  <c r="S17" i="32"/>
  <c r="N21" i="35"/>
  <c r="N25" i="35" s="1"/>
  <c r="N27" i="35" s="1"/>
  <c r="N17" i="35"/>
  <c r="I5" i="36"/>
  <c r="I4" i="36"/>
  <c r="P37" i="29"/>
  <c r="D37" i="33"/>
  <c r="B46" i="33"/>
  <c r="U21" i="35"/>
  <c r="U25" i="35" s="1"/>
  <c r="U27" i="35" s="1"/>
  <c r="U17" i="35"/>
  <c r="M17" i="35"/>
  <c r="M21" i="35"/>
  <c r="M25" i="35" s="1"/>
  <c r="M27" i="35" s="1"/>
  <c r="Y37" i="29"/>
  <c r="M37" i="33"/>
  <c r="W37" i="29"/>
  <c r="H24" i="36"/>
  <c r="H9" i="36"/>
  <c r="B37" i="29"/>
  <c r="I11" i="36" s="1"/>
  <c r="B41" i="29"/>
  <c r="B42" i="29"/>
  <c r="D30" i="31"/>
  <c r="E28" i="31" s="1"/>
  <c r="E30" i="31" s="1"/>
  <c r="F28" i="31" s="1"/>
  <c r="F30" i="31" s="1"/>
  <c r="G28" i="31" s="1"/>
  <c r="G30" i="31" s="1"/>
  <c r="H28" i="31" s="1"/>
  <c r="H30" i="31" s="1"/>
  <c r="I28" i="31" s="1"/>
  <c r="I30" i="31" s="1"/>
  <c r="J28" i="31" s="1"/>
  <c r="J30" i="31" s="1"/>
  <c r="K28" i="31" s="1"/>
  <c r="K30" i="31" s="1"/>
  <c r="L28" i="31" s="1"/>
  <c r="L30" i="31" s="1"/>
  <c r="M28" i="31" s="1"/>
  <c r="M30" i="31" s="1"/>
  <c r="N28" i="31" s="1"/>
  <c r="N30" i="31" s="1"/>
  <c r="O28" i="31" s="1"/>
  <c r="O30" i="31" s="1"/>
  <c r="P28" i="31" s="1"/>
  <c r="P30" i="31" s="1"/>
  <c r="Q28" i="31" s="1"/>
  <c r="Q30" i="31" s="1"/>
  <c r="R28" i="31" s="1"/>
  <c r="R30" i="31" s="1"/>
  <c r="S28" i="31" s="1"/>
  <c r="S30" i="31" s="1"/>
  <c r="T28" i="31" s="1"/>
  <c r="T30" i="31" s="1"/>
  <c r="U28" i="31" s="1"/>
  <c r="U30" i="31" s="1"/>
  <c r="V28" i="31" s="1"/>
  <c r="V30" i="31" s="1"/>
  <c r="W28" i="31" s="1"/>
  <c r="W30" i="31" s="1"/>
  <c r="X28" i="31" s="1"/>
  <c r="X30" i="31" s="1"/>
  <c r="Y28" i="31" s="1"/>
  <c r="Y30" i="31" s="1"/>
  <c r="Z28" i="31" s="1"/>
  <c r="Z30" i="31" s="1"/>
  <c r="AA28" i="31" s="1"/>
  <c r="AA30" i="31" s="1"/>
  <c r="AB28" i="31" s="1"/>
  <c r="AB30" i="31" s="1"/>
  <c r="B43" i="29"/>
  <c r="B44" i="29"/>
  <c r="I12" i="36" s="1"/>
  <c r="T37" i="33"/>
  <c r="K37" i="29"/>
  <c r="F37" i="33"/>
  <c r="D16" i="32"/>
  <c r="B30" i="29"/>
  <c r="B31" i="29" s="1"/>
  <c r="B33" i="29" s="1"/>
  <c r="B35" i="29" s="1"/>
  <c r="I10" i="36" s="1"/>
  <c r="F17" i="32"/>
  <c r="F21" i="32"/>
  <c r="F25" i="32" s="1"/>
  <c r="F27" i="32" s="1"/>
  <c r="M21" i="32"/>
  <c r="M25" i="32" s="1"/>
  <c r="M27" i="32" s="1"/>
  <c r="M17" i="32"/>
  <c r="AA17" i="32"/>
  <c r="AA21" i="32"/>
  <c r="AA25" i="32" s="1"/>
  <c r="AA27" i="32" s="1"/>
  <c r="I37" i="33"/>
  <c r="U21" i="32"/>
  <c r="U25" i="32" s="1"/>
  <c r="U27" i="32" s="1"/>
  <c r="U17" i="32"/>
  <c r="F21" i="35"/>
  <c r="F25" i="35" s="1"/>
  <c r="F27" i="35" s="1"/>
  <c r="F17" i="35"/>
  <c r="X21" i="32"/>
  <c r="X25" i="32" s="1"/>
  <c r="X27" i="32" s="1"/>
  <c r="X17" i="32"/>
  <c r="E37" i="33"/>
  <c r="G21" i="32"/>
  <c r="G25" i="32" s="1"/>
  <c r="G27" i="32" s="1"/>
  <c r="G17" i="32"/>
  <c r="S17" i="35"/>
  <c r="S21" i="35"/>
  <c r="S25" i="35" s="1"/>
  <c r="S27" i="35" s="1"/>
  <c r="J21" i="35"/>
  <c r="J25" i="35" s="1"/>
  <c r="J27" i="35" s="1"/>
  <c r="J17" i="35"/>
  <c r="O37" i="33"/>
  <c r="K21" i="35"/>
  <c r="K25" i="35" s="1"/>
  <c r="K27" i="35" s="1"/>
  <c r="K17" i="35"/>
  <c r="K37" i="33"/>
  <c r="B41" i="33"/>
  <c r="B42" i="33"/>
  <c r="B37" i="33"/>
  <c r="J11" i="36" s="1"/>
  <c r="D30" i="37"/>
  <c r="E28" i="37" s="1"/>
  <c r="E30" i="37" s="1"/>
  <c r="F28" i="37" s="1"/>
  <c r="F30" i="37" s="1"/>
  <c r="G28" i="37" s="1"/>
  <c r="G30" i="37" s="1"/>
  <c r="H28" i="37" s="1"/>
  <c r="H30" i="37" s="1"/>
  <c r="I28" i="37" s="1"/>
  <c r="I30" i="37" s="1"/>
  <c r="J28" i="37" s="1"/>
  <c r="J30" i="37" s="1"/>
  <c r="K28" i="37" s="1"/>
  <c r="K30" i="37" s="1"/>
  <c r="L28" i="37" s="1"/>
  <c r="L30" i="37" s="1"/>
  <c r="M28" i="37" s="1"/>
  <c r="M30" i="37" s="1"/>
  <c r="N28" i="37" s="1"/>
  <c r="N30" i="37" s="1"/>
  <c r="O28" i="37" s="1"/>
  <c r="O30" i="37" s="1"/>
  <c r="P28" i="37" s="1"/>
  <c r="P30" i="37" s="1"/>
  <c r="Q28" i="37" s="1"/>
  <c r="Q30" i="37" s="1"/>
  <c r="R28" i="37" s="1"/>
  <c r="R30" i="37" s="1"/>
  <c r="S28" i="37" s="1"/>
  <c r="S30" i="37" s="1"/>
  <c r="T28" i="37" s="1"/>
  <c r="T30" i="37" s="1"/>
  <c r="U28" i="37" s="1"/>
  <c r="U30" i="37" s="1"/>
  <c r="V28" i="37" s="1"/>
  <c r="V30" i="37" s="1"/>
  <c r="W28" i="37" s="1"/>
  <c r="W30" i="37" s="1"/>
  <c r="X28" i="37" s="1"/>
  <c r="X30" i="37" s="1"/>
  <c r="Y28" i="37" s="1"/>
  <c r="Y30" i="37" s="1"/>
  <c r="Z28" i="37" s="1"/>
  <c r="Z30" i="37" s="1"/>
  <c r="AA28" i="37" s="1"/>
  <c r="AA30" i="37" s="1"/>
  <c r="AB28" i="37" s="1"/>
  <c r="AB30" i="37" s="1"/>
  <c r="B44" i="33"/>
  <c r="J12" i="36" s="1"/>
  <c r="B43" i="33"/>
  <c r="H37" i="29"/>
  <c r="P17" i="35"/>
  <c r="P21" i="35"/>
  <c r="P25" i="35" s="1"/>
  <c r="P27" i="35" s="1"/>
  <c r="Q37" i="33"/>
  <c r="U37" i="29"/>
  <c r="G37" i="33"/>
  <c r="D21" i="28"/>
  <c r="D25" i="28" s="1"/>
  <c r="D27" i="28" s="1"/>
  <c r="D17" i="28"/>
  <c r="C37" i="29"/>
  <c r="T17" i="32"/>
  <c r="T21" i="32"/>
  <c r="T25" i="32" s="1"/>
  <c r="T27" i="32" s="1"/>
  <c r="R21" i="35"/>
  <c r="R25" i="35" s="1"/>
  <c r="R27" i="35" s="1"/>
  <c r="R17" i="35"/>
  <c r="O17" i="32"/>
  <c r="O21" i="32"/>
  <c r="O25" i="32" s="1"/>
  <c r="O27" i="32" s="1"/>
  <c r="E37" i="29"/>
  <c r="J21" i="32"/>
  <c r="J25" i="32" s="1"/>
  <c r="J27" i="32" s="1"/>
  <c r="J17" i="32"/>
  <c r="R21" i="32"/>
  <c r="R25" i="32" s="1"/>
  <c r="R27" i="32" s="1"/>
  <c r="R17" i="32"/>
  <c r="W21" i="35"/>
  <c r="W25" i="35" s="1"/>
  <c r="W27" i="35" s="1"/>
  <c r="W17" i="35"/>
  <c r="AD21" i="35"/>
  <c r="AD25" i="35" s="1"/>
  <c r="AD17" i="35"/>
  <c r="R37" i="33"/>
  <c r="H17" i="32"/>
  <c r="H21" i="32"/>
  <c r="H25" i="32" s="1"/>
  <c r="H27" i="32" s="1"/>
  <c r="O21" i="35"/>
  <c r="O25" i="35" s="1"/>
  <c r="O27" i="35" s="1"/>
  <c r="O17" i="35"/>
  <c r="J37" i="29"/>
  <c r="I17" i="32"/>
  <c r="I21" i="32"/>
  <c r="I25" i="32" s="1"/>
  <c r="I27" i="32" s="1"/>
  <c r="I17" i="36"/>
  <c r="B64" i="29"/>
  <c r="I18" i="36" s="1"/>
  <c r="I24" i="36" l="1"/>
  <c r="I9" i="36"/>
  <c r="E21" i="35"/>
  <c r="E25" i="35" s="1"/>
  <c r="E27" i="35" s="1"/>
  <c r="E17" i="35"/>
  <c r="E54" i="29"/>
  <c r="F51" i="29"/>
  <c r="D17" i="32"/>
  <c r="D21" i="32"/>
  <c r="D25" i="32" s="1"/>
  <c r="D27" i="32" s="1"/>
  <c r="F54" i="29" l="1"/>
  <c r="G51" i="29"/>
  <c r="G54" i="29" l="1"/>
  <c r="H51" i="29"/>
  <c r="H54" i="29" l="1"/>
  <c r="I51" i="29"/>
  <c r="I54" i="29" l="1"/>
  <c r="J51" i="29"/>
  <c r="K51" i="29" l="1"/>
  <c r="J54" i="29"/>
  <c r="L51" i="29" l="1"/>
  <c r="K54" i="29"/>
  <c r="L54" i="29" l="1"/>
  <c r="M51" i="29"/>
  <c r="M54" i="29" l="1"/>
  <c r="N51" i="29"/>
  <c r="N54" i="29" l="1"/>
  <c r="O51" i="29"/>
  <c r="O54" i="29" l="1"/>
  <c r="P51" i="29"/>
  <c r="P54" i="29" l="1"/>
  <c r="Q51" i="29"/>
  <c r="Q54" i="29" l="1"/>
  <c r="R51" i="29"/>
  <c r="R54" i="29" l="1"/>
  <c r="S51" i="29"/>
  <c r="S54" i="29" l="1"/>
  <c r="T51" i="29"/>
  <c r="T54" i="29" l="1"/>
  <c r="U51" i="29"/>
  <c r="V51" i="29" l="1"/>
  <c r="U54" i="29"/>
  <c r="V54" i="29" l="1"/>
  <c r="W51" i="29"/>
  <c r="W54" i="29" l="1"/>
  <c r="X51" i="29"/>
  <c r="X54" i="29" l="1"/>
  <c r="Y51" i="29"/>
  <c r="Y54" i="29" l="1"/>
  <c r="Z51" i="29"/>
  <c r="Z54" i="29" s="1"/>
  <c r="C29" i="5"/>
  <c r="C42" i="5" s="1"/>
  <c r="B48" i="15" s="1"/>
  <c r="C48" i="15" s="1"/>
  <c r="D48" i="15" s="1"/>
  <c r="E48" i="15" s="1"/>
  <c r="F48" i="15" s="1"/>
  <c r="G48" i="15" s="1"/>
  <c r="H48" i="15" s="1"/>
  <c r="I48" i="15" s="1"/>
  <c r="J48" i="15" s="1"/>
  <c r="K48" i="15" s="1"/>
  <c r="L48" i="15" s="1"/>
  <c r="M48" i="15" s="1"/>
  <c r="N48" i="15" s="1"/>
  <c r="O48" i="15" s="1"/>
  <c r="P48" i="15" s="1"/>
  <c r="Q48" i="15" s="1"/>
  <c r="R48" i="15" s="1"/>
  <c r="S48" i="15" s="1"/>
  <c r="T48" i="15" s="1"/>
  <c r="U48" i="15" s="1"/>
  <c r="M17" i="1" l="1"/>
  <c r="B48" i="17"/>
  <c r="C48" i="17" s="1"/>
  <c r="D48" i="17" s="1"/>
  <c r="E48" i="17" s="1"/>
  <c r="F48" i="17" s="1"/>
  <c r="G48" i="17" s="1"/>
  <c r="H48" i="17" s="1"/>
  <c r="I48" i="17" s="1"/>
  <c r="J48" i="17" s="1"/>
  <c r="K48" i="17" s="1"/>
  <c r="L48" i="17" s="1"/>
  <c r="M48" i="17" s="1"/>
  <c r="N48" i="17" s="1"/>
  <c r="O48" i="17" s="1"/>
  <c r="P48" i="17" s="1"/>
  <c r="Q48" i="17" s="1"/>
  <c r="R48" i="17" s="1"/>
  <c r="S48" i="17" s="1"/>
  <c r="T48" i="17" s="1"/>
  <c r="U48" i="17" s="1"/>
  <c r="V48" i="17" s="1"/>
  <c r="W48" i="17" s="1"/>
  <c r="X48" i="17" s="1"/>
  <c r="Y48" i="17" s="1"/>
  <c r="Z48" i="17" s="1"/>
  <c r="B48" i="33"/>
  <c r="C48" i="33" s="1"/>
  <c r="D48" i="33" s="1"/>
  <c r="E48" i="33" s="1"/>
  <c r="F48" i="33" s="1"/>
  <c r="G48" i="33" s="1"/>
  <c r="H48" i="33" s="1"/>
  <c r="I48" i="33" s="1"/>
  <c r="J48" i="33" s="1"/>
  <c r="K48" i="33" s="1"/>
  <c r="L48" i="33" s="1"/>
  <c r="M48" i="33" s="1"/>
  <c r="N48" i="33" s="1"/>
  <c r="O48" i="33" s="1"/>
  <c r="P48" i="33" s="1"/>
  <c r="Q48" i="33" s="1"/>
  <c r="R48" i="33" s="1"/>
  <c r="S48" i="33" s="1"/>
  <c r="T48" i="33" s="1"/>
  <c r="U48" i="33" s="1"/>
  <c r="B48" i="21"/>
  <c r="C48" i="21" s="1"/>
  <c r="D48" i="21" s="1"/>
  <c r="E48" i="21" s="1"/>
  <c r="F48" i="21" s="1"/>
  <c r="G48" i="21" s="1"/>
  <c r="H48" i="21" s="1"/>
  <c r="I48" i="21" s="1"/>
  <c r="J48" i="21" s="1"/>
  <c r="K48" i="21" s="1"/>
  <c r="L48" i="21" s="1"/>
  <c r="M48" i="21" s="1"/>
  <c r="N48" i="21" s="1"/>
  <c r="O48" i="21" s="1"/>
  <c r="P48" i="21" s="1"/>
  <c r="Q48" i="21" s="1"/>
  <c r="R48" i="21" s="1"/>
  <c r="S48" i="21" s="1"/>
  <c r="T48" i="21" s="1"/>
  <c r="U48" i="21" s="1"/>
  <c r="V48" i="21" s="1"/>
  <c r="W48" i="21" s="1"/>
  <c r="X48" i="21" s="1"/>
  <c r="Y48" i="21" s="1"/>
  <c r="Z48" i="21" s="1"/>
  <c r="B48" i="1"/>
  <c r="C48" i="1" s="1"/>
  <c r="D48" i="1" s="1"/>
  <c r="E48" i="1" s="1"/>
  <c r="F48" i="1" s="1"/>
  <c r="G48" i="1" s="1"/>
  <c r="H48" i="1" s="1"/>
  <c r="I48" i="1" s="1"/>
  <c r="J48" i="1" s="1"/>
  <c r="K48" i="1" s="1"/>
  <c r="L48" i="1" s="1"/>
  <c r="M48" i="1" s="1"/>
  <c r="N48" i="1" s="1"/>
  <c r="O48" i="1" s="1"/>
  <c r="P48" i="1" s="1"/>
  <c r="Q48" i="1" s="1"/>
  <c r="R48" i="1" s="1"/>
  <c r="S48" i="1" s="1"/>
  <c r="T48" i="1" s="1"/>
  <c r="U48" i="1" s="1"/>
  <c r="V48" i="1" s="1"/>
  <c r="W48" i="1" s="1"/>
  <c r="X48" i="1" s="1"/>
  <c r="Y48" i="1" s="1"/>
  <c r="Z48" i="1" s="1"/>
  <c r="C45" i="5"/>
  <c r="C48" i="5" s="1"/>
  <c r="B48" i="25"/>
  <c r="C48" i="25" s="1"/>
  <c r="D48" i="25" s="1"/>
  <c r="E48" i="25" s="1"/>
  <c r="F48" i="25" s="1"/>
  <c r="G48" i="25" s="1"/>
  <c r="H48" i="25" s="1"/>
  <c r="I48" i="25" s="1"/>
  <c r="J48" i="25" s="1"/>
  <c r="K48" i="25" s="1"/>
  <c r="L48" i="25" s="1"/>
  <c r="M48" i="25" s="1"/>
  <c r="N48" i="25" s="1"/>
  <c r="O48" i="25" s="1"/>
  <c r="P48" i="25" s="1"/>
  <c r="Q48" i="25" s="1"/>
  <c r="R48" i="25" s="1"/>
  <c r="S48" i="25" s="1"/>
  <c r="T48" i="25" s="1"/>
  <c r="U48" i="25" s="1"/>
  <c r="V48" i="25" s="1"/>
  <c r="W48" i="25" s="1"/>
  <c r="X48" i="25" s="1"/>
  <c r="Y48" i="25" s="1"/>
  <c r="Z48" i="25" s="1"/>
  <c r="B51" i="21" l="1"/>
  <c r="B51" i="15"/>
  <c r="B51" i="17"/>
  <c r="B51" i="1"/>
  <c r="B51" i="25"/>
  <c r="B51" i="33"/>
  <c r="C75" i="5" l="1"/>
  <c r="C86" i="5" s="1"/>
  <c r="C88" i="5" s="1"/>
  <c r="C53" i="5"/>
  <c r="M15" i="1"/>
  <c r="M18" i="1" s="1"/>
  <c r="C49" i="5"/>
  <c r="C51" i="17"/>
  <c r="B54" i="17"/>
  <c r="C51" i="15"/>
  <c r="B54" i="15"/>
  <c r="C51" i="33"/>
  <c r="B54" i="33"/>
  <c r="C51" i="25"/>
  <c r="B54" i="25"/>
  <c r="C51" i="1"/>
  <c r="B54" i="1"/>
  <c r="C51" i="21"/>
  <c r="B54" i="21"/>
  <c r="D51" i="25" l="1"/>
  <c r="C54" i="25"/>
  <c r="D8" i="2"/>
  <c r="N8" i="2"/>
  <c r="Q8" i="2"/>
  <c r="F8" i="2"/>
  <c r="X8" i="2"/>
  <c r="R8" i="2"/>
  <c r="U8" i="2"/>
  <c r="Z8" i="2"/>
  <c r="M8" i="2"/>
  <c r="L8" i="2"/>
  <c r="W8" i="2"/>
  <c r="AA8" i="2"/>
  <c r="H8" i="2"/>
  <c r="G8" i="2"/>
  <c r="K8" i="2"/>
  <c r="V8" i="2"/>
  <c r="I8" i="2"/>
  <c r="E8" i="2"/>
  <c r="T8" i="2"/>
  <c r="P8" i="2"/>
  <c r="Y8" i="2"/>
  <c r="S8" i="2"/>
  <c r="J8" i="2"/>
  <c r="AB8" i="2"/>
  <c r="O8" i="2"/>
  <c r="D51" i="15"/>
  <c r="C54" i="15"/>
  <c r="D51" i="21"/>
  <c r="C54" i="21"/>
  <c r="D51" i="1"/>
  <c r="C54" i="1"/>
  <c r="D51" i="33"/>
  <c r="C54" i="33"/>
  <c r="C54" i="17"/>
  <c r="D51" i="17"/>
  <c r="S12" i="4" l="1"/>
  <c r="S14" i="4" s="1"/>
  <c r="S11" i="2"/>
  <c r="Q59" i="1"/>
  <c r="Q63" i="1" s="1"/>
  <c r="Q64" i="1" s="1"/>
  <c r="L12" i="4"/>
  <c r="L14" i="4" s="1"/>
  <c r="L11" i="2"/>
  <c r="J59" i="1"/>
  <c r="J63" i="1" s="1"/>
  <c r="J64" i="1" s="1"/>
  <c r="M59" i="1"/>
  <c r="M63" i="1" s="1"/>
  <c r="M64" i="1" s="1"/>
  <c r="O12" i="4"/>
  <c r="O14" i="4" s="1"/>
  <c r="O11" i="2"/>
  <c r="W59" i="1"/>
  <c r="W63" i="1" s="1"/>
  <c r="W64" i="1" s="1"/>
  <c r="Y11" i="2"/>
  <c r="Y12" i="4"/>
  <c r="Y14" i="4" s="1"/>
  <c r="I11" i="2"/>
  <c r="I12" i="4"/>
  <c r="I14" i="4" s="1"/>
  <c r="G59" i="1"/>
  <c r="G63" i="1" s="1"/>
  <c r="G64" i="1" s="1"/>
  <c r="H11" i="2"/>
  <c r="H12" i="4"/>
  <c r="H14" i="4" s="1"/>
  <c r="F59" i="1"/>
  <c r="F63" i="1" s="1"/>
  <c r="F64" i="1" s="1"/>
  <c r="M11" i="2"/>
  <c r="M12" i="4"/>
  <c r="M14" i="4" s="1"/>
  <c r="K59" i="1"/>
  <c r="K63" i="1" s="1"/>
  <c r="K64" i="1" s="1"/>
  <c r="V59" i="1"/>
  <c r="V63" i="1" s="1"/>
  <c r="V64" i="1" s="1"/>
  <c r="X11" i="2"/>
  <c r="X12" i="4"/>
  <c r="X14" i="4" s="1"/>
  <c r="D11" i="2"/>
  <c r="D12" i="4"/>
  <c r="AD8" i="2"/>
  <c r="AD11" i="2" s="1"/>
  <c r="AD15" i="2" s="1"/>
  <c r="AD26" i="2" s="1"/>
  <c r="AD30" i="2" s="1"/>
  <c r="H24" i="1"/>
  <c r="B59" i="1"/>
  <c r="E51" i="1"/>
  <c r="D54" i="1"/>
  <c r="G11" i="2"/>
  <c r="G12" i="4"/>
  <c r="G14" i="4" s="1"/>
  <c r="E59" i="1"/>
  <c r="E63" i="1" s="1"/>
  <c r="E64" i="1" s="1"/>
  <c r="N12" i="4"/>
  <c r="N14" i="4" s="1"/>
  <c r="N11" i="2"/>
  <c r="L59" i="1"/>
  <c r="L63" i="1" s="1"/>
  <c r="L64" i="1" s="1"/>
  <c r="E51" i="33"/>
  <c r="D54" i="33"/>
  <c r="D54" i="21"/>
  <c r="E51" i="21"/>
  <c r="AB11" i="2"/>
  <c r="Z59" i="1"/>
  <c r="Z63" i="1" s="1"/>
  <c r="Z64" i="1" s="1"/>
  <c r="AB12" i="4"/>
  <c r="AB14" i="4" s="1"/>
  <c r="N59" i="1"/>
  <c r="N63" i="1" s="1"/>
  <c r="N64" i="1" s="1"/>
  <c r="P11" i="2"/>
  <c r="P12" i="4"/>
  <c r="P14" i="4" s="1"/>
  <c r="V12" i="4"/>
  <c r="V14" i="4" s="1"/>
  <c r="V11" i="2"/>
  <c r="T59" i="1"/>
  <c r="T63" i="1" s="1"/>
  <c r="T64" i="1" s="1"/>
  <c r="AA11" i="2"/>
  <c r="AA12" i="4"/>
  <c r="AA14" i="4" s="1"/>
  <c r="Y59" i="1"/>
  <c r="Y63" i="1" s="1"/>
  <c r="Y64" i="1" s="1"/>
  <c r="Z11" i="2"/>
  <c r="Z12" i="4"/>
  <c r="Z14" i="4" s="1"/>
  <c r="X59" i="1"/>
  <c r="X63" i="1" s="1"/>
  <c r="X64" i="1" s="1"/>
  <c r="F12" i="4"/>
  <c r="F14" i="4" s="1"/>
  <c r="F11" i="2"/>
  <c r="D59" i="1"/>
  <c r="D63" i="1" s="1"/>
  <c r="D64" i="1" s="1"/>
  <c r="D54" i="15"/>
  <c r="E51" i="15"/>
  <c r="E12" i="4"/>
  <c r="E14" i="4" s="1"/>
  <c r="E11" i="2"/>
  <c r="C59" i="1"/>
  <c r="C63" i="1" s="1"/>
  <c r="C64" i="1" s="1"/>
  <c r="R11" i="2"/>
  <c r="P59" i="1"/>
  <c r="P63" i="1" s="1"/>
  <c r="P64" i="1" s="1"/>
  <c r="R12" i="4"/>
  <c r="R14" i="4" s="1"/>
  <c r="D54" i="17"/>
  <c r="E51" i="17"/>
  <c r="J12" i="4"/>
  <c r="J14" i="4" s="1"/>
  <c r="H59" i="1"/>
  <c r="H63" i="1" s="1"/>
  <c r="H64" i="1" s="1"/>
  <c r="J11" i="2"/>
  <c r="T11" i="2"/>
  <c r="R59" i="1"/>
  <c r="R63" i="1" s="1"/>
  <c r="R64" i="1" s="1"/>
  <c r="T12" i="4"/>
  <c r="T14" i="4" s="1"/>
  <c r="K11" i="2"/>
  <c r="K12" i="4"/>
  <c r="K14" i="4" s="1"/>
  <c r="I59" i="1"/>
  <c r="I63" i="1" s="1"/>
  <c r="I64" i="1" s="1"/>
  <c r="W11" i="2"/>
  <c r="W12" i="4"/>
  <c r="W14" i="4" s="1"/>
  <c r="U59" i="1"/>
  <c r="U63" i="1" s="1"/>
  <c r="U64" i="1" s="1"/>
  <c r="U11" i="2"/>
  <c r="U12" i="4"/>
  <c r="U14" i="4" s="1"/>
  <c r="S59" i="1"/>
  <c r="S63" i="1" s="1"/>
  <c r="S64" i="1" s="1"/>
  <c r="Q12" i="4"/>
  <c r="Q14" i="4" s="1"/>
  <c r="O59" i="1"/>
  <c r="O63" i="1" s="1"/>
  <c r="O64" i="1" s="1"/>
  <c r="Q11" i="2"/>
  <c r="D54" i="25"/>
  <c r="E51" i="25"/>
  <c r="W16" i="4" l="1"/>
  <c r="U30" i="1"/>
  <c r="U31" i="1" s="1"/>
  <c r="U33" i="1" s="1"/>
  <c r="U35" i="1" s="1"/>
  <c r="AA16" i="4"/>
  <c r="Y30" i="1"/>
  <c r="Y31" i="1" s="1"/>
  <c r="Y33" i="1" s="1"/>
  <c r="Y35" i="1" s="1"/>
  <c r="G15" i="2"/>
  <c r="G26" i="2" s="1"/>
  <c r="G36" i="2"/>
  <c r="G39" i="2" s="1"/>
  <c r="M16" i="4"/>
  <c r="K30" i="1"/>
  <c r="K31" i="1" s="1"/>
  <c r="K33" i="1" s="1"/>
  <c r="K35" i="1" s="1"/>
  <c r="Y16" i="4"/>
  <c r="W30" i="1"/>
  <c r="W31" i="1" s="1"/>
  <c r="W33" i="1" s="1"/>
  <c r="W35" i="1" s="1"/>
  <c r="Q15" i="2"/>
  <c r="Q26" i="2" s="1"/>
  <c r="Q36" i="2"/>
  <c r="Q39" i="2" s="1"/>
  <c r="W15" i="2"/>
  <c r="W26" i="2" s="1"/>
  <c r="W36" i="2"/>
  <c r="W39" i="2" s="1"/>
  <c r="R16" i="4"/>
  <c r="P30" i="1"/>
  <c r="P31" i="1" s="1"/>
  <c r="P33" i="1" s="1"/>
  <c r="P35" i="1" s="1"/>
  <c r="E15" i="2"/>
  <c r="E26" i="2" s="1"/>
  <c r="E36" i="2"/>
  <c r="E39" i="2" s="1"/>
  <c r="X30" i="1"/>
  <c r="X31" i="1" s="1"/>
  <c r="X33" i="1" s="1"/>
  <c r="X35" i="1" s="1"/>
  <c r="Z16" i="4"/>
  <c r="AA15" i="2"/>
  <c r="AA26" i="2" s="1"/>
  <c r="AA36" i="2"/>
  <c r="P16" i="4"/>
  <c r="N30" i="1"/>
  <c r="N31" i="1" s="1"/>
  <c r="N33" i="1" s="1"/>
  <c r="N35" i="1" s="1"/>
  <c r="N16" i="4"/>
  <c r="L30" i="1"/>
  <c r="L31" i="1" s="1"/>
  <c r="L33" i="1" s="1"/>
  <c r="L35" i="1" s="1"/>
  <c r="X15" i="2"/>
  <c r="X26" i="2" s="1"/>
  <c r="X36" i="2"/>
  <c r="M36" i="2"/>
  <c r="M39" i="2" s="1"/>
  <c r="M15" i="2"/>
  <c r="M26" i="2" s="1"/>
  <c r="Y15" i="2"/>
  <c r="Y26" i="2" s="1"/>
  <c r="Y36" i="2"/>
  <c r="J36" i="2"/>
  <c r="J39" i="2" s="1"/>
  <c r="J15" i="2"/>
  <c r="J26" i="2" s="1"/>
  <c r="AB16" i="4"/>
  <c r="Z30" i="1"/>
  <c r="Z31" i="1" s="1"/>
  <c r="Z33" i="1" s="1"/>
  <c r="Z35" i="1" s="1"/>
  <c r="X16" i="4"/>
  <c r="V30" i="1"/>
  <c r="V31" i="1" s="1"/>
  <c r="V33" i="1" s="1"/>
  <c r="V35" i="1" s="1"/>
  <c r="L16" i="4"/>
  <c r="J30" i="1"/>
  <c r="J31" i="1" s="1"/>
  <c r="J33" i="1" s="1"/>
  <c r="J35" i="1" s="1"/>
  <c r="E16" i="4"/>
  <c r="C30" i="1"/>
  <c r="C31" i="1" s="1"/>
  <c r="C33" i="1" s="1"/>
  <c r="C35" i="1" s="1"/>
  <c r="F15" i="2"/>
  <c r="F26" i="2" s="1"/>
  <c r="F36" i="2"/>
  <c r="F39" i="2" s="1"/>
  <c r="Z15" i="2"/>
  <c r="Z26" i="2" s="1"/>
  <c r="Z36" i="2"/>
  <c r="P15" i="2"/>
  <c r="P26" i="2" s="1"/>
  <c r="P36" i="2"/>
  <c r="P39" i="2" s="1"/>
  <c r="AB15" i="2"/>
  <c r="AB26" i="2" s="1"/>
  <c r="AB36" i="2"/>
  <c r="E54" i="33"/>
  <c r="F51" i="33"/>
  <c r="F51" i="1"/>
  <c r="E54" i="1"/>
  <c r="D14" i="4"/>
  <c r="AD12" i="4"/>
  <c r="AD14" i="4" s="1"/>
  <c r="AD16" i="4" s="1"/>
  <c r="I16" i="4"/>
  <c r="G30" i="1"/>
  <c r="G31" i="1" s="1"/>
  <c r="G33" i="1" s="1"/>
  <c r="G35" i="1" s="1"/>
  <c r="S15" i="2"/>
  <c r="S26" i="2" s="1"/>
  <c r="S36" i="2"/>
  <c r="S39" i="2" s="1"/>
  <c r="K36" i="2"/>
  <c r="K39" i="2" s="1"/>
  <c r="K15" i="2"/>
  <c r="K26" i="2" s="1"/>
  <c r="V16" i="4"/>
  <c r="T30" i="1"/>
  <c r="T31" i="1" s="1"/>
  <c r="T33" i="1" s="1"/>
  <c r="T35" i="1" s="1"/>
  <c r="N15" i="2"/>
  <c r="N26" i="2" s="1"/>
  <c r="N36" i="2"/>
  <c r="N39" i="2" s="1"/>
  <c r="H36" i="2"/>
  <c r="H39" i="2" s="1"/>
  <c r="H15" i="2"/>
  <c r="H26" i="2" s="1"/>
  <c r="O16" i="4"/>
  <c r="M30" i="1"/>
  <c r="M31" i="1" s="1"/>
  <c r="M33" i="1" s="1"/>
  <c r="M35" i="1" s="1"/>
  <c r="U16" i="4"/>
  <c r="S30" i="1"/>
  <c r="S31" i="1" s="1"/>
  <c r="S33" i="1" s="1"/>
  <c r="S35" i="1" s="1"/>
  <c r="T16" i="4"/>
  <c r="R30" i="1"/>
  <c r="R31" i="1" s="1"/>
  <c r="R33" i="1" s="1"/>
  <c r="R35" i="1" s="1"/>
  <c r="U15" i="2"/>
  <c r="U26" i="2" s="1"/>
  <c r="U36" i="2"/>
  <c r="U39" i="2" s="1"/>
  <c r="J16" i="4"/>
  <c r="H30" i="1"/>
  <c r="H31" i="1" s="1"/>
  <c r="H33" i="1" s="1"/>
  <c r="H35" i="1" s="1"/>
  <c r="F51" i="25"/>
  <c r="E54" i="25"/>
  <c r="Q16" i="4"/>
  <c r="O30" i="1"/>
  <c r="O31" i="1" s="1"/>
  <c r="O33" i="1" s="1"/>
  <c r="O35" i="1" s="1"/>
  <c r="K16" i="4"/>
  <c r="I30" i="1"/>
  <c r="I31" i="1" s="1"/>
  <c r="I33" i="1" s="1"/>
  <c r="I35" i="1" s="1"/>
  <c r="T15" i="2"/>
  <c r="T26" i="2" s="1"/>
  <c r="T36" i="2"/>
  <c r="T39" i="2" s="1"/>
  <c r="E54" i="17"/>
  <c r="F51" i="17"/>
  <c r="R15" i="2"/>
  <c r="R26" i="2" s="1"/>
  <c r="R36" i="2"/>
  <c r="R39" i="2" s="1"/>
  <c r="F51" i="15"/>
  <c r="E54" i="15"/>
  <c r="F16" i="4"/>
  <c r="D30" i="1"/>
  <c r="D31" i="1" s="1"/>
  <c r="D33" i="1" s="1"/>
  <c r="D35" i="1" s="1"/>
  <c r="V15" i="2"/>
  <c r="V26" i="2" s="1"/>
  <c r="V36" i="2"/>
  <c r="V39" i="2" s="1"/>
  <c r="F51" i="21"/>
  <c r="E54" i="21"/>
  <c r="G16" i="4"/>
  <c r="E30" i="1"/>
  <c r="E31" i="1" s="1"/>
  <c r="E33" i="1" s="1"/>
  <c r="E35" i="1" s="1"/>
  <c r="D13" i="36"/>
  <c r="B63" i="1"/>
  <c r="D15" i="2"/>
  <c r="D26" i="2" s="1"/>
  <c r="D36" i="2"/>
  <c r="D39" i="2" s="1"/>
  <c r="H16" i="4"/>
  <c r="F30" i="1"/>
  <c r="F31" i="1" s="1"/>
  <c r="F33" i="1" s="1"/>
  <c r="F35" i="1" s="1"/>
  <c r="I15" i="2"/>
  <c r="I26" i="2" s="1"/>
  <c r="I36" i="2"/>
  <c r="I39" i="2" s="1"/>
  <c r="O15" i="2"/>
  <c r="O26" i="2" s="1"/>
  <c r="O36" i="2"/>
  <c r="O39" i="2" s="1"/>
  <c r="L15" i="2"/>
  <c r="L26" i="2" s="1"/>
  <c r="L36" i="2"/>
  <c r="L39" i="2" s="1"/>
  <c r="S16" i="4"/>
  <c r="Q30" i="1"/>
  <c r="Q31" i="1" s="1"/>
  <c r="Q33" i="1" s="1"/>
  <c r="Q35" i="1" s="1"/>
  <c r="G51" i="17" l="1"/>
  <c r="F54" i="17"/>
  <c r="G51" i="33"/>
  <c r="F54" i="33"/>
  <c r="Z21" i="4"/>
  <c r="Z25" i="4" s="1"/>
  <c r="Z27" i="4" s="1"/>
  <c r="Z17" i="4"/>
  <c r="J37" i="1"/>
  <c r="G37" i="1"/>
  <c r="B42" i="1"/>
  <c r="D30" i="2"/>
  <c r="E28" i="2" s="1"/>
  <c r="E30" i="2" s="1"/>
  <c r="F28" i="2" s="1"/>
  <c r="F30" i="2" s="1"/>
  <c r="G28" i="2" s="1"/>
  <c r="G30" i="2" s="1"/>
  <c r="H28" i="2" s="1"/>
  <c r="H30" i="2" s="1"/>
  <c r="I28" i="2" s="1"/>
  <c r="I30" i="2" s="1"/>
  <c r="J28" i="2" s="1"/>
  <c r="J30" i="2" s="1"/>
  <c r="K28" i="2" s="1"/>
  <c r="K30" i="2" s="1"/>
  <c r="L28" i="2" s="1"/>
  <c r="L30" i="2" s="1"/>
  <c r="M28" i="2" s="1"/>
  <c r="M30" i="2" s="1"/>
  <c r="N28" i="2" s="1"/>
  <c r="N30" i="2" s="1"/>
  <c r="O28" i="2" s="1"/>
  <c r="O30" i="2" s="1"/>
  <c r="P28" i="2" s="1"/>
  <c r="P30" i="2" s="1"/>
  <c r="Q28" i="2" s="1"/>
  <c r="Q30" i="2" s="1"/>
  <c r="R28" i="2" s="1"/>
  <c r="R30" i="2" s="1"/>
  <c r="S28" i="2" s="1"/>
  <c r="S30" i="2" s="1"/>
  <c r="T28" i="2" s="1"/>
  <c r="T30" i="2" s="1"/>
  <c r="U28" i="2" s="1"/>
  <c r="U30" i="2" s="1"/>
  <c r="V28" i="2" s="1"/>
  <c r="V30" i="2" s="1"/>
  <c r="W28" i="2" s="1"/>
  <c r="W30" i="2" s="1"/>
  <c r="X28" i="2" s="1"/>
  <c r="X30" i="2" s="1"/>
  <c r="Y28" i="2" s="1"/>
  <c r="Y30" i="2" s="1"/>
  <c r="Z28" i="2" s="1"/>
  <c r="Z30" i="2" s="1"/>
  <c r="AA28" i="2" s="1"/>
  <c r="AA30" i="2" s="1"/>
  <c r="AB28" i="2" s="1"/>
  <c r="AB30" i="2" s="1"/>
  <c r="B41" i="1"/>
  <c r="B44" i="1"/>
  <c r="D12" i="36" s="1"/>
  <c r="B37" i="1"/>
  <c r="D11" i="36" s="1"/>
  <c r="B43" i="1"/>
  <c r="G17" i="4"/>
  <c r="G21" i="4"/>
  <c r="G25" i="4" s="1"/>
  <c r="G27" i="4" s="1"/>
  <c r="T37" i="1"/>
  <c r="G51" i="15"/>
  <c r="F54" i="15"/>
  <c r="K21" i="4"/>
  <c r="K25" i="4" s="1"/>
  <c r="K27" i="4" s="1"/>
  <c r="K17" i="4"/>
  <c r="F54" i="25"/>
  <c r="G51" i="25"/>
  <c r="S37" i="1"/>
  <c r="U17" i="4"/>
  <c r="U21" i="4"/>
  <c r="U25" i="4" s="1"/>
  <c r="U27" i="4" s="1"/>
  <c r="V17" i="4"/>
  <c r="V21" i="4"/>
  <c r="V25" i="4" s="1"/>
  <c r="V27" i="4" s="1"/>
  <c r="Q37" i="1"/>
  <c r="D16" i="4"/>
  <c r="B30" i="1"/>
  <c r="B31" i="1" s="1"/>
  <c r="B33" i="1" s="1"/>
  <c r="B35" i="1" s="1"/>
  <c r="D10" i="36" s="1"/>
  <c r="N37" i="1"/>
  <c r="D37" i="1"/>
  <c r="L21" i="4"/>
  <c r="L25" i="4" s="1"/>
  <c r="L27" i="4" s="1"/>
  <c r="L17" i="4"/>
  <c r="AB21" i="4"/>
  <c r="AB25" i="4" s="1"/>
  <c r="AB27" i="4" s="1"/>
  <c r="AB17" i="4"/>
  <c r="W37" i="1"/>
  <c r="V37" i="1"/>
  <c r="P17" i="4"/>
  <c r="P21" i="4"/>
  <c r="P25" i="4" s="1"/>
  <c r="P27" i="4" s="1"/>
  <c r="R21" i="4"/>
  <c r="R25" i="4" s="1"/>
  <c r="R27" i="4" s="1"/>
  <c r="R17" i="4"/>
  <c r="O37" i="1"/>
  <c r="M21" i="4"/>
  <c r="M25" i="4" s="1"/>
  <c r="M27" i="4" s="1"/>
  <c r="M17" i="4"/>
  <c r="AA17" i="4"/>
  <c r="AA21" i="4"/>
  <c r="AA25" i="4" s="1"/>
  <c r="AA27" i="4" s="1"/>
  <c r="F37" i="1"/>
  <c r="D17" i="36"/>
  <c r="B64" i="1"/>
  <c r="D18" i="36" s="1"/>
  <c r="I37" i="1"/>
  <c r="H37" i="1"/>
  <c r="K37" i="1"/>
  <c r="B46" i="7"/>
  <c r="B46" i="1"/>
  <c r="AD21" i="4"/>
  <c r="AD25" i="4" s="1"/>
  <c r="AD17" i="4"/>
  <c r="S17" i="4"/>
  <c r="S21" i="4"/>
  <c r="S25" i="4" s="1"/>
  <c r="S27" i="4" s="1"/>
  <c r="M37" i="1"/>
  <c r="H21" i="4"/>
  <c r="H25" i="4" s="1"/>
  <c r="H27" i="4" s="1"/>
  <c r="H17" i="4"/>
  <c r="D4" i="36"/>
  <c r="D5" i="36"/>
  <c r="G51" i="21"/>
  <c r="F54" i="21"/>
  <c r="F21" i="4"/>
  <c r="F25" i="4" s="1"/>
  <c r="F27" i="4" s="1"/>
  <c r="F17" i="4"/>
  <c r="P37" i="1"/>
  <c r="R37" i="1"/>
  <c r="Q17" i="4"/>
  <c r="Q21" i="4"/>
  <c r="Q25" i="4" s="1"/>
  <c r="Q27" i="4" s="1"/>
  <c r="J21" i="4"/>
  <c r="J25" i="4" s="1"/>
  <c r="J27" i="4" s="1"/>
  <c r="J17" i="4"/>
  <c r="T17" i="4"/>
  <c r="T21" i="4"/>
  <c r="T25" i="4" s="1"/>
  <c r="T27" i="4" s="1"/>
  <c r="O21" i="4"/>
  <c r="O25" i="4" s="1"/>
  <c r="O27" i="4" s="1"/>
  <c r="O17" i="4"/>
  <c r="L37" i="1"/>
  <c r="I21" i="4"/>
  <c r="I25" i="4" s="1"/>
  <c r="I27" i="4" s="1"/>
  <c r="I17" i="4"/>
  <c r="G51" i="1"/>
  <c r="F54" i="1"/>
  <c r="Z37" i="1"/>
  <c r="X37" i="1"/>
  <c r="E21" i="4"/>
  <c r="E25" i="4" s="1"/>
  <c r="E27" i="4" s="1"/>
  <c r="E17" i="4"/>
  <c r="X17" i="4"/>
  <c r="X21" i="4"/>
  <c r="X25" i="4" s="1"/>
  <c r="X27" i="4" s="1"/>
  <c r="N21" i="4"/>
  <c r="N25" i="4" s="1"/>
  <c r="N27" i="4" s="1"/>
  <c r="N17" i="4"/>
  <c r="Y37" i="1"/>
  <c r="C37" i="1"/>
  <c r="U37" i="1"/>
  <c r="Y21" i="4"/>
  <c r="Y25" i="4" s="1"/>
  <c r="Y27" i="4" s="1"/>
  <c r="Y17" i="4"/>
  <c r="E37" i="1"/>
  <c r="W21" i="4"/>
  <c r="W25" i="4" s="1"/>
  <c r="W27" i="4" s="1"/>
  <c r="W17" i="4"/>
  <c r="D17" i="4" l="1"/>
  <c r="D21" i="4"/>
  <c r="D25" i="4" s="1"/>
  <c r="D27" i="4" s="1"/>
  <c r="H51" i="33"/>
  <c r="G54" i="33"/>
  <c r="H51" i="25"/>
  <c r="G54" i="25"/>
  <c r="H51" i="1"/>
  <c r="G54" i="1"/>
  <c r="G54" i="21"/>
  <c r="H51" i="21"/>
  <c r="D24" i="36"/>
  <c r="D9" i="36"/>
  <c r="H51" i="15"/>
  <c r="G54" i="15"/>
  <c r="H51" i="17"/>
  <c r="G54" i="17"/>
  <c r="H54" i="15" l="1"/>
  <c r="I51" i="15"/>
  <c r="H54" i="25"/>
  <c r="I51" i="25"/>
  <c r="I51" i="17"/>
  <c r="H54" i="17"/>
  <c r="I51" i="1"/>
  <c r="H54" i="1"/>
  <c r="I51" i="33"/>
  <c r="H54" i="33"/>
  <c r="I51" i="21"/>
  <c r="H54" i="21"/>
  <c r="J51" i="33" l="1"/>
  <c r="I54" i="33"/>
  <c r="J51" i="25"/>
  <c r="I54" i="25"/>
  <c r="J51" i="21"/>
  <c r="I54" i="21"/>
  <c r="J51" i="1"/>
  <c r="I54" i="1"/>
  <c r="J51" i="15"/>
  <c r="I54" i="15"/>
  <c r="J51" i="17"/>
  <c r="I54" i="17"/>
  <c r="K51" i="25" l="1"/>
  <c r="J54" i="25"/>
  <c r="K51" i="17"/>
  <c r="J54" i="17"/>
  <c r="K51" i="1"/>
  <c r="J54" i="1"/>
  <c r="K51" i="15"/>
  <c r="J54" i="15"/>
  <c r="J54" i="21"/>
  <c r="K51" i="21"/>
  <c r="K51" i="33"/>
  <c r="J54" i="33"/>
  <c r="K54" i="33" l="1"/>
  <c r="L51" i="33"/>
  <c r="L51" i="21"/>
  <c r="K54" i="21"/>
  <c r="L51" i="15"/>
  <c r="K54" i="15"/>
  <c r="K54" i="17"/>
  <c r="L51" i="17"/>
  <c r="L51" i="1"/>
  <c r="K54" i="1"/>
  <c r="L51" i="25"/>
  <c r="K54" i="25"/>
  <c r="L54" i="17" l="1"/>
  <c r="M51" i="17"/>
  <c r="M51" i="25"/>
  <c r="L54" i="25"/>
  <c r="M51" i="21"/>
  <c r="L54" i="21"/>
  <c r="M51" i="33"/>
  <c r="L54" i="33"/>
  <c r="L54" i="1"/>
  <c r="M51" i="1"/>
  <c r="L54" i="15"/>
  <c r="M51" i="15"/>
  <c r="N51" i="15" l="1"/>
  <c r="M54" i="15"/>
  <c r="M54" i="33"/>
  <c r="N51" i="33"/>
  <c r="N51" i="17"/>
  <c r="M54" i="17"/>
  <c r="M54" i="25"/>
  <c r="N51" i="25"/>
  <c r="M54" i="1"/>
  <c r="N51" i="1"/>
  <c r="N51" i="21"/>
  <c r="M54" i="21"/>
  <c r="O51" i="25" l="1"/>
  <c r="N54" i="25"/>
  <c r="N54" i="33"/>
  <c r="O51" i="33"/>
  <c r="N54" i="21"/>
  <c r="O51" i="21"/>
  <c r="O51" i="1"/>
  <c r="N54" i="1"/>
  <c r="N54" i="17"/>
  <c r="O51" i="17"/>
  <c r="O51" i="15"/>
  <c r="N54" i="15"/>
  <c r="P51" i="15" l="1"/>
  <c r="O54" i="15"/>
  <c r="O54" i="1"/>
  <c r="P51" i="1"/>
  <c r="P51" i="21"/>
  <c r="O54" i="21"/>
  <c r="P51" i="33"/>
  <c r="O54" i="33"/>
  <c r="P51" i="17"/>
  <c r="O54" i="17"/>
  <c r="P51" i="25"/>
  <c r="O54" i="25"/>
  <c r="P54" i="25" l="1"/>
  <c r="Q51" i="25"/>
  <c r="Q51" i="1"/>
  <c r="P54" i="1"/>
  <c r="Q51" i="33"/>
  <c r="P54" i="33"/>
  <c r="P54" i="17"/>
  <c r="Q51" i="17"/>
  <c r="Q51" i="21"/>
  <c r="P54" i="21"/>
  <c r="P54" i="15"/>
  <c r="Q51" i="15"/>
  <c r="R51" i="17" l="1"/>
  <c r="Q54" i="17"/>
  <c r="Q54" i="1"/>
  <c r="R51" i="1"/>
  <c r="R51" i="15"/>
  <c r="Q54" i="15"/>
  <c r="Q54" i="25"/>
  <c r="R51" i="25"/>
  <c r="R51" i="21"/>
  <c r="Q54" i="21"/>
  <c r="Q54" i="33"/>
  <c r="R51" i="33"/>
  <c r="S51" i="1" l="1"/>
  <c r="R54" i="1"/>
  <c r="S51" i="33"/>
  <c r="R54" i="33"/>
  <c r="S51" i="25"/>
  <c r="R54" i="25"/>
  <c r="R54" i="21"/>
  <c r="S51" i="21"/>
  <c r="R54" i="15"/>
  <c r="S51" i="15"/>
  <c r="R54" i="17"/>
  <c r="S51" i="17"/>
  <c r="T51" i="15" l="1"/>
  <c r="S54" i="15"/>
  <c r="T51" i="17"/>
  <c r="S54" i="17"/>
  <c r="T51" i="21"/>
  <c r="S54" i="21"/>
  <c r="T51" i="33"/>
  <c r="S54" i="33"/>
  <c r="T51" i="25"/>
  <c r="S54" i="25"/>
  <c r="S54" i="1"/>
  <c r="T51" i="1"/>
  <c r="U51" i="17" l="1"/>
  <c r="T54" i="17"/>
  <c r="U51" i="1"/>
  <c r="T54" i="1"/>
  <c r="U51" i="33"/>
  <c r="U54" i="33" s="1"/>
  <c r="T54" i="33"/>
  <c r="U51" i="25"/>
  <c r="T54" i="25"/>
  <c r="U51" i="21"/>
  <c r="T54" i="21"/>
  <c r="U51" i="15"/>
  <c r="U54" i="15" s="1"/>
  <c r="T54" i="15"/>
  <c r="V51" i="25" l="1"/>
  <c r="U54" i="25"/>
  <c r="U54" i="1"/>
  <c r="V51" i="1"/>
  <c r="U54" i="21"/>
  <c r="V51" i="21"/>
  <c r="V51" i="17"/>
  <c r="U54" i="17"/>
  <c r="W51" i="1" l="1"/>
  <c r="V54" i="1"/>
  <c r="W51" i="17"/>
  <c r="V54" i="17"/>
  <c r="V54" i="21"/>
  <c r="W51" i="21"/>
  <c r="V54" i="25"/>
  <c r="W51" i="25"/>
  <c r="W54" i="17" l="1"/>
  <c r="X51" i="17"/>
  <c r="X51" i="25"/>
  <c r="W54" i="25"/>
  <c r="X51" i="21"/>
  <c r="W54" i="21"/>
  <c r="X51" i="1"/>
  <c r="W54" i="1"/>
  <c r="Y51" i="17" l="1"/>
  <c r="X54" i="17"/>
  <c r="Y51" i="1"/>
  <c r="X54" i="1"/>
  <c r="Y51" i="25"/>
  <c r="X54" i="25"/>
  <c r="Y51" i="21"/>
  <c r="X54" i="21"/>
  <c r="Y54" i="21" l="1"/>
  <c r="Z51" i="21"/>
  <c r="Z54" i="21" s="1"/>
  <c r="Y54" i="1"/>
  <c r="Z51" i="1"/>
  <c r="Z54" i="1" s="1"/>
  <c r="Z51" i="25"/>
  <c r="Z54" i="25" s="1"/>
  <c r="Y54" i="25"/>
  <c r="Z51" i="17"/>
  <c r="Z54" i="17" s="1"/>
  <c r="Y54" i="17"/>
</calcChain>
</file>

<file path=xl/sharedStrings.xml><?xml version="1.0" encoding="utf-8"?>
<sst xmlns="http://schemas.openxmlformats.org/spreadsheetml/2006/main" count="1341" uniqueCount="283">
  <si>
    <t>NPV</t>
  </si>
  <si>
    <t>Project Build Costs</t>
  </si>
  <si>
    <t>Operating Costs</t>
  </si>
  <si>
    <t>Revenue</t>
  </si>
  <si>
    <t>Fuel</t>
  </si>
  <si>
    <t>Senior Debt Rate</t>
  </si>
  <si>
    <t>Total</t>
  </si>
  <si>
    <t>Year</t>
  </si>
  <si>
    <t>Contingency (10%)</t>
  </si>
  <si>
    <t>Operating Salaries</t>
  </si>
  <si>
    <t>Admin/billing</t>
  </si>
  <si>
    <t>Salaries total</t>
  </si>
  <si>
    <t>Fuel cost per litre (pence)</t>
  </si>
  <si>
    <t>Annual Electrical Consumption (kWh)</t>
  </si>
  <si>
    <t>Total operating costs (ex fuel)</t>
  </si>
  <si>
    <t>Tariff p/kWh</t>
  </si>
  <si>
    <t>Cash flow</t>
  </si>
  <si>
    <t>Flow from operations</t>
  </si>
  <si>
    <t>EBITDA/Net cash flow from operations</t>
  </si>
  <si>
    <t>Interest paid</t>
  </si>
  <si>
    <t>Flow of Capital</t>
  </si>
  <si>
    <t>Total start costs</t>
  </si>
  <si>
    <t>Repayments of loans</t>
  </si>
  <si>
    <t>Fuel Costs</t>
  </si>
  <si>
    <t>Operating costs</t>
  </si>
  <si>
    <t>Debt Finance %</t>
  </si>
  <si>
    <t>Initial Debt</t>
  </si>
  <si>
    <t>Debt term years</t>
  </si>
  <si>
    <t>Demand growth %</t>
  </si>
  <si>
    <t>Interest Calculation</t>
  </si>
  <si>
    <t>Year:</t>
  </si>
  <si>
    <t>Total asset cost</t>
  </si>
  <si>
    <t>Loan:</t>
  </si>
  <si>
    <t>Rate:</t>
  </si>
  <si>
    <t>Period of loan:</t>
  </si>
  <si>
    <t>B/fwd</t>
  </si>
  <si>
    <t>Principal repaid</t>
  </si>
  <si>
    <t>C/fwd</t>
  </si>
  <si>
    <t>Debt</t>
  </si>
  <si>
    <t xml:space="preserve">Interest </t>
  </si>
  <si>
    <t>Loan receipts</t>
  </si>
  <si>
    <t xml:space="preserve">Net cash flow pre </t>
  </si>
  <si>
    <t>Net cash flow</t>
  </si>
  <si>
    <t>Cash Balance b/fwd</t>
  </si>
  <si>
    <t>Cash Balance c/fwd</t>
  </si>
  <si>
    <t>Profit and Loss Account</t>
  </si>
  <si>
    <t>TOTAL</t>
  </si>
  <si>
    <t>Total Revenue</t>
  </si>
  <si>
    <t>Total Operating Costs</t>
  </si>
  <si>
    <t>EBITDA</t>
  </si>
  <si>
    <t>EBIT</t>
  </si>
  <si>
    <t>Loan interest</t>
  </si>
  <si>
    <t>Other Revenue</t>
  </si>
  <si>
    <t>Depreciation years</t>
  </si>
  <si>
    <t>Earnings Before Tax</t>
  </si>
  <si>
    <t>fuel cost escalation</t>
  </si>
  <si>
    <t xml:space="preserve">Inflation </t>
  </si>
  <si>
    <t>tariff price escalation</t>
  </si>
  <si>
    <t>Discount rate</t>
  </si>
  <si>
    <t>NPV over 10 years</t>
  </si>
  <si>
    <t>NPV over 15 years</t>
  </si>
  <si>
    <t>NPV over 25 years</t>
  </si>
  <si>
    <t>NPV over 20 years</t>
  </si>
  <si>
    <t>Depreciation</t>
  </si>
  <si>
    <t>EBIT (£)</t>
  </si>
  <si>
    <t>Total Revenue(£)</t>
  </si>
  <si>
    <t>Total Operating Costs (£)</t>
  </si>
  <si>
    <t>EBITDA (£)</t>
  </si>
  <si>
    <t>Depreciation (£)</t>
  </si>
  <si>
    <t>Loan Interest (£)</t>
  </si>
  <si>
    <t>EBT (£)</t>
  </si>
  <si>
    <t>Net Cash flow (£)</t>
  </si>
  <si>
    <t xml:space="preserve">Years 1-5 </t>
  </si>
  <si>
    <t>Years 6-10</t>
  </si>
  <si>
    <t>Years 11-15</t>
  </si>
  <si>
    <t>Years 16-25</t>
  </si>
  <si>
    <t>Generation Revenue</t>
  </si>
  <si>
    <t>Financing/Economic</t>
  </si>
  <si>
    <t>Debt Service Cover</t>
  </si>
  <si>
    <t>Net operating income</t>
  </si>
  <si>
    <t>Debt Service</t>
  </si>
  <si>
    <t>Debt Service Cover Ratio</t>
  </si>
  <si>
    <t>Minimum Debt Service Cover Ratio</t>
  </si>
  <si>
    <t xml:space="preserve">Diesel Generation Capital </t>
  </si>
  <si>
    <t>Wind Generation Capital</t>
  </si>
  <si>
    <t>Solar Generation Capital</t>
  </si>
  <si>
    <t>Storage Capacity Capital</t>
  </si>
  <si>
    <t>Balance of Plant Capital</t>
  </si>
  <si>
    <t>Freight (10%)</t>
  </si>
  <si>
    <t>Generation Total</t>
  </si>
  <si>
    <t>Distribution Total</t>
  </si>
  <si>
    <t>Tariff (p)</t>
  </si>
  <si>
    <t>Yield kWh/kW installed</t>
  </si>
  <si>
    <t>Diesel</t>
  </si>
  <si>
    <t>Wind</t>
  </si>
  <si>
    <t>Solar</t>
  </si>
  <si>
    <t>Storage /100kWh</t>
  </si>
  <si>
    <t>Interest Rate</t>
  </si>
  <si>
    <t>Staff</t>
  </si>
  <si>
    <t>Administration</t>
  </si>
  <si>
    <t>Operational</t>
  </si>
  <si>
    <t>Annual Operating Costs as % of capital</t>
  </si>
  <si>
    <t xml:space="preserve">Rent </t>
  </si>
  <si>
    <t>Operating Costs (diesel generation)</t>
  </si>
  <si>
    <t>Office &amp;PS fixed</t>
  </si>
  <si>
    <t>Operating Costs (solar generation)</t>
  </si>
  <si>
    <t>Solar /100kW</t>
  </si>
  <si>
    <t>Operating Costs (wind generation)</t>
  </si>
  <si>
    <t>Operating Costs (Storage)</t>
  </si>
  <si>
    <t>Operating Costs (distribution)</t>
  </si>
  <si>
    <t>100% Diesel (current)</t>
  </si>
  <si>
    <t>Mix 1 Wind, Solar Diesel standby</t>
  </si>
  <si>
    <t>Mix 2 Wind, Solar Diesel standby</t>
  </si>
  <si>
    <t>Mix 3 Wind, Solar, Storage, Diesel standby</t>
  </si>
  <si>
    <t>Mix 4 Wind, Solar,Storage, Diesel standby</t>
  </si>
  <si>
    <t>100% Wind &amp; Storage</t>
  </si>
  <si>
    <t>100% Solar &amp; Storage</t>
  </si>
  <si>
    <t>Diesel Generation Capacity (kW)</t>
  </si>
  <si>
    <t>Wind Generation Capacity (kW)</t>
  </si>
  <si>
    <t>Solar Generation Capacity (kW)</t>
  </si>
  <si>
    <t>Storage Capacity (kWh)</t>
  </si>
  <si>
    <t>Units from solar used at time of generation (kWh)</t>
  </si>
  <si>
    <t>Units from wind used at time of generation (kWh)</t>
  </si>
  <si>
    <t>Units from solar available via storage (kWh)</t>
  </si>
  <si>
    <t>Units from wind available via storage (kWh)</t>
  </si>
  <si>
    <t>Total Renewable energy available (kWh)</t>
  </si>
  <si>
    <t xml:space="preserve"> Renewabe energy dependent upon storage (kWh)</t>
  </si>
  <si>
    <t>Minimum Storage Capacity to handle available renewable energy (kWh)</t>
  </si>
  <si>
    <t>Units generated by diesel (kWh)</t>
  </si>
  <si>
    <t>Maximmum annual energy from all sources (kWh)</t>
  </si>
  <si>
    <t>Maximmum peak demand from all sources (daylight) (kW)</t>
  </si>
  <si>
    <t>Maximmum peak demand from all sources (darkness) (kW)</t>
  </si>
  <si>
    <t>Diesel Load Factor (%)</t>
  </si>
  <si>
    <t>Tariff Build Up (p/kWh)</t>
  </si>
  <si>
    <t>Average cost of fuel per kWh sent out</t>
  </si>
  <si>
    <t>Repayment of capital and interest (generation)</t>
  </si>
  <si>
    <t>Repayment of capital and interest (rebuild distribution system)</t>
  </si>
  <si>
    <t>Operating Costs (generation)</t>
  </si>
  <si>
    <t>Other Admin costs</t>
  </si>
  <si>
    <t>Land rental</t>
  </si>
  <si>
    <t>Adminsistration Staff Costs</t>
  </si>
  <si>
    <t>Operational Staff Costs</t>
  </si>
  <si>
    <t>Surplus/shortfall p/kWh</t>
  </si>
  <si>
    <t>Surplus/shortfall £ pa</t>
  </si>
  <si>
    <t>Single source of energy, but multiple units giving (n-1) security, expensive fuel</t>
  </si>
  <si>
    <t>Retains (n-1) level of security on diesel, reduced diesel running hours</t>
  </si>
  <si>
    <t>Retains (n-1) level of security on diesel, further reduced diesel running hours</t>
  </si>
  <si>
    <t>Retains (n-1) level of security on diesel, but diesels unlikely to run -weather dependent</t>
  </si>
  <si>
    <t>100% renewable, heavy capital cost. Requires 16 acres of land for solar (updated narec proposal)</t>
  </si>
  <si>
    <t>Entirely Wind Single source of energy - high risk, single 77m high turbine</t>
  </si>
  <si>
    <t>Entirely Solar, totally dependent upon storage for approximately 55% of time (hours of darkness)</t>
  </si>
  <si>
    <t>Land Rental</t>
  </si>
  <si>
    <t>Project Capacity (kW)</t>
  </si>
  <si>
    <t>Total consumption</t>
  </si>
  <si>
    <t>Scenario</t>
  </si>
  <si>
    <t>Efficiency (kWh/litre)</t>
  </si>
  <si>
    <t>Fuel cost/kWh (p/kWh) of total energy sent out</t>
  </si>
  <si>
    <t>Fuel cost per KWh (p/KWh)of diesel generation</t>
  </si>
  <si>
    <t>Total units</t>
  </si>
  <si>
    <t>Interest</t>
  </si>
  <si>
    <t>Repayment of principal</t>
  </si>
  <si>
    <t xml:space="preserve">Operating Costs </t>
  </si>
  <si>
    <t>Other Admin Costs</t>
  </si>
  <si>
    <t>Tariff</t>
  </si>
  <si>
    <t>Wind/100kW</t>
  </si>
  <si>
    <t>Materials</t>
  </si>
  <si>
    <t>Underground Cable</t>
  </si>
  <si>
    <t>Quantity</t>
  </si>
  <si>
    <t>Price</t>
  </si>
  <si>
    <t>Sub Total</t>
  </si>
  <si>
    <t>Substations</t>
  </si>
  <si>
    <t>315kVA pad mount transformers</t>
  </si>
  <si>
    <t xml:space="preserve">100kVA pad mount transformers </t>
  </si>
  <si>
    <t>LV pillars</t>
  </si>
  <si>
    <t>Misc</t>
  </si>
  <si>
    <t>Service Terminations</t>
  </si>
  <si>
    <t>Three phase service terminations 100A</t>
  </si>
  <si>
    <t>Single phase service terminations 100A</t>
  </si>
  <si>
    <t>Three phase meters</t>
  </si>
  <si>
    <t>Single phase meters</t>
  </si>
  <si>
    <t>Single Phase Earth Leakage Trips</t>
  </si>
  <si>
    <t>Three Phase Earth Leakage Trips</t>
  </si>
  <si>
    <t>Civil Works</t>
  </si>
  <si>
    <t>Bases for 11kV Switchgear</t>
  </si>
  <si>
    <t>Pad Mount Base</t>
  </si>
  <si>
    <t>Project Management</t>
  </si>
  <si>
    <t>Contingency</t>
  </si>
  <si>
    <t>Complete replacement Network Costs</t>
  </si>
  <si>
    <t>LV Pillar Bases</t>
  </si>
  <si>
    <t>Ring main Units Including  Generation RMUs</t>
  </si>
  <si>
    <t>Debt Finance</t>
  </si>
  <si>
    <t>Debt Term (years)</t>
  </si>
  <si>
    <t>Inflation factors</t>
  </si>
  <si>
    <t>General</t>
  </si>
  <si>
    <t>Operating costs (storage)</t>
  </si>
  <si>
    <t>Gen Capital/100kW /Storage/100kWh  (£)</t>
  </si>
  <si>
    <t>Total Consumption (kWh)</t>
  </si>
  <si>
    <r>
      <t xml:space="preserve">Fuel (diesel p/litre) </t>
    </r>
    <r>
      <rPr>
        <sz val="11"/>
        <color rgb="FFFF0000"/>
        <rFont val="Calibri"/>
        <family val="2"/>
        <scheme val="minor"/>
      </rPr>
      <t>need to update for firm price of diesel delivered to Sark</t>
    </r>
  </si>
  <si>
    <t>Amortisation period (years)</t>
  </si>
  <si>
    <t>Diesel Generation Capital (£)</t>
  </si>
  <si>
    <t>Wind Generation Capital (£)</t>
  </si>
  <si>
    <t>Solar Generation Capital (£)</t>
  </si>
  <si>
    <t>Storage Capacity Capital (£)</t>
  </si>
  <si>
    <t>Balance of Plant Capital (£)</t>
  </si>
  <si>
    <t>Notes</t>
  </si>
  <si>
    <t>Yield will depend on actual turbine selected, this is mid range</t>
  </si>
  <si>
    <t>Yield will depend on actual solar panels selected, this is mid range</t>
  </si>
  <si>
    <t>Renewabe energy used via storage (kWh)</t>
  </si>
  <si>
    <t>Rent</t>
  </si>
  <si>
    <t>Based on land rental of £200/acre/p.a. if not on island owned land</t>
  </si>
  <si>
    <t>Yields</t>
  </si>
  <si>
    <t>Daylight hours consumption -45% (kWh)</t>
  </si>
  <si>
    <t>Darkness hours consumption (-55%kWh)</t>
  </si>
  <si>
    <t>Based on 80p /litre plus 7p/litre transport</t>
  </si>
  <si>
    <t>Conversion efficiency from manufacturers  data for Cummins 200kVA generator</t>
  </si>
  <si>
    <t>100% renewable, Wind,Solar, Storage (updated Narec)</t>
  </si>
  <si>
    <t>Storage Capacity minimum firm peak output (kW)</t>
  </si>
  <si>
    <t>Estimated total capital cost (£)</t>
  </si>
  <si>
    <t xml:space="preserve"> Margin at tariff of 60p /kWh</t>
  </si>
  <si>
    <t>check</t>
  </si>
  <si>
    <t>Total annual cost</t>
  </si>
  <si>
    <t>Total wind energy available (kWh)</t>
  </si>
  <si>
    <t>Minimum Storage Capacity to handle available wind energy (kWh)</t>
  </si>
  <si>
    <t>NPV over 25 years at 5% (£s)</t>
  </si>
  <si>
    <t>Interest (year 1)</t>
  </si>
  <si>
    <t>Repayment of principal (year 1)</t>
  </si>
  <si>
    <t>Total Renewable energy available for use(kWh)</t>
  </si>
  <si>
    <t>Annual Energy Shortfall(kWh)</t>
  </si>
  <si>
    <t>Line losses</t>
  </si>
  <si>
    <t>Annual Generation Diesel (kWh)</t>
  </si>
  <si>
    <t xml:space="preserve">Generation </t>
  </si>
  <si>
    <t>Pre losses and auxiliary consumption</t>
  </si>
  <si>
    <t>Annual Generatuion Solar(kWh)</t>
  </si>
  <si>
    <t>Annual Generationn Wind (kWh)</t>
  </si>
  <si>
    <t>Total Generation required</t>
  </si>
  <si>
    <t>Fuel cost/kWh (p/kWh) of total delivered</t>
  </si>
  <si>
    <t>Total units sold</t>
  </si>
  <si>
    <t>Units sold from diesel (kWh)</t>
  </si>
  <si>
    <t>Fuel cost/kWh (p/kWh) of total energy delivered</t>
  </si>
  <si>
    <t>Net profit before tax (year 1 £s) assuming tariff of 60p/kWh</t>
  </si>
  <si>
    <t>Cash flow (year 1 £s)assuming tariff of 60p/kWh</t>
  </si>
  <si>
    <t>tariff required at 5% cost of capital</t>
  </si>
  <si>
    <t>Generation Scenarios Cost Comparison - Delivery of 1.4 GWh per annum</t>
  </si>
  <si>
    <t>Annual cost to deliver 1.4GWh per annum assuming 25 year loan at 5% (£s)</t>
  </si>
  <si>
    <t>Total annual consumption (kWh)</t>
  </si>
  <si>
    <t>Line losses (kWh)</t>
  </si>
  <si>
    <t>Total units generated to meet annual consumption (kWh)</t>
  </si>
  <si>
    <t>LV cables from existing S/S positions to services (km)</t>
  </si>
  <si>
    <t>LV cable hubs to exisitng S/S positions (km)</t>
  </si>
  <si>
    <r>
      <t>11kV 95mm</t>
    </r>
    <r>
      <rPr>
        <vertAlign val="superscript"/>
        <sz val="9"/>
        <color theme="1"/>
        <rFont val="Century Gothic"/>
        <family val="2"/>
      </rPr>
      <t>2</t>
    </r>
    <r>
      <rPr>
        <sz val="9"/>
        <color theme="1"/>
        <rFont val="Century Gothic"/>
        <family val="2"/>
      </rPr>
      <t xml:space="preserve"> cable  (km)</t>
    </r>
  </si>
  <si>
    <t>Three phase service cable (km)</t>
  </si>
  <si>
    <t>Single phase service cable (km)</t>
  </si>
  <si>
    <t>70mm Earthing cable (km)</t>
  </si>
  <si>
    <t xml:space="preserve">Freight </t>
  </si>
  <si>
    <t>11kV joints (no.)</t>
  </si>
  <si>
    <t>11kV Cable Terminations (no.)</t>
  </si>
  <si>
    <t>LV joints (no.)</t>
  </si>
  <si>
    <t>LV Pillar Cable terminations (no.)</t>
  </si>
  <si>
    <t>Earth pins (no.)</t>
  </si>
  <si>
    <t>LV Fuses * 52 ways (no.)</t>
  </si>
  <si>
    <t>125mm Internal/150mm Ridgiducts (units)</t>
  </si>
  <si>
    <t>Cable Warning Tape  £20 per 365m (no.)</t>
  </si>
  <si>
    <t>HV jointing</t>
  </si>
  <si>
    <t xml:space="preserve">LV Cable routes jointing from Hubs to LV Pillars </t>
  </si>
  <si>
    <t xml:space="preserve">LV Cable routes jointing from pillar to Services </t>
  </si>
  <si>
    <t>HV Cable laying (estimated  50m/day, 2 men +digger, island resource)</t>
  </si>
  <si>
    <t>LV Cable laying  (estimated  50m/day, 2 men +digger, island resource)</t>
  </si>
  <si>
    <t>Capital costs based on current prices for diesel, updated quotes on wind turbines, recent actual costs on Sark for Solar and storage. Economies should be available with firm quotes.  Wind turbine costs are basedon 500MW unit, costs vary considerably with size of turbine.</t>
  </si>
  <si>
    <t>Cost per kWh to deliver 1.4GWh per annum assuming 25 year loan at 5% (£000s) (p/kWh)</t>
  </si>
  <si>
    <r>
      <t xml:space="preserve">Efficiency kWh/litre assuming 0.95 power factor- </t>
    </r>
    <r>
      <rPr>
        <sz val="11"/>
        <color rgb="FFFF0000"/>
        <rFont val="Calibri"/>
        <family val="2"/>
        <scheme val="minor"/>
      </rPr>
      <t>need to update for specific engine</t>
    </r>
  </si>
  <si>
    <t>Based on nominal rental for turbine if not on island owned land</t>
  </si>
  <si>
    <t>Replace network Like for Like</t>
  </si>
  <si>
    <t xml:space="preserve">Replace HV Network only  </t>
  </si>
  <si>
    <t>Replace entire network with redseign</t>
  </si>
  <si>
    <t>Build complete LV only network</t>
  </si>
  <si>
    <t>Assume auxiliary consumption only required for diesel facilities</t>
  </si>
  <si>
    <t>Base Case 1.4Gwh, 5% cost of capital diesel at 87p per litre delivered.</t>
  </si>
  <si>
    <t>Operating costs are realistic best estimates</t>
  </si>
  <si>
    <t>Auxiliary diesel power station consumption (fixed)</t>
  </si>
  <si>
    <t>Auxiliary diesel power station consumption (variable)</t>
  </si>
  <si>
    <t>Auxiliary diesel power station consumption - fixed kWh)</t>
  </si>
  <si>
    <t>Auxiliary diesel power station consumption - variable (kWh)</t>
  </si>
  <si>
    <t>In the absence of any firm details for power station, auxiliary consumption and line losses  taken as a percentage of units consumed.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</si>
</sst>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quot;£&quot;* #,##0_);_(&quot;£&quot;* \(#,##0\);_(&quot;£&quot;* &quot;-&quot;??_);_(@_)"/>
    <numFmt numFmtId="166" formatCode="0.0%"/>
    <numFmt numFmtId="167" formatCode="#,##0\ ;[Red]\(#,##0\)"/>
    <numFmt numFmtId="168" formatCode="_-* #,##0_-;\-* #,##0_-;_-* &quot;-&quot;??_-;_-@_-"/>
    <numFmt numFmtId="169" formatCode="0;[Red]0"/>
    <numFmt numFmtId="170" formatCode="0.000"/>
    <numFmt numFmtId="171" formatCode="_-* #,##0.0_-;\-* #,##0.0_-;_-* &quot;-&quot;??_-;_-@_-"/>
    <numFmt numFmtId="172" formatCode="&quot;£&quot;#,##0.00"/>
    <numFmt numFmtId="173" formatCode="_-* #,##0.000_-;\-* #,##0.000_-;_-* &quot;-&quot;??_-;_-@_-"/>
    <numFmt numFmtId="174" formatCode="#,##0.0\ ;[Red]\(#,##0.0\)"/>
    <numFmt numFmtId="175" formatCode="_-&quot;£&quot;* #,##0_-;\-&quot;£&quot;* #,##0_-;_-&quot;£&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u/>
      <sz val="12"/>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u/>
      <sz val="10"/>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sz val="11"/>
      <color rgb="FF9C0006"/>
      <name val="Calibri"/>
      <family val="2"/>
      <scheme val="minor"/>
    </font>
    <font>
      <sz val="11"/>
      <color rgb="FF9C5700"/>
      <name val="Calibri"/>
      <family val="2"/>
      <scheme val="minor"/>
    </font>
    <font>
      <i/>
      <sz val="11"/>
      <color theme="1"/>
      <name val="Calibri"/>
      <family val="2"/>
      <scheme val="minor"/>
    </font>
    <font>
      <sz val="9"/>
      <color theme="1"/>
      <name val="Century Gothic"/>
      <family val="2"/>
    </font>
    <font>
      <b/>
      <u/>
      <sz val="9"/>
      <name val="Century Gothic"/>
      <family val="2"/>
    </font>
    <font>
      <b/>
      <sz val="9"/>
      <color theme="1"/>
      <name val="Century Gothic"/>
      <family val="2"/>
    </font>
    <font>
      <b/>
      <u/>
      <sz val="9"/>
      <color theme="1"/>
      <name val="Century Gothic"/>
      <family val="2"/>
    </font>
    <font>
      <sz val="9"/>
      <name val="Century Gothic"/>
      <family val="2"/>
    </font>
    <font>
      <vertAlign val="superscript"/>
      <sz val="9"/>
      <color theme="1"/>
      <name val="Century Gothic"/>
      <family val="2"/>
    </font>
    <font>
      <sz val="10"/>
      <color theme="1"/>
      <name val="Century Gothic"/>
      <family val="2"/>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C7CE"/>
      </patternFill>
    </fill>
    <fill>
      <patternFill patternType="solid">
        <fgColor rgb="FFFFEB9C"/>
      </patternFill>
    </fill>
    <fill>
      <patternFill patternType="solid">
        <fgColor theme="0"/>
        <bgColor indexed="64"/>
      </patternFill>
    </fill>
  </fills>
  <borders count="46">
    <border>
      <left/>
      <right/>
      <top/>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top style="thin">
        <color auto="1"/>
      </top>
      <bottom/>
      <diagonal/>
    </border>
    <border>
      <left/>
      <right/>
      <top style="thin">
        <color auto="1"/>
      </top>
      <bottom style="medium">
        <color auto="1"/>
      </bottom>
      <diagonal/>
    </border>
    <border>
      <left/>
      <right/>
      <top style="thin">
        <color auto="1"/>
      </top>
      <bottom style="double">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bottom style="thin">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13" fillId="4" borderId="0" applyNumberFormat="0" applyBorder="0" applyAlignment="0" applyProtection="0"/>
    <xf numFmtId="0" fontId="14" fillId="5" borderId="0" applyNumberFormat="0" applyBorder="0" applyAlignment="0" applyProtection="0"/>
  </cellStyleXfs>
  <cellXfs count="446">
    <xf numFmtId="0" fontId="0" fillId="0" borderId="0" xfId="0"/>
    <xf numFmtId="0" fontId="0" fillId="0" borderId="0" xfId="0" applyAlignment="1">
      <alignment horizontal="right"/>
    </xf>
    <xf numFmtId="0" fontId="0" fillId="0" borderId="8" xfId="0" applyBorder="1"/>
    <xf numFmtId="0" fontId="0" fillId="0" borderId="9" xfId="0" applyBorder="1"/>
    <xf numFmtId="167" fontId="0" fillId="0" borderId="0" xfId="0" applyNumberFormat="1"/>
    <xf numFmtId="0" fontId="2" fillId="0" borderId="0" xfId="0" applyFont="1"/>
    <xf numFmtId="168" fontId="0" fillId="0" borderId="3" xfId="1" applyNumberFormat="1" applyFont="1" applyBorder="1"/>
    <xf numFmtId="168" fontId="0" fillId="0" borderId="19" xfId="1" applyNumberFormat="1" applyFont="1" applyBorder="1"/>
    <xf numFmtId="9" fontId="0" fillId="0" borderId="0" xfId="0" applyNumberFormat="1"/>
    <xf numFmtId="0" fontId="0" fillId="0" borderId="17" xfId="4" applyFont="1" applyBorder="1"/>
    <xf numFmtId="165" fontId="0" fillId="0" borderId="19" xfId="2" applyNumberFormat="1" applyFont="1" applyBorder="1"/>
    <xf numFmtId="43" fontId="0" fillId="0" borderId="19" xfId="1" applyFont="1" applyBorder="1"/>
    <xf numFmtId="3" fontId="0" fillId="0" borderId="19" xfId="0" applyNumberFormat="1" applyBorder="1"/>
    <xf numFmtId="1" fontId="0" fillId="0" borderId="19" xfId="0" applyNumberFormat="1" applyBorder="1"/>
    <xf numFmtId="166" fontId="0" fillId="0" borderId="0" xfId="3" applyNumberFormat="1" applyFont="1"/>
    <xf numFmtId="166" fontId="0" fillId="0" borderId="3" xfId="3" applyNumberFormat="1" applyFont="1" applyBorder="1"/>
    <xf numFmtId="167" fontId="2" fillId="0" borderId="0" xfId="0" applyNumberFormat="1" applyFont="1"/>
    <xf numFmtId="167" fontId="0" fillId="0" borderId="0" xfId="0" applyNumberFormat="1" applyAlignment="1">
      <alignment horizontal="center"/>
    </xf>
    <xf numFmtId="167" fontId="4" fillId="0" borderId="0" xfId="0" applyNumberFormat="1" applyFont="1"/>
    <xf numFmtId="167" fontId="0" fillId="0" borderId="0" xfId="2" applyNumberFormat="1" applyFont="1"/>
    <xf numFmtId="167" fontId="0" fillId="0" borderId="15" xfId="2" applyNumberFormat="1" applyFont="1" applyBorder="1"/>
    <xf numFmtId="10" fontId="0" fillId="0" borderId="0" xfId="3" applyNumberFormat="1" applyFont="1"/>
    <xf numFmtId="0" fontId="0" fillId="0" borderId="0" xfId="0" applyAlignment="1">
      <alignment horizontal="center"/>
    </xf>
    <xf numFmtId="168" fontId="2" fillId="0" borderId="14" xfId="1" applyNumberFormat="1" applyFont="1" applyBorder="1"/>
    <xf numFmtId="167" fontId="0" fillId="0" borderId="22" xfId="2" applyNumberFormat="1" applyFont="1" applyBorder="1"/>
    <xf numFmtId="167" fontId="2" fillId="0" borderId="20" xfId="2" applyNumberFormat="1" applyFont="1" applyBorder="1"/>
    <xf numFmtId="167" fontId="2" fillId="0" borderId="0" xfId="2" applyNumberFormat="1" applyFont="1"/>
    <xf numFmtId="166" fontId="5" fillId="0" borderId="0" xfId="3" applyNumberFormat="1" applyFont="1" applyAlignment="1">
      <alignment horizontal="center" vertical="top"/>
    </xf>
    <xf numFmtId="167" fontId="2" fillId="0" borderId="22" xfId="2" applyNumberFormat="1" applyFont="1" applyBorder="1"/>
    <xf numFmtId="0" fontId="0" fillId="0" borderId="5" xfId="0" applyBorder="1" applyAlignment="1">
      <alignment vertical="center"/>
    </xf>
    <xf numFmtId="164" fontId="0" fillId="0" borderId="6" xfId="0" applyNumberFormat="1" applyBorder="1" applyAlignment="1">
      <alignment vertical="center"/>
    </xf>
    <xf numFmtId="165" fontId="2" fillId="0" borderId="13" xfId="2" applyNumberFormat="1" applyFont="1" applyBorder="1"/>
    <xf numFmtId="9" fontId="0" fillId="0" borderId="19" xfId="1" applyNumberFormat="1" applyFont="1" applyBorder="1"/>
    <xf numFmtId="167" fontId="6" fillId="0" borderId="0" xfId="0" applyNumberFormat="1" applyFont="1"/>
    <xf numFmtId="167" fontId="7" fillId="0" borderId="0" xfId="0" applyNumberFormat="1" applyFont="1"/>
    <xf numFmtId="0" fontId="7" fillId="0" borderId="0" xfId="0" applyFont="1"/>
    <xf numFmtId="167" fontId="7" fillId="0" borderId="0" xfId="0" applyNumberFormat="1" applyFont="1" applyAlignment="1">
      <alignment horizontal="center"/>
    </xf>
    <xf numFmtId="169" fontId="7" fillId="0" borderId="0" xfId="0" applyNumberFormat="1" applyFont="1" applyAlignment="1">
      <alignment horizontal="center"/>
    </xf>
    <xf numFmtId="167" fontId="8" fillId="0" borderId="0" xfId="0" applyNumberFormat="1" applyFont="1"/>
    <xf numFmtId="167" fontId="9" fillId="0" borderId="0" xfId="0" applyNumberFormat="1" applyFont="1"/>
    <xf numFmtId="167" fontId="7" fillId="0" borderId="0" xfId="2" applyNumberFormat="1" applyFont="1"/>
    <xf numFmtId="167" fontId="7" fillId="0" borderId="20" xfId="2" applyNumberFormat="1" applyFont="1" applyBorder="1"/>
    <xf numFmtId="167" fontId="7" fillId="0" borderId="15" xfId="2" applyNumberFormat="1" applyFont="1" applyBorder="1"/>
    <xf numFmtId="167" fontId="7" fillId="0" borderId="21" xfId="2" applyNumberFormat="1" applyFont="1" applyBorder="1"/>
    <xf numFmtId="2" fontId="7" fillId="0" borderId="0" xfId="0" applyNumberFormat="1" applyFont="1"/>
    <xf numFmtId="164" fontId="0" fillId="0" borderId="0" xfId="0" applyNumberFormat="1"/>
    <xf numFmtId="167" fontId="0" fillId="0" borderId="0" xfId="2" applyNumberFormat="1" applyFont="1" applyFill="1"/>
    <xf numFmtId="167" fontId="7" fillId="0" borderId="0" xfId="2" applyNumberFormat="1" applyFont="1" applyFill="1"/>
    <xf numFmtId="0" fontId="0" fillId="0" borderId="0" xfId="0" applyAlignment="1">
      <alignment vertical="center"/>
    </xf>
    <xf numFmtId="0" fontId="0" fillId="3" borderId="17" xfId="0" applyFill="1" applyBorder="1"/>
    <xf numFmtId="43" fontId="0" fillId="0" borderId="0" xfId="0" applyNumberFormat="1"/>
    <xf numFmtId="1" fontId="0" fillId="0" borderId="0" xfId="0" applyNumberFormat="1" applyAlignment="1">
      <alignment vertical="center"/>
    </xf>
    <xf numFmtId="0" fontId="0" fillId="0" borderId="0" xfId="0" applyBorder="1"/>
    <xf numFmtId="43" fontId="0" fillId="0" borderId="19" xfId="0" applyNumberFormat="1" applyBorder="1"/>
    <xf numFmtId="168" fontId="0" fillId="0" borderId="19" xfId="0" applyNumberFormat="1" applyBorder="1"/>
    <xf numFmtId="167" fontId="7" fillId="0" borderId="0" xfId="0" applyNumberFormat="1" applyFont="1" applyAlignment="1">
      <alignment horizontal="center"/>
    </xf>
    <xf numFmtId="168" fontId="0" fillId="0" borderId="19" xfId="1" applyNumberFormat="1" applyFont="1" applyFill="1" applyBorder="1"/>
    <xf numFmtId="168" fontId="2" fillId="0" borderId="0" xfId="1" applyNumberFormat="1" applyFont="1" applyBorder="1"/>
    <xf numFmtId="0" fontId="12" fillId="0" borderId="4" xfId="0" applyFont="1" applyBorder="1" applyAlignment="1">
      <alignment vertical="center"/>
    </xf>
    <xf numFmtId="2" fontId="11" fillId="0" borderId="19" xfId="2" applyNumberFormat="1" applyFont="1" applyBorder="1"/>
    <xf numFmtId="0" fontId="0" fillId="0" borderId="0" xfId="4" applyFont="1" applyBorder="1"/>
    <xf numFmtId="9" fontId="0" fillId="0" borderId="14" xfId="1" applyNumberFormat="1" applyFont="1" applyBorder="1"/>
    <xf numFmtId="166" fontId="0" fillId="0" borderId="7" xfId="3" applyNumberFormat="1" applyFont="1" applyBorder="1"/>
    <xf numFmtId="168" fontId="0" fillId="0" borderId="10" xfId="1" applyNumberFormat="1" applyFont="1" applyBorder="1" applyAlignment="1">
      <alignment horizontal="center"/>
    </xf>
    <xf numFmtId="168" fontId="0" fillId="0" borderId="19" xfId="1" applyNumberFormat="1" applyFont="1" applyBorder="1" applyAlignment="1">
      <alignment horizontal="center"/>
    </xf>
    <xf numFmtId="168" fontId="0" fillId="0" borderId="13" xfId="1" applyNumberFormat="1" applyFont="1" applyBorder="1" applyAlignment="1">
      <alignment horizontal="center" vertical="center"/>
    </xf>
    <xf numFmtId="1" fontId="0" fillId="0" borderId="19" xfId="1" applyNumberFormat="1" applyFont="1" applyBorder="1" applyAlignment="1">
      <alignment horizontal="center" vertical="center"/>
    </xf>
    <xf numFmtId="2" fontId="0" fillId="0" borderId="19" xfId="0" applyNumberFormat="1" applyBorder="1"/>
    <xf numFmtId="2" fontId="2" fillId="0" borderId="0" xfId="0" applyNumberFormat="1" applyFont="1" applyBorder="1"/>
    <xf numFmtId="0" fontId="0" fillId="0" borderId="0" xfId="0" applyFont="1" applyBorder="1" applyAlignment="1"/>
    <xf numFmtId="0" fontId="2" fillId="0" borderId="0" xfId="0" applyFont="1" applyBorder="1" applyAlignment="1"/>
    <xf numFmtId="0" fontId="0" fillId="0" borderId="8" xfId="0" applyFont="1" applyBorder="1" applyAlignment="1"/>
    <xf numFmtId="0" fontId="0" fillId="0" borderId="17" xfId="0" applyFont="1" applyBorder="1" applyAlignment="1"/>
    <xf numFmtId="0" fontId="2" fillId="0" borderId="9" xfId="0" applyFont="1" applyBorder="1" applyAlignment="1"/>
    <xf numFmtId="166" fontId="0" fillId="0" borderId="3" xfId="3" applyNumberFormat="1" applyFont="1" applyFill="1" applyBorder="1"/>
    <xf numFmtId="165" fontId="11" fillId="0" borderId="10" xfId="2" applyNumberFormat="1" applyFont="1" applyBorder="1"/>
    <xf numFmtId="165" fontId="11" fillId="0" borderId="19" xfId="2" applyNumberFormat="1" applyFont="1" applyBorder="1"/>
    <xf numFmtId="168" fontId="0" fillId="0" borderId="19" xfId="0" applyNumberFormat="1" applyFill="1" applyBorder="1"/>
    <xf numFmtId="170" fontId="0" fillId="0" borderId="0" xfId="0" applyNumberFormat="1" applyFill="1" applyAlignment="1">
      <alignment horizontal="right" vertical="center"/>
    </xf>
    <xf numFmtId="0" fontId="0" fillId="0" borderId="0" xfId="0" applyAlignment="1">
      <alignment horizontal="center"/>
    </xf>
    <xf numFmtId="0" fontId="0" fillId="0" borderId="17" xfId="4" applyFont="1" applyBorder="1" applyAlignment="1">
      <alignment horizontal="left"/>
    </xf>
    <xf numFmtId="0" fontId="0" fillId="0" borderId="0" xfId="4" applyFont="1" applyBorder="1" applyAlignment="1">
      <alignment horizontal="left"/>
    </xf>
    <xf numFmtId="0" fontId="0" fillId="0" borderId="17" xfId="4" applyFont="1" applyBorder="1" applyAlignment="1">
      <alignment horizontal="center"/>
    </xf>
    <xf numFmtId="0" fontId="0" fillId="0" borderId="0" xfId="4" applyFont="1" applyBorder="1" applyAlignment="1">
      <alignment horizontal="center"/>
    </xf>
    <xf numFmtId="167" fontId="7" fillId="0" borderId="0" xfId="0" applyNumberFormat="1" applyFont="1" applyAlignment="1">
      <alignment horizontal="center"/>
    </xf>
    <xf numFmtId="164" fontId="7" fillId="0" borderId="0" xfId="0" applyNumberFormat="1" applyFont="1"/>
    <xf numFmtId="9" fontId="0" fillId="0" borderId="3" xfId="3" applyFont="1" applyFill="1" applyBorder="1"/>
    <xf numFmtId="168" fontId="0" fillId="0" borderId="3" xfId="1" applyNumberFormat="1" applyFont="1" applyFill="1" applyBorder="1"/>
    <xf numFmtId="168" fontId="0" fillId="6" borderId="3" xfId="1" applyNumberFormat="1" applyFont="1" applyFill="1" applyBorder="1"/>
    <xf numFmtId="0" fontId="0" fillId="0" borderId="0" xfId="0" applyFill="1"/>
    <xf numFmtId="0" fontId="0" fillId="0" borderId="0" xfId="0" applyFill="1" applyAlignment="1">
      <alignment horizontal="right"/>
    </xf>
    <xf numFmtId="0" fontId="0" fillId="0" borderId="10" xfId="0" applyFill="1" applyBorder="1"/>
    <xf numFmtId="0" fontId="2" fillId="0" borderId="18"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24" xfId="0" applyFill="1" applyBorder="1"/>
    <xf numFmtId="0" fontId="0" fillId="0" borderId="10" xfId="0" applyFill="1" applyBorder="1" applyAlignment="1">
      <alignment horizontal="center"/>
    </xf>
    <xf numFmtId="167" fontId="0" fillId="0" borderId="25" xfId="0" applyNumberFormat="1" applyFill="1" applyBorder="1"/>
    <xf numFmtId="167" fontId="0" fillId="0" borderId="13" xfId="2" applyNumberFormat="1" applyFont="1" applyFill="1" applyBorder="1"/>
    <xf numFmtId="0" fontId="0" fillId="0" borderId="25" xfId="0" applyFill="1" applyBorder="1"/>
    <xf numFmtId="0" fontId="2" fillId="0" borderId="25" xfId="0" applyFont="1" applyFill="1" applyBorder="1"/>
    <xf numFmtId="167" fontId="2" fillId="0" borderId="13" xfId="2" applyNumberFormat="1" applyFont="1" applyFill="1" applyBorder="1"/>
    <xf numFmtId="167" fontId="0" fillId="0" borderId="23" xfId="2" applyNumberFormat="1" applyFont="1" applyFill="1" applyBorder="1"/>
    <xf numFmtId="0" fontId="2" fillId="0" borderId="8" xfId="0" applyFont="1" applyFill="1" applyBorder="1"/>
    <xf numFmtId="167" fontId="2" fillId="0" borderId="14" xfId="2" applyNumberFormat="1" applyFont="1" applyFill="1" applyBorder="1"/>
    <xf numFmtId="0" fontId="0" fillId="0" borderId="18" xfId="0" applyFill="1" applyBorder="1"/>
    <xf numFmtId="167" fontId="2" fillId="0" borderId="1" xfId="2" applyNumberFormat="1" applyFont="1" applyFill="1" applyBorder="1"/>
    <xf numFmtId="167" fontId="2" fillId="0" borderId="16" xfId="2" applyNumberFormat="1" applyFont="1" applyFill="1" applyBorder="1"/>
    <xf numFmtId="0" fontId="0" fillId="0" borderId="8" xfId="0" applyFill="1" applyBorder="1"/>
    <xf numFmtId="9" fontId="0" fillId="0" borderId="14" xfId="0" applyNumberFormat="1" applyFill="1" applyBorder="1"/>
    <xf numFmtId="166" fontId="0" fillId="0" borderId="0" xfId="3" applyNumberFormat="1" applyFont="1" applyFill="1"/>
    <xf numFmtId="0" fontId="0" fillId="0" borderId="17" xfId="0" applyFill="1" applyBorder="1"/>
    <xf numFmtId="8" fontId="0" fillId="0" borderId="19" xfId="0" applyNumberFormat="1" applyFill="1" applyBorder="1"/>
    <xf numFmtId="8" fontId="0" fillId="0" borderId="14" xfId="0" applyNumberFormat="1" applyFill="1" applyBorder="1"/>
    <xf numFmtId="8" fontId="0" fillId="0" borderId="0" xfId="0" applyNumberFormat="1" applyFill="1"/>
    <xf numFmtId="2" fontId="0" fillId="0" borderId="0" xfId="0" applyNumberFormat="1" applyFill="1"/>
    <xf numFmtId="0" fontId="0" fillId="0" borderId="28" xfId="0" applyFill="1" applyBorder="1"/>
    <xf numFmtId="168" fontId="0" fillId="0" borderId="28" xfId="1" applyNumberFormat="1" applyFont="1" applyFill="1" applyBorder="1"/>
    <xf numFmtId="0" fontId="0" fillId="0" borderId="28" xfId="0" applyFill="1" applyBorder="1" applyAlignment="1">
      <alignment horizontal="right"/>
    </xf>
    <xf numFmtId="167" fontId="0" fillId="0" borderId="28" xfId="0" applyNumberFormat="1" applyFill="1" applyBorder="1" applyAlignment="1">
      <alignment horizontal="right"/>
    </xf>
    <xf numFmtId="2" fontId="0" fillId="0" borderId="28" xfId="0" applyNumberFormat="1" applyFill="1" applyBorder="1"/>
    <xf numFmtId="168" fontId="0" fillId="0" borderId="28" xfId="1" applyNumberFormat="1" applyFont="1" applyFill="1" applyBorder="1" applyAlignment="1">
      <alignment horizontal="right"/>
    </xf>
    <xf numFmtId="168" fontId="0" fillId="0" borderId="28" xfId="0" applyNumberFormat="1" applyFont="1" applyFill="1" applyBorder="1"/>
    <xf numFmtId="167" fontId="0" fillId="0" borderId="28" xfId="2" applyNumberFormat="1" applyFont="1" applyFill="1" applyBorder="1"/>
    <xf numFmtId="43" fontId="0" fillId="0" borderId="28" xfId="0" applyNumberFormat="1" applyFill="1" applyBorder="1"/>
    <xf numFmtId="168" fontId="0" fillId="0" borderId="28" xfId="0" applyNumberFormat="1" applyFill="1" applyBorder="1"/>
    <xf numFmtId="0" fontId="12" fillId="0" borderId="29" xfId="0" applyFont="1" applyBorder="1" applyAlignment="1">
      <alignment vertical="center"/>
    </xf>
    <xf numFmtId="0" fontId="12" fillId="0" borderId="0" xfId="0" applyFont="1" applyBorder="1" applyAlignment="1">
      <alignment vertical="center"/>
    </xf>
    <xf numFmtId="1" fontId="2" fillId="0" borderId="0" xfId="0" applyNumberFormat="1" applyFont="1"/>
    <xf numFmtId="167" fontId="0" fillId="0" borderId="0" xfId="0" applyNumberFormat="1" applyFont="1"/>
    <xf numFmtId="0" fontId="2" fillId="0" borderId="29" xfId="0" applyFont="1" applyBorder="1" applyAlignment="1">
      <alignment vertical="center"/>
    </xf>
    <xf numFmtId="0" fontId="0" fillId="0" borderId="0" xfId="0" applyFont="1"/>
    <xf numFmtId="168" fontId="15" fillId="0" borderId="0" xfId="0" applyNumberFormat="1" applyFont="1" applyAlignment="1">
      <alignment vertical="center"/>
    </xf>
    <xf numFmtId="0" fontId="15" fillId="0" borderId="0" xfId="0" applyFont="1" applyAlignment="1">
      <alignment vertical="center"/>
    </xf>
    <xf numFmtId="0" fontId="15" fillId="0" borderId="0" xfId="0" applyFont="1"/>
    <xf numFmtId="41" fontId="0" fillId="0" borderId="0" xfId="1" applyNumberFormat="1" applyFont="1" applyBorder="1" applyAlignment="1">
      <alignment horizontal="center"/>
    </xf>
    <xf numFmtId="0" fontId="0" fillId="0" borderId="0" xfId="0" applyAlignment="1">
      <alignment horizontal="left" vertical="center" wrapText="1"/>
    </xf>
    <xf numFmtId="0" fontId="15" fillId="0" borderId="0" xfId="0" applyFont="1" applyAlignment="1">
      <alignment horizontal="left" vertical="center" wrapText="1"/>
    </xf>
    <xf numFmtId="1" fontId="2" fillId="3" borderId="35" xfId="0" applyNumberFormat="1" applyFont="1" applyFill="1" applyBorder="1" applyAlignment="1">
      <alignment horizontal="center" vertical="center" wrapText="1"/>
    </xf>
    <xf numFmtId="1" fontId="2" fillId="3" borderId="36" xfId="0" applyNumberFormat="1" applyFont="1" applyFill="1" applyBorder="1" applyAlignment="1">
      <alignment horizontal="center"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12" fillId="0" borderId="0" xfId="0" applyFont="1" applyAlignment="1">
      <alignment horizontal="left" vertical="center"/>
    </xf>
    <xf numFmtId="168" fontId="0" fillId="0" borderId="28" xfId="1" applyNumberFormat="1" applyFont="1" applyBorder="1" applyAlignment="1">
      <alignment horizontal="right" vertical="center"/>
    </xf>
    <xf numFmtId="168" fontId="0" fillId="0" borderId="6" xfId="1" applyNumberFormat="1" applyFont="1" applyBorder="1" applyAlignment="1">
      <alignment horizontal="right" vertical="center"/>
    </xf>
    <xf numFmtId="0" fontId="0" fillId="0" borderId="28" xfId="0" applyBorder="1" applyAlignment="1">
      <alignment horizontal="left" vertical="center"/>
    </xf>
    <xf numFmtId="168" fontId="2" fillId="0" borderId="28" xfId="1" applyNumberFormat="1" applyFont="1" applyBorder="1" applyAlignment="1">
      <alignment horizontal="right" vertical="center"/>
    </xf>
    <xf numFmtId="168" fontId="2" fillId="0" borderId="6" xfId="1" applyNumberFormat="1" applyFont="1" applyBorder="1" applyAlignment="1">
      <alignment horizontal="right" vertical="center"/>
    </xf>
    <xf numFmtId="0" fontId="0" fillId="0" borderId="33" xfId="0" applyBorder="1" applyAlignment="1">
      <alignment horizontal="left" vertical="center"/>
    </xf>
    <xf numFmtId="174" fontId="1" fillId="0" borderId="33" xfId="2" applyNumberFormat="1" applyFont="1" applyFill="1" applyBorder="1" applyAlignment="1">
      <alignment horizontal="right" vertical="center"/>
    </xf>
    <xf numFmtId="174" fontId="1" fillId="0" borderId="40" xfId="2" applyNumberFormat="1" applyFont="1" applyFill="1" applyBorder="1" applyAlignment="1">
      <alignment horizontal="right" vertical="center"/>
    </xf>
    <xf numFmtId="174" fontId="1" fillId="0" borderId="28" xfId="2" applyNumberFormat="1" applyFont="1" applyFill="1" applyBorder="1" applyAlignment="1">
      <alignment horizontal="right" vertical="center"/>
    </xf>
    <xf numFmtId="174" fontId="1" fillId="0" borderId="6" xfId="2" applyNumberFormat="1" applyFont="1" applyFill="1" applyBorder="1" applyAlignment="1">
      <alignment horizontal="right" vertical="center"/>
    </xf>
    <xf numFmtId="174" fontId="2" fillId="0" borderId="28" xfId="2" applyNumberFormat="1" applyFont="1" applyFill="1" applyBorder="1" applyAlignment="1">
      <alignment horizontal="right" vertical="center"/>
    </xf>
    <xf numFmtId="174" fontId="2" fillId="0" borderId="6" xfId="2" applyNumberFormat="1" applyFont="1" applyFill="1" applyBorder="1" applyAlignment="1">
      <alignment horizontal="right" vertical="center"/>
    </xf>
    <xf numFmtId="174" fontId="1" fillId="0" borderId="42" xfId="2" applyNumberFormat="1" applyFont="1" applyFill="1" applyBorder="1" applyAlignment="1">
      <alignment horizontal="right" vertical="center"/>
    </xf>
    <xf numFmtId="174" fontId="1" fillId="0" borderId="43" xfId="2" applyNumberFormat="1" applyFont="1" applyFill="1" applyBorder="1" applyAlignment="1">
      <alignment horizontal="right" vertical="center"/>
    </xf>
    <xf numFmtId="167" fontId="2" fillId="0" borderId="28" xfId="2" applyNumberFormat="1" applyFont="1" applyFill="1" applyBorder="1" applyAlignment="1">
      <alignment vertical="center"/>
    </xf>
    <xf numFmtId="167" fontId="2" fillId="0" borderId="6" xfId="2" applyNumberFormat="1" applyFont="1" applyFill="1" applyBorder="1" applyAlignment="1">
      <alignment vertical="center"/>
    </xf>
    <xf numFmtId="167" fontId="2" fillId="0" borderId="33" xfId="2" applyNumberFormat="1" applyFont="1" applyFill="1" applyBorder="1" applyAlignment="1">
      <alignment vertical="center"/>
    </xf>
    <xf numFmtId="167" fontId="2" fillId="0" borderId="40" xfId="2" applyNumberFormat="1" applyFont="1" applyFill="1" applyBorder="1" applyAlignment="1">
      <alignment vertical="center"/>
    </xf>
    <xf numFmtId="0" fontId="0" fillId="0" borderId="0" xfId="0" applyFill="1" applyBorder="1"/>
    <xf numFmtId="0" fontId="0" fillId="0" borderId="0" xfId="0" applyFill="1" applyBorder="1" applyAlignment="1">
      <alignment horizontal="right"/>
    </xf>
    <xf numFmtId="0" fontId="0" fillId="0" borderId="3" xfId="0" applyFill="1" applyBorder="1"/>
    <xf numFmtId="0" fontId="0" fillId="0" borderId="19" xfId="0" applyFill="1" applyBorder="1" applyAlignment="1">
      <alignment horizontal="center"/>
    </xf>
    <xf numFmtId="0" fontId="0" fillId="0" borderId="16" xfId="0" applyFill="1" applyBorder="1"/>
    <xf numFmtId="168" fontId="0" fillId="0" borderId="0" xfId="1" applyNumberFormat="1" applyFont="1" applyFill="1" applyAlignment="1">
      <alignment horizontal="right"/>
    </xf>
    <xf numFmtId="0" fontId="0" fillId="0" borderId="12" xfId="0" applyBorder="1"/>
    <xf numFmtId="0" fontId="0" fillId="0" borderId="27" xfId="0" applyBorder="1"/>
    <xf numFmtId="0" fontId="0" fillId="0" borderId="28" xfId="0" applyBorder="1" applyAlignment="1">
      <alignment horizontal="left" vertical="center" wrapText="1"/>
    </xf>
    <xf numFmtId="0" fontId="0" fillId="0" borderId="11" xfId="0" applyBorder="1"/>
    <xf numFmtId="0" fontId="16" fillId="0" borderId="0" xfId="0" applyFont="1"/>
    <xf numFmtId="0" fontId="17" fillId="0" borderId="11" xfId="0" applyFont="1" applyBorder="1"/>
    <xf numFmtId="44" fontId="16" fillId="0" borderId="27" xfId="0" applyNumberFormat="1" applyFont="1" applyBorder="1"/>
    <xf numFmtId="0" fontId="19" fillId="0" borderId="17" xfId="0" applyFont="1" applyBorder="1"/>
    <xf numFmtId="44" fontId="16" fillId="0" borderId="3" xfId="0" applyNumberFormat="1" applyFont="1" applyBorder="1"/>
    <xf numFmtId="0" fontId="16" fillId="0" borderId="17" xfId="0" applyFont="1" applyBorder="1"/>
    <xf numFmtId="0" fontId="16" fillId="0" borderId="3" xfId="0" applyFont="1" applyBorder="1"/>
    <xf numFmtId="44" fontId="16" fillId="0" borderId="0" xfId="0" applyNumberFormat="1" applyFont="1"/>
    <xf numFmtId="44" fontId="16" fillId="0" borderId="17" xfId="0" applyNumberFormat="1" applyFont="1" applyBorder="1"/>
    <xf numFmtId="44" fontId="18" fillId="0" borderId="3" xfId="0" applyNumberFormat="1" applyFont="1" applyBorder="1"/>
    <xf numFmtId="0" fontId="18" fillId="0" borderId="17" xfId="0" applyFont="1" applyBorder="1" applyAlignment="1">
      <alignment horizontal="center"/>
    </xf>
    <xf numFmtId="44" fontId="18" fillId="0" borderId="3" xfId="0" applyNumberFormat="1" applyFont="1" applyBorder="1" applyAlignment="1">
      <alignment horizontal="center"/>
    </xf>
    <xf numFmtId="0" fontId="16" fillId="0" borderId="0" xfId="0" applyFont="1" applyAlignment="1">
      <alignment horizontal="center"/>
    </xf>
    <xf numFmtId="44" fontId="16" fillId="0" borderId="0" xfId="0" applyNumberFormat="1" applyFont="1" applyAlignment="1">
      <alignment horizontal="center"/>
    </xf>
    <xf numFmtId="175" fontId="16" fillId="0" borderId="3" xfId="0" applyNumberFormat="1" applyFont="1" applyBorder="1"/>
    <xf numFmtId="1" fontId="16" fillId="0" borderId="17" xfId="0" applyNumberFormat="1" applyFont="1" applyBorder="1"/>
    <xf numFmtId="175" fontId="16" fillId="0" borderId="17" xfId="0" applyNumberFormat="1" applyFont="1" applyBorder="1"/>
    <xf numFmtId="175" fontId="16" fillId="0" borderId="0" xfId="0" applyNumberFormat="1" applyFont="1"/>
    <xf numFmtId="172" fontId="16" fillId="0" borderId="0" xfId="0" applyNumberFormat="1" applyFont="1"/>
    <xf numFmtId="9" fontId="16" fillId="0" borderId="17" xfId="0" applyNumberFormat="1" applyFont="1" applyBorder="1"/>
    <xf numFmtId="175" fontId="16" fillId="0" borderId="31" xfId="0" applyNumberFormat="1" applyFont="1" applyBorder="1"/>
    <xf numFmtId="175" fontId="20" fillId="0" borderId="3" xfId="5" applyNumberFormat="1" applyFont="1" applyFill="1" applyBorder="1"/>
    <xf numFmtId="172" fontId="16" fillId="0" borderId="3" xfId="0" applyNumberFormat="1" applyFont="1" applyBorder="1"/>
    <xf numFmtId="172" fontId="16" fillId="0" borderId="17" xfId="0" applyNumberFormat="1" applyFont="1" applyBorder="1"/>
    <xf numFmtId="44" fontId="18" fillId="0" borderId="0" xfId="0" applyNumberFormat="1" applyFont="1"/>
    <xf numFmtId="10" fontId="16" fillId="0" borderId="17" xfId="0" applyNumberFormat="1" applyFont="1" applyBorder="1"/>
    <xf numFmtId="0" fontId="16" fillId="0" borderId="17" xfId="0" applyFont="1" applyBorder="1" applyAlignment="1">
      <alignment wrapText="1"/>
    </xf>
    <xf numFmtId="0" fontId="16" fillId="0" borderId="32" xfId="0" applyFont="1" applyBorder="1"/>
    <xf numFmtId="0" fontId="18" fillId="0" borderId="17" xfId="0" applyFont="1" applyBorder="1"/>
    <xf numFmtId="175" fontId="18" fillId="0" borderId="3" xfId="0" applyNumberFormat="1" applyFont="1" applyBorder="1"/>
    <xf numFmtId="0" fontId="16" fillId="0" borderId="8" xfId="0" applyFont="1" applyBorder="1"/>
    <xf numFmtId="175" fontId="16" fillId="0" borderId="7" xfId="0" applyNumberFormat="1" applyFont="1" applyBorder="1"/>
    <xf numFmtId="0" fontId="16" fillId="0" borderId="7" xfId="0" applyFont="1" applyBorder="1"/>
    <xf numFmtId="175" fontId="0" fillId="0" borderId="0" xfId="0" applyNumberFormat="1"/>
    <xf numFmtId="175" fontId="22" fillId="0" borderId="0" xfId="0" applyNumberFormat="1" applyFont="1"/>
    <xf numFmtId="175" fontId="22" fillId="0" borderId="3" xfId="0" applyNumberFormat="1" applyFont="1" applyBorder="1"/>
    <xf numFmtId="175" fontId="22" fillId="0" borderId="17" xfId="0" applyNumberFormat="1" applyFont="1" applyBorder="1"/>
    <xf numFmtId="0" fontId="22" fillId="0" borderId="0" xfId="0" applyFont="1"/>
    <xf numFmtId="1" fontId="22" fillId="0" borderId="17" xfId="0" applyNumberFormat="1" applyFont="1" applyBorder="1"/>
    <xf numFmtId="0" fontId="22" fillId="0" borderId="17" xfId="0" applyFont="1" applyBorder="1"/>
    <xf numFmtId="0" fontId="22" fillId="0" borderId="3" xfId="0" applyFont="1" applyBorder="1"/>
    <xf numFmtId="168" fontId="22" fillId="0" borderId="3" xfId="1" applyNumberFormat="1" applyFont="1" applyBorder="1"/>
    <xf numFmtId="9" fontId="22" fillId="0" borderId="17" xfId="0" applyNumberFormat="1" applyFont="1" applyBorder="1"/>
    <xf numFmtId="0" fontId="22" fillId="0" borderId="32" xfId="0" applyFont="1" applyBorder="1"/>
    <xf numFmtId="175" fontId="22" fillId="0" borderId="31" xfId="0" applyNumberFormat="1" applyFont="1" applyBorder="1"/>
    <xf numFmtId="175" fontId="16" fillId="0" borderId="3" xfId="0" applyNumberFormat="1" applyFont="1" applyFill="1" applyBorder="1"/>
    <xf numFmtId="0" fontId="18" fillId="0" borderId="17" xfId="0" applyFont="1" applyFill="1" applyBorder="1"/>
    <xf numFmtId="175" fontId="18" fillId="0" borderId="3" xfId="0" applyNumberFormat="1" applyFont="1" applyFill="1" applyBorder="1"/>
    <xf numFmtId="0" fontId="16" fillId="0" borderId="0" xfId="0" applyFont="1" applyFill="1"/>
    <xf numFmtId="0" fontId="16" fillId="0" borderId="11" xfId="0" applyFont="1" applyFill="1" applyBorder="1"/>
    <xf numFmtId="175" fontId="18" fillId="0" borderId="27" xfId="0" applyNumberFormat="1" applyFont="1" applyFill="1" applyBorder="1"/>
    <xf numFmtId="175" fontId="16" fillId="0" borderId="0" xfId="0" applyNumberFormat="1" applyFont="1" applyFill="1"/>
    <xf numFmtId="175" fontId="18" fillId="0" borderId="11" xfId="0" applyNumberFormat="1" applyFont="1" applyFill="1" applyBorder="1"/>
    <xf numFmtId="9" fontId="16" fillId="0" borderId="3" xfId="0" applyNumberFormat="1" applyFont="1" applyBorder="1"/>
    <xf numFmtId="9" fontId="16" fillId="0" borderId="3" xfId="6" applyNumberFormat="1" applyFont="1" applyFill="1" applyBorder="1"/>
    <xf numFmtId="9" fontId="16" fillId="0" borderId="3" xfId="3" applyFont="1" applyFill="1" applyBorder="1"/>
    <xf numFmtId="0" fontId="16" fillId="0" borderId="0" xfId="0" applyFont="1" applyAlignment="1">
      <alignment vertical="center"/>
    </xf>
    <xf numFmtId="0" fontId="18" fillId="0" borderId="0" xfId="0" applyFont="1" applyAlignment="1">
      <alignment horizontal="center" vertical="center"/>
    </xf>
    <xf numFmtId="0" fontId="0" fillId="0" borderId="0" xfId="0" applyFill="1" applyAlignment="1">
      <alignment wrapText="1"/>
    </xf>
    <xf numFmtId="168" fontId="0" fillId="0" borderId="0" xfId="1" applyNumberFormat="1" applyFont="1" applyFill="1" applyAlignment="1">
      <alignment wrapText="1"/>
    </xf>
    <xf numFmtId="168" fontId="0" fillId="0" borderId="0" xfId="0" applyNumberFormat="1" applyFill="1" applyAlignment="1">
      <alignment wrapText="1"/>
    </xf>
    <xf numFmtId="1" fontId="0" fillId="0" borderId="0" xfId="0" applyNumberFormat="1" applyFill="1" applyAlignment="1">
      <alignment horizontal="center"/>
    </xf>
    <xf numFmtId="0" fontId="0" fillId="0" borderId="0" xfId="0" applyFill="1" applyAlignment="1">
      <alignment vertical="center"/>
    </xf>
    <xf numFmtId="0" fontId="10" fillId="0" borderId="0" xfId="0" applyFont="1" applyFill="1"/>
    <xf numFmtId="0" fontId="0" fillId="0" borderId="12" xfId="0" applyFill="1" applyBorder="1" applyAlignment="1">
      <alignment wrapText="1"/>
    </xf>
    <xf numFmtId="0" fontId="2" fillId="0" borderId="12" xfId="0" applyFont="1" applyFill="1" applyBorder="1"/>
    <xf numFmtId="1" fontId="0" fillId="0" borderId="27" xfId="0" applyNumberFormat="1" applyFill="1" applyBorder="1" applyAlignment="1">
      <alignment horizontal="center"/>
    </xf>
    <xf numFmtId="0" fontId="10" fillId="0" borderId="0" xfId="0" applyFont="1" applyFill="1" applyBorder="1" applyAlignment="1">
      <alignment wrapText="1"/>
    </xf>
    <xf numFmtId="168" fontId="0" fillId="0" borderId="0" xfId="1" applyNumberFormat="1" applyFont="1" applyFill="1" applyBorder="1" applyAlignment="1">
      <alignment horizontal="center"/>
    </xf>
    <xf numFmtId="0" fontId="0" fillId="0" borderId="17" xfId="0" applyFill="1" applyBorder="1" applyAlignment="1">
      <alignment vertical="center"/>
    </xf>
    <xf numFmtId="0" fontId="2" fillId="0" borderId="0" xfId="0" applyFont="1" applyFill="1" applyBorder="1"/>
    <xf numFmtId="0" fontId="0" fillId="0" borderId="3" xfId="0" applyFill="1" applyBorder="1" applyAlignment="1">
      <alignment vertical="center"/>
    </xf>
    <xf numFmtId="0" fontId="0" fillId="0" borderId="0" xfId="0" applyFill="1" applyBorder="1" applyAlignment="1">
      <alignment vertical="center"/>
    </xf>
    <xf numFmtId="43" fontId="0" fillId="0" borderId="0" xfId="0" applyNumberFormat="1" applyFill="1"/>
    <xf numFmtId="0" fontId="0" fillId="0" borderId="8" xfId="0" applyFill="1" applyBorder="1" applyAlignment="1">
      <alignment vertical="center"/>
    </xf>
    <xf numFmtId="0" fontId="0" fillId="0" borderId="7" xfId="0" applyFill="1" applyBorder="1" applyAlignment="1">
      <alignment vertical="center"/>
    </xf>
    <xf numFmtId="0" fontId="10" fillId="0" borderId="0" xfId="0" applyFont="1" applyFill="1" applyAlignment="1">
      <alignment vertical="center"/>
    </xf>
    <xf numFmtId="42" fontId="11" fillId="0" borderId="0" xfId="1" applyNumberFormat="1" applyFont="1" applyFill="1" applyBorder="1"/>
    <xf numFmtId="1" fontId="0" fillId="0" borderId="3" xfId="0" applyNumberFormat="1" applyFill="1" applyBorder="1" applyAlignment="1">
      <alignment horizontal="center"/>
    </xf>
    <xf numFmtId="1" fontId="0" fillId="0" borderId="0" xfId="0" applyNumberFormat="1" applyFill="1" applyBorder="1" applyAlignment="1">
      <alignment horizontal="center"/>
    </xf>
    <xf numFmtId="44" fontId="0" fillId="0" borderId="27" xfId="0" applyNumberFormat="1" applyFill="1" applyBorder="1"/>
    <xf numFmtId="0" fontId="2" fillId="0" borderId="17" xfId="0" applyFont="1" applyFill="1" applyBorder="1"/>
    <xf numFmtId="170" fontId="0" fillId="0" borderId="0" xfId="0" applyNumberFormat="1" applyFill="1" applyBorder="1" applyAlignment="1">
      <alignment horizontal="center"/>
    </xf>
    <xf numFmtId="1" fontId="0" fillId="0" borderId="0" xfId="1" applyNumberFormat="1" applyFont="1" applyFill="1" applyBorder="1" applyAlignment="1">
      <alignment horizontal="center" vertical="center"/>
    </xf>
    <xf numFmtId="9" fontId="11" fillId="0" borderId="0" xfId="0" applyNumberFormat="1" applyFont="1" applyFill="1" applyBorder="1" applyAlignment="1">
      <alignment vertical="center"/>
    </xf>
    <xf numFmtId="0" fontId="2" fillId="0" borderId="18" xfId="0" applyFont="1" applyFill="1" applyBorder="1" applyAlignment="1">
      <alignment vertical="center"/>
    </xf>
    <xf numFmtId="9" fontId="0" fillId="0" borderId="9" xfId="3" applyFont="1" applyFill="1" applyBorder="1" applyAlignment="1">
      <alignment horizontal="center"/>
    </xf>
    <xf numFmtId="0" fontId="0" fillId="0" borderId="9" xfId="0" applyFill="1" applyBorder="1"/>
    <xf numFmtId="1" fontId="0" fillId="0" borderId="9" xfId="0" applyNumberFormat="1" applyFill="1" applyBorder="1" applyAlignment="1">
      <alignment horizontal="center"/>
    </xf>
    <xf numFmtId="0" fontId="0" fillId="0" borderId="9" xfId="0" applyFill="1" applyBorder="1" applyAlignment="1">
      <alignment vertical="center"/>
    </xf>
    <xf numFmtId="0" fontId="0" fillId="0" borderId="7" xfId="0" applyFill="1" applyBorder="1"/>
    <xf numFmtId="1" fontId="2" fillId="0" borderId="28" xfId="0" applyNumberFormat="1" applyFont="1" applyFill="1" applyBorder="1" applyAlignment="1">
      <alignment horizontal="center" vertical="center" wrapText="1"/>
    </xf>
    <xf numFmtId="0" fontId="2" fillId="0" borderId="28" xfId="0" applyFont="1" applyFill="1" applyBorder="1" applyAlignment="1">
      <alignment horizontal="center" vertical="center" wrapText="1"/>
    </xf>
    <xf numFmtId="0" fontId="0" fillId="0" borderId="0" xfId="0" applyFill="1" applyAlignment="1">
      <alignment horizontal="right" vertical="center"/>
    </xf>
    <xf numFmtId="1" fontId="0" fillId="0" borderId="0" xfId="0" applyNumberFormat="1" applyFill="1" applyAlignment="1">
      <alignment horizontal="right" vertical="center"/>
    </xf>
    <xf numFmtId="168" fontId="0" fillId="0" borderId="0" xfId="1" applyNumberFormat="1" applyFont="1" applyFill="1" applyAlignment="1">
      <alignment horizontal="center" vertical="center"/>
    </xf>
    <xf numFmtId="1" fontId="0" fillId="0" borderId="0" xfId="0" applyNumberFormat="1" applyFill="1" applyAlignment="1">
      <alignment horizontal="right"/>
    </xf>
    <xf numFmtId="168" fontId="0" fillId="0" borderId="0" xfId="1" applyNumberFormat="1" applyFont="1" applyFill="1"/>
    <xf numFmtId="1" fontId="0" fillId="0" borderId="0" xfId="1" applyNumberFormat="1" applyFont="1" applyFill="1" applyAlignment="1"/>
    <xf numFmtId="1" fontId="0" fillId="0" borderId="0" xfId="0" applyNumberFormat="1" applyFill="1"/>
    <xf numFmtId="168" fontId="0" fillId="0" borderId="0" xfId="1" applyNumberFormat="1" applyFont="1" applyFill="1" applyAlignment="1">
      <alignment horizontal="center"/>
    </xf>
    <xf numFmtId="168" fontId="0" fillId="0" borderId="15" xfId="1" applyNumberFormat="1" applyFont="1" applyFill="1" applyBorder="1" applyAlignment="1">
      <alignment horizontal="center" vertical="center"/>
    </xf>
    <xf numFmtId="1" fontId="0" fillId="0" borderId="0" xfId="1" applyNumberFormat="1" applyFont="1" applyFill="1" applyAlignment="1">
      <alignment horizontal="center" vertical="center"/>
    </xf>
    <xf numFmtId="168" fontId="0" fillId="0" borderId="0" xfId="1" applyNumberFormat="1" applyFont="1" applyFill="1" applyBorder="1" applyAlignment="1">
      <alignment horizontal="center" vertical="center"/>
    </xf>
    <xf numFmtId="0" fontId="2" fillId="0" borderId="0" xfId="0" applyFont="1" applyFill="1"/>
    <xf numFmtId="2" fontId="0" fillId="0" borderId="0" xfId="0" applyNumberFormat="1" applyFill="1" applyAlignment="1">
      <alignment horizontal="right" vertical="center"/>
    </xf>
    <xf numFmtId="2" fontId="11" fillId="0" borderId="0" xfId="0" applyNumberFormat="1" applyFont="1" applyFill="1" applyAlignment="1">
      <alignment horizontal="right" vertical="center"/>
    </xf>
    <xf numFmtId="2" fontId="0" fillId="0" borderId="15" xfId="0" applyNumberFormat="1" applyFill="1" applyBorder="1" applyAlignment="1">
      <alignment horizontal="right" vertical="center"/>
    </xf>
    <xf numFmtId="42" fontId="0" fillId="0" borderId="15" xfId="1" applyNumberFormat="1" applyFont="1" applyFill="1" applyBorder="1" applyAlignment="1">
      <alignment horizontal="right" vertical="center"/>
    </xf>
    <xf numFmtId="1" fontId="0" fillId="0" borderId="0" xfId="0" applyNumberFormat="1" applyFill="1" applyAlignment="1">
      <alignment vertical="center"/>
    </xf>
    <xf numFmtId="0" fontId="0" fillId="0" borderId="0" xfId="0" applyFill="1" applyAlignment="1">
      <alignment horizontal="center" vertical="top" wrapText="1"/>
    </xf>
    <xf numFmtId="1" fontId="0" fillId="0" borderId="0" xfId="0" applyNumberFormat="1" applyFill="1" applyAlignment="1">
      <alignment horizontal="center" vertical="center"/>
    </xf>
    <xf numFmtId="44" fontId="0" fillId="0" borderId="0" xfId="0" applyNumberFormat="1" applyFill="1"/>
    <xf numFmtId="168"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center" vertical="center"/>
    </xf>
    <xf numFmtId="2" fontId="0" fillId="0" borderId="0" xfId="0" applyNumberFormat="1" applyFill="1" applyAlignment="1">
      <alignment horizontal="center"/>
    </xf>
    <xf numFmtId="2" fontId="0" fillId="0" borderId="0" xfId="0" applyNumberFormat="1" applyFill="1" applyAlignment="1">
      <alignment horizontal="center" vertical="center"/>
    </xf>
    <xf numFmtId="171" fontId="0" fillId="0" borderId="0" xfId="1" applyNumberFormat="1" applyFont="1" applyFill="1" applyAlignment="1">
      <alignment horizontal="center"/>
    </xf>
    <xf numFmtId="2" fontId="2" fillId="0" borderId="19" xfId="0" applyNumberFormat="1" applyFont="1" applyFill="1" applyBorder="1"/>
    <xf numFmtId="2" fontId="2" fillId="0" borderId="14" xfId="0" applyNumberFormat="1" applyFont="1" applyFill="1" applyBorder="1"/>
    <xf numFmtId="0" fontId="0" fillId="0" borderId="11" xfId="4" applyFont="1" applyFill="1" applyBorder="1"/>
    <xf numFmtId="0" fontId="0" fillId="0" borderId="27" xfId="4" applyFont="1" applyFill="1" applyBorder="1"/>
    <xf numFmtId="168" fontId="0" fillId="0" borderId="27" xfId="1" applyNumberFormat="1" applyFont="1" applyFill="1" applyBorder="1"/>
    <xf numFmtId="0" fontId="0" fillId="0" borderId="17" xfId="4" applyFont="1" applyFill="1" applyBorder="1"/>
    <xf numFmtId="0" fontId="0" fillId="0" borderId="8" xfId="4" applyFont="1" applyFill="1" applyBorder="1"/>
    <xf numFmtId="168" fontId="0" fillId="0" borderId="7" xfId="1" applyNumberFormat="1" applyFont="1" applyFill="1" applyBorder="1"/>
    <xf numFmtId="173" fontId="0" fillId="0" borderId="0" xfId="0" applyNumberFormat="1" applyFill="1"/>
    <xf numFmtId="165" fontId="2" fillId="0" borderId="13" xfId="2" applyNumberFormat="1" applyFont="1" applyFill="1" applyBorder="1"/>
    <xf numFmtId="165" fontId="0" fillId="0" borderId="19" xfId="2" applyNumberFormat="1" applyFont="1" applyFill="1" applyBorder="1"/>
    <xf numFmtId="2" fontId="11" fillId="0" borderId="19" xfId="2" applyNumberFormat="1" applyFont="1" applyFill="1" applyBorder="1"/>
    <xf numFmtId="2" fontId="0" fillId="0" borderId="19" xfId="0" applyNumberFormat="1" applyFill="1" applyBorder="1"/>
    <xf numFmtId="43" fontId="0" fillId="0" borderId="19" xfId="0" applyNumberFormat="1" applyFill="1" applyBorder="1"/>
    <xf numFmtId="3" fontId="0" fillId="0" borderId="19" xfId="0" applyNumberFormat="1" applyFill="1" applyBorder="1"/>
    <xf numFmtId="1" fontId="0" fillId="0" borderId="19" xfId="0" applyNumberFormat="1" applyFill="1" applyBorder="1"/>
    <xf numFmtId="171" fontId="0" fillId="0" borderId="0" xfId="0" applyNumberFormat="1" applyFill="1"/>
    <xf numFmtId="2" fontId="2" fillId="0" borderId="0" xfId="0" applyNumberFormat="1" applyFont="1" applyFill="1" applyBorder="1"/>
    <xf numFmtId="167" fontId="7" fillId="0" borderId="0" xfId="0" applyNumberFormat="1" applyFont="1" applyFill="1"/>
    <xf numFmtId="0" fontId="7" fillId="0" borderId="0" xfId="0" applyFont="1" applyFill="1"/>
    <xf numFmtId="9" fontId="0" fillId="0" borderId="0" xfId="0" applyNumberFormat="1" applyFill="1"/>
    <xf numFmtId="165" fontId="11" fillId="0" borderId="10" xfId="2" applyNumberFormat="1" applyFont="1" applyFill="1" applyBorder="1"/>
    <xf numFmtId="165" fontId="11" fillId="0" borderId="19" xfId="2" applyNumberFormat="1" applyFont="1" applyFill="1" applyBorder="1"/>
    <xf numFmtId="0" fontId="0" fillId="0" borderId="0" xfId="4" applyFont="1" applyFill="1" applyBorder="1"/>
    <xf numFmtId="43" fontId="0" fillId="0" borderId="19" xfId="1" applyFont="1" applyFill="1" applyBorder="1"/>
    <xf numFmtId="9" fontId="0" fillId="0" borderId="19" xfId="1" applyNumberFormat="1" applyFont="1" applyFill="1" applyBorder="1"/>
    <xf numFmtId="9" fontId="0" fillId="0" borderId="14" xfId="1" applyNumberFormat="1" applyFont="1" applyFill="1" applyBorder="1"/>
    <xf numFmtId="0" fontId="0" fillId="0" borderId="17" xfId="4" applyFont="1" applyFill="1" applyBorder="1" applyAlignment="1">
      <alignment horizontal="left"/>
    </xf>
    <xf numFmtId="0" fontId="0" fillId="0" borderId="0" xfId="4" applyFont="1" applyFill="1" applyBorder="1" applyAlignment="1">
      <alignment horizontal="left"/>
    </xf>
    <xf numFmtId="0" fontId="0" fillId="0" borderId="17" xfId="4" applyFont="1" applyFill="1" applyBorder="1" applyAlignment="1">
      <alignment horizontal="center"/>
    </xf>
    <xf numFmtId="0" fontId="0" fillId="0" borderId="0" xfId="4" applyFont="1" applyFill="1" applyBorder="1" applyAlignment="1">
      <alignment horizontal="center"/>
    </xf>
    <xf numFmtId="43" fontId="0" fillId="0" borderId="0" xfId="0" applyNumberFormat="1" applyFill="1" applyBorder="1"/>
    <xf numFmtId="0" fontId="0" fillId="0" borderId="17" xfId="0" applyFont="1" applyFill="1" applyBorder="1" applyAlignment="1"/>
    <xf numFmtId="0" fontId="0" fillId="0" borderId="0" xfId="0" applyFont="1" applyFill="1" applyBorder="1" applyAlignment="1"/>
    <xf numFmtId="0" fontId="0" fillId="0" borderId="8" xfId="0" applyFont="1" applyFill="1" applyBorder="1" applyAlignment="1"/>
    <xf numFmtId="0" fontId="2" fillId="0" borderId="9" xfId="0" applyFont="1" applyFill="1" applyBorder="1" applyAlignment="1"/>
    <xf numFmtId="0" fontId="12" fillId="0" borderId="4" xfId="0" applyFont="1" applyFill="1" applyBorder="1" applyAlignment="1">
      <alignment vertical="center"/>
    </xf>
    <xf numFmtId="0" fontId="0" fillId="0" borderId="5" xfId="0" applyFill="1" applyBorder="1" applyAlignment="1">
      <alignment vertical="center"/>
    </xf>
    <xf numFmtId="164" fontId="0" fillId="0" borderId="6" xfId="0" applyNumberFormat="1" applyFill="1" applyBorder="1" applyAlignment="1">
      <alignment vertical="center"/>
    </xf>
    <xf numFmtId="168" fontId="0" fillId="0" borderId="10" xfId="1" applyNumberFormat="1" applyFont="1" applyFill="1" applyBorder="1" applyAlignment="1">
      <alignment horizontal="center"/>
    </xf>
    <xf numFmtId="168" fontId="0" fillId="0" borderId="19" xfId="1" applyNumberFormat="1" applyFont="1" applyFill="1" applyBorder="1" applyAlignment="1">
      <alignment horizontal="center"/>
    </xf>
    <xf numFmtId="168" fontId="0" fillId="0" borderId="13" xfId="1" applyNumberFormat="1" applyFont="1" applyFill="1" applyBorder="1" applyAlignment="1">
      <alignment horizontal="center" vertical="center"/>
    </xf>
    <xf numFmtId="166" fontId="0" fillId="0" borderId="7" xfId="3" applyNumberFormat="1" applyFont="1" applyFill="1" applyBorder="1"/>
    <xf numFmtId="1" fontId="0" fillId="0" borderId="19" xfId="1" applyNumberFormat="1" applyFont="1" applyFill="1" applyBorder="1" applyAlignment="1">
      <alignment horizontal="center" vertical="center"/>
    </xf>
    <xf numFmtId="168" fontId="2" fillId="0" borderId="14" xfId="1" applyNumberFormat="1" applyFont="1" applyFill="1" applyBorder="1"/>
    <xf numFmtId="168" fontId="2" fillId="0" borderId="0" xfId="1" applyNumberFormat="1" applyFont="1" applyFill="1" applyBorder="1"/>
    <xf numFmtId="0" fontId="2" fillId="0" borderId="0" xfId="0" applyFont="1" applyFill="1" applyBorder="1" applyAlignment="1"/>
    <xf numFmtId="167" fontId="6" fillId="0" borderId="0" xfId="0" applyNumberFormat="1" applyFont="1" applyFill="1"/>
    <xf numFmtId="167" fontId="7" fillId="0" borderId="0" xfId="0" applyNumberFormat="1" applyFont="1" applyFill="1" applyAlignment="1">
      <alignment horizontal="center"/>
    </xf>
    <xf numFmtId="169" fontId="7" fillId="0" borderId="0" xfId="0" applyNumberFormat="1" applyFont="1" applyFill="1" applyAlignment="1">
      <alignment horizontal="center"/>
    </xf>
    <xf numFmtId="167" fontId="8" fillId="0" borderId="0" xfId="0" applyNumberFormat="1" applyFont="1" applyFill="1"/>
    <xf numFmtId="167" fontId="9" fillId="0" borderId="0" xfId="0" applyNumberFormat="1" applyFont="1" applyFill="1"/>
    <xf numFmtId="167" fontId="7" fillId="0" borderId="20" xfId="2" applyNumberFormat="1" applyFont="1" applyFill="1" applyBorder="1"/>
    <xf numFmtId="167" fontId="7" fillId="0" borderId="15" xfId="2" applyNumberFormat="1" applyFont="1" applyFill="1" applyBorder="1"/>
    <xf numFmtId="167" fontId="7" fillId="0" borderId="21" xfId="2" applyNumberFormat="1" applyFont="1" applyFill="1" applyBorder="1"/>
    <xf numFmtId="2" fontId="7" fillId="0" borderId="0" xfId="0" applyNumberFormat="1" applyFont="1" applyFill="1"/>
    <xf numFmtId="164" fontId="7" fillId="0" borderId="0" xfId="0" applyNumberFormat="1" applyFont="1" applyFill="1"/>
    <xf numFmtId="0" fontId="12" fillId="0" borderId="29" xfId="0" applyFont="1" applyFill="1" applyBorder="1" applyAlignment="1">
      <alignment vertical="center"/>
    </xf>
    <xf numFmtId="0" fontId="12" fillId="0" borderId="0" xfId="0" applyFont="1" applyFill="1" applyBorder="1" applyAlignment="1">
      <alignment vertical="center"/>
    </xf>
    <xf numFmtId="167" fontId="0" fillId="0" borderId="0" xfId="0" applyNumberFormat="1" applyFill="1" applyAlignment="1">
      <alignment horizontal="right"/>
    </xf>
    <xf numFmtId="168" fontId="0" fillId="0" borderId="0" xfId="0" applyNumberFormat="1" applyFont="1" applyFill="1"/>
    <xf numFmtId="2" fontId="0" fillId="0" borderId="30" xfId="0" applyNumberFormat="1" applyFill="1" applyBorder="1"/>
    <xf numFmtId="168" fontId="0" fillId="0" borderId="0" xfId="0" applyNumberFormat="1" applyFill="1"/>
    <xf numFmtId="164" fontId="0" fillId="0" borderId="28" xfId="0" applyNumberFormat="1" applyFill="1" applyBorder="1" applyAlignment="1">
      <alignment horizontal="right"/>
    </xf>
    <xf numFmtId="164" fontId="0" fillId="0" borderId="28" xfId="0" applyNumberFormat="1" applyFill="1" applyBorder="1"/>
    <xf numFmtId="1" fontId="0" fillId="0" borderId="28" xfId="2" applyNumberFormat="1" applyFont="1" applyFill="1" applyBorder="1"/>
    <xf numFmtId="168" fontId="0" fillId="0" borderId="28" xfId="0" applyNumberFormat="1" applyFill="1" applyBorder="1" applyAlignment="1">
      <alignment horizontal="right"/>
    </xf>
    <xf numFmtId="168" fontId="0" fillId="2" borderId="10" xfId="1" applyNumberFormat="1" applyFont="1" applyFill="1" applyBorder="1" applyAlignment="1" applyProtection="1">
      <alignment horizontal="center"/>
      <protection locked="0"/>
    </xf>
    <xf numFmtId="9" fontId="0" fillId="2" borderId="14" xfId="3" applyFont="1" applyFill="1" applyBorder="1" applyAlignment="1" applyProtection="1">
      <alignment horizontal="center"/>
      <protection locked="0"/>
    </xf>
    <xf numFmtId="9" fontId="0" fillId="2" borderId="16" xfId="3" applyFont="1" applyFill="1" applyBorder="1" applyAlignment="1" applyProtection="1">
      <alignment horizontal="center"/>
      <protection locked="0"/>
    </xf>
    <xf numFmtId="42" fontId="0" fillId="2" borderId="16" xfId="1" applyNumberFormat="1" applyFont="1" applyFill="1" applyBorder="1" applyProtection="1">
      <protection locked="0"/>
    </xf>
    <xf numFmtId="42" fontId="11" fillId="2" borderId="16" xfId="1" applyNumberFormat="1" applyFont="1" applyFill="1" applyBorder="1" applyProtection="1">
      <protection locked="0"/>
    </xf>
    <xf numFmtId="9" fontId="0" fillId="2" borderId="16" xfId="0" applyNumberFormat="1" applyFill="1" applyBorder="1" applyAlignment="1" applyProtection="1">
      <alignment vertical="center"/>
      <protection locked="0"/>
    </xf>
    <xf numFmtId="166" fontId="0" fillId="2" borderId="14" xfId="0" applyNumberFormat="1" applyFill="1" applyBorder="1" applyAlignment="1" applyProtection="1">
      <alignment vertical="center"/>
      <protection locked="0"/>
    </xf>
    <xf numFmtId="2" fontId="11" fillId="2" borderId="16" xfId="0" applyNumberFormat="1" applyFont="1" applyFill="1" applyBorder="1" applyAlignment="1" applyProtection="1">
      <alignment horizontal="center"/>
      <protection locked="0"/>
    </xf>
    <xf numFmtId="9" fontId="11" fillId="2" borderId="16" xfId="0" applyNumberFormat="1" applyFont="1" applyFill="1" applyBorder="1" applyAlignment="1" applyProtection="1">
      <alignment vertical="center"/>
      <protection locked="0"/>
    </xf>
    <xf numFmtId="42" fontId="0" fillId="2" borderId="16" xfId="1" applyNumberFormat="1" applyFont="1" applyFill="1" applyBorder="1" applyAlignment="1" applyProtection="1">
      <alignment horizontal="center"/>
      <protection locked="0"/>
    </xf>
    <xf numFmtId="1" fontId="0" fillId="2" borderId="16" xfId="1" applyNumberFormat="1" applyFont="1" applyFill="1" applyBorder="1" applyAlignment="1" applyProtection="1">
      <alignment horizontal="right" vertical="center"/>
      <protection locked="0"/>
    </xf>
    <xf numFmtId="0" fontId="0" fillId="2" borderId="16" xfId="0" applyFill="1" applyBorder="1" applyAlignment="1" applyProtection="1">
      <alignment horizontal="right" vertical="center"/>
      <protection locked="0"/>
    </xf>
    <xf numFmtId="1" fontId="0" fillId="2" borderId="16" xfId="0" applyNumberFormat="1" applyFill="1" applyBorder="1" applyAlignment="1" applyProtection="1">
      <alignment horizontal="right" vertical="center"/>
      <protection locked="0"/>
    </xf>
    <xf numFmtId="168" fontId="0" fillId="2" borderId="16" xfId="0" applyNumberFormat="1" applyFill="1" applyBorder="1" applyAlignment="1" applyProtection="1">
      <alignment horizontal="right" vertical="center"/>
      <protection locked="0"/>
    </xf>
    <xf numFmtId="168" fontId="0" fillId="2" borderId="16" xfId="1" applyNumberFormat="1" applyFont="1" applyFill="1" applyBorder="1" applyAlignment="1" applyProtection="1">
      <alignment horizontal="center" vertical="center"/>
      <protection locked="0"/>
    </xf>
    <xf numFmtId="0" fontId="0" fillId="0" borderId="11" xfId="0" applyFill="1" applyBorder="1" applyAlignment="1">
      <alignment vertical="center"/>
    </xf>
    <xf numFmtId="164" fontId="0" fillId="2" borderId="16" xfId="0" applyNumberFormat="1" applyFill="1" applyBorder="1" applyAlignment="1" applyProtection="1">
      <alignment horizontal="center" vertical="center"/>
      <protection locked="0"/>
    </xf>
    <xf numFmtId="42" fontId="0" fillId="0" borderId="2" xfId="0" applyNumberFormat="1" applyFill="1" applyBorder="1" applyProtection="1">
      <protection locked="0"/>
    </xf>
    <xf numFmtId="166" fontId="0" fillId="2" borderId="16" xfId="3" applyNumberFormat="1" applyFont="1" applyFill="1" applyBorder="1" applyAlignment="1" applyProtection="1">
      <alignment horizontal="center"/>
      <protection locked="0"/>
    </xf>
    <xf numFmtId="1" fontId="0" fillId="2" borderId="16" xfId="0" applyNumberFormat="1" applyFill="1" applyBorder="1" applyAlignment="1" applyProtection="1">
      <alignment horizontal="center"/>
      <protection locked="0"/>
    </xf>
    <xf numFmtId="10" fontId="0" fillId="2" borderId="16" xfId="0" applyNumberFormat="1" applyFill="1" applyBorder="1" applyAlignment="1" applyProtection="1">
      <alignment horizontal="center"/>
      <protection locked="0"/>
    </xf>
    <xf numFmtId="0" fontId="2" fillId="0" borderId="0" xfId="0" applyFont="1" applyFill="1" applyBorder="1" applyAlignment="1">
      <alignment vertical="center"/>
    </xf>
    <xf numFmtId="9" fontId="0" fillId="0" borderId="0" xfId="0" applyNumberFormat="1" applyFill="1" applyBorder="1" applyAlignment="1" applyProtection="1">
      <alignment vertical="center"/>
      <protection locked="0"/>
    </xf>
    <xf numFmtId="9" fontId="11" fillId="0" borderId="0" xfId="0" applyNumberFormat="1" applyFont="1" applyFill="1" applyBorder="1" applyAlignment="1" applyProtection="1">
      <alignment vertical="center"/>
      <protection locked="0"/>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0" fillId="0" borderId="25" xfId="0" applyBorder="1" applyAlignment="1">
      <alignment horizontal="left" vertical="center" wrapText="1"/>
    </xf>
    <xf numFmtId="0" fontId="0" fillId="0" borderId="34"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5" xfId="0" applyBorder="1" applyAlignment="1">
      <alignment horizontal="left" vertical="center" wrapText="1"/>
    </xf>
    <xf numFmtId="0" fontId="0" fillId="0" borderId="28" xfId="0" applyBorder="1" applyAlignment="1">
      <alignment horizontal="left" vertical="center" wrapText="1"/>
    </xf>
    <xf numFmtId="0" fontId="2" fillId="0" borderId="11" xfId="0" applyFont="1" applyFill="1" applyBorder="1" applyAlignment="1">
      <alignment horizontal="center" wrapText="1"/>
    </xf>
    <xf numFmtId="0" fontId="2" fillId="0" borderId="27" xfId="0" applyFont="1" applyFill="1" applyBorder="1" applyAlignment="1">
      <alignment horizontal="center" wrapText="1"/>
    </xf>
    <xf numFmtId="0" fontId="2" fillId="0" borderId="1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left" wrapText="1"/>
    </xf>
    <xf numFmtId="0" fontId="10" fillId="0" borderId="0" xfId="0" applyFont="1" applyFill="1" applyAlignment="1">
      <alignment horizontal="left" vertical="top" wrapText="1"/>
    </xf>
    <xf numFmtId="0" fontId="0" fillId="0" borderId="18" xfId="0" applyFill="1" applyBorder="1" applyAlignment="1">
      <alignment horizontal="center"/>
    </xf>
    <xf numFmtId="0" fontId="0" fillId="0" borderId="2" xfId="0" applyFill="1" applyBorder="1" applyAlignment="1">
      <alignment horizontal="center"/>
    </xf>
    <xf numFmtId="0" fontId="0" fillId="0" borderId="17" xfId="0" applyFill="1" applyBorder="1" applyAlignment="1">
      <alignment horizontal="left"/>
    </xf>
    <xf numFmtId="0" fontId="0" fillId="0" borderId="3" xfId="0" applyFill="1" applyBorder="1" applyAlignment="1">
      <alignment horizontal="left"/>
    </xf>
    <xf numFmtId="0" fontId="0" fillId="0" borderId="17" xfId="4" applyFont="1" applyFill="1" applyBorder="1" applyAlignment="1">
      <alignment horizontal="center"/>
    </xf>
    <xf numFmtId="0" fontId="0" fillId="0" borderId="0" xfId="4" applyFont="1" applyFill="1" applyBorder="1" applyAlignment="1">
      <alignment horizontal="center"/>
    </xf>
    <xf numFmtId="0" fontId="0" fillId="0" borderId="8" xfId="0" applyFill="1" applyBorder="1" applyAlignment="1">
      <alignment horizontal="left"/>
    </xf>
    <xf numFmtId="0" fontId="0" fillId="0" borderId="7" xfId="0" applyFill="1" applyBorder="1" applyAlignment="1">
      <alignment horizontal="left"/>
    </xf>
    <xf numFmtId="0" fontId="2" fillId="0" borderId="8" xfId="4" applyFont="1" applyFill="1" applyBorder="1" applyAlignment="1">
      <alignment horizontal="center"/>
    </xf>
    <xf numFmtId="0" fontId="2" fillId="0" borderId="9" xfId="4" applyFont="1" applyFill="1" applyBorder="1" applyAlignment="1">
      <alignment horizontal="center"/>
    </xf>
    <xf numFmtId="0" fontId="2" fillId="0" borderId="7" xfId="4"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27" xfId="0" applyFont="1" applyFill="1" applyBorder="1" applyAlignment="1">
      <alignment horizontal="center"/>
    </xf>
    <xf numFmtId="0" fontId="0" fillId="0" borderId="8" xfId="4" applyFont="1" applyFill="1" applyBorder="1" applyAlignment="1">
      <alignment horizontal="center"/>
    </xf>
    <xf numFmtId="0" fontId="0" fillId="0" borderId="9" xfId="4" applyFont="1" applyFill="1" applyBorder="1" applyAlignment="1">
      <alignment horizontal="center"/>
    </xf>
    <xf numFmtId="0" fontId="0" fillId="0" borderId="17" xfId="4" applyFont="1" applyFill="1" applyBorder="1" applyAlignment="1">
      <alignment horizontal="left"/>
    </xf>
    <xf numFmtId="0" fontId="0" fillId="0" borderId="0" xfId="4" applyFont="1" applyFill="1" applyBorder="1" applyAlignment="1">
      <alignment horizontal="left"/>
    </xf>
    <xf numFmtId="1" fontId="12" fillId="0" borderId="29"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2" fillId="0" borderId="18" xfId="0" applyFont="1" applyFill="1" applyBorder="1" applyAlignment="1">
      <alignment horizontal="center"/>
    </xf>
    <xf numFmtId="0" fontId="2" fillId="0" borderId="2" xfId="0" applyFont="1" applyFill="1" applyBorder="1" applyAlignment="1">
      <alignment horizontal="center"/>
    </xf>
    <xf numFmtId="0" fontId="2" fillId="0" borderId="18" xfId="4" applyFont="1" applyFill="1" applyBorder="1" applyAlignment="1">
      <alignment horizontal="center"/>
    </xf>
    <xf numFmtId="0" fontId="2" fillId="0" borderId="26" xfId="4" applyFont="1" applyFill="1" applyBorder="1" applyAlignment="1">
      <alignment horizontal="center"/>
    </xf>
    <xf numFmtId="0" fontId="2" fillId="0" borderId="2" xfId="4" applyFont="1" applyFill="1" applyBorder="1" applyAlignment="1">
      <alignment horizontal="center"/>
    </xf>
    <xf numFmtId="0" fontId="2" fillId="0" borderId="26" xfId="0" applyFont="1" applyFill="1" applyBorder="1" applyAlignment="1">
      <alignment horizontal="center"/>
    </xf>
    <xf numFmtId="167" fontId="7" fillId="0" borderId="0" xfId="0" applyNumberFormat="1" applyFont="1" applyAlignment="1">
      <alignment horizontal="center"/>
    </xf>
    <xf numFmtId="0" fontId="12" fillId="0" borderId="29" xfId="0" applyFont="1" applyFill="1" applyBorder="1" applyAlignment="1">
      <alignment horizontal="center" vertical="center"/>
    </xf>
    <xf numFmtId="167" fontId="7" fillId="0" borderId="0" xfId="0" applyNumberFormat="1" applyFont="1" applyFill="1" applyAlignment="1">
      <alignment horizontal="center"/>
    </xf>
    <xf numFmtId="0" fontId="2" fillId="0" borderId="18" xfId="0" applyFont="1" applyBorder="1" applyAlignment="1">
      <alignment horizontal="center"/>
    </xf>
    <xf numFmtId="0" fontId="2" fillId="0" borderId="2" xfId="0" applyFont="1" applyBorder="1" applyAlignment="1">
      <alignment horizontal="center"/>
    </xf>
    <xf numFmtId="0" fontId="2" fillId="0" borderId="18" xfId="4" applyFont="1" applyBorder="1" applyAlignment="1">
      <alignment horizontal="center"/>
    </xf>
    <xf numFmtId="0" fontId="2" fillId="0" borderId="26" xfId="4" applyFont="1" applyBorder="1" applyAlignment="1">
      <alignment horizontal="center"/>
    </xf>
    <xf numFmtId="0" fontId="2" fillId="0" borderId="2" xfId="4" applyFont="1" applyBorder="1" applyAlignment="1">
      <alignment horizontal="center"/>
    </xf>
    <xf numFmtId="0" fontId="2" fillId="0" borderId="26" xfId="0" applyFont="1" applyBorder="1" applyAlignment="1">
      <alignment horizontal="center"/>
    </xf>
    <xf numFmtId="0" fontId="0" fillId="0" borderId="17" xfId="4" applyFont="1" applyBorder="1" applyAlignment="1">
      <alignment horizontal="left"/>
    </xf>
    <xf numFmtId="0" fontId="0" fillId="0" borderId="0" xfId="4" applyFont="1" applyBorder="1" applyAlignment="1">
      <alignment horizontal="left"/>
    </xf>
    <xf numFmtId="0" fontId="0" fillId="0" borderId="17" xfId="0" applyBorder="1" applyAlignment="1">
      <alignment horizontal="left"/>
    </xf>
    <xf numFmtId="0" fontId="0" fillId="0" borderId="3" xfId="0" applyBorder="1" applyAlignment="1">
      <alignment horizontal="left"/>
    </xf>
    <xf numFmtId="0" fontId="0" fillId="0" borderId="17" xfId="4" applyFont="1" applyBorder="1" applyAlignment="1">
      <alignment horizontal="center"/>
    </xf>
    <xf numFmtId="0" fontId="0" fillId="0" borderId="0" xfId="4" applyFont="1" applyBorder="1" applyAlignment="1">
      <alignment horizontal="center"/>
    </xf>
    <xf numFmtId="0" fontId="0" fillId="0" borderId="8" xfId="4" applyFont="1" applyBorder="1" applyAlignment="1">
      <alignment horizontal="center"/>
    </xf>
    <xf numFmtId="0" fontId="0" fillId="0" borderId="9" xfId="4" applyFont="1" applyBorder="1" applyAlignment="1">
      <alignment horizontal="center"/>
    </xf>
    <xf numFmtId="0" fontId="0" fillId="0" borderId="8" xfId="0" applyBorder="1" applyAlignment="1">
      <alignment horizontal="left"/>
    </xf>
    <xf numFmtId="0" fontId="0" fillId="0" borderId="7" xfId="0" applyBorder="1" applyAlignment="1">
      <alignment horizontal="left"/>
    </xf>
    <xf numFmtId="0" fontId="18" fillId="0" borderId="1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8" xfId="0" applyFont="1" applyBorder="1" applyAlignment="1">
      <alignment horizontal="center" vertical="center"/>
    </xf>
    <xf numFmtId="0" fontId="18" fillId="0" borderId="2" xfId="0" applyFont="1" applyBorder="1" applyAlignment="1">
      <alignment horizontal="center" vertical="center"/>
    </xf>
  </cellXfs>
  <cellStyles count="7">
    <cellStyle name="Bad" xfId="5" builtinId="27"/>
    <cellStyle name="Comma" xfId="1" builtinId="3"/>
    <cellStyle name="Currency" xfId="2" builtinId="4"/>
    <cellStyle name="Neutral" xfId="6" builtinId="28"/>
    <cellStyle name="Normal" xfId="0" builtinId="0"/>
    <cellStyle name="Normal 2" xfId="4" xr:uid="{B933D4A0-599F-40D8-8B2E-42E9DBACCFB7}"/>
    <cellStyle name="Percent" xfId="3" builtinId="5"/>
  </cellStyles>
  <dxfs count="18">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704F0-2B91-460F-8741-4AA770FFC15C}">
  <sheetPr>
    <pageSetUpPr fitToPage="1"/>
  </sheetPr>
  <dimension ref="A1:N24"/>
  <sheetViews>
    <sheetView workbookViewId="0">
      <selection activeCell="B21" sqref="B21"/>
    </sheetView>
  </sheetViews>
  <sheetFormatPr defaultRowHeight="14.5" x14ac:dyDescent="0.35"/>
  <cols>
    <col min="1" max="1" width="31.81640625" style="136" customWidth="1"/>
    <col min="2" max="2" width="34.1796875" style="136" customWidth="1"/>
    <col min="3" max="9" width="17.1796875" style="48" customWidth="1"/>
    <col min="10" max="10" width="17.26953125" style="48" customWidth="1"/>
    <col min="11" max="11" width="16.81640625" style="48" customWidth="1"/>
    <col min="12" max="14" width="8.7265625" style="48"/>
  </cols>
  <sheetData>
    <row r="1" spans="1:12" ht="21.5" thickBot="1" x14ac:dyDescent="0.4">
      <c r="A1" s="142" t="s">
        <v>242</v>
      </c>
    </row>
    <row r="2" spans="1:12" ht="69" customHeight="1" x14ac:dyDescent="0.35">
      <c r="A2" s="381" t="s">
        <v>276</v>
      </c>
      <c r="B2" s="382"/>
      <c r="C2" s="138" t="str">
        <f>'Generation &amp; Ops Scenarios'!B27</f>
        <v>100% Diesel (current)</v>
      </c>
      <c r="D2" s="138" t="str">
        <f>'Generation &amp; Ops Scenarios'!C27</f>
        <v>Mix 1 Wind, Solar Diesel standby</v>
      </c>
      <c r="E2" s="138" t="str">
        <f>'Generation &amp; Ops Scenarios'!D27</f>
        <v>Mix 2 Wind, Solar Diesel standby</v>
      </c>
      <c r="F2" s="138" t="str">
        <f>'Generation &amp; Ops Scenarios'!E27</f>
        <v>Mix 3 Wind, Solar, Storage, Diesel standby</v>
      </c>
      <c r="G2" s="138" t="str">
        <f>'Generation &amp; Ops Scenarios'!F27</f>
        <v>Mix 4 Wind, Solar,Storage, Diesel standby</v>
      </c>
      <c r="H2" s="138" t="str">
        <f>'Generation &amp; Ops Scenarios'!G27</f>
        <v>100% renewable, Wind,Solar, Storage (updated Narec)</v>
      </c>
      <c r="I2" s="138" t="str">
        <f>'Generation &amp; Ops Scenarios'!H27</f>
        <v>100% Wind &amp; Storage</v>
      </c>
      <c r="J2" s="139" t="str">
        <f>'Generation &amp; Ops Scenarios'!I27</f>
        <v>100% Solar &amp; Storage</v>
      </c>
    </row>
    <row r="3" spans="1:12" ht="21" customHeight="1" x14ac:dyDescent="0.35">
      <c r="A3" s="383" t="s">
        <v>217</v>
      </c>
      <c r="B3" s="384"/>
      <c r="C3" s="146">
        <f>'Diesel Summary'!B22</f>
        <v>2861023.916666667</v>
      </c>
      <c r="D3" s="146">
        <f>'Mix 1 Summary'!B22</f>
        <v>4058923.916666667</v>
      </c>
      <c r="E3" s="146">
        <f>'Mix 2 Summary'!B22</f>
        <v>4700223.916666667</v>
      </c>
      <c r="F3" s="146">
        <f>'Mix 3 Summary'!B22</f>
        <v>5014823.916666667</v>
      </c>
      <c r="G3" s="146">
        <f>'Mix 4 Summary'!B22</f>
        <v>5595623.916666667</v>
      </c>
      <c r="H3" s="146">
        <f>'100% Renewable Summary'!B22</f>
        <v>30279623.916666668</v>
      </c>
      <c r="I3" s="146">
        <f>'100% Wind Summary'!B22</f>
        <v>9908063.9166666679</v>
      </c>
      <c r="J3" s="147">
        <f>'100% Solar Summary'!B22</f>
        <v>11057563.916666668</v>
      </c>
    </row>
    <row r="4" spans="1:12" ht="21" customHeight="1" x14ac:dyDescent="0.35">
      <c r="A4" s="383" t="s">
        <v>241</v>
      </c>
      <c r="B4" s="384"/>
      <c r="C4" s="149">
        <f>SUM(C13:C16)</f>
        <v>60.77103907847799</v>
      </c>
      <c r="D4" s="149">
        <f t="shared" ref="D4:J4" si="0">SUM(D13:D16)</f>
        <v>47.942295843171649</v>
      </c>
      <c r="E4" s="149">
        <f t="shared" si="0"/>
        <v>50.964748830972404</v>
      </c>
      <c r="F4" s="149">
        <f t="shared" si="0"/>
        <v>53.166390066752058</v>
      </c>
      <c r="G4" s="149">
        <f t="shared" si="0"/>
        <v>57.588101359180421</v>
      </c>
      <c r="H4" s="149">
        <f t="shared" si="0"/>
        <v>242.22511700167155</v>
      </c>
      <c r="I4" s="149">
        <f t="shared" si="0"/>
        <v>90.20609341974675</v>
      </c>
      <c r="J4" s="150">
        <f t="shared" si="0"/>
        <v>97.6255517812493</v>
      </c>
    </row>
    <row r="5" spans="1:12" ht="21" customHeight="1" x14ac:dyDescent="0.35">
      <c r="A5" s="385" t="s">
        <v>243</v>
      </c>
      <c r="B5" s="145" t="s">
        <v>4</v>
      </c>
      <c r="C5" s="143">
        <f t="shared" ref="C5:J5" si="1">C13*1400000/100</f>
        <v>328133.93076273572</v>
      </c>
      <c r="D5" s="143">
        <f t="shared" si="1"/>
        <v>24717.111899577845</v>
      </c>
      <c r="E5" s="143">
        <f t="shared" si="1"/>
        <v>0</v>
      </c>
      <c r="F5" s="143">
        <f t="shared" si="1"/>
        <v>0</v>
      </c>
      <c r="G5" s="143">
        <f t="shared" si="1"/>
        <v>0</v>
      </c>
      <c r="H5" s="143">
        <f t="shared" si="1"/>
        <v>0</v>
      </c>
      <c r="I5" s="143">
        <f t="shared" si="1"/>
        <v>0</v>
      </c>
      <c r="J5" s="144">
        <f t="shared" si="1"/>
        <v>0</v>
      </c>
    </row>
    <row r="6" spans="1:12" ht="21" customHeight="1" x14ac:dyDescent="0.35">
      <c r="A6" s="386"/>
      <c r="B6" s="145" t="s">
        <v>224</v>
      </c>
      <c r="C6" s="143">
        <f t="shared" ref="C6:J9" si="2">C14*1400000/100</f>
        <v>214576.79375000004</v>
      </c>
      <c r="D6" s="143">
        <f t="shared" si="2"/>
        <v>304419.29375000001</v>
      </c>
      <c r="E6" s="143">
        <f t="shared" si="2"/>
        <v>352516.79375000001</v>
      </c>
      <c r="F6" s="143">
        <f t="shared" si="2"/>
        <v>376111.79375000001</v>
      </c>
      <c r="G6" s="143">
        <f t="shared" si="2"/>
        <v>419671.79375000001</v>
      </c>
      <c r="H6" s="143">
        <f t="shared" si="2"/>
        <v>2270971.7937500002</v>
      </c>
      <c r="I6" s="143">
        <f t="shared" si="2"/>
        <v>743104.79375000019</v>
      </c>
      <c r="J6" s="144">
        <f t="shared" si="2"/>
        <v>829317.29375000019</v>
      </c>
      <c r="L6" s="135"/>
    </row>
    <row r="7" spans="1:12" ht="21" customHeight="1" x14ac:dyDescent="0.35">
      <c r="A7" s="386"/>
      <c r="B7" s="145" t="s">
        <v>225</v>
      </c>
      <c r="C7" s="143">
        <f t="shared" si="2"/>
        <v>42087.583419289585</v>
      </c>
      <c r="D7" s="143">
        <f t="shared" si="2"/>
        <v>59709.496988158549</v>
      </c>
      <c r="E7" s="143">
        <f t="shared" si="2"/>
        <v>69143.450716947031</v>
      </c>
      <c r="F7" s="143">
        <f t="shared" si="2"/>
        <v>73771.428017862141</v>
      </c>
      <c r="G7" s="143">
        <f t="shared" si="2"/>
        <v>82315.386111859189</v>
      </c>
      <c r="H7" s="143">
        <f t="shared" si="2"/>
        <v>445433.60510673461</v>
      </c>
      <c r="I7" s="143">
        <f t="shared" si="2"/>
        <v>145754.27495978761</v>
      </c>
      <c r="J7" s="144">
        <f t="shared" si="2"/>
        <v>162664.19202082336</v>
      </c>
      <c r="L7" s="135"/>
    </row>
    <row r="8" spans="1:12" ht="21" customHeight="1" x14ac:dyDescent="0.35">
      <c r="A8" s="386"/>
      <c r="B8" s="145" t="s">
        <v>24</v>
      </c>
      <c r="C8" s="143">
        <f t="shared" si="2"/>
        <v>265996.23916666664</v>
      </c>
      <c r="D8" s="143">
        <f t="shared" si="2"/>
        <v>282346.23916666664</v>
      </c>
      <c r="E8" s="143">
        <f t="shared" si="2"/>
        <v>291846.2391666667</v>
      </c>
      <c r="F8" s="143">
        <f t="shared" si="2"/>
        <v>294446.2391666667</v>
      </c>
      <c r="G8" s="143">
        <f t="shared" si="2"/>
        <v>304246.2391666667</v>
      </c>
      <c r="H8" s="143">
        <f t="shared" si="2"/>
        <v>674746.23916666675</v>
      </c>
      <c r="I8" s="143">
        <f t="shared" si="2"/>
        <v>374026.2391666667</v>
      </c>
      <c r="J8" s="144">
        <f t="shared" si="2"/>
        <v>374776.2391666667</v>
      </c>
      <c r="L8" s="135"/>
    </row>
    <row r="9" spans="1:12" ht="21" customHeight="1" x14ac:dyDescent="0.35">
      <c r="A9" s="387"/>
      <c r="B9" s="169" t="s">
        <v>220</v>
      </c>
      <c r="C9" s="146">
        <f t="shared" si="2"/>
        <v>850794.54709869192</v>
      </c>
      <c r="D9" s="146">
        <f t="shared" si="2"/>
        <v>671192.14180440304</v>
      </c>
      <c r="E9" s="146">
        <f t="shared" si="2"/>
        <v>713506.48363361356</v>
      </c>
      <c r="F9" s="146">
        <f>F17*1400000/100</f>
        <v>744329.46093452885</v>
      </c>
      <c r="G9" s="146">
        <f t="shared" ref="G9:J9" si="3">G17*1400000/100</f>
        <v>806233.41902852594</v>
      </c>
      <c r="H9" s="146">
        <f t="shared" si="3"/>
        <v>3391151.6380234016</v>
      </c>
      <c r="I9" s="146">
        <f t="shared" si="3"/>
        <v>1262885.3078764544</v>
      </c>
      <c r="J9" s="147">
        <f t="shared" si="3"/>
        <v>1366757.7249374902</v>
      </c>
      <c r="L9" s="135"/>
    </row>
    <row r="10" spans="1:12" ht="21" customHeight="1" x14ac:dyDescent="0.35">
      <c r="A10" s="388" t="s">
        <v>239</v>
      </c>
      <c r="B10" s="389"/>
      <c r="C10" s="157">
        <f>'Diesel Summary'!B35</f>
        <v>-83147.920346069091</v>
      </c>
      <c r="D10" s="157">
        <f>'Mix 1 Summary'!B35</f>
        <v>66160.39851708879</v>
      </c>
      <c r="E10" s="157">
        <f>'Mix 2 Summary'!B35</f>
        <v>7628.0104166665697</v>
      </c>
      <c r="F10" s="157">
        <f>'Mix 3 Summary'!B35</f>
        <v>-31150.98958333343</v>
      </c>
      <c r="G10" s="157">
        <f>'Mix 4 Summary'!B35</f>
        <v>-107742.98958333343</v>
      </c>
      <c r="H10" s="157">
        <f>'100% Renewable Summary'!B35</f>
        <v>-3316902.9895833335</v>
      </c>
      <c r="I10" s="157">
        <f>'100% Wind Summary'!B35</f>
        <v>-673453.58958333347</v>
      </c>
      <c r="J10" s="158">
        <f>'100% Solar Summary'!B35</f>
        <v>-806396.08958333347</v>
      </c>
      <c r="L10" s="135"/>
    </row>
    <row r="11" spans="1:12" ht="21" customHeight="1" x14ac:dyDescent="0.35">
      <c r="A11" s="388" t="s">
        <v>240</v>
      </c>
      <c r="B11" s="389"/>
      <c r="C11" s="157">
        <f>'Diesel Summary'!B37</f>
        <v>-10794.547098691954</v>
      </c>
      <c r="D11" s="157">
        <f>'Mix 1 Summary'!B37</f>
        <v>168807.8581955969</v>
      </c>
      <c r="E11" s="157">
        <f>'Mix 2 Summary'!B37</f>
        <v>126493.5163663862</v>
      </c>
      <c r="F11" s="157">
        <f>'Mix 3 Summary'!B37</f>
        <v>95670.539065471094</v>
      </c>
      <c r="G11" s="157">
        <f>'Mix 4 Summary'!B37</f>
        <v>33766.580971474061</v>
      </c>
      <c r="H11" s="157">
        <f>'100% Renewable Summary'!B37</f>
        <v>-2551151.6380234016</v>
      </c>
      <c r="I11" s="157">
        <f>'100% Wind Summary'!B37</f>
        <v>-422885.30787645438</v>
      </c>
      <c r="J11" s="158">
        <f>'100% Solar Summary'!B37</f>
        <v>-526757.72493749019</v>
      </c>
      <c r="L11" s="135"/>
    </row>
    <row r="12" spans="1:12" ht="21" customHeight="1" x14ac:dyDescent="0.35">
      <c r="A12" s="388" t="s">
        <v>223</v>
      </c>
      <c r="B12" s="389"/>
      <c r="C12" s="159">
        <f>'Diesel Summary'!B44</f>
        <v>-152137.74842452354</v>
      </c>
      <c r="D12" s="159">
        <f>'Mix 1 Summary'!B44</f>
        <v>2379168.5957214856</v>
      </c>
      <c r="E12" s="159">
        <f>'Mix 2 Summary'!B44</f>
        <v>1782792.6076319211</v>
      </c>
      <c r="F12" s="159">
        <f>'Mix 3 Summary'!B44</f>
        <v>1348375.2741923686</v>
      </c>
      <c r="G12" s="159">
        <f>'Mix 4 Summary'!B44</f>
        <v>475904.32039681694</v>
      </c>
      <c r="H12" s="159">
        <f>'100% Renewable Summary'!B44</f>
        <v>-35955789.765876077</v>
      </c>
      <c r="I12" s="159">
        <f>'100% Wind Summary'!B44</f>
        <v>-5960122.0870055147</v>
      </c>
      <c r="J12" s="160">
        <f>'100% Solar Summary'!B44</f>
        <v>-7424094.1750048343</v>
      </c>
      <c r="L12" s="135"/>
    </row>
    <row r="13" spans="1:12" ht="21" customHeight="1" x14ac:dyDescent="0.35">
      <c r="A13" s="385" t="s">
        <v>268</v>
      </c>
      <c r="B13" s="148" t="s">
        <v>4</v>
      </c>
      <c r="C13" s="149">
        <f>'Diesel Summary'!B59</f>
        <v>23.438137911623979</v>
      </c>
      <c r="D13" s="149">
        <f>'Mix 1 Summary'!B59</f>
        <v>1.7655079928269888</v>
      </c>
      <c r="E13" s="149">
        <f>'Mix 2 Summary'!B59</f>
        <v>0</v>
      </c>
      <c r="F13" s="149">
        <f>'Mix 3 Summary'!B59</f>
        <v>0</v>
      </c>
      <c r="G13" s="149">
        <f>'Mix 4 Summary'!B59</f>
        <v>0</v>
      </c>
      <c r="H13" s="149">
        <f>'100% Renewable Summary'!B59</f>
        <v>0</v>
      </c>
      <c r="I13" s="149">
        <f>'100% Wind Summary'!B59</f>
        <v>0</v>
      </c>
      <c r="J13" s="150">
        <f>'100% Solar Summary'!B59</f>
        <v>0</v>
      </c>
    </row>
    <row r="14" spans="1:12" ht="21" customHeight="1" x14ac:dyDescent="0.35">
      <c r="A14" s="386"/>
      <c r="B14" s="145" t="s">
        <v>224</v>
      </c>
      <c r="C14" s="151">
        <f>'Diesel Summary'!B60</f>
        <v>15.326913839285716</v>
      </c>
      <c r="D14" s="151">
        <f>'Mix 1 Summary'!B60</f>
        <v>21.744235267857142</v>
      </c>
      <c r="E14" s="151">
        <f>'Mix 2 Summary'!B60</f>
        <v>25.179770982142855</v>
      </c>
      <c r="F14" s="151">
        <f>'Mix 3 Summary'!B60</f>
        <v>26.865128124999998</v>
      </c>
      <c r="G14" s="151">
        <f>'Mix 4 Summary'!B60</f>
        <v>29.976556696428574</v>
      </c>
      <c r="H14" s="151">
        <f>'100% Renewable Summary'!B60</f>
        <v>162.21227098214288</v>
      </c>
      <c r="I14" s="151">
        <f>'100% Wind Summary'!B60</f>
        <v>53.078913839285725</v>
      </c>
      <c r="J14" s="152">
        <f>'100% Solar Summary'!B60</f>
        <v>59.236949553571435</v>
      </c>
    </row>
    <row r="15" spans="1:12" ht="21" customHeight="1" x14ac:dyDescent="0.35">
      <c r="A15" s="386"/>
      <c r="B15" s="145" t="s">
        <v>225</v>
      </c>
      <c r="C15" s="151">
        <f>'Diesel Summary'!B61</f>
        <v>3.0062559585206849</v>
      </c>
      <c r="D15" s="151">
        <f>'Mix 1 Summary'!B61</f>
        <v>4.2649640705827538</v>
      </c>
      <c r="E15" s="151">
        <f>'Mix 2 Summary'!B61</f>
        <v>4.938817908353359</v>
      </c>
      <c r="F15" s="151">
        <f>'Mix 3 Summary'!B61</f>
        <v>5.2693877155615816</v>
      </c>
      <c r="G15" s="151">
        <f>'Mix 4 Summary'!B61</f>
        <v>5.8796704365613701</v>
      </c>
      <c r="H15" s="151">
        <f>'100% Renewable Summary'!B61</f>
        <v>31.816686079052474</v>
      </c>
      <c r="I15" s="151">
        <f>'100% Wind Summary'!B61</f>
        <v>10.411019639984829</v>
      </c>
      <c r="J15" s="152">
        <f>'100% Solar Summary'!B61</f>
        <v>11.61887085863024</v>
      </c>
    </row>
    <row r="16" spans="1:12" ht="21" customHeight="1" x14ac:dyDescent="0.35">
      <c r="A16" s="386"/>
      <c r="B16" s="145" t="s">
        <v>24</v>
      </c>
      <c r="C16" s="151">
        <f>'Diesel Summary'!B62</f>
        <v>18.999731369047616</v>
      </c>
      <c r="D16" s="151">
        <f>'Mix 1 Summary'!B62</f>
        <v>20.167588511904761</v>
      </c>
      <c r="E16" s="151">
        <f>'Mix 2 Summary'!B62</f>
        <v>20.846159940476191</v>
      </c>
      <c r="F16" s="151">
        <f>'Mix 3 Summary'!B62</f>
        <v>21.031874226190478</v>
      </c>
      <c r="G16" s="151">
        <f>'Mix 4 Summary'!B62</f>
        <v>21.731874226190477</v>
      </c>
      <c r="H16" s="151">
        <f>'100% Renewable Summary'!B62</f>
        <v>48.196159940476193</v>
      </c>
      <c r="I16" s="151">
        <f>'100% Wind Summary'!B62</f>
        <v>26.716159940476192</v>
      </c>
      <c r="J16" s="152">
        <f>'100% Solar Summary'!B62</f>
        <v>26.769731369047623</v>
      </c>
    </row>
    <row r="17" spans="1:14" ht="21" customHeight="1" x14ac:dyDescent="0.35">
      <c r="A17" s="387"/>
      <c r="B17" s="169" t="s">
        <v>220</v>
      </c>
      <c r="C17" s="153">
        <f>'Diesel Summary'!B63</f>
        <v>60.77103907847799</v>
      </c>
      <c r="D17" s="153">
        <f>'Mix 1 Summary'!B63</f>
        <v>47.942295843171649</v>
      </c>
      <c r="E17" s="153">
        <f>'Mix 2 Summary'!B63</f>
        <v>50.964748830972404</v>
      </c>
      <c r="F17" s="153">
        <f>'Mix 3 Summary'!B63</f>
        <v>53.166390066752058</v>
      </c>
      <c r="G17" s="153">
        <f>'Mix 4 Summary'!B63</f>
        <v>57.588101359180421</v>
      </c>
      <c r="H17" s="153">
        <f>'100% Renewable Summary'!B63</f>
        <v>242.22511700167155</v>
      </c>
      <c r="I17" s="153">
        <f>'100% Wind Summary'!B63</f>
        <v>90.20609341974675</v>
      </c>
      <c r="J17" s="154">
        <f>'100% Solar Summary'!B63</f>
        <v>97.6255517812493</v>
      </c>
    </row>
    <row r="18" spans="1:14" ht="21" customHeight="1" thickBot="1" x14ac:dyDescent="0.4">
      <c r="A18" s="140" t="s">
        <v>218</v>
      </c>
      <c r="B18" s="141"/>
      <c r="C18" s="155">
        <f>'Diesel Summary'!B64</f>
        <v>-0.77103907847799036</v>
      </c>
      <c r="D18" s="155">
        <f>'Mix 1 Summary'!B64</f>
        <v>12.057704156828351</v>
      </c>
      <c r="E18" s="155">
        <f>'Mix 2 Summary'!B64</f>
        <v>9.0352511690275961</v>
      </c>
      <c r="F18" s="155">
        <f>'Mix 3 Summary'!B64</f>
        <v>6.8336099332479421</v>
      </c>
      <c r="G18" s="155">
        <f>'Mix 4 Summary'!B64</f>
        <v>2.4118986408195795</v>
      </c>
      <c r="H18" s="155">
        <f>'100% Renewable Summary'!B64</f>
        <v>-182.22511700167155</v>
      </c>
      <c r="I18" s="155">
        <f>'100% Wind Summary'!B64</f>
        <v>-30.20609341974675</v>
      </c>
      <c r="J18" s="156">
        <f>'100% Solar Summary'!B64</f>
        <v>-37.6255517812493</v>
      </c>
    </row>
    <row r="21" spans="1:14" x14ac:dyDescent="0.35">
      <c r="G21" s="51"/>
    </row>
    <row r="24" spans="1:14" s="134" customFormat="1" x14ac:dyDescent="0.35">
      <c r="A24" s="137" t="s">
        <v>219</v>
      </c>
      <c r="B24" s="137"/>
      <c r="C24" s="132">
        <f>C17+C18</f>
        <v>60</v>
      </c>
      <c r="D24" s="132">
        <f t="shared" ref="D24:J24" si="4">D17+D18</f>
        <v>60</v>
      </c>
      <c r="E24" s="132">
        <f t="shared" si="4"/>
        <v>60</v>
      </c>
      <c r="F24" s="132">
        <f t="shared" si="4"/>
        <v>60</v>
      </c>
      <c r="G24" s="132">
        <f t="shared" si="4"/>
        <v>60</v>
      </c>
      <c r="H24" s="132">
        <f t="shared" si="4"/>
        <v>60</v>
      </c>
      <c r="I24" s="132">
        <f t="shared" si="4"/>
        <v>60</v>
      </c>
      <c r="J24" s="132">
        <f t="shared" si="4"/>
        <v>60</v>
      </c>
      <c r="K24" s="133"/>
      <c r="L24" s="133"/>
      <c r="M24" s="133"/>
      <c r="N24" s="133"/>
    </row>
  </sheetData>
  <sheetProtection algorithmName="SHA-512" hashValue="CcxRE6iP4mItp/G3++E3kWO9X9S2Kmkij88i9hhQT0+4KVUfny9Ha6o143fcDrHtwCEdnwsLkEr6eFR3hwj/CQ==" saltValue="3jzHu/z6B6HQ0xe61ji54w==" spinCount="100000" sheet="1" objects="1" scenarios="1" selectLockedCells="1"/>
  <mergeCells count="8">
    <mergeCell ref="A2:B2"/>
    <mergeCell ref="A3:B3"/>
    <mergeCell ref="A4:B4"/>
    <mergeCell ref="A5:A9"/>
    <mergeCell ref="A13:A17"/>
    <mergeCell ref="A10:B10"/>
    <mergeCell ref="A11:B11"/>
    <mergeCell ref="A12:B12"/>
  </mergeCells>
  <pageMargins left="0.7" right="0.7" top="0.75" bottom="0.75" header="0.3" footer="0.3"/>
  <pageSetup paperSize="9" scale="6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4761A-BCD9-4765-B7D1-3049884183DB}">
  <sheetPr>
    <pageSetUpPr fitToPage="1"/>
  </sheetPr>
  <dimension ref="A1:AD27"/>
  <sheetViews>
    <sheetView workbookViewId="0">
      <selection activeCell="D1" sqref="D1"/>
    </sheetView>
  </sheetViews>
  <sheetFormatPr defaultRowHeight="14.5" x14ac:dyDescent="0.35"/>
  <cols>
    <col min="3" max="3" width="5.453125" customWidth="1"/>
    <col min="4" max="28" width="9.453125" bestFit="1" customWidth="1"/>
    <col min="30" max="30" width="11.54296875" customWidth="1"/>
  </cols>
  <sheetData>
    <row r="1" spans="1:30" x14ac:dyDescent="0.35">
      <c r="A1" s="16" t="s">
        <v>45</v>
      </c>
      <c r="B1" s="4"/>
      <c r="C1" s="4"/>
      <c r="D1" s="16" t="str">
        <f>'Generation &amp; Ops Scenarios'!C27</f>
        <v>Mix 1 Wind, Solar Diesel standby</v>
      </c>
      <c r="E1" s="4"/>
      <c r="F1" s="4"/>
      <c r="G1" s="4"/>
      <c r="H1" s="4"/>
      <c r="I1" s="4"/>
      <c r="J1" s="4"/>
      <c r="K1" s="4"/>
      <c r="L1" s="4"/>
      <c r="M1" s="4"/>
      <c r="N1" s="4"/>
      <c r="O1" s="4"/>
      <c r="P1" s="4"/>
      <c r="Q1" s="4"/>
      <c r="R1" s="4"/>
      <c r="S1" s="4"/>
      <c r="T1" s="4"/>
      <c r="U1" s="4"/>
      <c r="V1" s="4"/>
      <c r="W1" s="4"/>
      <c r="X1" s="4"/>
      <c r="Y1" s="4"/>
      <c r="Z1" s="4"/>
      <c r="AA1" s="4"/>
      <c r="AB1" s="4"/>
      <c r="AC1" s="4"/>
      <c r="AD1" s="4"/>
    </row>
    <row r="2" spans="1:30" x14ac:dyDescent="0.35">
      <c r="A2" s="4"/>
      <c r="B2" s="4"/>
      <c r="C2" s="4"/>
      <c r="D2" s="17"/>
      <c r="E2" s="17"/>
      <c r="F2" s="17"/>
      <c r="G2" s="17"/>
      <c r="H2" s="17"/>
      <c r="I2" s="17"/>
      <c r="J2" s="17"/>
      <c r="K2" s="17"/>
      <c r="L2" s="17"/>
      <c r="M2" s="17"/>
      <c r="N2" s="17"/>
      <c r="O2" s="17"/>
      <c r="P2" s="17"/>
      <c r="Q2" s="17"/>
      <c r="R2" s="17"/>
      <c r="S2" s="17"/>
      <c r="T2" s="17"/>
      <c r="U2" s="17"/>
      <c r="V2" s="17"/>
      <c r="W2" s="17"/>
      <c r="X2" s="17"/>
      <c r="Y2" s="17"/>
      <c r="Z2" s="17"/>
      <c r="AA2" s="17"/>
      <c r="AB2" s="17"/>
      <c r="AC2" s="17"/>
      <c r="AD2" s="4"/>
    </row>
    <row r="3" spans="1:30" x14ac:dyDescent="0.35">
      <c r="A3" s="4"/>
      <c r="B3" s="4"/>
      <c r="C3" s="4"/>
      <c r="D3" s="17">
        <v>1</v>
      </c>
      <c r="E3" s="17">
        <v>2</v>
      </c>
      <c r="F3" s="17">
        <v>3</v>
      </c>
      <c r="G3" s="17">
        <v>4</v>
      </c>
      <c r="H3" s="17">
        <v>5</v>
      </c>
      <c r="I3" s="17">
        <v>6</v>
      </c>
      <c r="J3" s="17">
        <v>7</v>
      </c>
      <c r="K3" s="17">
        <v>8</v>
      </c>
      <c r="L3" s="17">
        <v>9</v>
      </c>
      <c r="M3" s="17">
        <v>10</v>
      </c>
      <c r="N3" s="17">
        <v>11</v>
      </c>
      <c r="O3" s="17">
        <v>12</v>
      </c>
      <c r="P3" s="17">
        <v>13</v>
      </c>
      <c r="Q3" s="17">
        <v>14</v>
      </c>
      <c r="R3" s="17">
        <v>15</v>
      </c>
      <c r="S3" s="17">
        <v>16</v>
      </c>
      <c r="T3" s="17">
        <v>17</v>
      </c>
      <c r="U3" s="17">
        <v>18</v>
      </c>
      <c r="V3" s="17">
        <v>19</v>
      </c>
      <c r="W3" s="17">
        <v>20</v>
      </c>
      <c r="X3" s="17">
        <v>21</v>
      </c>
      <c r="Y3" s="17">
        <v>22</v>
      </c>
      <c r="Z3" s="17">
        <v>23</v>
      </c>
      <c r="AA3" s="17">
        <v>24</v>
      </c>
      <c r="AB3" s="17">
        <v>25</v>
      </c>
      <c r="AC3" s="17"/>
      <c r="AD3" s="17" t="s">
        <v>46</v>
      </c>
    </row>
    <row r="4" spans="1:30" ht="15.5" x14ac:dyDescent="0.35">
      <c r="A4" s="18" t="s">
        <v>3</v>
      </c>
      <c r="B4" s="18"/>
      <c r="C4" s="18"/>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5">
      <c r="A5" s="4" t="s">
        <v>76</v>
      </c>
      <c r="B5" s="4"/>
      <c r="C5" s="4"/>
      <c r="D5" s="19">
        <f>'Mix 1 Cash Flow'!D7</f>
        <v>840000</v>
      </c>
      <c r="E5" s="19">
        <f>'Mix 1 Cash Flow'!E7</f>
        <v>840000</v>
      </c>
      <c r="F5" s="19">
        <f>'Mix 1 Cash Flow'!F7</f>
        <v>840000</v>
      </c>
      <c r="G5" s="19">
        <f>'Mix 1 Cash Flow'!G7</f>
        <v>840000</v>
      </c>
      <c r="H5" s="19">
        <f>'Mix 1 Cash Flow'!H7</f>
        <v>840000</v>
      </c>
      <c r="I5" s="19">
        <f>'Mix 1 Cash Flow'!I7</f>
        <v>840000</v>
      </c>
      <c r="J5" s="19">
        <f>'Mix 1 Cash Flow'!J7</f>
        <v>840000</v>
      </c>
      <c r="K5" s="19">
        <f>'Mix 1 Cash Flow'!K7</f>
        <v>840000</v>
      </c>
      <c r="L5" s="19">
        <f>'Mix 1 Cash Flow'!L7</f>
        <v>840000</v>
      </c>
      <c r="M5" s="19">
        <f>'Mix 1 Cash Flow'!M7</f>
        <v>840000</v>
      </c>
      <c r="N5" s="19">
        <f>'Mix 1 Cash Flow'!N7</f>
        <v>840000</v>
      </c>
      <c r="O5" s="19">
        <f>'Mix 1 Cash Flow'!O7</f>
        <v>840000</v>
      </c>
      <c r="P5" s="19">
        <f>'Mix 1 Cash Flow'!P7</f>
        <v>840000</v>
      </c>
      <c r="Q5" s="19">
        <f>'Mix 1 Cash Flow'!Q7</f>
        <v>840000</v>
      </c>
      <c r="R5" s="19">
        <f>'Mix 1 Cash Flow'!R7</f>
        <v>840000</v>
      </c>
      <c r="S5" s="19">
        <f>'Mix 1 Cash Flow'!S7</f>
        <v>840000</v>
      </c>
      <c r="T5" s="19">
        <f>'Mix 1 Cash Flow'!T7</f>
        <v>840000</v>
      </c>
      <c r="U5" s="19">
        <f>'Mix 1 Cash Flow'!U7</f>
        <v>840000</v>
      </c>
      <c r="V5" s="19">
        <f>'Mix 1 Cash Flow'!V7</f>
        <v>840000</v>
      </c>
      <c r="W5" s="19">
        <f>'Mix 1 Cash Flow'!W7</f>
        <v>840000</v>
      </c>
      <c r="X5" s="19">
        <f>'Mix 1 Cash Flow'!X7</f>
        <v>840000</v>
      </c>
      <c r="Y5" s="19">
        <f>'Mix 1 Cash Flow'!Y7</f>
        <v>840000</v>
      </c>
      <c r="Z5" s="19">
        <f>'Mix 1 Cash Flow'!Z7</f>
        <v>840000</v>
      </c>
      <c r="AA5" s="19">
        <f>'Mix 1 Cash Flow'!AA7</f>
        <v>840000</v>
      </c>
      <c r="AB5" s="19">
        <f>'Mix 1 Cash Flow'!AB7</f>
        <v>840000</v>
      </c>
      <c r="AC5" s="19"/>
      <c r="AD5" s="19">
        <f>SUM(D5:AC5)</f>
        <v>21000000</v>
      </c>
    </row>
    <row r="6" spans="1:30" x14ac:dyDescent="0.35">
      <c r="A6" s="4" t="s">
        <v>52</v>
      </c>
      <c r="B6" s="4"/>
      <c r="C6" s="4"/>
      <c r="D6" s="19">
        <v>0</v>
      </c>
      <c r="E6" s="19">
        <v>0</v>
      </c>
      <c r="F6" s="19">
        <v>0</v>
      </c>
      <c r="G6" s="19">
        <v>0</v>
      </c>
      <c r="H6" s="19">
        <v>0</v>
      </c>
      <c r="I6" s="19">
        <v>0</v>
      </c>
      <c r="J6" s="19">
        <v>0</v>
      </c>
      <c r="K6" s="19">
        <v>0</v>
      </c>
      <c r="L6" s="19">
        <v>0</v>
      </c>
      <c r="M6" s="19">
        <v>0</v>
      </c>
      <c r="N6" s="19">
        <v>0</v>
      </c>
      <c r="O6" s="19">
        <v>0</v>
      </c>
      <c r="P6" s="19">
        <v>0</v>
      </c>
      <c r="Q6" s="19">
        <v>0</v>
      </c>
      <c r="R6" s="19">
        <v>0</v>
      </c>
      <c r="S6" s="19">
        <v>0</v>
      </c>
      <c r="T6" s="19">
        <v>0</v>
      </c>
      <c r="U6" s="19">
        <v>0</v>
      </c>
      <c r="V6" s="19">
        <v>0</v>
      </c>
      <c r="W6" s="19">
        <v>0</v>
      </c>
      <c r="X6" s="19">
        <v>0</v>
      </c>
      <c r="Y6" s="19">
        <v>0</v>
      </c>
      <c r="Z6" s="19">
        <v>0</v>
      </c>
      <c r="AA6" s="19">
        <v>0</v>
      </c>
      <c r="AB6" s="19">
        <v>0</v>
      </c>
      <c r="AC6" s="19"/>
      <c r="AD6" s="19">
        <f t="shared" ref="AD6" si="0">SUM(D6:AC6)</f>
        <v>0</v>
      </c>
    </row>
    <row r="7" spans="1:30" x14ac:dyDescent="0.35">
      <c r="A7" s="4"/>
      <c r="B7" s="4"/>
      <c r="C7" s="4"/>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ht="15" thickBot="1" x14ac:dyDescent="0.4">
      <c r="A8" s="4" t="s">
        <v>47</v>
      </c>
      <c r="B8" s="4"/>
      <c r="C8" s="4"/>
      <c r="D8" s="24">
        <f t="shared" ref="D8:AB8" si="1">SUM(D5:D7)</f>
        <v>840000</v>
      </c>
      <c r="E8" s="24">
        <f t="shared" si="1"/>
        <v>840000</v>
      </c>
      <c r="F8" s="24">
        <f t="shared" si="1"/>
        <v>840000</v>
      </c>
      <c r="G8" s="24">
        <f t="shared" si="1"/>
        <v>840000</v>
      </c>
      <c r="H8" s="24">
        <f t="shared" si="1"/>
        <v>840000</v>
      </c>
      <c r="I8" s="24">
        <f t="shared" si="1"/>
        <v>840000</v>
      </c>
      <c r="J8" s="24">
        <f t="shared" si="1"/>
        <v>840000</v>
      </c>
      <c r="K8" s="24">
        <f t="shared" si="1"/>
        <v>840000</v>
      </c>
      <c r="L8" s="24">
        <f t="shared" si="1"/>
        <v>840000</v>
      </c>
      <c r="M8" s="24">
        <f t="shared" si="1"/>
        <v>840000</v>
      </c>
      <c r="N8" s="24">
        <f t="shared" si="1"/>
        <v>840000</v>
      </c>
      <c r="O8" s="24">
        <f t="shared" si="1"/>
        <v>840000</v>
      </c>
      <c r="P8" s="24">
        <f t="shared" si="1"/>
        <v>840000</v>
      </c>
      <c r="Q8" s="24">
        <f t="shared" si="1"/>
        <v>840000</v>
      </c>
      <c r="R8" s="24">
        <f t="shared" si="1"/>
        <v>840000</v>
      </c>
      <c r="S8" s="24">
        <f t="shared" si="1"/>
        <v>840000</v>
      </c>
      <c r="T8" s="24">
        <f t="shared" si="1"/>
        <v>840000</v>
      </c>
      <c r="U8" s="24">
        <f t="shared" si="1"/>
        <v>840000</v>
      </c>
      <c r="V8" s="24">
        <f t="shared" si="1"/>
        <v>840000</v>
      </c>
      <c r="W8" s="24">
        <f t="shared" si="1"/>
        <v>840000</v>
      </c>
      <c r="X8" s="24">
        <f t="shared" si="1"/>
        <v>840000</v>
      </c>
      <c r="Y8" s="24">
        <f t="shared" si="1"/>
        <v>840000</v>
      </c>
      <c r="Z8" s="24">
        <f t="shared" si="1"/>
        <v>840000</v>
      </c>
      <c r="AA8" s="24">
        <f t="shared" si="1"/>
        <v>840000</v>
      </c>
      <c r="AB8" s="24">
        <f t="shared" si="1"/>
        <v>840000</v>
      </c>
      <c r="AC8" s="19"/>
      <c r="AD8" s="24">
        <f>SUM(AD5:AD7)</f>
        <v>21000000</v>
      </c>
    </row>
    <row r="9" spans="1:30" ht="15" thickTop="1" x14ac:dyDescent="0.35">
      <c r="A9" s="4"/>
      <c r="B9" s="4"/>
      <c r="C9" s="4"/>
      <c r="D9" s="19"/>
      <c r="E9" s="19"/>
      <c r="F9" s="19"/>
      <c r="G9" s="19"/>
      <c r="H9" s="19"/>
      <c r="I9" s="19"/>
      <c r="J9" s="19"/>
      <c r="K9" s="19"/>
      <c r="L9" s="19"/>
      <c r="M9" s="19"/>
      <c r="N9" s="19"/>
      <c r="O9" s="19"/>
      <c r="P9" s="19"/>
      <c r="Q9" s="19"/>
      <c r="R9" s="19"/>
      <c r="S9" s="19"/>
      <c r="T9" s="19"/>
      <c r="U9" s="19"/>
      <c r="V9" s="19"/>
      <c r="W9" s="19"/>
      <c r="X9" s="19"/>
      <c r="Y9" s="19"/>
      <c r="Z9" s="19"/>
      <c r="AA9" s="19"/>
      <c r="AB9" s="19"/>
      <c r="AC9" s="19"/>
      <c r="AD9" s="19"/>
    </row>
    <row r="10" spans="1:30" x14ac:dyDescent="0.35">
      <c r="A10" s="4"/>
      <c r="B10" s="4"/>
      <c r="C10" s="4"/>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0" ht="15.5" x14ac:dyDescent="0.35">
      <c r="A11" s="18" t="s">
        <v>2</v>
      </c>
      <c r="B11" s="18"/>
      <c r="C11" s="18"/>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row>
    <row r="12" spans="1:30" x14ac:dyDescent="0.35">
      <c r="A12" s="4" t="s">
        <v>4</v>
      </c>
      <c r="B12" s="4"/>
      <c r="C12" s="4"/>
      <c r="D12" s="19">
        <f>'Mix 1 Cash Flow'!D8</f>
        <v>-24717.111899577845</v>
      </c>
      <c r="E12" s="19">
        <f>'Mix 1 Cash Flow'!E8</f>
        <v>-24717.111899577845</v>
      </c>
      <c r="F12" s="19">
        <f>'Mix 1 Cash Flow'!F8</f>
        <v>-24717.111899577845</v>
      </c>
      <c r="G12" s="19">
        <f>'Mix 1 Cash Flow'!G8</f>
        <v>-24717.111899577845</v>
      </c>
      <c r="H12" s="19">
        <f>'Mix 1 Cash Flow'!H8</f>
        <v>-24717.111899577845</v>
      </c>
      <c r="I12" s="19">
        <f>'Mix 1 Cash Flow'!I8</f>
        <v>-24717.111899577845</v>
      </c>
      <c r="J12" s="19">
        <f>'Mix 1 Cash Flow'!J8</f>
        <v>-24717.111899577845</v>
      </c>
      <c r="K12" s="19">
        <f>'Mix 1 Cash Flow'!K8</f>
        <v>-24717.111899577845</v>
      </c>
      <c r="L12" s="19">
        <f>'Mix 1 Cash Flow'!L8</f>
        <v>-24717.111899577845</v>
      </c>
      <c r="M12" s="19">
        <f>'Mix 1 Cash Flow'!M8</f>
        <v>-24717.111899577845</v>
      </c>
      <c r="N12" s="19">
        <f>'Mix 1 Cash Flow'!N8</f>
        <v>-24717.111899577845</v>
      </c>
      <c r="O12" s="19">
        <f>'Mix 1 Cash Flow'!O8</f>
        <v>-24717.111899577845</v>
      </c>
      <c r="P12" s="19">
        <f>'Mix 1 Cash Flow'!P8</f>
        <v>-24717.111899577845</v>
      </c>
      <c r="Q12" s="19">
        <f>'Mix 1 Cash Flow'!Q8</f>
        <v>-24717.111899577845</v>
      </c>
      <c r="R12" s="19">
        <f>'Mix 1 Cash Flow'!R8</f>
        <v>-24717.111899577845</v>
      </c>
      <c r="S12" s="19">
        <f>'Mix 1 Cash Flow'!S8</f>
        <v>-24717.111899577845</v>
      </c>
      <c r="T12" s="19">
        <f>'Mix 1 Cash Flow'!T8</f>
        <v>-24717.111899577845</v>
      </c>
      <c r="U12" s="19">
        <f>'Mix 1 Cash Flow'!U8</f>
        <v>-24717.111899577845</v>
      </c>
      <c r="V12" s="19">
        <f>'Mix 1 Cash Flow'!V8</f>
        <v>-24717.111899577845</v>
      </c>
      <c r="W12" s="19">
        <f>'Mix 1 Cash Flow'!W8</f>
        <v>-24717.111899577845</v>
      </c>
      <c r="X12" s="19">
        <f>'Mix 1 Cash Flow'!X8</f>
        <v>-24717.111899577845</v>
      </c>
      <c r="Y12" s="19">
        <f>'Mix 1 Cash Flow'!Y8</f>
        <v>-24717.111899577845</v>
      </c>
      <c r="Z12" s="19">
        <f>'Mix 1 Cash Flow'!Z8</f>
        <v>-24717.111899577845</v>
      </c>
      <c r="AA12" s="19">
        <f>'Mix 1 Cash Flow'!AA8</f>
        <v>-24717.111899577845</v>
      </c>
      <c r="AB12" s="19">
        <f>'Mix 1 Cash Flow'!AB8</f>
        <v>-24717.111899577845</v>
      </c>
      <c r="AC12" s="19"/>
      <c r="AD12" s="19">
        <f t="shared" ref="AD12:AD13" si="2">SUM(D12:AC12)</f>
        <v>-617927.79748944624</v>
      </c>
    </row>
    <row r="13" spans="1:30" x14ac:dyDescent="0.35">
      <c r="A13" s="4" t="s">
        <v>2</v>
      </c>
      <c r="B13" s="4"/>
      <c r="C13" s="4"/>
      <c r="D13" s="19">
        <f>'Mix 1 Cash Flow'!D9</f>
        <v>-282346.23916666664</v>
      </c>
      <c r="E13" s="19">
        <f>'Mix 1 Cash Flow'!E9</f>
        <v>-282346.23916666664</v>
      </c>
      <c r="F13" s="19">
        <f>'Mix 1 Cash Flow'!F9</f>
        <v>-282346.23916666664</v>
      </c>
      <c r="G13" s="19">
        <f>'Mix 1 Cash Flow'!G9</f>
        <v>-282346.23916666664</v>
      </c>
      <c r="H13" s="19">
        <f>'Mix 1 Cash Flow'!H9</f>
        <v>-282346.23916666664</v>
      </c>
      <c r="I13" s="19">
        <f>'Mix 1 Cash Flow'!I9</f>
        <v>-282346.23916666664</v>
      </c>
      <c r="J13" s="19">
        <f>'Mix 1 Cash Flow'!J9</f>
        <v>-282346.23916666664</v>
      </c>
      <c r="K13" s="19">
        <f>'Mix 1 Cash Flow'!K9</f>
        <v>-282346.23916666664</v>
      </c>
      <c r="L13" s="19">
        <f>'Mix 1 Cash Flow'!L9</f>
        <v>-282346.23916666664</v>
      </c>
      <c r="M13" s="19">
        <f>'Mix 1 Cash Flow'!M9</f>
        <v>-282346.23916666664</v>
      </c>
      <c r="N13" s="19">
        <f>'Mix 1 Cash Flow'!N9</f>
        <v>-282346.23916666664</v>
      </c>
      <c r="O13" s="19">
        <f>'Mix 1 Cash Flow'!O9</f>
        <v>-282346.23916666664</v>
      </c>
      <c r="P13" s="19">
        <f>'Mix 1 Cash Flow'!P9</f>
        <v>-282346.23916666664</v>
      </c>
      <c r="Q13" s="19">
        <f>'Mix 1 Cash Flow'!Q9</f>
        <v>-282346.23916666664</v>
      </c>
      <c r="R13" s="19">
        <f>'Mix 1 Cash Flow'!R9</f>
        <v>-282346.23916666664</v>
      </c>
      <c r="S13" s="19">
        <f>'Mix 1 Cash Flow'!S9</f>
        <v>-282346.23916666664</v>
      </c>
      <c r="T13" s="19">
        <f>'Mix 1 Cash Flow'!T9</f>
        <v>-282346.23916666664</v>
      </c>
      <c r="U13" s="19">
        <f>'Mix 1 Cash Flow'!U9</f>
        <v>-282346.23916666664</v>
      </c>
      <c r="V13" s="19">
        <f>'Mix 1 Cash Flow'!V9</f>
        <v>-282346.23916666664</v>
      </c>
      <c r="W13" s="19">
        <f>'Mix 1 Cash Flow'!W9</f>
        <v>-282346.23916666664</v>
      </c>
      <c r="X13" s="19">
        <f>'Mix 1 Cash Flow'!X9</f>
        <v>-282346.23916666664</v>
      </c>
      <c r="Y13" s="19">
        <f>'Mix 1 Cash Flow'!Y9</f>
        <v>-282346.23916666664</v>
      </c>
      <c r="Z13" s="19">
        <f>'Mix 1 Cash Flow'!Z9</f>
        <v>-282346.23916666664</v>
      </c>
      <c r="AA13" s="19">
        <f>'Mix 1 Cash Flow'!AA9</f>
        <v>-282346.23916666664</v>
      </c>
      <c r="AB13" s="19">
        <f>'Mix 1 Cash Flow'!AB9</f>
        <v>-282346.23916666664</v>
      </c>
      <c r="AC13" s="19"/>
      <c r="AD13" s="19">
        <f t="shared" si="2"/>
        <v>-7058655.9791666679</v>
      </c>
    </row>
    <row r="14" spans="1:30" ht="15" thickBot="1" x14ac:dyDescent="0.4">
      <c r="A14" s="4" t="s">
        <v>48</v>
      </c>
      <c r="B14" s="4"/>
      <c r="C14" s="4"/>
      <c r="D14" s="24">
        <f t="shared" ref="D14:AB14" si="3">SUM(D12:D13)</f>
        <v>-307063.35106624448</v>
      </c>
      <c r="E14" s="24">
        <f t="shared" si="3"/>
        <v>-307063.35106624448</v>
      </c>
      <c r="F14" s="24">
        <f t="shared" si="3"/>
        <v>-307063.35106624448</v>
      </c>
      <c r="G14" s="24">
        <f t="shared" si="3"/>
        <v>-307063.35106624448</v>
      </c>
      <c r="H14" s="24">
        <f t="shared" si="3"/>
        <v>-307063.35106624448</v>
      </c>
      <c r="I14" s="24">
        <f t="shared" si="3"/>
        <v>-307063.35106624448</v>
      </c>
      <c r="J14" s="24">
        <f t="shared" si="3"/>
        <v>-307063.35106624448</v>
      </c>
      <c r="K14" s="24">
        <f t="shared" si="3"/>
        <v>-307063.35106624448</v>
      </c>
      <c r="L14" s="24">
        <f t="shared" si="3"/>
        <v>-307063.35106624448</v>
      </c>
      <c r="M14" s="24">
        <f t="shared" si="3"/>
        <v>-307063.35106624448</v>
      </c>
      <c r="N14" s="24">
        <f t="shared" si="3"/>
        <v>-307063.35106624448</v>
      </c>
      <c r="O14" s="24">
        <f t="shared" si="3"/>
        <v>-307063.35106624448</v>
      </c>
      <c r="P14" s="24">
        <f t="shared" si="3"/>
        <v>-307063.35106624448</v>
      </c>
      <c r="Q14" s="24">
        <f t="shared" si="3"/>
        <v>-307063.35106624448</v>
      </c>
      <c r="R14" s="24">
        <f t="shared" si="3"/>
        <v>-307063.35106624448</v>
      </c>
      <c r="S14" s="24">
        <f t="shared" si="3"/>
        <v>-307063.35106624448</v>
      </c>
      <c r="T14" s="24">
        <f t="shared" si="3"/>
        <v>-307063.35106624448</v>
      </c>
      <c r="U14" s="24">
        <f t="shared" si="3"/>
        <v>-307063.35106624448</v>
      </c>
      <c r="V14" s="24">
        <f t="shared" si="3"/>
        <v>-307063.35106624448</v>
      </c>
      <c r="W14" s="24">
        <f t="shared" si="3"/>
        <v>-307063.35106624448</v>
      </c>
      <c r="X14" s="24">
        <f t="shared" si="3"/>
        <v>-307063.35106624448</v>
      </c>
      <c r="Y14" s="24">
        <f t="shared" si="3"/>
        <v>-307063.35106624448</v>
      </c>
      <c r="Z14" s="24">
        <f t="shared" si="3"/>
        <v>-307063.35106624448</v>
      </c>
      <c r="AA14" s="24">
        <f t="shared" si="3"/>
        <v>-307063.35106624448</v>
      </c>
      <c r="AB14" s="24">
        <f t="shared" si="3"/>
        <v>-307063.35106624448</v>
      </c>
      <c r="AC14" s="19"/>
      <c r="AD14" s="24">
        <f>SUM(AD12:AD13)</f>
        <v>-7676583.7766561145</v>
      </c>
    </row>
    <row r="15" spans="1:30" ht="15" thickTop="1" x14ac:dyDescent="0.35">
      <c r="A15" s="4"/>
      <c r="B15" s="4"/>
      <c r="C15" s="4"/>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row>
    <row r="16" spans="1:30" x14ac:dyDescent="0.35">
      <c r="A16" s="16" t="s">
        <v>49</v>
      </c>
      <c r="B16" s="16"/>
      <c r="C16" s="16"/>
      <c r="D16" s="25">
        <f>D8+D14</f>
        <v>532936.64893375547</v>
      </c>
      <c r="E16" s="25">
        <f t="shared" ref="E16:AB16" si="4">E8+E14</f>
        <v>532936.64893375547</v>
      </c>
      <c r="F16" s="25">
        <f t="shared" si="4"/>
        <v>532936.64893375547</v>
      </c>
      <c r="G16" s="25">
        <f t="shared" si="4"/>
        <v>532936.64893375547</v>
      </c>
      <c r="H16" s="25">
        <f t="shared" si="4"/>
        <v>532936.64893375547</v>
      </c>
      <c r="I16" s="25">
        <f t="shared" si="4"/>
        <v>532936.64893375547</v>
      </c>
      <c r="J16" s="25">
        <f t="shared" si="4"/>
        <v>532936.64893375547</v>
      </c>
      <c r="K16" s="25">
        <f t="shared" si="4"/>
        <v>532936.64893375547</v>
      </c>
      <c r="L16" s="25">
        <f t="shared" si="4"/>
        <v>532936.64893375547</v>
      </c>
      <c r="M16" s="25">
        <f t="shared" si="4"/>
        <v>532936.64893375547</v>
      </c>
      <c r="N16" s="25">
        <f t="shared" si="4"/>
        <v>532936.64893375547</v>
      </c>
      <c r="O16" s="25">
        <f t="shared" si="4"/>
        <v>532936.64893375547</v>
      </c>
      <c r="P16" s="25">
        <f t="shared" si="4"/>
        <v>532936.64893375547</v>
      </c>
      <c r="Q16" s="25">
        <f t="shared" si="4"/>
        <v>532936.64893375547</v>
      </c>
      <c r="R16" s="25">
        <f t="shared" si="4"/>
        <v>532936.64893375547</v>
      </c>
      <c r="S16" s="25">
        <f t="shared" si="4"/>
        <v>532936.64893375547</v>
      </c>
      <c r="T16" s="25">
        <f t="shared" si="4"/>
        <v>532936.64893375547</v>
      </c>
      <c r="U16" s="25">
        <f t="shared" si="4"/>
        <v>532936.64893375547</v>
      </c>
      <c r="V16" s="25">
        <f t="shared" si="4"/>
        <v>532936.64893375547</v>
      </c>
      <c r="W16" s="25">
        <f t="shared" si="4"/>
        <v>532936.64893375547</v>
      </c>
      <c r="X16" s="25">
        <f t="shared" si="4"/>
        <v>532936.64893375547</v>
      </c>
      <c r="Y16" s="25">
        <f t="shared" si="4"/>
        <v>532936.64893375547</v>
      </c>
      <c r="Z16" s="25">
        <f t="shared" si="4"/>
        <v>532936.64893375547</v>
      </c>
      <c r="AA16" s="25">
        <f t="shared" si="4"/>
        <v>532936.64893375547</v>
      </c>
      <c r="AB16" s="25">
        <f t="shared" si="4"/>
        <v>532936.64893375547</v>
      </c>
      <c r="AC16" s="26"/>
      <c r="AD16" s="25">
        <f>AD8-AD14</f>
        <v>28676583.776656114</v>
      </c>
    </row>
    <row r="17" spans="1:30" x14ac:dyDescent="0.35">
      <c r="A17" s="14"/>
      <c r="B17" s="14"/>
      <c r="C17" s="14"/>
      <c r="D17" s="27">
        <f t="shared" ref="D17:AB17" si="5">D16/D8</f>
        <v>0.63444839158780408</v>
      </c>
      <c r="E17" s="27">
        <f t="shared" si="5"/>
        <v>0.63444839158780408</v>
      </c>
      <c r="F17" s="27">
        <f t="shared" si="5"/>
        <v>0.63444839158780408</v>
      </c>
      <c r="G17" s="27">
        <f t="shared" si="5"/>
        <v>0.63444839158780408</v>
      </c>
      <c r="H17" s="27">
        <f t="shared" si="5"/>
        <v>0.63444839158780408</v>
      </c>
      <c r="I17" s="27">
        <f t="shared" si="5"/>
        <v>0.63444839158780408</v>
      </c>
      <c r="J17" s="27">
        <f t="shared" si="5"/>
        <v>0.63444839158780408</v>
      </c>
      <c r="K17" s="27">
        <f t="shared" si="5"/>
        <v>0.63444839158780408</v>
      </c>
      <c r="L17" s="27">
        <f t="shared" si="5"/>
        <v>0.63444839158780408</v>
      </c>
      <c r="M17" s="27">
        <f t="shared" si="5"/>
        <v>0.63444839158780408</v>
      </c>
      <c r="N17" s="27">
        <f t="shared" si="5"/>
        <v>0.63444839158780408</v>
      </c>
      <c r="O17" s="27">
        <f t="shared" si="5"/>
        <v>0.63444839158780408</v>
      </c>
      <c r="P17" s="27">
        <f t="shared" si="5"/>
        <v>0.63444839158780408</v>
      </c>
      <c r="Q17" s="27">
        <f t="shared" si="5"/>
        <v>0.63444839158780408</v>
      </c>
      <c r="R17" s="27">
        <f t="shared" si="5"/>
        <v>0.63444839158780408</v>
      </c>
      <c r="S17" s="27">
        <f t="shared" si="5"/>
        <v>0.63444839158780408</v>
      </c>
      <c r="T17" s="27">
        <f t="shared" si="5"/>
        <v>0.63444839158780408</v>
      </c>
      <c r="U17" s="27">
        <f t="shared" si="5"/>
        <v>0.63444839158780408</v>
      </c>
      <c r="V17" s="27">
        <f t="shared" si="5"/>
        <v>0.63444839158780408</v>
      </c>
      <c r="W17" s="27">
        <f t="shared" si="5"/>
        <v>0.63444839158780408</v>
      </c>
      <c r="X17" s="27">
        <f t="shared" si="5"/>
        <v>0.63444839158780408</v>
      </c>
      <c r="Y17" s="27">
        <f t="shared" si="5"/>
        <v>0.63444839158780408</v>
      </c>
      <c r="Z17" s="27">
        <f t="shared" si="5"/>
        <v>0.63444839158780408</v>
      </c>
      <c r="AA17" s="27">
        <f t="shared" si="5"/>
        <v>0.63444839158780408</v>
      </c>
      <c r="AB17" s="27">
        <f t="shared" si="5"/>
        <v>0.63444839158780408</v>
      </c>
      <c r="AC17" s="27"/>
      <c r="AD17" s="27">
        <f>AD16/AD8</f>
        <v>1.3655516084121959</v>
      </c>
    </row>
    <row r="18" spans="1:30" x14ac:dyDescent="0.35">
      <c r="A18" s="4"/>
      <c r="B18" s="4"/>
      <c r="C18" s="4"/>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x14ac:dyDescent="0.35">
      <c r="A19" s="4" t="s">
        <v>63</v>
      </c>
      <c r="B19" s="4"/>
      <c r="C19" s="4"/>
      <c r="D19" s="19">
        <f>-'Mix 1 Summary'!$B$22/'Mix 1 Summary'!$R$9</f>
        <v>-162356.95666666667</v>
      </c>
      <c r="E19" s="19">
        <f>-'Mix 1 Summary'!$B$22/'Mix 1 Summary'!$R$9</f>
        <v>-162356.95666666667</v>
      </c>
      <c r="F19" s="19">
        <f>-'Mix 1 Summary'!$B$22/'Mix 1 Summary'!$R$9</f>
        <v>-162356.95666666667</v>
      </c>
      <c r="G19" s="19">
        <f>-'Mix 1 Summary'!$B$22/'Mix 1 Summary'!$R$9</f>
        <v>-162356.95666666667</v>
      </c>
      <c r="H19" s="19">
        <f>-'Mix 1 Summary'!$B$22/'Mix 1 Summary'!$R$9</f>
        <v>-162356.95666666667</v>
      </c>
      <c r="I19" s="19">
        <f>-'Mix 1 Summary'!$B$22/'Mix 1 Summary'!$R$9</f>
        <v>-162356.95666666667</v>
      </c>
      <c r="J19" s="19">
        <f>-'Mix 1 Summary'!$B$22/'Mix 1 Summary'!$R$9</f>
        <v>-162356.95666666667</v>
      </c>
      <c r="K19" s="19">
        <f>-'Mix 1 Summary'!$B$22/'Mix 1 Summary'!$R$9</f>
        <v>-162356.95666666667</v>
      </c>
      <c r="L19" s="19">
        <f>-'Mix 1 Summary'!$B$22/'Mix 1 Summary'!$R$9</f>
        <v>-162356.95666666667</v>
      </c>
      <c r="M19" s="19">
        <f>-'Mix 1 Summary'!$B$22/'Mix 1 Summary'!$R$9</f>
        <v>-162356.95666666667</v>
      </c>
      <c r="N19" s="19">
        <f>-'Mix 1 Summary'!$B$22/'Mix 1 Summary'!$R$9</f>
        <v>-162356.95666666667</v>
      </c>
      <c r="O19" s="19">
        <f>-'Mix 1 Summary'!$B$22/'Mix 1 Summary'!$R$9</f>
        <v>-162356.95666666667</v>
      </c>
      <c r="P19" s="19">
        <f>-'Mix 1 Summary'!$B$22/'Mix 1 Summary'!$R$9</f>
        <v>-162356.95666666667</v>
      </c>
      <c r="Q19" s="19">
        <f>-'Mix 1 Summary'!$B$22/'Mix 1 Summary'!$R$9</f>
        <v>-162356.95666666667</v>
      </c>
      <c r="R19" s="19">
        <f>-'Mix 1 Summary'!$B$22/'Mix 1 Summary'!$R$9</f>
        <v>-162356.95666666667</v>
      </c>
      <c r="S19" s="19">
        <f>-'Mix 1 Summary'!$B$22/'Mix 1 Summary'!$R$9</f>
        <v>-162356.95666666667</v>
      </c>
      <c r="T19" s="19">
        <f>-'Mix 1 Summary'!$B$22/'Mix 1 Summary'!$R$9</f>
        <v>-162356.95666666667</v>
      </c>
      <c r="U19" s="19">
        <f>-'Mix 1 Summary'!$B$22/'Mix 1 Summary'!$R$9</f>
        <v>-162356.95666666667</v>
      </c>
      <c r="V19" s="19">
        <f>-'Mix 1 Summary'!$B$22/'Mix 1 Summary'!$R$9</f>
        <v>-162356.95666666667</v>
      </c>
      <c r="W19" s="19">
        <f>-'Mix 1 Summary'!$B$22/'Mix 1 Summary'!$R$9</f>
        <v>-162356.95666666667</v>
      </c>
      <c r="X19" s="19">
        <f>-'Mix 1 Summary'!$B$22/'Mix 1 Summary'!$R$9</f>
        <v>-162356.95666666667</v>
      </c>
      <c r="Y19" s="19">
        <f>-'Mix 1 Summary'!$B$22/'Mix 1 Summary'!$R$9</f>
        <v>-162356.95666666667</v>
      </c>
      <c r="Z19" s="19">
        <f>-'Mix 1 Summary'!$B$22/'Mix 1 Summary'!$R$9</f>
        <v>-162356.95666666667</v>
      </c>
      <c r="AA19" s="19">
        <f>-'Mix 1 Summary'!$B$22/'Mix 1 Summary'!$R$9</f>
        <v>-162356.95666666667</v>
      </c>
      <c r="AB19" s="19">
        <f>-'Mix 1 Summary'!$B$22/'Mix 1 Summary'!$R$9</f>
        <v>-162356.95666666667</v>
      </c>
      <c r="AC19" s="19"/>
      <c r="AD19" s="19">
        <f t="shared" ref="AD19" si="6">SUM(D19:AC19)</f>
        <v>-4058923.9166666646</v>
      </c>
    </row>
    <row r="20" spans="1:30" x14ac:dyDescent="0.35">
      <c r="A20" s="4"/>
      <c r="B20" s="4"/>
      <c r="C20" s="4"/>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1:30" x14ac:dyDescent="0.35">
      <c r="A21" s="16" t="s">
        <v>50</v>
      </c>
      <c r="B21" s="16"/>
      <c r="C21" s="16"/>
      <c r="D21" s="25">
        <f>+D16+D19</f>
        <v>370579.6922670888</v>
      </c>
      <c r="E21" s="25">
        <f t="shared" ref="E21:AB21" si="7">+E16+E19</f>
        <v>370579.6922670888</v>
      </c>
      <c r="F21" s="25">
        <f t="shared" si="7"/>
        <v>370579.6922670888</v>
      </c>
      <c r="G21" s="25">
        <f t="shared" si="7"/>
        <v>370579.6922670888</v>
      </c>
      <c r="H21" s="25">
        <f t="shared" si="7"/>
        <v>370579.6922670888</v>
      </c>
      <c r="I21" s="25">
        <f t="shared" si="7"/>
        <v>370579.6922670888</v>
      </c>
      <c r="J21" s="25">
        <f t="shared" si="7"/>
        <v>370579.6922670888</v>
      </c>
      <c r="K21" s="25">
        <f t="shared" si="7"/>
        <v>370579.6922670888</v>
      </c>
      <c r="L21" s="25">
        <f t="shared" si="7"/>
        <v>370579.6922670888</v>
      </c>
      <c r="M21" s="25">
        <f t="shared" si="7"/>
        <v>370579.6922670888</v>
      </c>
      <c r="N21" s="25">
        <f t="shared" si="7"/>
        <v>370579.6922670888</v>
      </c>
      <c r="O21" s="25">
        <f t="shared" si="7"/>
        <v>370579.6922670888</v>
      </c>
      <c r="P21" s="25">
        <f t="shared" si="7"/>
        <v>370579.6922670888</v>
      </c>
      <c r="Q21" s="25">
        <f t="shared" si="7"/>
        <v>370579.6922670888</v>
      </c>
      <c r="R21" s="25">
        <f t="shared" si="7"/>
        <v>370579.6922670888</v>
      </c>
      <c r="S21" s="25">
        <f t="shared" si="7"/>
        <v>370579.6922670888</v>
      </c>
      <c r="T21" s="25">
        <f t="shared" si="7"/>
        <v>370579.6922670888</v>
      </c>
      <c r="U21" s="25">
        <f t="shared" si="7"/>
        <v>370579.6922670888</v>
      </c>
      <c r="V21" s="25">
        <f t="shared" si="7"/>
        <v>370579.6922670888</v>
      </c>
      <c r="W21" s="25">
        <f t="shared" si="7"/>
        <v>370579.6922670888</v>
      </c>
      <c r="X21" s="25">
        <f t="shared" si="7"/>
        <v>370579.6922670888</v>
      </c>
      <c r="Y21" s="25">
        <f t="shared" si="7"/>
        <v>370579.6922670888</v>
      </c>
      <c r="Z21" s="25">
        <f t="shared" si="7"/>
        <v>370579.6922670888</v>
      </c>
      <c r="AA21" s="25">
        <f t="shared" si="7"/>
        <v>370579.6922670888</v>
      </c>
      <c r="AB21" s="25">
        <f t="shared" si="7"/>
        <v>370579.6922670888</v>
      </c>
      <c r="AC21" s="26"/>
      <c r="AD21" s="25">
        <f t="shared" ref="AD21" si="8">+AD16-AD19</f>
        <v>32735507.693322778</v>
      </c>
    </row>
    <row r="22" spans="1:30" x14ac:dyDescent="0.35">
      <c r="A22" s="4"/>
      <c r="B22" s="4"/>
      <c r="C22" s="4"/>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1:30" x14ac:dyDescent="0.35">
      <c r="A23" s="4" t="s">
        <v>51</v>
      </c>
      <c r="B23" s="4"/>
      <c r="C23" s="4"/>
      <c r="D23" s="19">
        <f>'Mix 1 Interest Calculations'!E14</f>
        <v>-304419.29375000001</v>
      </c>
      <c r="E23" s="19">
        <f>'Mix 1 Interest Calculations'!F14</f>
        <v>-299941.08147588809</v>
      </c>
      <c r="F23" s="19">
        <f>'Mix 1 Interest Calculations'!G14</f>
        <v>-295127.00328121783</v>
      </c>
      <c r="G23" s="19">
        <f>'Mix 1 Interest Calculations'!H14</f>
        <v>-289951.86922194727</v>
      </c>
      <c r="H23" s="19">
        <f>'Mix 1 Interest Calculations'!I14</f>
        <v>-284388.60010823142</v>
      </c>
      <c r="I23" s="19">
        <f>'Mix 1 Interest Calculations'!J14</f>
        <v>-278408.08581098687</v>
      </c>
      <c r="J23" s="19">
        <f>'Mix 1 Interest Calculations'!K14</f>
        <v>-271979.03294144903</v>
      </c>
      <c r="K23" s="19">
        <f>'Mix 1 Interest Calculations'!L14</f>
        <v>-265067.80110669584</v>
      </c>
      <c r="L23" s="19">
        <f>'Mix 1 Interest Calculations'!M14</f>
        <v>-257638.22688433609</v>
      </c>
      <c r="M23" s="19">
        <f>'Mix 1 Interest Calculations'!N14</f>
        <v>-249651.43459529942</v>
      </c>
      <c r="N23" s="19">
        <f>'Mix 1 Interest Calculations'!O14</f>
        <v>-241065.63288458498</v>
      </c>
      <c r="O23" s="19">
        <f>'Mix 1 Interest Calculations'!P14</f>
        <v>-231835.89604556697</v>
      </c>
      <c r="P23" s="19">
        <f>'Mix 1 Interest Calculations'!Q14</f>
        <v>-221913.92894362262</v>
      </c>
      <c r="Q23" s="19">
        <f>'Mix 1 Interest Calculations'!R14</f>
        <v>-211247.81430903243</v>
      </c>
      <c r="R23" s="19">
        <f>'Mix 1 Interest Calculations'!S14</f>
        <v>-199781.74107684795</v>
      </c>
      <c r="S23" s="19">
        <f>'Mix 1 Interest Calculations'!T14</f>
        <v>-187455.71235224968</v>
      </c>
      <c r="T23" s="19">
        <f>'Mix 1 Interest Calculations'!U14</f>
        <v>-174205.23147330648</v>
      </c>
      <c r="U23" s="19">
        <f>'Mix 1 Interest Calculations'!V14</f>
        <v>-159960.96452844256</v>
      </c>
      <c r="V23" s="19">
        <f>'Mix 1 Interest Calculations'!W14</f>
        <v>-144648.37756271387</v>
      </c>
      <c r="W23" s="19">
        <f>'Mix 1 Interest Calculations'!X14</f>
        <v>-128187.34657455553</v>
      </c>
      <c r="X23" s="19">
        <f>'Mix 1 Interest Calculations'!Y14</f>
        <v>-110491.7382622853</v>
      </c>
      <c r="Y23" s="19">
        <f>'Mix 1 Interest Calculations'!Z14</f>
        <v>-91468.959326594821</v>
      </c>
      <c r="Z23" s="19">
        <f>'Mix 1 Interest Calculations'!AA14</f>
        <v>-71019.471970727536</v>
      </c>
      <c r="AA23" s="19">
        <f>'Mix 1 Interest Calculations'!AB14</f>
        <v>-49036.273063170214</v>
      </c>
      <c r="AB23" s="19">
        <f>'Mix 1 Interest Calculations'!AC14</f>
        <v>-25404.334237546089</v>
      </c>
      <c r="AC23" s="19"/>
      <c r="AD23" s="19">
        <f t="shared" ref="AD23" si="9">SUM(D23:AC23)</f>
        <v>-5044295.8517872989</v>
      </c>
    </row>
    <row r="24" spans="1:30" x14ac:dyDescent="0.35">
      <c r="A24" s="4"/>
      <c r="B24" s="4"/>
      <c r="C24" s="4"/>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15" thickBot="1" x14ac:dyDescent="0.4">
      <c r="A25" s="16" t="s">
        <v>54</v>
      </c>
      <c r="B25" s="16"/>
      <c r="C25" s="16"/>
      <c r="D25" s="28">
        <f>+D21+D23</f>
        <v>66160.39851708879</v>
      </c>
      <c r="E25" s="28">
        <f t="shared" ref="E25:AB25" si="10">+E21+E23</f>
        <v>70638.610791200714</v>
      </c>
      <c r="F25" s="28">
        <f t="shared" si="10"/>
        <v>75452.688985870976</v>
      </c>
      <c r="G25" s="28">
        <f t="shared" si="10"/>
        <v>80627.823045141529</v>
      </c>
      <c r="H25" s="28">
        <f t="shared" si="10"/>
        <v>86191.092158857384</v>
      </c>
      <c r="I25" s="28">
        <f t="shared" si="10"/>
        <v>92171.60645610193</v>
      </c>
      <c r="J25" s="28">
        <f t="shared" si="10"/>
        <v>98600.659325639775</v>
      </c>
      <c r="K25" s="28">
        <f t="shared" si="10"/>
        <v>105511.89116039296</v>
      </c>
      <c r="L25" s="28">
        <f t="shared" si="10"/>
        <v>112941.46538275271</v>
      </c>
      <c r="M25" s="28">
        <f t="shared" si="10"/>
        <v>120928.25767178938</v>
      </c>
      <c r="N25" s="28">
        <f t="shared" si="10"/>
        <v>129514.05938250382</v>
      </c>
      <c r="O25" s="28">
        <f t="shared" si="10"/>
        <v>138743.79622152183</v>
      </c>
      <c r="P25" s="28">
        <f t="shared" si="10"/>
        <v>148665.76332346618</v>
      </c>
      <c r="Q25" s="28">
        <f t="shared" si="10"/>
        <v>159331.87795805637</v>
      </c>
      <c r="R25" s="28">
        <f t="shared" si="10"/>
        <v>170797.95119024086</v>
      </c>
      <c r="S25" s="28">
        <f t="shared" si="10"/>
        <v>183123.97991483912</v>
      </c>
      <c r="T25" s="28">
        <f t="shared" si="10"/>
        <v>196374.46079378232</v>
      </c>
      <c r="U25" s="28">
        <f t="shared" si="10"/>
        <v>210618.72773864624</v>
      </c>
      <c r="V25" s="28">
        <f t="shared" si="10"/>
        <v>225931.31470437493</v>
      </c>
      <c r="W25" s="28">
        <f t="shared" si="10"/>
        <v>242392.34569253327</v>
      </c>
      <c r="X25" s="28">
        <f t="shared" si="10"/>
        <v>260087.9540048035</v>
      </c>
      <c r="Y25" s="28">
        <f t="shared" si="10"/>
        <v>279110.73294049397</v>
      </c>
      <c r="Z25" s="28">
        <f t="shared" si="10"/>
        <v>299560.22029636125</v>
      </c>
      <c r="AA25" s="28">
        <f t="shared" si="10"/>
        <v>321543.4192039186</v>
      </c>
      <c r="AB25" s="28">
        <f t="shared" si="10"/>
        <v>345175.35802954272</v>
      </c>
      <c r="AC25" s="19"/>
      <c r="AD25" s="25">
        <f t="shared" ref="AD25" si="11">+AD21-AD23</f>
        <v>37779803.545110077</v>
      </c>
    </row>
    <row r="26" spans="1:30" ht="15" thickTop="1" x14ac:dyDescent="0.35">
      <c r="A26" s="4"/>
      <c r="B26" s="4"/>
      <c r="C26" s="4"/>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row>
    <row r="27" spans="1:30" x14ac:dyDescent="0.35">
      <c r="D27" s="45">
        <f>D25/3000000*100</f>
        <v>2.2053466172362932</v>
      </c>
      <c r="E27" s="45">
        <f t="shared" ref="E27:AB27" si="12">E25/3000000*100</f>
        <v>2.3546203597066904</v>
      </c>
      <c r="F27" s="45">
        <f t="shared" si="12"/>
        <v>2.5150896328623658</v>
      </c>
      <c r="G27" s="45">
        <f t="shared" si="12"/>
        <v>2.6875941015047178</v>
      </c>
      <c r="H27" s="45">
        <f t="shared" si="12"/>
        <v>2.8730364052952462</v>
      </c>
      <c r="I27" s="45">
        <f t="shared" si="12"/>
        <v>3.0723868818700644</v>
      </c>
      <c r="J27" s="45">
        <f t="shared" si="12"/>
        <v>3.2866886441879926</v>
      </c>
      <c r="K27" s="45">
        <f t="shared" si="12"/>
        <v>3.517063038679765</v>
      </c>
      <c r="L27" s="45">
        <f t="shared" si="12"/>
        <v>3.7647155127584235</v>
      </c>
      <c r="M27" s="45">
        <f t="shared" si="12"/>
        <v>4.0309419223929801</v>
      </c>
      <c r="N27" s="45">
        <f t="shared" si="12"/>
        <v>4.3171353127501275</v>
      </c>
      <c r="O27" s="45">
        <f t="shared" si="12"/>
        <v>4.6247932073840614</v>
      </c>
      <c r="P27" s="45">
        <f t="shared" si="12"/>
        <v>4.9555254441155387</v>
      </c>
      <c r="Q27" s="45">
        <f t="shared" si="12"/>
        <v>5.3110625986018789</v>
      </c>
      <c r="R27" s="45">
        <f t="shared" si="12"/>
        <v>5.6932650396746949</v>
      </c>
      <c r="S27" s="45">
        <f t="shared" si="12"/>
        <v>6.1041326638279703</v>
      </c>
      <c r="T27" s="45">
        <f t="shared" si="12"/>
        <v>6.5458153597927433</v>
      </c>
      <c r="U27" s="45">
        <f t="shared" si="12"/>
        <v>7.0206242579548741</v>
      </c>
      <c r="V27" s="45">
        <f t="shared" si="12"/>
        <v>7.5310438234791635</v>
      </c>
      <c r="W27" s="45">
        <f t="shared" si="12"/>
        <v>8.0797448564177756</v>
      </c>
      <c r="X27" s="45">
        <f t="shared" si="12"/>
        <v>8.669598466826784</v>
      </c>
      <c r="Y27" s="45">
        <f t="shared" si="12"/>
        <v>9.3036910980164667</v>
      </c>
      <c r="Z27" s="45">
        <f t="shared" si="12"/>
        <v>9.9853406765453752</v>
      </c>
      <c r="AA27" s="45">
        <f t="shared" si="12"/>
        <v>10.718113973463954</v>
      </c>
      <c r="AB27" s="45">
        <f t="shared" si="12"/>
        <v>11.505845267651424</v>
      </c>
    </row>
  </sheetData>
  <sheetProtection algorithmName="SHA-512" hashValue="2qFtdnf4uAU4eFWJ9TWBvWb2XJaJ+tn4xp8LGq5KQaBOCGkJsk0lKaSLfqB1kYNc9Hr8Y4wZTjDXxyWhJNGuhw==" saltValue="+ElZ5V+O1sg/565qADpWpQ==" spinCount="100000" sheet="1" objects="1" scenarios="1" selectLockedCells="1" selectUnlockedCells="1"/>
  <pageMargins left="0.7" right="0.7" top="0.75" bottom="0.75" header="0.3" footer="0.3"/>
  <pageSetup paperSize="9" scale="4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2B6E9-B761-4B98-8029-AB5AE8CD829F}">
  <dimension ref="A1:U65"/>
  <sheetViews>
    <sheetView workbookViewId="0">
      <selection activeCell="E51" sqref="E51"/>
    </sheetView>
  </sheetViews>
  <sheetFormatPr defaultColWidth="16.453125" defaultRowHeight="14.5" x14ac:dyDescent="0.35"/>
  <cols>
    <col min="1" max="1" width="39.54296875" style="89" customWidth="1"/>
    <col min="2" max="2" width="22.7265625" style="89" customWidth="1"/>
    <col min="3" max="3" width="10.54296875" style="90" customWidth="1"/>
    <col min="4" max="4" width="12.1796875" style="89" customWidth="1"/>
    <col min="5" max="5" width="15.453125" style="89" customWidth="1"/>
    <col min="6" max="6" width="10.81640625" style="89" customWidth="1"/>
    <col min="7" max="7" width="11.54296875" style="89" customWidth="1"/>
    <col min="8" max="9" width="14.26953125" style="89" customWidth="1"/>
    <col min="10" max="10" width="12" style="89" customWidth="1"/>
    <col min="11" max="11" width="13.7265625" style="89" customWidth="1"/>
    <col min="12" max="12" width="12.26953125" style="89" customWidth="1"/>
    <col min="13" max="13" width="10.81640625" style="89" customWidth="1"/>
    <col min="14" max="14" width="10.7265625" style="89" customWidth="1"/>
    <col min="15" max="15" width="10.81640625" style="89" customWidth="1"/>
    <col min="16" max="16" width="10.453125" style="89" customWidth="1"/>
    <col min="17" max="17" width="12.54296875" style="89" customWidth="1"/>
    <col min="18" max="18" width="11.54296875" style="89" customWidth="1"/>
    <col min="19" max="19" width="11.1796875" style="89" bestFit="1" customWidth="1"/>
    <col min="20" max="20" width="12.453125" style="89" customWidth="1"/>
    <col min="21" max="21" width="11.7265625" style="89" customWidth="1"/>
    <col min="22" max="16384" width="16.453125" style="89"/>
  </cols>
  <sheetData>
    <row r="1" spans="1:19" ht="21" x14ac:dyDescent="0.35">
      <c r="A1" s="326" t="s">
        <v>154</v>
      </c>
      <c r="B1" s="424" t="str">
        <f>'Generation &amp; Ops Scenarios'!D27</f>
        <v>Mix 2 Wind, Solar Diesel standby</v>
      </c>
      <c r="C1" s="416"/>
      <c r="D1" s="416"/>
    </row>
    <row r="2" spans="1:19" x14ac:dyDescent="0.35">
      <c r="A2" s="327" t="s">
        <v>152</v>
      </c>
      <c r="B2" s="328">
        <f>'Generation &amp; Ops Scenarios'!D35+'Generation &amp; Ops Scenarios'!D36+'Generation &amp; Ops Scenarios'!D37</f>
        <v>1500</v>
      </c>
      <c r="C2" s="310"/>
      <c r="D2" s="310"/>
    </row>
    <row r="3" spans="1:19" ht="15" thickBot="1" x14ac:dyDescent="0.4"/>
    <row r="4" spans="1:19" ht="15" thickBot="1" x14ac:dyDescent="0.4">
      <c r="A4" s="417" t="s">
        <v>1</v>
      </c>
      <c r="B4" s="418"/>
      <c r="C4" s="89"/>
      <c r="D4" s="419" t="s">
        <v>2</v>
      </c>
      <c r="E4" s="420"/>
      <c r="F4" s="420"/>
      <c r="G4" s="420"/>
      <c r="H4" s="421"/>
      <c r="K4" s="419" t="s">
        <v>3</v>
      </c>
      <c r="L4" s="420"/>
      <c r="M4" s="421"/>
      <c r="P4" s="417" t="s">
        <v>77</v>
      </c>
      <c r="Q4" s="422"/>
      <c r="R4" s="418"/>
    </row>
    <row r="5" spans="1:19" x14ac:dyDescent="0.35">
      <c r="A5" s="89" t="s">
        <v>83</v>
      </c>
      <c r="B5" s="329">
        <f>'Generation &amp; Ops Scenarios'!D55</f>
        <v>90000</v>
      </c>
      <c r="C5" s="89"/>
      <c r="D5" s="413" t="s">
        <v>9</v>
      </c>
      <c r="E5" s="414"/>
      <c r="F5" s="161"/>
      <c r="G5" s="161"/>
      <c r="H5" s="311">
        <f>'Generation &amp; Ops Scenarios'!$D$13</f>
        <v>160000</v>
      </c>
      <c r="K5" s="295" t="s">
        <v>153</v>
      </c>
      <c r="L5" s="161"/>
      <c r="M5" s="56">
        <f>H21</f>
        <v>1400000</v>
      </c>
      <c r="P5" s="399" t="s">
        <v>25</v>
      </c>
      <c r="Q5" s="400"/>
      <c r="R5" s="86">
        <f>'Generation &amp; Ops Scenarios'!$B$11</f>
        <v>1</v>
      </c>
    </row>
    <row r="6" spans="1:19" x14ac:dyDescent="0.35">
      <c r="A6" s="89" t="s">
        <v>84</v>
      </c>
      <c r="B6" s="330">
        <f>'Generation &amp; Ops Scenarios'!D56</f>
        <v>1000000</v>
      </c>
      <c r="C6" s="89"/>
      <c r="D6" s="413" t="s">
        <v>10</v>
      </c>
      <c r="E6" s="414"/>
      <c r="F6" s="161"/>
      <c r="G6" s="161"/>
      <c r="H6" s="312">
        <f>'Generation &amp; Ops Scenarios'!$D$12</f>
        <v>40000</v>
      </c>
      <c r="K6" s="295" t="s">
        <v>15</v>
      </c>
      <c r="L6" s="313"/>
      <c r="M6" s="56">
        <f>'Generation &amp; Ops Scenarios'!$B$2</f>
        <v>60</v>
      </c>
      <c r="P6" s="399" t="s">
        <v>5</v>
      </c>
      <c r="Q6" s="400"/>
      <c r="R6" s="74">
        <f>'Generation &amp; Ops Scenarios'!B14</f>
        <v>7.4999999999999997E-2</v>
      </c>
    </row>
    <row r="7" spans="1:19" x14ac:dyDescent="0.35">
      <c r="A7" s="89" t="s">
        <v>85</v>
      </c>
      <c r="B7" s="330">
        <f>'Generation &amp; Ops Scenarios'!D57</f>
        <v>520000</v>
      </c>
      <c r="C7" s="89"/>
      <c r="D7" s="413" t="s">
        <v>11</v>
      </c>
      <c r="E7" s="414"/>
      <c r="F7" s="161"/>
      <c r="G7" s="161"/>
      <c r="H7" s="300">
        <f>SUM(H5:H6)</f>
        <v>200000</v>
      </c>
      <c r="K7" s="295" t="s">
        <v>28</v>
      </c>
      <c r="L7" s="313"/>
      <c r="M7" s="314">
        <v>0</v>
      </c>
      <c r="P7" s="399" t="s">
        <v>26</v>
      </c>
      <c r="Q7" s="400"/>
      <c r="R7" s="87">
        <f>R5*B22</f>
        <v>4700223.916666667</v>
      </c>
    </row>
    <row r="8" spans="1:19" x14ac:dyDescent="0.35">
      <c r="A8" s="89" t="s">
        <v>86</v>
      </c>
      <c r="B8" s="330">
        <f>'Generation &amp; Ops Scenarios'!D58</f>
        <v>0</v>
      </c>
      <c r="C8" s="89"/>
      <c r="D8" s="413"/>
      <c r="E8" s="414"/>
      <c r="F8" s="161"/>
      <c r="G8" s="161"/>
      <c r="H8" s="300"/>
      <c r="K8" s="401" t="s">
        <v>72</v>
      </c>
      <c r="L8" s="402"/>
      <c r="M8" s="315">
        <f>'Generation &amp; Ops Scenarios'!$G$10</f>
        <v>0</v>
      </c>
      <c r="P8" s="399" t="s">
        <v>27</v>
      </c>
      <c r="Q8" s="400"/>
      <c r="R8" s="87">
        <f>'Generation &amp; Ops Scenarios'!$B$12</f>
        <v>25</v>
      </c>
    </row>
    <row r="9" spans="1:19" x14ac:dyDescent="0.35">
      <c r="A9" s="89" t="s">
        <v>87</v>
      </c>
      <c r="B9" s="330">
        <f>'Generation &amp; Ops Scenarios'!D59</f>
        <v>250000</v>
      </c>
      <c r="C9" s="89"/>
      <c r="D9" s="111" t="s">
        <v>103</v>
      </c>
      <c r="E9" s="161"/>
      <c r="F9" s="161"/>
      <c r="G9" s="161"/>
      <c r="H9" s="77">
        <f>B5*'Generation &amp; Ops Scenarios'!$B$20</f>
        <v>13500</v>
      </c>
      <c r="K9" s="401" t="s">
        <v>73</v>
      </c>
      <c r="L9" s="402"/>
      <c r="M9" s="315">
        <f>'Generation &amp; Ops Scenarios'!$G$11</f>
        <v>0</v>
      </c>
      <c r="P9" s="399" t="s">
        <v>53</v>
      </c>
      <c r="Q9" s="400"/>
      <c r="R9" s="87">
        <f>'Generation &amp; Ops Scenarios'!B13</f>
        <v>25</v>
      </c>
    </row>
    <row r="10" spans="1:19" x14ac:dyDescent="0.35">
      <c r="A10" s="89" t="s">
        <v>88</v>
      </c>
      <c r="B10" s="330">
        <f>SUM(B5:B9)*0.1</f>
        <v>186000</v>
      </c>
      <c r="C10" s="89"/>
      <c r="D10" s="111" t="s">
        <v>105</v>
      </c>
      <c r="E10" s="161"/>
      <c r="F10" s="161"/>
      <c r="G10" s="161"/>
      <c r="H10" s="77">
        <f>B7*'Generation &amp; Ops Scenarios'!$B$21</f>
        <v>5200</v>
      </c>
      <c r="K10" s="401" t="s">
        <v>74</v>
      </c>
      <c r="L10" s="402"/>
      <c r="M10" s="315">
        <f>'Generation &amp; Ops Scenarios'!$G$12</f>
        <v>0</v>
      </c>
      <c r="P10" s="399" t="s">
        <v>56</v>
      </c>
      <c r="Q10" s="400"/>
      <c r="R10" s="74">
        <f>'Generation &amp; Ops Scenarios'!$G$16</f>
        <v>0</v>
      </c>
    </row>
    <row r="11" spans="1:19" ht="15" thickBot="1" x14ac:dyDescent="0.4">
      <c r="A11" s="89" t="s">
        <v>8</v>
      </c>
      <c r="B11" s="330">
        <f>SUM(B5:B10)*0.1</f>
        <v>204600</v>
      </c>
      <c r="C11" s="89"/>
      <c r="D11" s="111" t="s">
        <v>107</v>
      </c>
      <c r="E11" s="161"/>
      <c r="F11" s="161"/>
      <c r="G11" s="161"/>
      <c r="H11" s="77">
        <f>B6*'Generation &amp; Ops Scenarios'!$B$22</f>
        <v>20000</v>
      </c>
      <c r="K11" s="411" t="s">
        <v>75</v>
      </c>
      <c r="L11" s="412"/>
      <c r="M11" s="316">
        <f>'Generation &amp; Ops Scenarios'!$G$13</f>
        <v>0</v>
      </c>
      <c r="P11" s="399" t="s">
        <v>55</v>
      </c>
      <c r="Q11" s="400"/>
      <c r="R11" s="74">
        <f>'Generation &amp; Ops Scenarios'!$G$17</f>
        <v>0</v>
      </c>
    </row>
    <row r="12" spans="1:19" ht="15" thickBot="1" x14ac:dyDescent="0.4">
      <c r="A12" s="89" t="s">
        <v>89</v>
      </c>
      <c r="B12" s="331">
        <f>SUM(B5:B11)</f>
        <v>2250600</v>
      </c>
      <c r="C12" s="89"/>
      <c r="D12" s="111" t="s">
        <v>108</v>
      </c>
      <c r="E12" s="161"/>
      <c r="F12" s="161"/>
      <c r="G12" s="161"/>
      <c r="H12" s="77">
        <f>B8*'Generation &amp; Ops Scenarios'!B23</f>
        <v>0</v>
      </c>
      <c r="P12" s="403" t="s">
        <v>57</v>
      </c>
      <c r="Q12" s="404"/>
      <c r="R12" s="332">
        <f>'Generation &amp; Ops Scenarios'!$G$18</f>
        <v>0</v>
      </c>
    </row>
    <row r="13" spans="1:19" x14ac:dyDescent="0.35">
      <c r="B13" s="333"/>
      <c r="C13" s="89"/>
      <c r="D13" s="111" t="s">
        <v>109</v>
      </c>
      <c r="E13" s="161"/>
      <c r="F13" s="161"/>
      <c r="G13" s="161"/>
      <c r="H13" s="77">
        <f>B21*'Generation &amp; Ops Scenarios'!$B$24</f>
        <v>24496.23916666667</v>
      </c>
      <c r="K13" s="408" t="s">
        <v>230</v>
      </c>
      <c r="L13" s="409"/>
      <c r="M13" s="410"/>
    </row>
    <row r="14" spans="1:19" ht="15" thickBot="1" x14ac:dyDescent="0.4">
      <c r="A14" s="89" t="s">
        <v>166</v>
      </c>
      <c r="B14" s="330">
        <f>'Generation &amp; Ops Scenarios'!D64</f>
        <v>542630</v>
      </c>
      <c r="C14" s="89"/>
      <c r="D14" s="111" t="s">
        <v>162</v>
      </c>
      <c r="E14" s="161"/>
      <c r="F14" s="161"/>
      <c r="G14" s="161"/>
      <c r="H14" s="77">
        <f>'Generation &amp; Ops Scenarios'!B81*M5/100</f>
        <v>14000</v>
      </c>
      <c r="K14" s="405" t="s">
        <v>231</v>
      </c>
      <c r="L14" s="406"/>
      <c r="M14" s="407"/>
    </row>
    <row r="15" spans="1:19" x14ac:dyDescent="0.35">
      <c r="A15" s="89" t="s">
        <v>170</v>
      </c>
      <c r="B15" s="330">
        <f>'Generation &amp; Ops Scenarios'!D65</f>
        <v>359081.8</v>
      </c>
      <c r="C15" s="89"/>
      <c r="D15" s="111" t="s">
        <v>151</v>
      </c>
      <c r="E15" s="161"/>
      <c r="F15" s="161"/>
      <c r="G15" s="161"/>
      <c r="H15" s="56">
        <f>('Generation &amp; Ops Scenarios'!D15+('Generation &amp; Ops Scenarios'!D16*'Generation &amp; Ops Scenarios'!D37/100)+('Generation &amp; Ops Scenarios'!D17*'Generation &amp; Ops Scenarios'!D36/100))</f>
        <v>14650</v>
      </c>
      <c r="K15" s="292" t="s">
        <v>229</v>
      </c>
      <c r="L15" s="293"/>
      <c r="M15" s="294">
        <f>'Generation &amp; Ops Scenarios'!D48</f>
        <v>0</v>
      </c>
    </row>
    <row r="16" spans="1:19" x14ac:dyDescent="0.35">
      <c r="A16" s="89" t="s">
        <v>175</v>
      </c>
      <c r="B16" s="330">
        <f>'Generation &amp; Ops Scenarios'!D66</f>
        <v>196652.5</v>
      </c>
      <c r="C16" s="89"/>
      <c r="D16" s="317" t="s">
        <v>14</v>
      </c>
      <c r="E16" s="318"/>
      <c r="F16" s="161"/>
      <c r="G16" s="161"/>
      <c r="H16" s="299">
        <f>SUM(H7:H15)</f>
        <v>291846.2391666667</v>
      </c>
      <c r="J16" s="161"/>
      <c r="K16" s="295" t="s">
        <v>232</v>
      </c>
      <c r="L16" s="163"/>
      <c r="M16" s="87">
        <f>'Generation &amp; Ops Scenarios'!D41+'Generation &amp; Ops Scenarios'!D43</f>
        <v>438000</v>
      </c>
      <c r="N16" s="161"/>
      <c r="O16" s="161"/>
      <c r="P16" s="161"/>
      <c r="Q16" s="161"/>
      <c r="R16" s="161"/>
      <c r="S16" s="161"/>
    </row>
    <row r="17" spans="1:21" x14ac:dyDescent="0.35">
      <c r="A17" s="89" t="s">
        <v>174</v>
      </c>
      <c r="B17" s="330">
        <f>'Generation &amp; Ops Scenarios'!D67</f>
        <v>113166.53333333334</v>
      </c>
      <c r="C17" s="89"/>
      <c r="D17" s="319"/>
      <c r="E17" s="320"/>
      <c r="F17" s="161"/>
      <c r="G17" s="161"/>
      <c r="H17" s="300"/>
      <c r="J17" s="161"/>
      <c r="K17" s="295" t="s">
        <v>233</v>
      </c>
      <c r="L17" s="163"/>
      <c r="M17" s="87">
        <f>'Generation &amp; Ops Scenarios'!D42+'Generation &amp; Ops Scenarios'!D44</f>
        <v>1025000</v>
      </c>
      <c r="N17" s="161"/>
      <c r="O17" s="161"/>
      <c r="P17" s="161"/>
      <c r="Q17" s="161"/>
      <c r="R17" s="161"/>
      <c r="S17" s="161"/>
    </row>
    <row r="18" spans="1:21" ht="15" thickBot="1" x14ac:dyDescent="0.4">
      <c r="A18" s="89" t="s">
        <v>182</v>
      </c>
      <c r="B18" s="330">
        <f>'Generation &amp; Ops Scenarios'!D68</f>
        <v>855400</v>
      </c>
      <c r="C18" s="89"/>
      <c r="D18" s="317" t="s">
        <v>12</v>
      </c>
      <c r="E18" s="318"/>
      <c r="F18" s="161"/>
      <c r="G18" s="161"/>
      <c r="H18" s="301">
        <f>'Generation &amp; Ops Scenarios'!B17</f>
        <v>87</v>
      </c>
      <c r="J18" s="161"/>
      <c r="K18" s="296" t="s">
        <v>234</v>
      </c>
      <c r="L18" s="261"/>
      <c r="M18" s="297">
        <f>SUM(M15:M17)</f>
        <v>1463000</v>
      </c>
      <c r="N18" s="161"/>
      <c r="O18" s="161"/>
      <c r="P18" s="161"/>
      <c r="Q18" s="161"/>
      <c r="R18" s="161"/>
      <c r="S18" s="161"/>
    </row>
    <row r="19" spans="1:21" x14ac:dyDescent="0.35">
      <c r="A19" s="89" t="s">
        <v>185</v>
      </c>
      <c r="B19" s="330">
        <f>'Generation &amp; Ops Scenarios'!D69</f>
        <v>160000</v>
      </c>
      <c r="C19" s="89"/>
      <c r="D19" s="317" t="s">
        <v>155</v>
      </c>
      <c r="E19" s="318"/>
      <c r="F19" s="161"/>
      <c r="G19" s="161"/>
      <c r="H19" s="302">
        <f>'Generation &amp; Ops Scenarios'!B18</f>
        <v>3.9583333333333335</v>
      </c>
      <c r="J19" s="161"/>
      <c r="K19" s="161"/>
      <c r="L19" s="161"/>
      <c r="M19" s="161"/>
      <c r="N19" s="161"/>
      <c r="O19" s="161"/>
      <c r="P19" s="161"/>
      <c r="Q19" s="161"/>
      <c r="R19" s="161"/>
      <c r="S19" s="161"/>
    </row>
    <row r="20" spans="1:21" x14ac:dyDescent="0.35">
      <c r="A20" s="89" t="s">
        <v>8</v>
      </c>
      <c r="B20" s="330">
        <f>SUM(B14:B19)*0.1</f>
        <v>222693.08333333337</v>
      </c>
      <c r="C20" s="89"/>
      <c r="D20" s="317"/>
      <c r="E20" s="318"/>
      <c r="F20" s="161"/>
      <c r="G20" s="161"/>
      <c r="H20" s="303"/>
      <c r="J20" s="161"/>
      <c r="K20" s="161"/>
      <c r="L20" s="161"/>
      <c r="M20" s="161"/>
      <c r="N20" s="161"/>
      <c r="O20" s="161"/>
      <c r="P20" s="161"/>
      <c r="Q20" s="161"/>
      <c r="R20" s="161"/>
      <c r="S20" s="161"/>
    </row>
    <row r="21" spans="1:21" x14ac:dyDescent="0.35">
      <c r="A21" s="89" t="s">
        <v>90</v>
      </c>
      <c r="B21" s="331">
        <f>SUM(B14:B20)</f>
        <v>2449623.916666667</v>
      </c>
      <c r="C21" s="89"/>
      <c r="D21" s="317" t="s">
        <v>13</v>
      </c>
      <c r="E21" s="318"/>
      <c r="F21" s="161"/>
      <c r="G21" s="161"/>
      <c r="H21" s="304">
        <f>'Generation &amp; Ops Scenarios'!B3</f>
        <v>1400000</v>
      </c>
      <c r="J21" s="161"/>
      <c r="K21" s="161"/>
      <c r="L21" s="161"/>
      <c r="M21" s="161"/>
      <c r="N21" s="161"/>
      <c r="O21" s="161"/>
      <c r="P21" s="161"/>
      <c r="Q21" s="161"/>
      <c r="R21" s="161"/>
      <c r="S21" s="161"/>
    </row>
    <row r="22" spans="1:21" ht="15" thickBot="1" x14ac:dyDescent="0.4">
      <c r="A22" s="108" t="s">
        <v>6</v>
      </c>
      <c r="B22" s="334">
        <f>B12+B21</f>
        <v>4700223.916666667</v>
      </c>
      <c r="C22" s="89"/>
      <c r="D22" s="317"/>
      <c r="E22" s="318"/>
      <c r="F22" s="161"/>
      <c r="G22" s="161"/>
      <c r="H22" s="305"/>
      <c r="J22" s="161"/>
      <c r="K22" s="161"/>
      <c r="L22" s="161"/>
      <c r="M22" s="161"/>
      <c r="N22" s="161"/>
      <c r="O22" s="161"/>
      <c r="P22" s="161"/>
      <c r="Q22" s="161"/>
      <c r="R22" s="161"/>
      <c r="S22" s="161"/>
    </row>
    <row r="23" spans="1:21" x14ac:dyDescent="0.35">
      <c r="A23" s="161"/>
      <c r="B23" s="335"/>
      <c r="C23" s="89"/>
      <c r="D23" s="322" t="s">
        <v>157</v>
      </c>
      <c r="E23" s="323"/>
      <c r="F23" s="161"/>
      <c r="G23" s="161"/>
      <c r="H23" s="290">
        <f>H18/H19</f>
        <v>21.978947368421053</v>
      </c>
      <c r="J23" s="161"/>
      <c r="K23" s="161"/>
      <c r="L23" s="161"/>
      <c r="M23" s="161"/>
      <c r="N23" s="161"/>
      <c r="O23" s="161"/>
      <c r="P23" s="161"/>
      <c r="Q23" s="161"/>
      <c r="R23" s="161"/>
      <c r="S23" s="161"/>
    </row>
    <row r="24" spans="1:21" ht="15" thickBot="1" x14ac:dyDescent="0.4">
      <c r="A24" s="161"/>
      <c r="B24" s="335"/>
      <c r="C24" s="89"/>
      <c r="D24" s="324" t="s">
        <v>156</v>
      </c>
      <c r="E24" s="325"/>
      <c r="F24" s="258"/>
      <c r="G24" s="258"/>
      <c r="H24" s="291">
        <f>-'Mix 2 Cash Flow'!D8/'Mix 2 Summary'!H21*100</f>
        <v>0</v>
      </c>
      <c r="J24" s="161"/>
      <c r="K24" s="161"/>
      <c r="L24" s="161"/>
      <c r="M24" s="161"/>
      <c r="N24" s="161"/>
      <c r="O24" s="161"/>
      <c r="P24" s="161"/>
      <c r="Q24" s="161"/>
      <c r="R24" s="161"/>
      <c r="S24" s="161"/>
    </row>
    <row r="25" spans="1:21" x14ac:dyDescent="0.35">
      <c r="A25" s="161"/>
      <c r="B25" s="335"/>
      <c r="C25" s="89"/>
      <c r="D25" s="323"/>
      <c r="E25" s="336"/>
      <c r="F25" s="161"/>
      <c r="G25" s="161"/>
      <c r="H25" s="307"/>
      <c r="I25" s="161"/>
      <c r="J25" s="161"/>
      <c r="K25" s="161"/>
      <c r="L25" s="161"/>
      <c r="M25" s="161"/>
      <c r="N25" s="161"/>
      <c r="O25" s="161"/>
      <c r="P25" s="161"/>
      <c r="Q25" s="161"/>
      <c r="R25" s="161"/>
      <c r="S25" s="161"/>
    </row>
    <row r="26" spans="1:21" ht="14.15" customHeight="1" thickBot="1" x14ac:dyDescent="0.4"/>
    <row r="27" spans="1:21" ht="15" thickBot="1" x14ac:dyDescent="0.4">
      <c r="A27" s="91"/>
      <c r="B27" s="92" t="s">
        <v>7</v>
      </c>
      <c r="C27" s="93"/>
      <c r="D27" s="93"/>
      <c r="E27" s="93"/>
      <c r="F27" s="93"/>
      <c r="G27" s="93"/>
      <c r="H27" s="93"/>
      <c r="I27" s="93"/>
      <c r="J27" s="93"/>
      <c r="K27" s="93"/>
      <c r="L27" s="93"/>
      <c r="M27" s="93"/>
      <c r="N27" s="93"/>
      <c r="O27" s="93"/>
      <c r="P27" s="93"/>
      <c r="Q27" s="93"/>
      <c r="R27" s="93"/>
      <c r="S27" s="93"/>
      <c r="T27" s="93"/>
      <c r="U27" s="94"/>
    </row>
    <row r="28" spans="1:21" x14ac:dyDescent="0.35">
      <c r="A28" s="95"/>
      <c r="B28" s="96">
        <v>1</v>
      </c>
      <c r="C28" s="96">
        <v>2</v>
      </c>
      <c r="D28" s="96">
        <v>3</v>
      </c>
      <c r="E28" s="96">
        <v>4</v>
      </c>
      <c r="F28" s="96">
        <v>5</v>
      </c>
      <c r="G28" s="96">
        <v>6</v>
      </c>
      <c r="H28" s="96">
        <v>7</v>
      </c>
      <c r="I28" s="96">
        <v>8</v>
      </c>
      <c r="J28" s="96">
        <v>9</v>
      </c>
      <c r="K28" s="96">
        <v>10</v>
      </c>
      <c r="L28" s="96">
        <v>11</v>
      </c>
      <c r="M28" s="96">
        <v>12</v>
      </c>
      <c r="N28" s="96">
        <v>13</v>
      </c>
      <c r="O28" s="96">
        <v>14</v>
      </c>
      <c r="P28" s="96">
        <v>15</v>
      </c>
      <c r="Q28" s="96">
        <v>16</v>
      </c>
      <c r="R28" s="96">
        <v>17</v>
      </c>
      <c r="S28" s="96">
        <v>18</v>
      </c>
      <c r="T28" s="96">
        <v>19</v>
      </c>
      <c r="U28" s="96">
        <v>20</v>
      </c>
    </row>
    <row r="29" spans="1:21" x14ac:dyDescent="0.35">
      <c r="A29" s="97" t="s">
        <v>65</v>
      </c>
      <c r="B29" s="98">
        <f>'Mix 2 Profit and Loss'!D8</f>
        <v>840000</v>
      </c>
      <c r="C29" s="98">
        <f>'Mix 2 Profit and Loss'!E8</f>
        <v>840000</v>
      </c>
      <c r="D29" s="98">
        <f>'Mix 2 Profit and Loss'!F8</f>
        <v>840000</v>
      </c>
      <c r="E29" s="98">
        <f>'Mix 2 Profit and Loss'!G8</f>
        <v>840000</v>
      </c>
      <c r="F29" s="98">
        <f>'Mix 2 Profit and Loss'!H8</f>
        <v>840000</v>
      </c>
      <c r="G29" s="98">
        <f>'Mix 2 Profit and Loss'!I8</f>
        <v>840000</v>
      </c>
      <c r="H29" s="98">
        <f>'Mix 2 Profit and Loss'!J8</f>
        <v>840000</v>
      </c>
      <c r="I29" s="98">
        <f>'Mix 2 Profit and Loss'!K8</f>
        <v>840000</v>
      </c>
      <c r="J29" s="98">
        <f>'Mix 2 Profit and Loss'!L8</f>
        <v>840000</v>
      </c>
      <c r="K29" s="98">
        <f>'Mix 2 Profit and Loss'!M8</f>
        <v>840000</v>
      </c>
      <c r="L29" s="98">
        <f>'Mix 2 Profit and Loss'!N8</f>
        <v>840000</v>
      </c>
      <c r="M29" s="98">
        <f>'Mix 2 Profit and Loss'!O8</f>
        <v>840000</v>
      </c>
      <c r="N29" s="98">
        <f>'Mix 2 Profit and Loss'!P8</f>
        <v>840000</v>
      </c>
      <c r="O29" s="98">
        <f>'Mix 2 Profit and Loss'!Q8</f>
        <v>840000</v>
      </c>
      <c r="P29" s="98">
        <f>'Mix 2 Profit and Loss'!R8</f>
        <v>840000</v>
      </c>
      <c r="Q29" s="98">
        <f>'Mix 2 Profit and Loss'!S8</f>
        <v>840000</v>
      </c>
      <c r="R29" s="98">
        <f>'Mix 2 Profit and Loss'!T8</f>
        <v>840000</v>
      </c>
      <c r="S29" s="98">
        <f>'Mix 2 Profit and Loss'!U8</f>
        <v>840000</v>
      </c>
      <c r="T29" s="98">
        <f>'Mix 2 Profit and Loss'!V8</f>
        <v>840000</v>
      </c>
      <c r="U29" s="98">
        <f>'Mix 2 Profit and Loss'!W8</f>
        <v>840000</v>
      </c>
    </row>
    <row r="30" spans="1:21" x14ac:dyDescent="0.35">
      <c r="A30" s="99" t="s">
        <v>66</v>
      </c>
      <c r="B30" s="98">
        <f>'Mix 2 Profit and Loss'!D14</f>
        <v>-291846.2391666667</v>
      </c>
      <c r="C30" s="98">
        <f>'Mix 2 Profit and Loss'!E14</f>
        <v>-291846.2391666667</v>
      </c>
      <c r="D30" s="98">
        <f>'Mix 2 Profit and Loss'!F14</f>
        <v>-291846.2391666667</v>
      </c>
      <c r="E30" s="98">
        <f>'Mix 2 Profit and Loss'!G14</f>
        <v>-291846.2391666667</v>
      </c>
      <c r="F30" s="98">
        <f>'Mix 2 Profit and Loss'!H14</f>
        <v>-291846.2391666667</v>
      </c>
      <c r="G30" s="98">
        <f>'Mix 2 Profit and Loss'!I14</f>
        <v>-291846.2391666667</v>
      </c>
      <c r="H30" s="98">
        <f>'Mix 2 Profit and Loss'!J14</f>
        <v>-291846.2391666667</v>
      </c>
      <c r="I30" s="98">
        <f>'Mix 2 Profit and Loss'!K14</f>
        <v>-291846.2391666667</v>
      </c>
      <c r="J30" s="98">
        <f>'Mix 2 Profit and Loss'!L14</f>
        <v>-291846.2391666667</v>
      </c>
      <c r="K30" s="98">
        <f>'Mix 2 Profit and Loss'!M14</f>
        <v>-291846.2391666667</v>
      </c>
      <c r="L30" s="98">
        <f>'Mix 2 Profit and Loss'!N14</f>
        <v>-291846.2391666667</v>
      </c>
      <c r="M30" s="98">
        <f>'Mix 2 Profit and Loss'!O14</f>
        <v>-291846.2391666667</v>
      </c>
      <c r="N30" s="98">
        <f>'Mix 2 Profit and Loss'!P14</f>
        <v>-291846.2391666667</v>
      </c>
      <c r="O30" s="98">
        <f>'Mix 2 Profit and Loss'!Q14</f>
        <v>-291846.2391666667</v>
      </c>
      <c r="P30" s="98">
        <f>'Mix 2 Profit and Loss'!R14</f>
        <v>-291846.2391666667</v>
      </c>
      <c r="Q30" s="98">
        <f>'Mix 2 Profit and Loss'!S14</f>
        <v>-291846.2391666667</v>
      </c>
      <c r="R30" s="98">
        <f>'Mix 2 Profit and Loss'!T14</f>
        <v>-291846.2391666667</v>
      </c>
      <c r="S30" s="98">
        <f>'Mix 2 Profit and Loss'!U14</f>
        <v>-291846.2391666667</v>
      </c>
      <c r="T30" s="98">
        <f>'Mix 2 Profit and Loss'!V14</f>
        <v>-291846.2391666667</v>
      </c>
      <c r="U30" s="98">
        <f>'Mix 2 Profit and Loss'!W14</f>
        <v>-291846.2391666667</v>
      </c>
    </row>
    <row r="31" spans="1:21" x14ac:dyDescent="0.35">
      <c r="A31" s="100" t="s">
        <v>67</v>
      </c>
      <c r="B31" s="101">
        <f>SUM(B29:B30)</f>
        <v>548153.76083333325</v>
      </c>
      <c r="C31" s="101">
        <f t="shared" ref="C31:U31" si="0">SUM(C29:C30)</f>
        <v>548153.76083333325</v>
      </c>
      <c r="D31" s="101">
        <f t="shared" si="0"/>
        <v>548153.76083333325</v>
      </c>
      <c r="E31" s="101">
        <f t="shared" si="0"/>
        <v>548153.76083333325</v>
      </c>
      <c r="F31" s="101">
        <f t="shared" si="0"/>
        <v>548153.76083333325</v>
      </c>
      <c r="G31" s="101">
        <f t="shared" si="0"/>
        <v>548153.76083333325</v>
      </c>
      <c r="H31" s="101">
        <f t="shared" si="0"/>
        <v>548153.76083333325</v>
      </c>
      <c r="I31" s="101">
        <f t="shared" si="0"/>
        <v>548153.76083333325</v>
      </c>
      <c r="J31" s="101">
        <f t="shared" si="0"/>
        <v>548153.76083333325</v>
      </c>
      <c r="K31" s="101">
        <f t="shared" si="0"/>
        <v>548153.76083333325</v>
      </c>
      <c r="L31" s="101">
        <f t="shared" si="0"/>
        <v>548153.76083333325</v>
      </c>
      <c r="M31" s="101">
        <f t="shared" si="0"/>
        <v>548153.76083333325</v>
      </c>
      <c r="N31" s="101">
        <f t="shared" si="0"/>
        <v>548153.76083333325</v>
      </c>
      <c r="O31" s="101">
        <f t="shared" si="0"/>
        <v>548153.76083333325</v>
      </c>
      <c r="P31" s="101">
        <f t="shared" si="0"/>
        <v>548153.76083333325</v>
      </c>
      <c r="Q31" s="101">
        <f t="shared" si="0"/>
        <v>548153.76083333325</v>
      </c>
      <c r="R31" s="101">
        <f t="shared" si="0"/>
        <v>548153.76083333325</v>
      </c>
      <c r="S31" s="101">
        <f t="shared" si="0"/>
        <v>548153.76083333325</v>
      </c>
      <c r="T31" s="101">
        <f t="shared" si="0"/>
        <v>548153.76083333325</v>
      </c>
      <c r="U31" s="101">
        <f t="shared" si="0"/>
        <v>548153.76083333325</v>
      </c>
    </row>
    <row r="32" spans="1:21" x14ac:dyDescent="0.35">
      <c r="A32" s="99" t="s">
        <v>68</v>
      </c>
      <c r="B32" s="98">
        <f>'Mix 2 Profit and Loss'!D19</f>
        <v>-188008.95666666667</v>
      </c>
      <c r="C32" s="98">
        <f>'Mix 2 Profit and Loss'!E19</f>
        <v>-188008.95666666667</v>
      </c>
      <c r="D32" s="98">
        <f>'Mix 2 Profit and Loss'!F19</f>
        <v>-188008.95666666667</v>
      </c>
      <c r="E32" s="98">
        <f>'Mix 2 Profit and Loss'!G19</f>
        <v>-188008.95666666667</v>
      </c>
      <c r="F32" s="98">
        <f>'Mix 2 Profit and Loss'!H19</f>
        <v>-188008.95666666667</v>
      </c>
      <c r="G32" s="98">
        <f>'Mix 2 Profit and Loss'!I19</f>
        <v>-188008.95666666667</v>
      </c>
      <c r="H32" s="98">
        <f>'Mix 2 Profit and Loss'!J19</f>
        <v>-188008.95666666667</v>
      </c>
      <c r="I32" s="98">
        <f>'Mix 2 Profit and Loss'!K19</f>
        <v>-188008.95666666667</v>
      </c>
      <c r="J32" s="98">
        <f>'Mix 2 Profit and Loss'!L19</f>
        <v>-188008.95666666667</v>
      </c>
      <c r="K32" s="98">
        <f>'Mix 2 Profit and Loss'!M19</f>
        <v>-188008.95666666667</v>
      </c>
      <c r="L32" s="98">
        <f>'Mix 2 Profit and Loss'!N19</f>
        <v>-188008.95666666667</v>
      </c>
      <c r="M32" s="98">
        <f>'Mix 2 Profit and Loss'!O19</f>
        <v>-188008.95666666667</v>
      </c>
      <c r="N32" s="98">
        <f>'Mix 2 Profit and Loss'!P19</f>
        <v>-188008.95666666667</v>
      </c>
      <c r="O32" s="98">
        <f>'Mix 2 Profit and Loss'!Q19</f>
        <v>-188008.95666666667</v>
      </c>
      <c r="P32" s="98">
        <f>'Mix 2 Profit and Loss'!R19</f>
        <v>-188008.95666666667</v>
      </c>
      <c r="Q32" s="98">
        <f>'Mix 2 Profit and Loss'!S19</f>
        <v>-188008.95666666667</v>
      </c>
      <c r="R32" s="98">
        <f>'Mix 2 Profit and Loss'!T19</f>
        <v>-188008.95666666667</v>
      </c>
      <c r="S32" s="98">
        <f>'Mix 2 Profit and Loss'!U19</f>
        <v>-188008.95666666667</v>
      </c>
      <c r="T32" s="98">
        <f>'Mix 2 Profit and Loss'!V19</f>
        <v>-188008.95666666667</v>
      </c>
      <c r="U32" s="98">
        <f>'Mix 2 Profit and Loss'!W19</f>
        <v>-188008.95666666667</v>
      </c>
    </row>
    <row r="33" spans="1:21" x14ac:dyDescent="0.35">
      <c r="A33" s="100" t="s">
        <v>64</v>
      </c>
      <c r="B33" s="101">
        <f>SUM(B31:B32)</f>
        <v>360144.80416666658</v>
      </c>
      <c r="C33" s="101">
        <f t="shared" ref="C33:U33" si="1">SUM(C31:C32)</f>
        <v>360144.80416666658</v>
      </c>
      <c r="D33" s="101">
        <f t="shared" si="1"/>
        <v>360144.80416666658</v>
      </c>
      <c r="E33" s="101">
        <f t="shared" si="1"/>
        <v>360144.80416666658</v>
      </c>
      <c r="F33" s="101">
        <f t="shared" si="1"/>
        <v>360144.80416666658</v>
      </c>
      <c r="G33" s="101">
        <f t="shared" si="1"/>
        <v>360144.80416666658</v>
      </c>
      <c r="H33" s="101">
        <f t="shared" si="1"/>
        <v>360144.80416666658</v>
      </c>
      <c r="I33" s="101">
        <f t="shared" si="1"/>
        <v>360144.80416666658</v>
      </c>
      <c r="J33" s="101">
        <f t="shared" si="1"/>
        <v>360144.80416666658</v>
      </c>
      <c r="K33" s="101">
        <f t="shared" si="1"/>
        <v>360144.80416666658</v>
      </c>
      <c r="L33" s="101">
        <f t="shared" si="1"/>
        <v>360144.80416666658</v>
      </c>
      <c r="M33" s="101">
        <f t="shared" si="1"/>
        <v>360144.80416666658</v>
      </c>
      <c r="N33" s="101">
        <f t="shared" si="1"/>
        <v>360144.80416666658</v>
      </c>
      <c r="O33" s="101">
        <f t="shared" si="1"/>
        <v>360144.80416666658</v>
      </c>
      <c r="P33" s="101">
        <f t="shared" si="1"/>
        <v>360144.80416666658</v>
      </c>
      <c r="Q33" s="101">
        <f t="shared" si="1"/>
        <v>360144.80416666658</v>
      </c>
      <c r="R33" s="101">
        <f t="shared" si="1"/>
        <v>360144.80416666658</v>
      </c>
      <c r="S33" s="101">
        <f t="shared" si="1"/>
        <v>360144.80416666658</v>
      </c>
      <c r="T33" s="101">
        <f t="shared" si="1"/>
        <v>360144.80416666658</v>
      </c>
      <c r="U33" s="101">
        <f t="shared" si="1"/>
        <v>360144.80416666658</v>
      </c>
    </row>
    <row r="34" spans="1:21" x14ac:dyDescent="0.35">
      <c r="A34" s="95" t="s">
        <v>69</v>
      </c>
      <c r="B34" s="102">
        <f>'Mix 2 Profit and Loss'!D23</f>
        <v>-352516.79375000001</v>
      </c>
      <c r="C34" s="102">
        <f>'Mix 2 Profit and Loss'!E23</f>
        <v>-347331.03494622896</v>
      </c>
      <c r="D34" s="102">
        <f>'Mix 2 Profit and Loss'!F23</f>
        <v>-341756.34423217509</v>
      </c>
      <c r="E34" s="102">
        <f>'Mix 2 Profit and Loss'!G23</f>
        <v>-335763.55171456723</v>
      </c>
      <c r="F34" s="102">
        <f>'Mix 2 Profit and Loss'!H23</f>
        <v>-329321.29975813872</v>
      </c>
      <c r="G34" s="102">
        <f>'Mix 2 Profit and Loss'!I23</f>
        <v>-322395.8789049781</v>
      </c>
      <c r="H34" s="102">
        <f>'Mix 2 Profit and Loss'!J23</f>
        <v>-314951.05148783047</v>
      </c>
      <c r="I34" s="102">
        <f>'Mix 2 Profit and Loss'!K23</f>
        <v>-306947.8620143967</v>
      </c>
      <c r="J34" s="102">
        <f>'Mix 2 Profit and Loss'!L23</f>
        <v>-298344.43333045545</v>
      </c>
      <c r="K34" s="102">
        <f>'Mix 2 Profit and Loss'!M23</f>
        <v>-289095.74749521859</v>
      </c>
      <c r="L34" s="102">
        <f>'Mix 2 Profit and Loss'!N23</f>
        <v>-279153.41022233898</v>
      </c>
      <c r="M34" s="102">
        <f>'Mix 2 Profit and Loss'!O23</f>
        <v>-268465.39765399334</v>
      </c>
      <c r="N34" s="102">
        <f>'Mix 2 Profit and Loss'!P23</f>
        <v>-256975.78414302183</v>
      </c>
      <c r="O34" s="102">
        <f>'Mix 2 Profit and Loss'!Q23</f>
        <v>-244624.44961872743</v>
      </c>
      <c r="P34" s="102">
        <f>'Mix 2 Profit and Loss'!R23</f>
        <v>-231346.765005111</v>
      </c>
      <c r="Q34" s="102">
        <f>'Mix 2 Profit and Loss'!S23</f>
        <v>-217073.25404547327</v>
      </c>
      <c r="R34" s="102">
        <f>'Mix 2 Profit and Loss'!T23</f>
        <v>-201729.22976386274</v>
      </c>
      <c r="S34" s="102">
        <f>'Mix 2 Profit and Loss'!U23</f>
        <v>-185234.40366113142</v>
      </c>
      <c r="T34" s="102">
        <f>'Mix 2 Profit and Loss'!V23</f>
        <v>-167502.46560069526</v>
      </c>
      <c r="U34" s="102">
        <f>'Mix 2 Profit and Loss'!W23</f>
        <v>-148440.63218572637</v>
      </c>
    </row>
    <row r="35" spans="1:21" ht="15" thickBot="1" x14ac:dyDescent="0.4">
      <c r="A35" s="103" t="s">
        <v>70</v>
      </c>
      <c r="B35" s="104">
        <f>SUM(B33:B34)</f>
        <v>7628.0104166665697</v>
      </c>
      <c r="C35" s="104">
        <f t="shared" ref="C35:U35" si="2">SUM(C33:C34)</f>
        <v>12813.769220437622</v>
      </c>
      <c r="D35" s="104">
        <f t="shared" si="2"/>
        <v>18388.45993449149</v>
      </c>
      <c r="E35" s="104">
        <f t="shared" si="2"/>
        <v>24381.252452099347</v>
      </c>
      <c r="F35" s="104">
        <f t="shared" si="2"/>
        <v>30823.504408527864</v>
      </c>
      <c r="G35" s="104">
        <f t="shared" si="2"/>
        <v>37748.925261688477</v>
      </c>
      <c r="H35" s="104">
        <f t="shared" si="2"/>
        <v>45193.752678836114</v>
      </c>
      <c r="I35" s="104">
        <f t="shared" si="2"/>
        <v>53196.942152269883</v>
      </c>
      <c r="J35" s="104">
        <f t="shared" si="2"/>
        <v>61800.370836211136</v>
      </c>
      <c r="K35" s="104">
        <f t="shared" si="2"/>
        <v>71049.056671447994</v>
      </c>
      <c r="L35" s="104">
        <f t="shared" si="2"/>
        <v>80991.393944327603</v>
      </c>
      <c r="M35" s="104">
        <f t="shared" si="2"/>
        <v>91679.406512673246</v>
      </c>
      <c r="N35" s="104">
        <f t="shared" si="2"/>
        <v>103169.02002364476</v>
      </c>
      <c r="O35" s="104">
        <f t="shared" si="2"/>
        <v>115520.35454793915</v>
      </c>
      <c r="P35" s="104">
        <f t="shared" si="2"/>
        <v>128798.03916155559</v>
      </c>
      <c r="Q35" s="104">
        <f t="shared" si="2"/>
        <v>143071.55012119332</v>
      </c>
      <c r="R35" s="104">
        <f t="shared" si="2"/>
        <v>158415.57440280385</v>
      </c>
      <c r="S35" s="104">
        <f t="shared" si="2"/>
        <v>174910.40050553516</v>
      </c>
      <c r="T35" s="104">
        <f t="shared" si="2"/>
        <v>192642.33856597132</v>
      </c>
      <c r="U35" s="104">
        <f t="shared" si="2"/>
        <v>211704.17198094021</v>
      </c>
    </row>
    <row r="36" spans="1:21" ht="15" thickBot="1" x14ac:dyDescent="0.4"/>
    <row r="37" spans="1:21" ht="15" thickBot="1" x14ac:dyDescent="0.4">
      <c r="A37" s="105" t="s">
        <v>71</v>
      </c>
      <c r="B37" s="106">
        <f>'Mix 2 Cash Flow'!D26</f>
        <v>126493.5163663862</v>
      </c>
      <c r="C37" s="106">
        <f>'Mix 2 Cash Flow'!E26</f>
        <v>126493.5163663862</v>
      </c>
      <c r="D37" s="106">
        <f>'Mix 2 Cash Flow'!F26</f>
        <v>126493.5163663862</v>
      </c>
      <c r="E37" s="106">
        <f>'Mix 2 Cash Flow'!G26</f>
        <v>126493.5163663862</v>
      </c>
      <c r="F37" s="106">
        <f>'Mix 2 Cash Flow'!H26</f>
        <v>126493.5163663862</v>
      </c>
      <c r="G37" s="106">
        <f>'Mix 2 Cash Flow'!I26</f>
        <v>126493.5163663862</v>
      </c>
      <c r="H37" s="106">
        <f>'Mix 2 Cash Flow'!J26</f>
        <v>126493.5163663862</v>
      </c>
      <c r="I37" s="106">
        <f>'Mix 2 Cash Flow'!K26</f>
        <v>126493.5163663862</v>
      </c>
      <c r="J37" s="106">
        <f>'Mix 2 Cash Flow'!L26</f>
        <v>126493.5163663862</v>
      </c>
      <c r="K37" s="106">
        <f>'Mix 2 Cash Flow'!M26</f>
        <v>126493.5163663862</v>
      </c>
      <c r="L37" s="106">
        <f>'Mix 2 Cash Flow'!N26</f>
        <v>126493.5163663862</v>
      </c>
      <c r="M37" s="106">
        <f>'Mix 2 Cash Flow'!O26</f>
        <v>126493.5163663862</v>
      </c>
      <c r="N37" s="106">
        <f>'Mix 2 Cash Flow'!P26</f>
        <v>126493.51636638623</v>
      </c>
      <c r="O37" s="106">
        <f>'Mix 2 Cash Flow'!Q26</f>
        <v>126493.5163663862</v>
      </c>
      <c r="P37" s="106">
        <f>'Mix 2 Cash Flow'!R26</f>
        <v>126493.5163663862</v>
      </c>
      <c r="Q37" s="106">
        <f>'Mix 2 Cash Flow'!S26</f>
        <v>126493.51636638617</v>
      </c>
      <c r="R37" s="106">
        <f>'Mix 2 Cash Flow'!T26</f>
        <v>126493.5163663862</v>
      </c>
      <c r="S37" s="106">
        <f>'Mix 2 Cash Flow'!U26</f>
        <v>126493.51636638623</v>
      </c>
      <c r="T37" s="106">
        <f>'Mix 2 Cash Flow'!V26</f>
        <v>126493.51636638623</v>
      </c>
      <c r="U37" s="107">
        <f>'Mix 2 Cash Flow'!W26</f>
        <v>126493.5163663862</v>
      </c>
    </row>
    <row r="38" spans="1:21" ht="15" thickBot="1" x14ac:dyDescent="0.4"/>
    <row r="39" spans="1:21" ht="15" thickBot="1" x14ac:dyDescent="0.4">
      <c r="A39" s="397" t="s">
        <v>0</v>
      </c>
      <c r="B39" s="398"/>
    </row>
    <row r="40" spans="1:21" ht="15" thickBot="1" x14ac:dyDescent="0.4">
      <c r="A40" s="108" t="s">
        <v>58</v>
      </c>
      <c r="B40" s="109">
        <f>'Generation &amp; Ops Scenarios'!$G$20</f>
        <v>0.05</v>
      </c>
      <c r="E40" s="110"/>
    </row>
    <row r="41" spans="1:21" x14ac:dyDescent="0.35">
      <c r="A41" s="111" t="s">
        <v>59</v>
      </c>
      <c r="B41" s="112">
        <f>NPV(B40,'Mix 2 Cash Flow'!D26:M26)</f>
        <v>976749.40364173485</v>
      </c>
    </row>
    <row r="42" spans="1:21" x14ac:dyDescent="0.35">
      <c r="A42" s="111" t="s">
        <v>60</v>
      </c>
      <c r="B42" s="112">
        <f>NPV(B40,'Mix 2 Cash Flow'!D26:R26)</f>
        <v>1312959.4439300885</v>
      </c>
    </row>
    <row r="43" spans="1:21" x14ac:dyDescent="0.35">
      <c r="A43" s="111" t="s">
        <v>62</v>
      </c>
      <c r="B43" s="112">
        <f>NPV(B40,'Mix 2 Cash Flow'!D26:W26)</f>
        <v>1576388.8079254283</v>
      </c>
    </row>
    <row r="44" spans="1:21" ht="15" thickBot="1" x14ac:dyDescent="0.4">
      <c r="A44" s="108" t="s">
        <v>61</v>
      </c>
      <c r="B44" s="113">
        <f>NPV(B40,'Mix 2 Cash Flow'!D26:AB26)</f>
        <v>1782792.6076319211</v>
      </c>
      <c r="D44" s="114"/>
    </row>
    <row r="46" spans="1:21" x14ac:dyDescent="0.35">
      <c r="A46" s="89" t="s">
        <v>82</v>
      </c>
      <c r="B46" s="115">
        <f>MIN('Mix 2 Cash Flow'!D39:W39)</f>
        <v>1.2999891927831526</v>
      </c>
    </row>
    <row r="47" spans="1:21" x14ac:dyDescent="0.35">
      <c r="A47" s="116" t="s">
        <v>121</v>
      </c>
      <c r="B47" s="117">
        <f>'Generation &amp; Ops Scenarios'!C41</f>
        <v>328500</v>
      </c>
      <c r="C47" s="121">
        <f t="shared" ref="C47:C53" si="3">B47</f>
        <v>328500</v>
      </c>
      <c r="D47" s="121">
        <f t="shared" ref="D47:S53" si="4">C47</f>
        <v>328500</v>
      </c>
      <c r="E47" s="121">
        <f t="shared" si="4"/>
        <v>328500</v>
      </c>
      <c r="F47" s="121">
        <f t="shared" si="4"/>
        <v>328500</v>
      </c>
      <c r="G47" s="121">
        <f t="shared" si="4"/>
        <v>328500</v>
      </c>
      <c r="H47" s="121">
        <f t="shared" si="4"/>
        <v>328500</v>
      </c>
      <c r="I47" s="121">
        <f t="shared" si="4"/>
        <v>328500</v>
      </c>
      <c r="J47" s="121">
        <f t="shared" si="4"/>
        <v>328500</v>
      </c>
      <c r="K47" s="121">
        <f t="shared" ref="K47:K53" si="5">J47</f>
        <v>328500</v>
      </c>
      <c r="L47" s="121">
        <f t="shared" si="4"/>
        <v>328500</v>
      </c>
      <c r="M47" s="121">
        <f t="shared" si="4"/>
        <v>328500</v>
      </c>
      <c r="N47" s="121">
        <f t="shared" ref="N47:N53" si="6">M47</f>
        <v>328500</v>
      </c>
      <c r="O47" s="121">
        <f t="shared" si="4"/>
        <v>328500</v>
      </c>
      <c r="P47" s="121">
        <f t="shared" si="4"/>
        <v>328500</v>
      </c>
      <c r="Q47" s="121">
        <f t="shared" si="4"/>
        <v>328500</v>
      </c>
      <c r="R47" s="121">
        <f t="shared" si="4"/>
        <v>328500</v>
      </c>
      <c r="S47" s="121">
        <f t="shared" si="4"/>
        <v>328500</v>
      </c>
      <c r="T47" s="121">
        <f t="shared" ref="S47:U53" si="7">S47</f>
        <v>328500</v>
      </c>
      <c r="U47" s="121">
        <f t="shared" si="7"/>
        <v>328500</v>
      </c>
    </row>
    <row r="48" spans="1:21" x14ac:dyDescent="0.35">
      <c r="A48" s="116" t="s">
        <v>122</v>
      </c>
      <c r="B48" s="117">
        <f>'Generation &amp; Ops Scenarios'!C42</f>
        <v>1024920</v>
      </c>
      <c r="C48" s="121">
        <f t="shared" si="3"/>
        <v>1024920</v>
      </c>
      <c r="D48" s="121">
        <f t="shared" si="4"/>
        <v>1024920</v>
      </c>
      <c r="E48" s="121">
        <f t="shared" si="4"/>
        <v>1024920</v>
      </c>
      <c r="F48" s="121">
        <f t="shared" si="4"/>
        <v>1024920</v>
      </c>
      <c r="G48" s="121">
        <f t="shared" si="4"/>
        <v>1024920</v>
      </c>
      <c r="H48" s="121">
        <f t="shared" si="4"/>
        <v>1024920</v>
      </c>
      <c r="I48" s="121">
        <f t="shared" si="4"/>
        <v>1024920</v>
      </c>
      <c r="J48" s="121">
        <f t="shared" si="4"/>
        <v>1024920</v>
      </c>
      <c r="K48" s="121">
        <f t="shared" si="5"/>
        <v>1024920</v>
      </c>
      <c r="L48" s="121">
        <f t="shared" si="4"/>
        <v>1024920</v>
      </c>
      <c r="M48" s="121">
        <f t="shared" si="4"/>
        <v>1024920</v>
      </c>
      <c r="N48" s="121">
        <f t="shared" si="6"/>
        <v>1024920</v>
      </c>
      <c r="O48" s="121">
        <f t="shared" si="4"/>
        <v>1024920</v>
      </c>
      <c r="P48" s="121">
        <f t="shared" si="4"/>
        <v>1024920</v>
      </c>
      <c r="Q48" s="121">
        <f t="shared" si="4"/>
        <v>1024920</v>
      </c>
      <c r="R48" s="121">
        <f t="shared" si="4"/>
        <v>1024920</v>
      </c>
      <c r="S48" s="121">
        <f t="shared" si="7"/>
        <v>1024920</v>
      </c>
      <c r="T48" s="121">
        <f t="shared" si="7"/>
        <v>1024920</v>
      </c>
      <c r="U48" s="121">
        <f t="shared" si="7"/>
        <v>1024920</v>
      </c>
    </row>
    <row r="49" spans="1:21" x14ac:dyDescent="0.35">
      <c r="A49" s="116" t="s">
        <v>123</v>
      </c>
      <c r="B49" s="117">
        <f>'Generation &amp; Ops Scenarios'!C43</f>
        <v>0</v>
      </c>
      <c r="C49" s="121">
        <f t="shared" si="3"/>
        <v>0</v>
      </c>
      <c r="D49" s="121">
        <f t="shared" si="4"/>
        <v>0</v>
      </c>
      <c r="E49" s="121">
        <f t="shared" si="4"/>
        <v>0</v>
      </c>
      <c r="F49" s="121">
        <f t="shared" si="4"/>
        <v>0</v>
      </c>
      <c r="G49" s="121">
        <f t="shared" si="4"/>
        <v>0</v>
      </c>
      <c r="H49" s="121">
        <f t="shared" si="4"/>
        <v>0</v>
      </c>
      <c r="I49" s="121">
        <f t="shared" si="4"/>
        <v>0</v>
      </c>
      <c r="J49" s="121">
        <f t="shared" si="4"/>
        <v>0</v>
      </c>
      <c r="K49" s="121">
        <f t="shared" si="5"/>
        <v>0</v>
      </c>
      <c r="L49" s="121">
        <f t="shared" si="4"/>
        <v>0</v>
      </c>
      <c r="M49" s="121">
        <f t="shared" si="4"/>
        <v>0</v>
      </c>
      <c r="N49" s="121">
        <f t="shared" si="6"/>
        <v>0</v>
      </c>
      <c r="O49" s="121">
        <f t="shared" si="4"/>
        <v>0</v>
      </c>
      <c r="P49" s="121">
        <f t="shared" si="4"/>
        <v>0</v>
      </c>
      <c r="Q49" s="121">
        <f t="shared" si="4"/>
        <v>0</v>
      </c>
      <c r="R49" s="121">
        <f t="shared" si="4"/>
        <v>0</v>
      </c>
      <c r="S49" s="121">
        <f t="shared" si="4"/>
        <v>0</v>
      </c>
      <c r="T49" s="121">
        <f t="shared" si="7"/>
        <v>0</v>
      </c>
      <c r="U49" s="121">
        <f t="shared" si="7"/>
        <v>0</v>
      </c>
    </row>
    <row r="50" spans="1:21" x14ac:dyDescent="0.35">
      <c r="A50" s="116" t="s">
        <v>124</v>
      </c>
      <c r="B50" s="117">
        <f>'Generation &amp; Ops Scenarios'!C44</f>
        <v>0</v>
      </c>
      <c r="C50" s="121">
        <f t="shared" si="3"/>
        <v>0</v>
      </c>
      <c r="D50" s="121">
        <f t="shared" si="4"/>
        <v>0</v>
      </c>
      <c r="E50" s="121">
        <f t="shared" si="4"/>
        <v>0</v>
      </c>
      <c r="F50" s="121">
        <f t="shared" si="4"/>
        <v>0</v>
      </c>
      <c r="G50" s="121">
        <f t="shared" si="4"/>
        <v>0</v>
      </c>
      <c r="H50" s="121">
        <f t="shared" si="4"/>
        <v>0</v>
      </c>
      <c r="I50" s="121">
        <f t="shared" si="4"/>
        <v>0</v>
      </c>
      <c r="J50" s="121">
        <f t="shared" si="4"/>
        <v>0</v>
      </c>
      <c r="K50" s="121">
        <f t="shared" si="5"/>
        <v>0</v>
      </c>
      <c r="L50" s="121">
        <f t="shared" si="4"/>
        <v>0</v>
      </c>
      <c r="M50" s="121">
        <f t="shared" si="4"/>
        <v>0</v>
      </c>
      <c r="N50" s="121">
        <f t="shared" si="6"/>
        <v>0</v>
      </c>
      <c r="O50" s="121">
        <f t="shared" si="4"/>
        <v>0</v>
      </c>
      <c r="P50" s="121">
        <f t="shared" si="4"/>
        <v>0</v>
      </c>
      <c r="Q50" s="121">
        <f t="shared" si="4"/>
        <v>0</v>
      </c>
      <c r="R50" s="121">
        <f t="shared" si="4"/>
        <v>0</v>
      </c>
      <c r="S50" s="121">
        <f t="shared" si="4"/>
        <v>0</v>
      </c>
      <c r="T50" s="121">
        <f t="shared" si="7"/>
        <v>0</v>
      </c>
      <c r="U50" s="121">
        <f t="shared" si="7"/>
        <v>0</v>
      </c>
    </row>
    <row r="51" spans="1:21" x14ac:dyDescent="0.35">
      <c r="A51" s="116" t="s">
        <v>125</v>
      </c>
      <c r="B51" s="117">
        <f>'Generation &amp; Ops Scenarios'!C45</f>
        <v>1353420</v>
      </c>
      <c r="C51" s="121">
        <f t="shared" si="3"/>
        <v>1353420</v>
      </c>
      <c r="D51" s="121">
        <f t="shared" si="4"/>
        <v>1353420</v>
      </c>
      <c r="E51" s="121">
        <f t="shared" si="4"/>
        <v>1353420</v>
      </c>
      <c r="F51" s="121">
        <f t="shared" si="4"/>
        <v>1353420</v>
      </c>
      <c r="G51" s="121">
        <f t="shared" si="4"/>
        <v>1353420</v>
      </c>
      <c r="H51" s="121">
        <f t="shared" si="4"/>
        <v>1353420</v>
      </c>
      <c r="I51" s="121">
        <f t="shared" si="4"/>
        <v>1353420</v>
      </c>
      <c r="J51" s="121">
        <f t="shared" si="4"/>
        <v>1353420</v>
      </c>
      <c r="K51" s="121">
        <f t="shared" si="5"/>
        <v>1353420</v>
      </c>
      <c r="L51" s="121">
        <f t="shared" si="4"/>
        <v>1353420</v>
      </c>
      <c r="M51" s="121">
        <f t="shared" si="4"/>
        <v>1353420</v>
      </c>
      <c r="N51" s="121">
        <f t="shared" si="6"/>
        <v>1353420</v>
      </c>
      <c r="O51" s="121">
        <f t="shared" si="4"/>
        <v>1353420</v>
      </c>
      <c r="P51" s="121">
        <f t="shared" si="4"/>
        <v>1353420</v>
      </c>
      <c r="Q51" s="121">
        <f t="shared" si="4"/>
        <v>1353420</v>
      </c>
      <c r="R51" s="121">
        <f t="shared" si="4"/>
        <v>1353420</v>
      </c>
      <c r="S51" s="121">
        <f t="shared" si="4"/>
        <v>1353420</v>
      </c>
      <c r="T51" s="121">
        <f t="shared" si="7"/>
        <v>1353420</v>
      </c>
      <c r="U51" s="121">
        <f t="shared" si="7"/>
        <v>1353420</v>
      </c>
    </row>
    <row r="52" spans="1:21" x14ac:dyDescent="0.35">
      <c r="A52" s="116" t="s">
        <v>126</v>
      </c>
      <c r="B52" s="117">
        <f>'Generation &amp; Ops Scenarios'!C46</f>
        <v>0</v>
      </c>
      <c r="C52" s="121">
        <f t="shared" si="3"/>
        <v>0</v>
      </c>
      <c r="D52" s="121">
        <f t="shared" si="4"/>
        <v>0</v>
      </c>
      <c r="E52" s="121">
        <f t="shared" si="4"/>
        <v>0</v>
      </c>
      <c r="F52" s="121">
        <f t="shared" si="4"/>
        <v>0</v>
      </c>
      <c r="G52" s="121">
        <f t="shared" si="4"/>
        <v>0</v>
      </c>
      <c r="H52" s="121">
        <f t="shared" si="4"/>
        <v>0</v>
      </c>
      <c r="I52" s="121">
        <f t="shared" si="4"/>
        <v>0</v>
      </c>
      <c r="J52" s="121">
        <f t="shared" si="4"/>
        <v>0</v>
      </c>
      <c r="K52" s="121">
        <f t="shared" si="5"/>
        <v>0</v>
      </c>
      <c r="L52" s="121">
        <f t="shared" si="4"/>
        <v>0</v>
      </c>
      <c r="M52" s="121">
        <f t="shared" si="4"/>
        <v>0</v>
      </c>
      <c r="N52" s="121">
        <f t="shared" si="6"/>
        <v>0</v>
      </c>
      <c r="O52" s="121">
        <f t="shared" si="4"/>
        <v>0</v>
      </c>
      <c r="P52" s="121">
        <f t="shared" si="4"/>
        <v>0</v>
      </c>
      <c r="Q52" s="121">
        <f t="shared" si="4"/>
        <v>0</v>
      </c>
      <c r="R52" s="121">
        <f t="shared" si="4"/>
        <v>0</v>
      </c>
      <c r="S52" s="121">
        <f t="shared" si="4"/>
        <v>0</v>
      </c>
      <c r="T52" s="121">
        <f t="shared" si="7"/>
        <v>0</v>
      </c>
      <c r="U52" s="121">
        <f t="shared" si="7"/>
        <v>0</v>
      </c>
    </row>
    <row r="53" spans="1:21" x14ac:dyDescent="0.35">
      <c r="A53" s="116" t="s">
        <v>127</v>
      </c>
      <c r="B53" s="117">
        <f>'Generation &amp; Ops Scenarios'!C47</f>
        <v>0</v>
      </c>
      <c r="C53" s="121">
        <f t="shared" si="3"/>
        <v>0</v>
      </c>
      <c r="D53" s="121">
        <f t="shared" si="4"/>
        <v>0</v>
      </c>
      <c r="E53" s="121">
        <f t="shared" si="4"/>
        <v>0</v>
      </c>
      <c r="F53" s="121">
        <f t="shared" si="4"/>
        <v>0</v>
      </c>
      <c r="G53" s="121">
        <f t="shared" si="4"/>
        <v>0</v>
      </c>
      <c r="H53" s="121">
        <f t="shared" si="4"/>
        <v>0</v>
      </c>
      <c r="I53" s="121">
        <f t="shared" si="4"/>
        <v>0</v>
      </c>
      <c r="J53" s="121">
        <f t="shared" si="4"/>
        <v>0</v>
      </c>
      <c r="K53" s="121">
        <f t="shared" si="5"/>
        <v>0</v>
      </c>
      <c r="L53" s="121">
        <f t="shared" si="4"/>
        <v>0</v>
      </c>
      <c r="M53" s="121">
        <f t="shared" si="4"/>
        <v>0</v>
      </c>
      <c r="N53" s="121">
        <f t="shared" si="6"/>
        <v>0</v>
      </c>
      <c r="O53" s="121">
        <f t="shared" si="4"/>
        <v>0</v>
      </c>
      <c r="P53" s="121">
        <f t="shared" si="4"/>
        <v>0</v>
      </c>
      <c r="Q53" s="121">
        <f t="shared" si="4"/>
        <v>0</v>
      </c>
      <c r="R53" s="121">
        <f t="shared" si="4"/>
        <v>0</v>
      </c>
      <c r="S53" s="121">
        <f t="shared" si="4"/>
        <v>0</v>
      </c>
      <c r="T53" s="121">
        <f t="shared" si="7"/>
        <v>0</v>
      </c>
      <c r="U53" s="121">
        <f t="shared" si="7"/>
        <v>0</v>
      </c>
    </row>
    <row r="54" spans="1:21" x14ac:dyDescent="0.35">
      <c r="A54" s="116" t="s">
        <v>128</v>
      </c>
      <c r="B54" s="117">
        <f>B57-B51</f>
        <v>46580</v>
      </c>
      <c r="C54" s="117">
        <f t="shared" ref="C54:U54" si="8">C57-C51</f>
        <v>46580</v>
      </c>
      <c r="D54" s="117">
        <f t="shared" si="8"/>
        <v>46580</v>
      </c>
      <c r="E54" s="117">
        <f t="shared" si="8"/>
        <v>46580</v>
      </c>
      <c r="F54" s="117">
        <f t="shared" si="8"/>
        <v>46580</v>
      </c>
      <c r="G54" s="117">
        <f t="shared" si="8"/>
        <v>46580</v>
      </c>
      <c r="H54" s="117">
        <f t="shared" si="8"/>
        <v>46580</v>
      </c>
      <c r="I54" s="117">
        <f t="shared" si="8"/>
        <v>46580</v>
      </c>
      <c r="J54" s="117">
        <f t="shared" si="8"/>
        <v>46580</v>
      </c>
      <c r="K54" s="117">
        <f t="shared" si="8"/>
        <v>46580</v>
      </c>
      <c r="L54" s="117">
        <f t="shared" si="8"/>
        <v>46580</v>
      </c>
      <c r="M54" s="117">
        <f>M57-M51</f>
        <v>46580</v>
      </c>
      <c r="N54" s="117">
        <f t="shared" si="8"/>
        <v>46580</v>
      </c>
      <c r="O54" s="117">
        <f t="shared" si="8"/>
        <v>46580</v>
      </c>
      <c r="P54" s="117">
        <f t="shared" si="8"/>
        <v>46580</v>
      </c>
      <c r="Q54" s="117">
        <f t="shared" si="8"/>
        <v>46580</v>
      </c>
      <c r="R54" s="117">
        <f t="shared" si="8"/>
        <v>46580</v>
      </c>
      <c r="S54" s="117">
        <f t="shared" si="8"/>
        <v>46580</v>
      </c>
      <c r="T54" s="121">
        <f t="shared" si="8"/>
        <v>46580</v>
      </c>
      <c r="U54" s="121">
        <f t="shared" si="8"/>
        <v>46580</v>
      </c>
    </row>
    <row r="55" spans="1:21" x14ac:dyDescent="0.35">
      <c r="A55" s="116"/>
      <c r="B55" s="120"/>
      <c r="C55" s="118"/>
      <c r="D55" s="116"/>
      <c r="E55" s="116"/>
      <c r="F55" s="121"/>
      <c r="G55" s="116"/>
      <c r="H55" s="116"/>
      <c r="I55" s="116"/>
      <c r="J55" s="116"/>
      <c r="K55" s="116"/>
      <c r="L55" s="116"/>
      <c r="M55" s="116"/>
      <c r="N55" s="116"/>
      <c r="O55" s="116"/>
      <c r="P55" s="116"/>
      <c r="Q55" s="116"/>
      <c r="R55" s="116"/>
      <c r="S55" s="116"/>
      <c r="T55" s="116"/>
      <c r="U55" s="116"/>
    </row>
    <row r="56" spans="1:21" x14ac:dyDescent="0.35">
      <c r="A56" s="116"/>
      <c r="B56" s="116"/>
      <c r="C56" s="118"/>
      <c r="D56" s="116"/>
      <c r="E56" s="116"/>
      <c r="F56" s="116"/>
      <c r="G56" s="116"/>
      <c r="H56" s="116"/>
      <c r="I56" s="116"/>
      <c r="J56" s="116"/>
      <c r="K56" s="116"/>
      <c r="L56" s="116"/>
      <c r="M56" s="116"/>
      <c r="N56" s="116"/>
      <c r="O56" s="116"/>
      <c r="P56" s="116"/>
      <c r="Q56" s="116"/>
      <c r="R56" s="116"/>
      <c r="S56" s="116"/>
      <c r="T56" s="116"/>
      <c r="U56" s="116"/>
    </row>
    <row r="57" spans="1:21" x14ac:dyDescent="0.35">
      <c r="A57" s="116" t="s">
        <v>236</v>
      </c>
      <c r="B57" s="122">
        <f>M5</f>
        <v>1400000</v>
      </c>
      <c r="C57" s="123">
        <f>B57*(1+'Mix 2 Summary'!$M$8)</f>
        <v>1400000</v>
      </c>
      <c r="D57" s="123">
        <f>C57*(1+'Mix 2 Summary'!$M$8)</f>
        <v>1400000</v>
      </c>
      <c r="E57" s="123">
        <f>D57*(1+'Mix 2 Summary'!$M$8)</f>
        <v>1400000</v>
      </c>
      <c r="F57" s="123">
        <f>E57*(1+'Mix 2 Summary'!$M$8)</f>
        <v>1400000</v>
      </c>
      <c r="G57" s="123">
        <f>F57*(1+'Mix 2 Summary'!$M$9)</f>
        <v>1400000</v>
      </c>
      <c r="H57" s="123">
        <f>G57*(1+'Mix 2 Summary'!$M$9)</f>
        <v>1400000</v>
      </c>
      <c r="I57" s="123">
        <f>H57*(1+'Mix 2 Summary'!$M$9)</f>
        <v>1400000</v>
      </c>
      <c r="J57" s="123">
        <f>I57*(1+'Mix 2 Summary'!$M$9)</f>
        <v>1400000</v>
      </c>
      <c r="K57" s="123">
        <f>J57*(1+'Mix 2 Summary'!$M$9)</f>
        <v>1400000</v>
      </c>
      <c r="L57" s="123">
        <f>K57*(1+'Mix 2 Summary'!$M$10)</f>
        <v>1400000</v>
      </c>
      <c r="M57" s="123">
        <f>L57*(1+'Mix 2 Summary'!$M$10)</f>
        <v>1400000</v>
      </c>
      <c r="N57" s="123">
        <f>M57*(1+'Mix 2 Summary'!$M$10)</f>
        <v>1400000</v>
      </c>
      <c r="O57" s="123">
        <f>N57*(1+'Mix 2 Summary'!$M$10)</f>
        <v>1400000</v>
      </c>
      <c r="P57" s="123">
        <f>O57*(1+'Mix 2 Summary'!$M$10)</f>
        <v>1400000</v>
      </c>
      <c r="Q57" s="123">
        <f>P57*(1+'Mix 2 Summary'!$M$11)</f>
        <v>1400000</v>
      </c>
      <c r="R57" s="123">
        <f>Q57*(1+'Mix 2 Summary'!$M$11)</f>
        <v>1400000</v>
      </c>
      <c r="S57" s="123">
        <f>R57*(1+'Mix 2 Summary'!$M$11)</f>
        <v>1400000</v>
      </c>
      <c r="T57" s="123">
        <f>S57*(1+'Mix 2 Summary'!$M$11)</f>
        <v>1400000</v>
      </c>
      <c r="U57" s="123">
        <f>T57*(1+'Mix 2 Summary'!$M$11)</f>
        <v>1400000</v>
      </c>
    </row>
    <row r="58" spans="1:21" x14ac:dyDescent="0.35">
      <c r="A58" s="116"/>
      <c r="B58" s="116"/>
      <c r="C58" s="118"/>
      <c r="D58" s="116"/>
      <c r="E58" s="116"/>
      <c r="F58" s="116"/>
      <c r="G58" s="116"/>
      <c r="H58" s="116"/>
      <c r="I58" s="116"/>
      <c r="J58" s="116"/>
      <c r="K58" s="116"/>
      <c r="L58" s="116"/>
      <c r="M58" s="116"/>
      <c r="N58" s="116"/>
      <c r="O58" s="116"/>
      <c r="P58" s="116"/>
      <c r="Q58" s="116"/>
      <c r="R58" s="116"/>
      <c r="S58" s="116"/>
      <c r="T58" s="116"/>
      <c r="U58" s="116"/>
    </row>
    <row r="59" spans="1:21" x14ac:dyDescent="0.35">
      <c r="A59" s="116" t="s">
        <v>134</v>
      </c>
      <c r="B59" s="120">
        <f>-'Mix 2 Cash Flow'!D8/'Mix 2 Summary'!B57*100</f>
        <v>0</v>
      </c>
      <c r="C59" s="120">
        <f>-'Mix 2 Cash Flow'!E8/'Mix 2 Summary'!C57*100</f>
        <v>0</v>
      </c>
      <c r="D59" s="120">
        <f>-'Mix 2 Cash Flow'!F8/'Mix 2 Summary'!D57*100</f>
        <v>0</v>
      </c>
      <c r="E59" s="120">
        <f>-'Mix 2 Cash Flow'!G8/'Mix 2 Summary'!E57*100</f>
        <v>0</v>
      </c>
      <c r="F59" s="120">
        <f>-'Mix 2 Cash Flow'!H8/'Mix 2 Summary'!F57*100</f>
        <v>0</v>
      </c>
      <c r="G59" s="120">
        <f>-'Mix 2 Cash Flow'!I8/'Mix 2 Summary'!G57*100</f>
        <v>0</v>
      </c>
      <c r="H59" s="120">
        <f>-'Mix 2 Cash Flow'!J8/'Mix 2 Summary'!H57*100</f>
        <v>0</v>
      </c>
      <c r="I59" s="120">
        <f>-'Mix 2 Cash Flow'!K8/'Mix 2 Summary'!I57*100</f>
        <v>0</v>
      </c>
      <c r="J59" s="120">
        <f>-'Mix 2 Cash Flow'!L8/'Mix 2 Summary'!J57*100</f>
        <v>0</v>
      </c>
      <c r="K59" s="120">
        <f>-'Mix 2 Cash Flow'!M8/'Mix 2 Summary'!K57*100</f>
        <v>0</v>
      </c>
      <c r="L59" s="120">
        <f>-'Mix 2 Cash Flow'!N8/'Mix 2 Summary'!L57*100</f>
        <v>0</v>
      </c>
      <c r="M59" s="120">
        <f>-'Mix 2 Cash Flow'!O8/'Mix 2 Summary'!M57*100</f>
        <v>0</v>
      </c>
      <c r="N59" s="120">
        <f>-'Mix 2 Cash Flow'!P8/'Mix 2 Summary'!N57*100</f>
        <v>0</v>
      </c>
      <c r="O59" s="120">
        <f>-'Mix 2 Cash Flow'!Q8/'Mix 2 Summary'!O57*100</f>
        <v>0</v>
      </c>
      <c r="P59" s="120">
        <f>-'Mix 2 Cash Flow'!R8/'Mix 2 Summary'!P57*100</f>
        <v>0</v>
      </c>
      <c r="Q59" s="120">
        <f>-'Mix 2 Cash Flow'!S8/'Mix 2 Summary'!Q57*100</f>
        <v>0</v>
      </c>
      <c r="R59" s="120">
        <f>-'Mix 2 Cash Flow'!T8/'Mix 2 Summary'!R57*100</f>
        <v>0</v>
      </c>
      <c r="S59" s="120">
        <f>-'Mix 2 Cash Flow'!U8/'Mix 2 Summary'!S57*100</f>
        <v>0</v>
      </c>
      <c r="T59" s="120">
        <f>-'Mix 2 Cash Flow'!V8/'Mix 2 Summary'!T57*100</f>
        <v>0</v>
      </c>
      <c r="U59" s="120">
        <f>-'Mix 2 Cash Flow'!W8/'Mix 2 Summary'!U57*100</f>
        <v>0</v>
      </c>
    </row>
    <row r="60" spans="1:21" x14ac:dyDescent="0.35">
      <c r="A60" s="116" t="s">
        <v>159</v>
      </c>
      <c r="B60" s="120">
        <f>-'Mix 2 Interest Calculations'!E14/'Mix 2 Summary'!B57*100</f>
        <v>25.179770982142855</v>
      </c>
      <c r="C60" s="120">
        <f>-'Mix 2 Interest Calculations'!F14/'Mix 2 Summary'!C57*100</f>
        <v>24.809359639016353</v>
      </c>
      <c r="D60" s="120">
        <f>-'Mix 2 Interest Calculations'!G14/'Mix 2 Summary'!D57*100</f>
        <v>24.411167445155364</v>
      </c>
      <c r="E60" s="120">
        <f>-'Mix 2 Interest Calculations'!H14/'Mix 2 Summary'!E57*100</f>
        <v>23.983110836754804</v>
      </c>
      <c r="F60" s="120">
        <f>-'Mix 2 Interest Calculations'!I14/'Mix 2 Summary'!F57*100</f>
        <v>23.522949982724196</v>
      </c>
      <c r="G60" s="120">
        <f>-'Mix 2 Interest Calculations'!J14/'Mix 2 Summary'!G57*100</f>
        <v>23.028277064641291</v>
      </c>
      <c r="H60" s="120">
        <f>-'Mix 2 Interest Calculations'!K14/'Mix 2 Summary'!H57*100</f>
        <v>22.496503677702176</v>
      </c>
      <c r="I60" s="120">
        <f>-'Mix 2 Interest Calculations'!L14/'Mix 2 Summary'!I57*100</f>
        <v>21.924847286742622</v>
      </c>
      <c r="J60" s="120">
        <f>-'Mix 2 Interest Calculations'!M14/'Mix 2 Summary'!J57*100</f>
        <v>21.310316666461105</v>
      </c>
      <c r="K60" s="120">
        <f>-'Mix 2 Interest Calculations'!N14/'Mix 2 Summary'!K57*100</f>
        <v>20.649696249658469</v>
      </c>
      <c r="L60" s="120">
        <f>-'Mix 2 Interest Calculations'!O14/'Mix 2 Summary'!L57*100</f>
        <v>19.939529301595641</v>
      </c>
      <c r="M60" s="120">
        <f>-'Mix 2 Interest Calculations'!P14/'Mix 2 Summary'!M57*100</f>
        <v>19.176099832428093</v>
      </c>
      <c r="N60" s="120">
        <f>-'Mix 2 Interest Calculations'!Q14/'Mix 2 Summary'!N57*100</f>
        <v>18.355413153072988</v>
      </c>
      <c r="O60" s="120">
        <f>-'Mix 2 Interest Calculations'!R14/'Mix 2 Summary'!O57*100</f>
        <v>17.473174972766245</v>
      </c>
      <c r="P60" s="120">
        <f>-'Mix 2 Interest Calculations'!S14/'Mix 2 Summary'!P57*100</f>
        <v>16.524768928936499</v>
      </c>
      <c r="Q60" s="120">
        <f>-'Mix 2 Interest Calculations'!T14/'Mix 2 Summary'!Q57*100</f>
        <v>15.505232431819518</v>
      </c>
      <c r="R60" s="120">
        <f>-'Mix 2 Interest Calculations'!U14/'Mix 2 Summary'!R57*100</f>
        <v>14.409230697418767</v>
      </c>
      <c r="S60" s="120">
        <f>-'Mix 2 Interest Calculations'!V14/'Mix 2 Summary'!S57*100</f>
        <v>13.231028832937957</v>
      </c>
      <c r="T60" s="120">
        <f>-'Mix 2 Interest Calculations'!W14/'Mix 2 Summary'!T57*100</f>
        <v>11.96446182862109</v>
      </c>
      <c r="U60" s="120">
        <f>-'Mix 2 Interest Calculations'!X14/'Mix 2 Summary'!U57*100</f>
        <v>10.602902298980455</v>
      </c>
    </row>
    <row r="61" spans="1:21" x14ac:dyDescent="0.35">
      <c r="A61" s="116" t="s">
        <v>160</v>
      </c>
      <c r="B61" s="124">
        <f>-'Mix 2 Interest Calculations'!E13/B57*100</f>
        <v>4.938817908353359</v>
      </c>
      <c r="C61" s="124">
        <f>-'Mix 2 Interest Calculations'!F13/C57*100</f>
        <v>5.3092292514798629</v>
      </c>
      <c r="D61" s="124">
        <f>-'Mix 2 Interest Calculations'!G13/D57*100</f>
        <v>5.707421445340854</v>
      </c>
      <c r="E61" s="124">
        <f>-'Mix 2 Interest Calculations'!H13/E57*100</f>
        <v>6.1354780537414149</v>
      </c>
      <c r="F61" s="124">
        <f>-'Mix 2 Interest Calculations'!I13/F57*100</f>
        <v>6.5956389077720239</v>
      </c>
      <c r="G61" s="124">
        <f>-'Mix 2 Interest Calculations'!J13/G57*100</f>
        <v>7.0903118258549238</v>
      </c>
      <c r="H61" s="124">
        <f>-'Mix 2 Interest Calculations'!K13/H57*100</f>
        <v>7.6220852127940413</v>
      </c>
      <c r="I61" s="124">
        <f>-'Mix 2 Interest Calculations'!L13/I57*100</f>
        <v>8.1937416037535957</v>
      </c>
      <c r="J61" s="124">
        <f>-'Mix 2 Interest Calculations'!M13/J57*100</f>
        <v>8.8082722240351146</v>
      </c>
      <c r="K61" s="124">
        <f>-'Mix 2 Interest Calculations'!N13/K57*100</f>
        <v>9.4688926408377458</v>
      </c>
      <c r="L61" s="124">
        <f>-'Mix 2 Interest Calculations'!O13/L57*100</f>
        <v>10.179059588900575</v>
      </c>
      <c r="M61" s="124">
        <f>-'Mix 2 Interest Calculations'!P13/M57*100</f>
        <v>10.942489058068123</v>
      </c>
      <c r="N61" s="124">
        <f>-'Mix 2 Interest Calculations'!Q13/N57*100</f>
        <v>11.76317573742323</v>
      </c>
      <c r="O61" s="124">
        <f>-'Mix 2 Interest Calculations'!R13/O57*100</f>
        <v>12.645413917729972</v>
      </c>
      <c r="P61" s="124">
        <f>-'Mix 2 Interest Calculations'!S13/P57*100</f>
        <v>13.593819961559717</v>
      </c>
      <c r="Q61" s="124">
        <f>-'Mix 2 Interest Calculations'!T13/Q57*100</f>
        <v>14.6133564586767</v>
      </c>
      <c r="R61" s="124">
        <f>-'Mix 2 Interest Calculations'!U13/R57*100</f>
        <v>15.709358193077449</v>
      </c>
      <c r="S61" s="124">
        <f>-'Mix 2 Interest Calculations'!V13/S57*100</f>
        <v>16.887560057558261</v>
      </c>
      <c r="T61" s="124">
        <f>-'Mix 2 Interest Calculations'!W13/T57*100</f>
        <v>18.154127061875126</v>
      </c>
      <c r="U61" s="124">
        <f>-'Mix 2 Interest Calculations'!X13/U57*100</f>
        <v>19.515686591515763</v>
      </c>
    </row>
    <row r="62" spans="1:21" x14ac:dyDescent="0.35">
      <c r="A62" s="116" t="s">
        <v>161</v>
      </c>
      <c r="B62" s="120">
        <f>-'Mix 2 Cash Flow'!D9/'Mix 2 Summary'!B57*100</f>
        <v>20.846159940476191</v>
      </c>
      <c r="C62" s="120">
        <f>-'Mix 2 Cash Flow'!E9/'Mix 2 Summary'!C57*100</f>
        <v>20.846159940476191</v>
      </c>
      <c r="D62" s="120">
        <f>-'Mix 2 Cash Flow'!F9/'Mix 2 Summary'!D57*100</f>
        <v>20.846159940476191</v>
      </c>
      <c r="E62" s="120">
        <f>-'Mix 2 Cash Flow'!G9/'Mix 2 Summary'!E57*100</f>
        <v>20.846159940476191</v>
      </c>
      <c r="F62" s="120">
        <f>-'Mix 2 Cash Flow'!H9/'Mix 2 Summary'!F57*100</f>
        <v>20.846159940476191</v>
      </c>
      <c r="G62" s="120">
        <f>-'Mix 2 Cash Flow'!I9/'Mix 2 Summary'!G57*100</f>
        <v>20.846159940476191</v>
      </c>
      <c r="H62" s="120">
        <f>-'Mix 2 Cash Flow'!J9/'Mix 2 Summary'!H57*100</f>
        <v>20.846159940476191</v>
      </c>
      <c r="I62" s="120">
        <f>-'Mix 2 Cash Flow'!K9/'Mix 2 Summary'!I57*100</f>
        <v>20.846159940476191</v>
      </c>
      <c r="J62" s="120">
        <f>-'Mix 2 Cash Flow'!L9/'Mix 2 Summary'!J57*100</f>
        <v>20.846159940476191</v>
      </c>
      <c r="K62" s="120">
        <f>-'Mix 2 Cash Flow'!M9/'Mix 2 Summary'!K57*100</f>
        <v>20.846159940476191</v>
      </c>
      <c r="L62" s="120">
        <f>-'Mix 2 Cash Flow'!N9/'Mix 2 Summary'!L57*100</f>
        <v>20.846159940476191</v>
      </c>
      <c r="M62" s="120">
        <f>-'Mix 2 Cash Flow'!O9/'Mix 2 Summary'!M57*100</f>
        <v>20.846159940476191</v>
      </c>
      <c r="N62" s="120">
        <f>-'Mix 2 Cash Flow'!P9/'Mix 2 Summary'!N57*100</f>
        <v>20.846159940476191</v>
      </c>
      <c r="O62" s="120">
        <f>-'Mix 2 Cash Flow'!Q9/'Mix 2 Summary'!O57*100</f>
        <v>20.846159940476191</v>
      </c>
      <c r="P62" s="120">
        <f>-'Mix 2 Cash Flow'!R9/'Mix 2 Summary'!P57*100</f>
        <v>20.846159940476191</v>
      </c>
      <c r="Q62" s="120">
        <f>-'Mix 2 Cash Flow'!S9/'Mix 2 Summary'!Q57*100</f>
        <v>20.846159940476191</v>
      </c>
      <c r="R62" s="120">
        <f>-'Mix 2 Cash Flow'!T9/'Mix 2 Summary'!R57*100</f>
        <v>20.846159940476191</v>
      </c>
      <c r="S62" s="120">
        <f>-'Mix 2 Cash Flow'!U9/'Mix 2 Summary'!S57*100</f>
        <v>20.846159940476191</v>
      </c>
      <c r="T62" s="120">
        <f>-'Mix 2 Cash Flow'!V9/'Mix 2 Summary'!T57*100</f>
        <v>20.846159940476191</v>
      </c>
      <c r="U62" s="120">
        <f>-'Mix 2 Cash Flow'!W9/'Mix 2 Summary'!U57*100</f>
        <v>20.846159940476191</v>
      </c>
    </row>
    <row r="63" spans="1:21" x14ac:dyDescent="0.35">
      <c r="A63" s="116"/>
      <c r="B63" s="120">
        <f>SUM(B59:B62)</f>
        <v>50.964748830972404</v>
      </c>
      <c r="C63" s="120">
        <f t="shared" ref="C63:U63" si="9">SUM(C59:C62)</f>
        <v>50.964748830972411</v>
      </c>
      <c r="D63" s="120">
        <f t="shared" si="9"/>
        <v>50.964748830972411</v>
      </c>
      <c r="E63" s="120">
        <f t="shared" si="9"/>
        <v>50.964748830972411</v>
      </c>
      <c r="F63" s="120">
        <f t="shared" si="9"/>
        <v>50.964748830972411</v>
      </c>
      <c r="G63" s="120">
        <f t="shared" si="9"/>
        <v>50.964748830972404</v>
      </c>
      <c r="H63" s="120">
        <f t="shared" si="9"/>
        <v>50.964748830972411</v>
      </c>
      <c r="I63" s="120">
        <f t="shared" si="9"/>
        <v>50.964748830972411</v>
      </c>
      <c r="J63" s="120">
        <f t="shared" si="9"/>
        <v>50.964748830972411</v>
      </c>
      <c r="K63" s="120">
        <f t="shared" si="9"/>
        <v>50.964748830972404</v>
      </c>
      <c r="L63" s="120">
        <f t="shared" si="9"/>
        <v>50.964748830972411</v>
      </c>
      <c r="M63" s="120">
        <f t="shared" si="9"/>
        <v>50.964748830972411</v>
      </c>
      <c r="N63" s="120">
        <f t="shared" si="9"/>
        <v>50.964748830972411</v>
      </c>
      <c r="O63" s="120">
        <f t="shared" si="9"/>
        <v>50.964748830972411</v>
      </c>
      <c r="P63" s="120">
        <f t="shared" si="9"/>
        <v>50.964748830972411</v>
      </c>
      <c r="Q63" s="120">
        <f t="shared" si="9"/>
        <v>50.964748830972411</v>
      </c>
      <c r="R63" s="120">
        <f t="shared" si="9"/>
        <v>50.964748830972411</v>
      </c>
      <c r="S63" s="120">
        <f t="shared" si="9"/>
        <v>50.964748830972411</v>
      </c>
      <c r="T63" s="120">
        <f t="shared" si="9"/>
        <v>50.964748830972411</v>
      </c>
      <c r="U63" s="120">
        <f t="shared" si="9"/>
        <v>50.964748830972411</v>
      </c>
    </row>
    <row r="64" spans="1:21" x14ac:dyDescent="0.35">
      <c r="A64" s="116" t="s">
        <v>142</v>
      </c>
      <c r="B64" s="124">
        <f>B65-B63</f>
        <v>9.0352511690275961</v>
      </c>
      <c r="C64" s="124">
        <f t="shared" ref="C64:U64" si="10">C65-C63</f>
        <v>9.035251169027589</v>
      </c>
      <c r="D64" s="124">
        <f t="shared" si="10"/>
        <v>9.035251169027589</v>
      </c>
      <c r="E64" s="124">
        <f t="shared" si="10"/>
        <v>9.035251169027589</v>
      </c>
      <c r="F64" s="124">
        <f t="shared" si="10"/>
        <v>9.035251169027589</v>
      </c>
      <c r="G64" s="124">
        <f t="shared" si="10"/>
        <v>9.0352511690275961</v>
      </c>
      <c r="H64" s="124">
        <f t="shared" si="10"/>
        <v>9.035251169027589</v>
      </c>
      <c r="I64" s="124">
        <f t="shared" si="10"/>
        <v>9.035251169027589</v>
      </c>
      <c r="J64" s="124">
        <f t="shared" si="10"/>
        <v>9.035251169027589</v>
      </c>
      <c r="K64" s="124">
        <f t="shared" si="10"/>
        <v>9.0352511690275961</v>
      </c>
      <c r="L64" s="124">
        <f t="shared" si="10"/>
        <v>9.035251169027589</v>
      </c>
      <c r="M64" s="124">
        <f t="shared" si="10"/>
        <v>9.035251169027589</v>
      </c>
      <c r="N64" s="124">
        <f t="shared" si="10"/>
        <v>9.035251169027589</v>
      </c>
      <c r="O64" s="124">
        <f t="shared" si="10"/>
        <v>9.035251169027589</v>
      </c>
      <c r="P64" s="124">
        <f t="shared" si="10"/>
        <v>9.035251169027589</v>
      </c>
      <c r="Q64" s="124">
        <f t="shared" si="10"/>
        <v>9.035251169027589</v>
      </c>
      <c r="R64" s="124">
        <f t="shared" si="10"/>
        <v>9.035251169027589</v>
      </c>
      <c r="S64" s="124">
        <f t="shared" si="10"/>
        <v>9.035251169027589</v>
      </c>
      <c r="T64" s="124">
        <f t="shared" si="10"/>
        <v>9.035251169027589</v>
      </c>
      <c r="U64" s="124">
        <f t="shared" si="10"/>
        <v>9.035251169027589</v>
      </c>
    </row>
    <row r="65" spans="1:21" x14ac:dyDescent="0.35">
      <c r="A65" s="116" t="s">
        <v>163</v>
      </c>
      <c r="B65" s="125">
        <f t="shared" ref="B65:U65" si="11">$M$6</f>
        <v>60</v>
      </c>
      <c r="C65" s="125">
        <f t="shared" si="11"/>
        <v>60</v>
      </c>
      <c r="D65" s="125">
        <f t="shared" si="11"/>
        <v>60</v>
      </c>
      <c r="E65" s="125">
        <f t="shared" si="11"/>
        <v>60</v>
      </c>
      <c r="F65" s="125">
        <f t="shared" si="11"/>
        <v>60</v>
      </c>
      <c r="G65" s="125">
        <f t="shared" si="11"/>
        <v>60</v>
      </c>
      <c r="H65" s="125">
        <f t="shared" si="11"/>
        <v>60</v>
      </c>
      <c r="I65" s="125">
        <f t="shared" si="11"/>
        <v>60</v>
      </c>
      <c r="J65" s="125">
        <f t="shared" si="11"/>
        <v>60</v>
      </c>
      <c r="K65" s="125">
        <f t="shared" si="11"/>
        <v>60</v>
      </c>
      <c r="L65" s="125">
        <f t="shared" si="11"/>
        <v>60</v>
      </c>
      <c r="M65" s="125">
        <f t="shared" si="11"/>
        <v>60</v>
      </c>
      <c r="N65" s="125">
        <f t="shared" si="11"/>
        <v>60</v>
      </c>
      <c r="O65" s="125">
        <f t="shared" si="11"/>
        <v>60</v>
      </c>
      <c r="P65" s="125">
        <f t="shared" si="11"/>
        <v>60</v>
      </c>
      <c r="Q65" s="125">
        <f t="shared" si="11"/>
        <v>60</v>
      </c>
      <c r="R65" s="125">
        <f t="shared" si="11"/>
        <v>60</v>
      </c>
      <c r="S65" s="125">
        <f t="shared" si="11"/>
        <v>60</v>
      </c>
      <c r="T65" s="125">
        <f t="shared" si="11"/>
        <v>60</v>
      </c>
      <c r="U65" s="125">
        <f t="shared" si="11"/>
        <v>60</v>
      </c>
    </row>
  </sheetData>
  <sheetProtection algorithmName="SHA-512" hashValue="Wc0eD3i8gZt4iHHcQDz7hIB1D1nU0+yLEEu/a+rMFdJ1d15Th3miyPdhJ/ZrH21F8gR42GOFobyNK+5YRyQQUQ==" saltValue="bTgE+HtkfO7EdJC4BKGEbA==" spinCount="100000" sheet="1" objects="1" scenarios="1" selectLockedCells="1" selectUnlockedCells="1"/>
  <mergeCells count="24">
    <mergeCell ref="K10:L10"/>
    <mergeCell ref="K11:L11"/>
    <mergeCell ref="A39:B39"/>
    <mergeCell ref="P9:Q9"/>
    <mergeCell ref="P10:Q10"/>
    <mergeCell ref="P11:Q11"/>
    <mergeCell ref="K9:L9"/>
    <mergeCell ref="P12:Q12"/>
    <mergeCell ref="K13:M13"/>
    <mergeCell ref="K14:M14"/>
    <mergeCell ref="D6:E6"/>
    <mergeCell ref="P6:Q6"/>
    <mergeCell ref="D7:E7"/>
    <mergeCell ref="P7:Q7"/>
    <mergeCell ref="D8:E8"/>
    <mergeCell ref="P8:Q8"/>
    <mergeCell ref="K8:L8"/>
    <mergeCell ref="D5:E5"/>
    <mergeCell ref="P5:Q5"/>
    <mergeCell ref="B1:D1"/>
    <mergeCell ref="A4:B4"/>
    <mergeCell ref="D4:H4"/>
    <mergeCell ref="K4:M4"/>
    <mergeCell ref="P4:R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greaterThan" id="{D8AA753F-9A2B-43AE-B42E-531CE8DF28EE}">
            <xm:f>'Generation &amp; Ops Scenarios'!$C$35*8760*0.3</xm:f>
            <x14:dxf>
              <font>
                <color rgb="FFFF0000"/>
              </font>
              <fill>
                <patternFill>
                  <bgColor theme="5" tint="0.79998168889431442"/>
                </patternFill>
              </fill>
            </x14:dxf>
          </x14:cfRule>
          <xm:sqref>B54:U54</xm:sqref>
        </x14:conditionalFormatting>
        <x14:conditionalFormatting xmlns:xm="http://schemas.microsoft.com/office/excel/2006/main">
          <x14:cfRule type="cellIs" priority="2" operator="greaterThan" id="{0D76F755-F444-4207-9C11-25A80D12DCF9}">
            <xm:f>'Generation &amp; Ops Scenarios'!$C$35*8760*0.3+$B$51</xm:f>
            <x14:dxf>
              <font>
                <color rgb="FFFF0000"/>
              </font>
              <fill>
                <patternFill>
                  <bgColor theme="5" tint="0.79998168889431442"/>
                </patternFill>
              </fill>
            </x14:dxf>
          </x14:cfRule>
          <xm:sqref>B57:U57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DAD27-7FFE-461D-8A12-1ADC58115402}">
  <dimension ref="A1:AC18"/>
  <sheetViews>
    <sheetView workbookViewId="0">
      <selection activeCell="D1" sqref="D1"/>
    </sheetView>
  </sheetViews>
  <sheetFormatPr defaultRowHeight="14.5" x14ac:dyDescent="0.35"/>
  <cols>
    <col min="2" max="2" width="5.453125" customWidth="1"/>
    <col min="3" max="3" width="14.54296875" customWidth="1"/>
    <col min="4" max="4" width="9.26953125" customWidth="1"/>
    <col min="5" max="5" width="12.54296875" customWidth="1"/>
    <col min="6" max="6" width="12.1796875" customWidth="1"/>
    <col min="7" max="7" width="10.26953125" customWidth="1"/>
    <col min="8" max="8" width="10.1796875" customWidth="1"/>
    <col min="9" max="9" width="10.453125" customWidth="1"/>
    <col min="10" max="10" width="10" customWidth="1"/>
    <col min="11" max="11" width="9.81640625" customWidth="1"/>
    <col min="12" max="12" width="10" customWidth="1"/>
    <col min="13" max="13" width="9.54296875" customWidth="1"/>
    <col min="14" max="14" width="9.81640625" customWidth="1"/>
    <col min="15" max="15" width="10" customWidth="1"/>
    <col min="16" max="17" width="10.7265625" customWidth="1"/>
    <col min="18" max="18" width="11.1796875" customWidth="1"/>
    <col min="19" max="19" width="11" customWidth="1"/>
    <col min="20" max="20" width="10.26953125" customWidth="1"/>
    <col min="21" max="21" width="10.1796875" customWidth="1"/>
    <col min="22" max="22" width="10.26953125" customWidth="1"/>
    <col min="23" max="23" width="10" customWidth="1"/>
    <col min="24" max="26" width="10.1796875" customWidth="1"/>
    <col min="27" max="28" width="9.54296875" customWidth="1"/>
    <col min="29" max="29" width="9.453125" customWidth="1"/>
  </cols>
  <sheetData>
    <row r="1" spans="1:29" x14ac:dyDescent="0.35">
      <c r="A1" s="5" t="s">
        <v>29</v>
      </c>
      <c r="B1" s="5"/>
      <c r="D1" s="5" t="str">
        <f>'Generation &amp; Ops Scenarios'!D27</f>
        <v>Mix 2 Wind, Solar Diesel standby</v>
      </c>
    </row>
    <row r="3" spans="1:29" x14ac:dyDescent="0.35">
      <c r="D3" t="s">
        <v>30</v>
      </c>
      <c r="E3" s="79">
        <v>1</v>
      </c>
      <c r="F3" s="79">
        <v>2</v>
      </c>
      <c r="G3" s="79">
        <v>3</v>
      </c>
      <c r="H3" s="79">
        <v>4</v>
      </c>
      <c r="I3" s="79">
        <v>5</v>
      </c>
      <c r="J3" s="79">
        <v>6</v>
      </c>
      <c r="K3" s="79">
        <v>7</v>
      </c>
      <c r="L3" s="79">
        <v>8</v>
      </c>
      <c r="M3" s="79">
        <v>9</v>
      </c>
      <c r="N3" s="79">
        <v>10</v>
      </c>
      <c r="O3" s="79">
        <v>11</v>
      </c>
      <c r="P3" s="79">
        <v>12</v>
      </c>
      <c r="Q3" s="79">
        <v>13</v>
      </c>
      <c r="R3" s="79">
        <v>14</v>
      </c>
      <c r="S3" s="79">
        <v>15</v>
      </c>
      <c r="T3" s="79">
        <v>16</v>
      </c>
      <c r="U3" s="79">
        <v>17</v>
      </c>
      <c r="V3" s="79">
        <v>18</v>
      </c>
      <c r="W3" s="79">
        <v>19</v>
      </c>
      <c r="X3" s="79">
        <v>20</v>
      </c>
      <c r="Y3" s="79">
        <v>21</v>
      </c>
      <c r="Z3" s="79">
        <v>22</v>
      </c>
      <c r="AA3" s="79">
        <v>23</v>
      </c>
      <c r="AB3" s="79">
        <v>24</v>
      </c>
      <c r="AC3" s="79">
        <v>25</v>
      </c>
    </row>
    <row r="4" spans="1:29" x14ac:dyDescent="0.35">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x14ac:dyDescent="0.35">
      <c r="A5" t="s">
        <v>31</v>
      </c>
      <c r="C5" s="19"/>
      <c r="D5" s="19">
        <f>'Mix 2 Summary'!B22</f>
        <v>4700223.916666667</v>
      </c>
      <c r="E5" s="19"/>
      <c r="F5" s="19"/>
      <c r="G5" s="19"/>
      <c r="H5" s="19"/>
      <c r="I5" s="19"/>
      <c r="J5" s="19"/>
      <c r="K5" s="19"/>
      <c r="L5" s="19"/>
      <c r="M5" s="19"/>
      <c r="N5" s="19"/>
      <c r="O5" s="19"/>
      <c r="P5" s="19"/>
      <c r="Q5" s="19"/>
      <c r="R5" s="19"/>
      <c r="S5" s="19"/>
      <c r="T5" s="19"/>
      <c r="U5" s="19"/>
      <c r="V5" s="19"/>
      <c r="W5" s="19"/>
      <c r="X5" s="19"/>
      <c r="Y5" s="19"/>
      <c r="Z5" s="19"/>
      <c r="AA5" s="19"/>
      <c r="AB5" s="19"/>
      <c r="AC5" s="19"/>
    </row>
    <row r="6" spans="1:29" x14ac:dyDescent="0.35">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x14ac:dyDescent="0.35">
      <c r="A7" t="s">
        <v>38</v>
      </c>
      <c r="C7" s="19"/>
      <c r="D7" s="21">
        <f>'Mix 2 Summary'!R5</f>
        <v>1</v>
      </c>
      <c r="E7" s="19"/>
      <c r="F7" s="19"/>
      <c r="G7" s="19"/>
      <c r="H7" s="19"/>
      <c r="I7" s="19"/>
      <c r="J7" s="19"/>
      <c r="K7" s="19"/>
      <c r="L7" s="19"/>
      <c r="M7" s="19"/>
      <c r="N7" s="19"/>
      <c r="O7" s="19"/>
      <c r="P7" s="19"/>
      <c r="Q7" s="19"/>
      <c r="R7" s="19"/>
      <c r="S7" s="19"/>
      <c r="T7" s="19"/>
      <c r="U7" s="19"/>
      <c r="V7" s="19"/>
      <c r="W7" s="19"/>
      <c r="X7" s="19"/>
      <c r="Y7" s="19"/>
      <c r="Z7" s="19"/>
      <c r="AA7" s="19"/>
      <c r="AB7" s="19"/>
      <c r="AC7" s="19"/>
    </row>
    <row r="8" spans="1:29" x14ac:dyDescent="0.35">
      <c r="C8" s="19"/>
      <c r="D8" s="19"/>
      <c r="E8" s="19"/>
      <c r="F8" s="19"/>
      <c r="G8" s="19"/>
      <c r="H8" s="19"/>
      <c r="I8" s="19"/>
      <c r="J8" s="19"/>
      <c r="K8" s="19"/>
      <c r="L8" s="19"/>
      <c r="M8" s="19"/>
      <c r="N8" s="19"/>
      <c r="O8" s="19"/>
      <c r="P8" s="19"/>
      <c r="Q8" s="19"/>
      <c r="R8" s="19"/>
      <c r="S8" s="19"/>
      <c r="T8" s="19"/>
      <c r="U8" s="19"/>
      <c r="V8" s="19"/>
      <c r="W8" s="19"/>
      <c r="X8" s="19"/>
      <c r="Y8" s="19"/>
      <c r="Z8" s="19"/>
      <c r="AA8" s="19"/>
      <c r="AB8" s="19"/>
      <c r="AC8" s="19"/>
    </row>
    <row r="9" spans="1:29" x14ac:dyDescent="0.35">
      <c r="C9" t="s">
        <v>32</v>
      </c>
      <c r="D9" s="19">
        <f>D5*D7</f>
        <v>4700223.916666667</v>
      </c>
      <c r="E9" s="19"/>
      <c r="F9" s="19"/>
      <c r="G9" s="19"/>
      <c r="H9" s="19"/>
      <c r="I9" s="19"/>
      <c r="J9" s="19"/>
      <c r="K9" s="19"/>
      <c r="L9" s="19"/>
      <c r="M9" s="19"/>
      <c r="N9" s="19"/>
      <c r="O9" s="19"/>
      <c r="P9" s="19"/>
      <c r="Q9" s="19"/>
      <c r="R9" s="19"/>
      <c r="S9" s="19"/>
      <c r="T9" s="19"/>
      <c r="U9" s="19"/>
      <c r="V9" s="19"/>
      <c r="W9" s="19"/>
      <c r="X9" s="19"/>
      <c r="Y9" s="19"/>
      <c r="Z9" s="19"/>
      <c r="AA9" s="19"/>
      <c r="AB9" s="19"/>
      <c r="AC9" s="19"/>
    </row>
    <row r="10" spans="1:29" x14ac:dyDescent="0.35">
      <c r="C10" t="s">
        <v>33</v>
      </c>
      <c r="D10" s="21">
        <f>'Mix 2 Summary'!R6</f>
        <v>7.4999999999999997E-2</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x14ac:dyDescent="0.35">
      <c r="C11" s="19" t="s">
        <v>34</v>
      </c>
      <c r="D11" s="19">
        <f>'Mix 2 Summary'!R8</f>
        <v>25</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x14ac:dyDescent="0.35">
      <c r="C12" s="19" t="s">
        <v>35</v>
      </c>
      <c r="D12" s="19"/>
      <c r="E12" s="19">
        <f>+D9</f>
        <v>4700223.916666667</v>
      </c>
      <c r="F12" s="19">
        <f t="shared" ref="F12:AC12" si="0">E15</f>
        <v>4631080.4659497198</v>
      </c>
      <c r="G12" s="19">
        <f t="shared" si="0"/>
        <v>4556751.2564290017</v>
      </c>
      <c r="H12" s="19">
        <f t="shared" si="0"/>
        <v>4476847.3561942298</v>
      </c>
      <c r="I12" s="19">
        <f t="shared" si="0"/>
        <v>4390950.6634418499</v>
      </c>
      <c r="J12" s="19">
        <f t="shared" si="0"/>
        <v>4298611.7187330415</v>
      </c>
      <c r="K12" s="19">
        <f t="shared" si="0"/>
        <v>4199347.3531710729</v>
      </c>
      <c r="L12" s="19">
        <f t="shared" si="0"/>
        <v>4092638.1601919564</v>
      </c>
      <c r="M12" s="19">
        <f t="shared" si="0"/>
        <v>3977925.7777394061</v>
      </c>
      <c r="N12" s="19">
        <f t="shared" si="0"/>
        <v>3854609.9666029145</v>
      </c>
      <c r="O12" s="19">
        <f t="shared" si="0"/>
        <v>3722045.4696311862</v>
      </c>
      <c r="P12" s="19">
        <f t="shared" si="0"/>
        <v>3579538.6353865783</v>
      </c>
      <c r="Q12" s="19">
        <f t="shared" si="0"/>
        <v>3426343.7885736246</v>
      </c>
      <c r="R12" s="19">
        <f t="shared" si="0"/>
        <v>3261659.3282496994</v>
      </c>
      <c r="S12" s="19">
        <f t="shared" si="0"/>
        <v>3084623.5334014799</v>
      </c>
      <c r="T12" s="19">
        <f t="shared" si="0"/>
        <v>2894310.0539396438</v>
      </c>
      <c r="U12" s="19">
        <f t="shared" si="0"/>
        <v>2689723.0635181698</v>
      </c>
      <c r="V12" s="19">
        <f t="shared" si="0"/>
        <v>2469792.0488150856</v>
      </c>
      <c r="W12" s="19">
        <f t="shared" si="0"/>
        <v>2233366.20800927</v>
      </c>
      <c r="X12" s="19">
        <f t="shared" si="0"/>
        <v>1979208.4291430183</v>
      </c>
      <c r="Y12" s="19">
        <f t="shared" si="0"/>
        <v>1705988.8168617976</v>
      </c>
      <c r="Z12" s="19">
        <f t="shared" si="0"/>
        <v>1412277.7336594854</v>
      </c>
      <c r="AA12" s="19">
        <f t="shared" si="0"/>
        <v>1096538.3192169997</v>
      </c>
      <c r="AB12" s="19">
        <f t="shared" si="0"/>
        <v>757118.44869132759</v>
      </c>
      <c r="AC12" s="19">
        <f t="shared" si="0"/>
        <v>392242.08787623013</v>
      </c>
    </row>
    <row r="13" spans="1:29" x14ac:dyDescent="0.35">
      <c r="C13" s="19" t="s">
        <v>36</v>
      </c>
      <c r="D13" s="19"/>
      <c r="E13" s="46">
        <f>E16-E14</f>
        <v>-69143.450716947031</v>
      </c>
      <c r="F13" s="19">
        <f>F16-F14</f>
        <v>-74329.209520718083</v>
      </c>
      <c r="G13" s="19">
        <f t="shared" ref="G13:AC13" si="1">G16-G14</f>
        <v>-79903.900234771951</v>
      </c>
      <c r="H13" s="19">
        <f t="shared" si="1"/>
        <v>-85896.692752379808</v>
      </c>
      <c r="I13" s="19">
        <f t="shared" si="1"/>
        <v>-92338.944708808325</v>
      </c>
      <c r="J13" s="19">
        <f t="shared" si="1"/>
        <v>-99264.365561968938</v>
      </c>
      <c r="K13" s="19">
        <f t="shared" si="1"/>
        <v>-106709.19297911657</v>
      </c>
      <c r="L13" s="19">
        <f t="shared" si="1"/>
        <v>-114712.38245255034</v>
      </c>
      <c r="M13" s="19">
        <f t="shared" si="1"/>
        <v>-123315.8111364916</v>
      </c>
      <c r="N13" s="19">
        <f t="shared" si="1"/>
        <v>-132564.49697172845</v>
      </c>
      <c r="O13" s="19">
        <f t="shared" si="1"/>
        <v>-142506.83424460806</v>
      </c>
      <c r="P13" s="19">
        <f t="shared" si="1"/>
        <v>-153194.84681295371</v>
      </c>
      <c r="Q13" s="19">
        <f t="shared" si="1"/>
        <v>-164684.46032392522</v>
      </c>
      <c r="R13" s="19">
        <f t="shared" si="1"/>
        <v>-177035.79484821961</v>
      </c>
      <c r="S13" s="19">
        <f t="shared" si="1"/>
        <v>-190313.47946183605</v>
      </c>
      <c r="T13" s="19">
        <f t="shared" si="1"/>
        <v>-204586.99042147378</v>
      </c>
      <c r="U13" s="19">
        <f t="shared" si="1"/>
        <v>-219931.01470308431</v>
      </c>
      <c r="V13" s="19">
        <f t="shared" si="1"/>
        <v>-236425.84080581562</v>
      </c>
      <c r="W13" s="19">
        <f t="shared" si="1"/>
        <v>-254157.77886625179</v>
      </c>
      <c r="X13" s="19">
        <f t="shared" si="1"/>
        <v>-273219.61228122067</v>
      </c>
      <c r="Y13" s="19">
        <f t="shared" si="1"/>
        <v>-293711.08320231223</v>
      </c>
      <c r="Z13" s="19">
        <f t="shared" si="1"/>
        <v>-315739.41444248566</v>
      </c>
      <c r="AA13" s="19">
        <f t="shared" si="1"/>
        <v>-339419.8705256721</v>
      </c>
      <c r="AB13" s="19">
        <f t="shared" si="1"/>
        <v>-364876.36081509746</v>
      </c>
      <c r="AC13" s="19">
        <f t="shared" si="1"/>
        <v>-392242.08787622978</v>
      </c>
    </row>
    <row r="14" spans="1:29" x14ac:dyDescent="0.35">
      <c r="C14" s="19" t="s">
        <v>39</v>
      </c>
      <c r="D14" s="19"/>
      <c r="E14" s="19">
        <f>-E12*$D$10</f>
        <v>-352516.79375000001</v>
      </c>
      <c r="F14" s="19">
        <f t="shared" ref="F14:AC14" si="2">-F12*$D$10</f>
        <v>-347331.03494622896</v>
      </c>
      <c r="G14" s="19">
        <f t="shared" si="2"/>
        <v>-341756.34423217509</v>
      </c>
      <c r="H14" s="19">
        <f t="shared" si="2"/>
        <v>-335763.55171456723</v>
      </c>
      <c r="I14" s="19">
        <f t="shared" si="2"/>
        <v>-329321.29975813872</v>
      </c>
      <c r="J14" s="19">
        <f t="shared" si="2"/>
        <v>-322395.8789049781</v>
      </c>
      <c r="K14" s="19">
        <f t="shared" si="2"/>
        <v>-314951.05148783047</v>
      </c>
      <c r="L14" s="19">
        <f t="shared" si="2"/>
        <v>-306947.8620143967</v>
      </c>
      <c r="M14" s="19">
        <f t="shared" si="2"/>
        <v>-298344.43333045545</v>
      </c>
      <c r="N14" s="19">
        <f t="shared" si="2"/>
        <v>-289095.74749521859</v>
      </c>
      <c r="O14" s="19">
        <f t="shared" si="2"/>
        <v>-279153.41022233898</v>
      </c>
      <c r="P14" s="19">
        <f t="shared" si="2"/>
        <v>-268465.39765399334</v>
      </c>
      <c r="Q14" s="19">
        <f t="shared" si="2"/>
        <v>-256975.78414302183</v>
      </c>
      <c r="R14" s="19">
        <f t="shared" si="2"/>
        <v>-244624.44961872743</v>
      </c>
      <c r="S14" s="19">
        <f t="shared" si="2"/>
        <v>-231346.765005111</v>
      </c>
      <c r="T14" s="19">
        <f t="shared" si="2"/>
        <v>-217073.25404547327</v>
      </c>
      <c r="U14" s="19">
        <f t="shared" si="2"/>
        <v>-201729.22976386274</v>
      </c>
      <c r="V14" s="19">
        <f t="shared" si="2"/>
        <v>-185234.40366113142</v>
      </c>
      <c r="W14" s="19">
        <f t="shared" si="2"/>
        <v>-167502.46560069526</v>
      </c>
      <c r="X14" s="19">
        <f t="shared" si="2"/>
        <v>-148440.63218572637</v>
      </c>
      <c r="Y14" s="19">
        <f t="shared" si="2"/>
        <v>-127949.16126463481</v>
      </c>
      <c r="Z14" s="19">
        <f t="shared" si="2"/>
        <v>-105920.83002446139</v>
      </c>
      <c r="AA14" s="19">
        <f t="shared" si="2"/>
        <v>-82240.373941274971</v>
      </c>
      <c r="AB14" s="19">
        <f t="shared" si="2"/>
        <v>-56783.883651849566</v>
      </c>
      <c r="AC14" s="19">
        <f t="shared" si="2"/>
        <v>-29418.156590717259</v>
      </c>
    </row>
    <row r="15" spans="1:29" x14ac:dyDescent="0.35">
      <c r="C15" s="19" t="s">
        <v>37</v>
      </c>
      <c r="D15" s="19"/>
      <c r="E15" s="20">
        <f>E12+E13</f>
        <v>4631080.4659497198</v>
      </c>
      <c r="F15" s="20">
        <f t="shared" ref="F15:AC15" si="3">F12+F13</f>
        <v>4556751.2564290017</v>
      </c>
      <c r="G15" s="20">
        <f t="shared" si="3"/>
        <v>4476847.3561942298</v>
      </c>
      <c r="H15" s="20">
        <f t="shared" si="3"/>
        <v>4390950.6634418499</v>
      </c>
      <c r="I15" s="20">
        <f t="shared" si="3"/>
        <v>4298611.7187330415</v>
      </c>
      <c r="J15" s="20">
        <f t="shared" si="3"/>
        <v>4199347.3531710729</v>
      </c>
      <c r="K15" s="20">
        <f t="shared" si="3"/>
        <v>4092638.1601919564</v>
      </c>
      <c r="L15" s="20">
        <f t="shared" si="3"/>
        <v>3977925.7777394061</v>
      </c>
      <c r="M15" s="20">
        <f t="shared" si="3"/>
        <v>3854609.9666029145</v>
      </c>
      <c r="N15" s="20">
        <f t="shared" si="3"/>
        <v>3722045.4696311862</v>
      </c>
      <c r="O15" s="20">
        <f t="shared" si="3"/>
        <v>3579538.6353865783</v>
      </c>
      <c r="P15" s="20">
        <f t="shared" si="3"/>
        <v>3426343.7885736246</v>
      </c>
      <c r="Q15" s="20">
        <f t="shared" si="3"/>
        <v>3261659.3282496994</v>
      </c>
      <c r="R15" s="20">
        <f t="shared" si="3"/>
        <v>3084623.5334014799</v>
      </c>
      <c r="S15" s="20">
        <f t="shared" si="3"/>
        <v>2894310.0539396438</v>
      </c>
      <c r="T15" s="20">
        <f t="shared" si="3"/>
        <v>2689723.0635181698</v>
      </c>
      <c r="U15" s="20">
        <f t="shared" si="3"/>
        <v>2469792.0488150856</v>
      </c>
      <c r="V15" s="20">
        <f t="shared" si="3"/>
        <v>2233366.20800927</v>
      </c>
      <c r="W15" s="20">
        <f t="shared" si="3"/>
        <v>1979208.4291430183</v>
      </c>
      <c r="X15" s="20">
        <f t="shared" si="3"/>
        <v>1705988.8168617976</v>
      </c>
      <c r="Y15" s="20">
        <f t="shared" si="3"/>
        <v>1412277.7336594854</v>
      </c>
      <c r="Z15" s="20">
        <f t="shared" si="3"/>
        <v>1096538.3192169997</v>
      </c>
      <c r="AA15" s="20">
        <f t="shared" si="3"/>
        <v>757118.44869132759</v>
      </c>
      <c r="AB15" s="20">
        <f t="shared" si="3"/>
        <v>392242.08787623013</v>
      </c>
      <c r="AC15" s="20">
        <f t="shared" si="3"/>
        <v>0</v>
      </c>
    </row>
    <row r="16" spans="1:29" x14ac:dyDescent="0.35">
      <c r="C16" s="19"/>
      <c r="D16" s="19"/>
      <c r="E16" s="19">
        <f>PMT(D10,25,D9)</f>
        <v>-421660.24446694704</v>
      </c>
      <c r="F16" s="19">
        <f>E16</f>
        <v>-421660.24446694704</v>
      </c>
      <c r="G16" s="19">
        <f t="shared" ref="G16:AC16" si="4">F16</f>
        <v>-421660.24446694704</v>
      </c>
      <c r="H16" s="19">
        <f t="shared" si="4"/>
        <v>-421660.24446694704</v>
      </c>
      <c r="I16" s="19">
        <f t="shared" si="4"/>
        <v>-421660.24446694704</v>
      </c>
      <c r="J16" s="19">
        <f t="shared" si="4"/>
        <v>-421660.24446694704</v>
      </c>
      <c r="K16" s="19">
        <f t="shared" si="4"/>
        <v>-421660.24446694704</v>
      </c>
      <c r="L16" s="19">
        <f t="shared" si="4"/>
        <v>-421660.24446694704</v>
      </c>
      <c r="M16" s="19">
        <f t="shared" si="4"/>
        <v>-421660.24446694704</v>
      </c>
      <c r="N16" s="19">
        <f t="shared" si="4"/>
        <v>-421660.24446694704</v>
      </c>
      <c r="O16" s="19">
        <f t="shared" si="4"/>
        <v>-421660.24446694704</v>
      </c>
      <c r="P16" s="19">
        <f t="shared" si="4"/>
        <v>-421660.24446694704</v>
      </c>
      <c r="Q16" s="19">
        <f t="shared" si="4"/>
        <v>-421660.24446694704</v>
      </c>
      <c r="R16" s="19">
        <f t="shared" si="4"/>
        <v>-421660.24446694704</v>
      </c>
      <c r="S16" s="19">
        <f t="shared" si="4"/>
        <v>-421660.24446694704</v>
      </c>
      <c r="T16" s="19">
        <f t="shared" si="4"/>
        <v>-421660.24446694704</v>
      </c>
      <c r="U16" s="19">
        <f t="shared" si="4"/>
        <v>-421660.24446694704</v>
      </c>
      <c r="V16" s="19">
        <f t="shared" si="4"/>
        <v>-421660.24446694704</v>
      </c>
      <c r="W16" s="19">
        <f t="shared" si="4"/>
        <v>-421660.24446694704</v>
      </c>
      <c r="X16" s="19">
        <f t="shared" si="4"/>
        <v>-421660.24446694704</v>
      </c>
      <c r="Y16" s="19">
        <f t="shared" si="4"/>
        <v>-421660.24446694704</v>
      </c>
      <c r="Z16" s="19">
        <f t="shared" si="4"/>
        <v>-421660.24446694704</v>
      </c>
      <c r="AA16" s="19">
        <f t="shared" si="4"/>
        <v>-421660.24446694704</v>
      </c>
      <c r="AB16" s="19">
        <f t="shared" si="4"/>
        <v>-421660.24446694704</v>
      </c>
      <c r="AC16" s="19">
        <f t="shared" si="4"/>
        <v>-421660.24446694704</v>
      </c>
    </row>
    <row r="17" spans="3:29" x14ac:dyDescent="0.35">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row>
    <row r="18" spans="3:29" x14ac:dyDescent="0.35">
      <c r="E18" s="4">
        <f>E16-E14</f>
        <v>-69143.450716947031</v>
      </c>
      <c r="F18" s="4">
        <f t="shared" ref="F18:P18" si="5">F13+-F16</f>
        <v>347331.03494622896</v>
      </c>
      <c r="G18" s="4">
        <f t="shared" si="5"/>
        <v>341756.34423217509</v>
      </c>
      <c r="H18" s="4">
        <f t="shared" si="5"/>
        <v>335763.55171456723</v>
      </c>
      <c r="I18" s="4">
        <f t="shared" si="5"/>
        <v>329321.29975813872</v>
      </c>
      <c r="J18" s="4">
        <f t="shared" si="5"/>
        <v>322395.8789049781</v>
      </c>
      <c r="K18" s="4">
        <f t="shared" si="5"/>
        <v>314951.05148783047</v>
      </c>
      <c r="L18" s="4">
        <f t="shared" si="5"/>
        <v>306947.8620143967</v>
      </c>
      <c r="M18" s="4">
        <f t="shared" si="5"/>
        <v>298344.43333045545</v>
      </c>
      <c r="N18" s="4">
        <f t="shared" si="5"/>
        <v>289095.74749521859</v>
      </c>
      <c r="O18" s="4">
        <f t="shared" si="5"/>
        <v>279153.41022233898</v>
      </c>
      <c r="P18" s="4">
        <f t="shared" si="5"/>
        <v>268465.39765399334</v>
      </c>
    </row>
  </sheetData>
  <sheetProtection algorithmName="SHA-512" hashValue="WiStazMotmsVUjbhU9JLkPdSpSysf4HgGrO6X7FBbixxHqREyP7xQVomQONZdOVlSN1Nb/rXwP/C98Oy7mIr+Q==" saltValue="PaM9+bN9fd7yGvgzwKXAmg==" spinCount="100000" sheet="1" objects="1" scenarios="1"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68FBD-56FA-41C0-BFA9-8709043B56DF}">
  <dimension ref="A1:AD46"/>
  <sheetViews>
    <sheetView workbookViewId="0">
      <selection activeCell="H34" sqref="H34"/>
    </sheetView>
  </sheetViews>
  <sheetFormatPr defaultColWidth="9.1796875" defaultRowHeight="13" x14ac:dyDescent="0.3"/>
  <cols>
    <col min="1" max="2" width="9.1796875" style="309"/>
    <col min="3" max="4" width="10.7265625" style="309" customWidth="1"/>
    <col min="5" max="5" width="9" style="309" customWidth="1"/>
    <col min="6" max="6" width="10.7265625" style="309" customWidth="1"/>
    <col min="7" max="7" width="10" style="309" customWidth="1"/>
    <col min="8" max="8" width="9.81640625" style="309" customWidth="1"/>
    <col min="9" max="9" width="9.7265625" style="309" customWidth="1"/>
    <col min="10" max="11" width="10.26953125" style="309" customWidth="1"/>
    <col min="12" max="13" width="10" style="309" customWidth="1"/>
    <col min="14" max="14" width="10.1796875" style="309" customWidth="1"/>
    <col min="15" max="15" width="9.81640625" style="309" customWidth="1"/>
    <col min="16" max="16" width="10.26953125" style="309" customWidth="1"/>
    <col min="17" max="18" width="9.81640625" style="309" customWidth="1"/>
    <col min="19" max="19" width="10.453125" style="309" customWidth="1"/>
    <col min="20" max="21" width="10.1796875" style="309" customWidth="1"/>
    <col min="22" max="22" width="9.81640625" style="309" customWidth="1"/>
    <col min="23" max="23" width="9.7265625" style="309" customWidth="1"/>
    <col min="24" max="24" width="10" style="309" customWidth="1"/>
    <col min="25" max="28" width="10.453125" style="309" customWidth="1"/>
    <col min="29" max="29" width="9.1796875" style="309"/>
    <col min="30" max="30" width="11.1796875" style="309" bestFit="1" customWidth="1"/>
    <col min="31" max="16384" width="9.1796875" style="309"/>
  </cols>
  <sheetData>
    <row r="1" spans="1:30" x14ac:dyDescent="0.3">
      <c r="A1" s="337" t="s">
        <v>16</v>
      </c>
      <c r="B1" s="308"/>
      <c r="C1" s="337" t="str">
        <f>'Generation &amp; Ops Scenarios'!D27</f>
        <v>Mix 2 Wind, Solar Diesel standby</v>
      </c>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row>
    <row r="2" spans="1:30" x14ac:dyDescent="0.3">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row>
    <row r="3" spans="1:30" x14ac:dyDescent="0.3">
      <c r="A3" s="308"/>
      <c r="B3" s="308"/>
      <c r="C3" s="308"/>
      <c r="D3" s="425" t="s">
        <v>7</v>
      </c>
      <c r="E3" s="425"/>
      <c r="F3" s="425"/>
      <c r="G3" s="425"/>
      <c r="H3" s="425"/>
      <c r="I3" s="425"/>
      <c r="J3" s="425"/>
      <c r="K3" s="425"/>
      <c r="L3" s="425"/>
      <c r="M3" s="425"/>
      <c r="N3" s="425"/>
      <c r="O3" s="425"/>
      <c r="P3" s="425"/>
      <c r="Q3" s="425"/>
      <c r="R3" s="425"/>
      <c r="S3" s="425"/>
      <c r="T3" s="425"/>
      <c r="U3" s="425"/>
      <c r="V3" s="425"/>
      <c r="W3" s="425"/>
      <c r="X3" s="425"/>
      <c r="Y3" s="425"/>
      <c r="Z3" s="425"/>
      <c r="AA3" s="425"/>
      <c r="AB3" s="425"/>
      <c r="AC3" s="338"/>
      <c r="AD3" s="308"/>
    </row>
    <row r="4" spans="1:30" x14ac:dyDescent="0.3">
      <c r="A4" s="308"/>
      <c r="B4" s="308"/>
      <c r="C4" s="308" t="s">
        <v>7</v>
      </c>
      <c r="D4" s="339">
        <v>1</v>
      </c>
      <c r="E4" s="339">
        <v>2</v>
      </c>
      <c r="F4" s="339">
        <v>3</v>
      </c>
      <c r="G4" s="339">
        <v>4</v>
      </c>
      <c r="H4" s="339">
        <v>5</v>
      </c>
      <c r="I4" s="339">
        <v>6</v>
      </c>
      <c r="J4" s="339">
        <v>7</v>
      </c>
      <c r="K4" s="339">
        <v>8</v>
      </c>
      <c r="L4" s="339">
        <v>9</v>
      </c>
      <c r="M4" s="339">
        <v>10</v>
      </c>
      <c r="N4" s="339">
        <v>11</v>
      </c>
      <c r="O4" s="339">
        <v>12</v>
      </c>
      <c r="P4" s="339">
        <v>13</v>
      </c>
      <c r="Q4" s="339">
        <v>14</v>
      </c>
      <c r="R4" s="339">
        <v>15</v>
      </c>
      <c r="S4" s="339">
        <v>16</v>
      </c>
      <c r="T4" s="339">
        <v>17</v>
      </c>
      <c r="U4" s="339">
        <v>18</v>
      </c>
      <c r="V4" s="339">
        <v>19</v>
      </c>
      <c r="W4" s="339">
        <v>20</v>
      </c>
      <c r="X4" s="339">
        <v>21</v>
      </c>
      <c r="Y4" s="339">
        <v>22</v>
      </c>
      <c r="Z4" s="339">
        <v>23</v>
      </c>
      <c r="AA4" s="339">
        <v>24</v>
      </c>
      <c r="AB4" s="339">
        <v>25</v>
      </c>
      <c r="AC4" s="338"/>
      <c r="AD4" s="339" t="s">
        <v>46</v>
      </c>
    </row>
    <row r="5" spans="1:30" x14ac:dyDescent="0.3">
      <c r="A5" s="340"/>
      <c r="B5" s="340"/>
      <c r="C5" s="340"/>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row>
    <row r="6" spans="1:30" x14ac:dyDescent="0.3">
      <c r="A6" s="341" t="s">
        <v>17</v>
      </c>
      <c r="B6" s="308"/>
      <c r="C6" s="308"/>
      <c r="D6" s="47"/>
      <c r="E6" s="47"/>
      <c r="F6" s="47"/>
      <c r="G6" s="47"/>
      <c r="H6" s="47"/>
      <c r="I6" s="47"/>
      <c r="J6" s="47"/>
      <c r="K6" s="47"/>
      <c r="L6" s="47"/>
      <c r="M6" s="47"/>
      <c r="N6" s="47"/>
      <c r="O6" s="47"/>
      <c r="P6" s="47"/>
      <c r="Q6" s="47"/>
      <c r="R6" s="47"/>
      <c r="S6" s="47"/>
      <c r="T6" s="47"/>
      <c r="U6" s="47"/>
      <c r="V6" s="47"/>
      <c r="W6" s="47"/>
      <c r="X6" s="47"/>
      <c r="Y6" s="47"/>
      <c r="Z6" s="47"/>
      <c r="AA6" s="47"/>
      <c r="AB6" s="47"/>
      <c r="AC6" s="47"/>
      <c r="AD6" s="47"/>
    </row>
    <row r="7" spans="1:30" x14ac:dyDescent="0.3">
      <c r="A7" s="308" t="s">
        <v>3</v>
      </c>
      <c r="B7" s="308"/>
      <c r="C7" s="308"/>
      <c r="D7" s="47">
        <f>'Mix 2 Summary'!M5*'Mix 2 Summary'!M6/100</f>
        <v>840000</v>
      </c>
      <c r="E7" s="47">
        <f>D7*(1+'Mix 2 Summary'!$M$8)*E44</f>
        <v>840000</v>
      </c>
      <c r="F7" s="47">
        <f>E7*(1+'Mix 2 Summary'!$M$8)*F44</f>
        <v>840000</v>
      </c>
      <c r="G7" s="47">
        <f>F7*(1+'Mix 2 Summary'!$M$8)*G44</f>
        <v>840000</v>
      </c>
      <c r="H7" s="47">
        <f>G7*(1+'Mix 2 Summary'!$M$8)*H44</f>
        <v>840000</v>
      </c>
      <c r="I7" s="47">
        <f>H7*(1+'Mix 2 Summary'!$M$8)*I44</f>
        <v>840000</v>
      </c>
      <c r="J7" s="47">
        <f>I7*(1+'Mix 2 Summary'!$M$8)*J44</f>
        <v>840000</v>
      </c>
      <c r="K7" s="47">
        <f>J7*(1+'Mix 2 Summary'!$M$8)*K44</f>
        <v>840000</v>
      </c>
      <c r="L7" s="47">
        <f>K7*(1+'Mix 2 Summary'!$M$8)*L44</f>
        <v>840000</v>
      </c>
      <c r="M7" s="47">
        <f>L7*(1+'Mix 2 Summary'!$M$8)*M44</f>
        <v>840000</v>
      </c>
      <c r="N7" s="47">
        <f>M7*(1+'Mix 2 Summary'!$M$8)*N44</f>
        <v>840000</v>
      </c>
      <c r="O7" s="47">
        <f>N7*(1+'Mix 2 Summary'!$M$8)*O44</f>
        <v>840000</v>
      </c>
      <c r="P7" s="47">
        <f>O7*(1+'Mix 2 Summary'!$M$8)*P44</f>
        <v>840000</v>
      </c>
      <c r="Q7" s="47">
        <f>P7*(1+'Mix 2 Summary'!$M$8)*Q44</f>
        <v>840000</v>
      </c>
      <c r="R7" s="47">
        <f>Q7*(1+'Mix 2 Summary'!$M$8)*R44</f>
        <v>840000</v>
      </c>
      <c r="S7" s="47">
        <f>R7*(1+'Mix 2 Summary'!$M$8)*S44</f>
        <v>840000</v>
      </c>
      <c r="T7" s="47">
        <f>S7*(1+'Mix 2 Summary'!$M$8)*T44</f>
        <v>840000</v>
      </c>
      <c r="U7" s="47">
        <f>T7*(1+'Mix 2 Summary'!$M$8)*U44</f>
        <v>840000</v>
      </c>
      <c r="V7" s="47">
        <f>U7*(1+'Mix 2 Summary'!$M$8)*V44</f>
        <v>840000</v>
      </c>
      <c r="W7" s="47">
        <f>V7*(1+'Mix 2 Summary'!$M$8)*W44</f>
        <v>840000</v>
      </c>
      <c r="X7" s="47">
        <f>W7*(1+'Mix 2 Summary'!$M$8)*X44</f>
        <v>840000</v>
      </c>
      <c r="Y7" s="47">
        <f>X7*(1+'Mix 2 Summary'!$M$8)*Y44</f>
        <v>840000</v>
      </c>
      <c r="Z7" s="47">
        <f>Y7*(1+'Mix 2 Summary'!$M$8)*Z44</f>
        <v>840000</v>
      </c>
      <c r="AA7" s="47">
        <f>Z7*(1+'Mix 2 Summary'!$M$8)*AA44</f>
        <v>840000</v>
      </c>
      <c r="AB7" s="47">
        <f>AA7*(1+'Mix 2 Summary'!$M$8)*AB44</f>
        <v>840000</v>
      </c>
      <c r="AC7" s="47"/>
      <c r="AD7" s="47">
        <f>SUM(D7:AC7)</f>
        <v>21000000</v>
      </c>
    </row>
    <row r="8" spans="1:30" x14ac:dyDescent="0.3">
      <c r="A8" s="308" t="s">
        <v>23</v>
      </c>
      <c r="B8" s="308"/>
      <c r="C8" s="308"/>
      <c r="D8" s="47">
        <f>-IF('Mix 2 Summary'!$M$18&gt;'Generation &amp; Ops Scenarios'!$D$45, ('Mix 2 Summary'!$M$18-'Generation &amp; Ops Scenarios'!$D$45)*'Mix 2 Summary'!$H$23/100, 0)</f>
        <v>0</v>
      </c>
      <c r="E8" s="47">
        <f>-IF('Mix 2 Summary'!$M$18&gt;'Generation &amp; Ops Scenarios'!$D$45, ('Mix 2 Summary'!$M$18-'Generation &amp; Ops Scenarios'!$D$45)*'Mix 2 Summary'!$H$23/100, 0)</f>
        <v>0</v>
      </c>
      <c r="F8" s="47">
        <f>-IF('Mix 2 Summary'!$M$18&gt;'Generation &amp; Ops Scenarios'!$D$45, ('Mix 2 Summary'!$M$18-'Generation &amp; Ops Scenarios'!$D$45)*'Mix 2 Summary'!$H$23/100, 0)</f>
        <v>0</v>
      </c>
      <c r="G8" s="47">
        <f>-IF('Mix 2 Summary'!$M$18&gt;'Generation &amp; Ops Scenarios'!$D$45, ('Mix 2 Summary'!$M$18-'Generation &amp; Ops Scenarios'!$D$45)*'Mix 2 Summary'!$H$23/100, 0)</f>
        <v>0</v>
      </c>
      <c r="H8" s="47">
        <f>-IF('Mix 2 Summary'!$M$18&gt;'Generation &amp; Ops Scenarios'!$D$45, ('Mix 2 Summary'!$M$18-'Generation &amp; Ops Scenarios'!$D$45)*'Mix 2 Summary'!$H$23/100, 0)</f>
        <v>0</v>
      </c>
      <c r="I8" s="47">
        <f>-IF('Mix 2 Summary'!$M$18&gt;'Generation &amp; Ops Scenarios'!$D$45, ('Mix 2 Summary'!$M$18-'Generation &amp; Ops Scenarios'!$D$45)*'Mix 2 Summary'!$H$23/100, 0)</f>
        <v>0</v>
      </c>
      <c r="J8" s="47">
        <f>-IF('Mix 2 Summary'!$M$18&gt;'Generation &amp; Ops Scenarios'!$D$45, ('Mix 2 Summary'!$M$18-'Generation &amp; Ops Scenarios'!$D$45)*'Mix 2 Summary'!$H$23/100, 0)</f>
        <v>0</v>
      </c>
      <c r="K8" s="47">
        <f>-IF('Mix 2 Summary'!$M$18&gt;'Generation &amp; Ops Scenarios'!$D$45, ('Mix 2 Summary'!$M$18-'Generation &amp; Ops Scenarios'!$D$45)*'Mix 2 Summary'!$H$23/100, 0)</f>
        <v>0</v>
      </c>
      <c r="L8" s="47">
        <f>-IF('Mix 2 Summary'!$M$18&gt;'Generation &amp; Ops Scenarios'!$D$45, ('Mix 2 Summary'!$M$18-'Generation &amp; Ops Scenarios'!$D$45)*'Mix 2 Summary'!$H$23/100, 0)</f>
        <v>0</v>
      </c>
      <c r="M8" s="47">
        <f>-IF('Mix 2 Summary'!$M$18&gt;'Generation &amp; Ops Scenarios'!$D$45, ('Mix 2 Summary'!$M$18-'Generation &amp; Ops Scenarios'!$D$45)*'Mix 2 Summary'!$H$23/100, 0)</f>
        <v>0</v>
      </c>
      <c r="N8" s="47">
        <f>-IF('Mix 2 Summary'!$M$18&gt;'Generation &amp; Ops Scenarios'!$D$45, ('Mix 2 Summary'!$M$18-'Generation &amp; Ops Scenarios'!$D$45)*'Mix 2 Summary'!$H$23/100, 0)</f>
        <v>0</v>
      </c>
      <c r="O8" s="47">
        <f>-IF('Mix 2 Summary'!$M$18&gt;'Generation &amp; Ops Scenarios'!$D$45, ('Mix 2 Summary'!$M$18-'Generation &amp; Ops Scenarios'!$D$45)*'Mix 2 Summary'!$H$23/100, 0)</f>
        <v>0</v>
      </c>
      <c r="P8" s="47">
        <f>-IF('Mix 2 Summary'!$M$18&gt;'Generation &amp; Ops Scenarios'!$D$45, ('Mix 2 Summary'!$M$18-'Generation &amp; Ops Scenarios'!$D$45)*'Mix 2 Summary'!$H$23/100, 0)</f>
        <v>0</v>
      </c>
      <c r="Q8" s="47">
        <f>-IF('Mix 2 Summary'!$M$18&gt;'Generation &amp; Ops Scenarios'!$D$45, ('Mix 2 Summary'!$M$18-'Generation &amp; Ops Scenarios'!$D$45)*'Mix 2 Summary'!$H$23/100, 0)</f>
        <v>0</v>
      </c>
      <c r="R8" s="47">
        <f>-IF('Mix 2 Summary'!$M$18&gt;'Generation &amp; Ops Scenarios'!$D$45, ('Mix 2 Summary'!$M$18-'Generation &amp; Ops Scenarios'!$D$45)*'Mix 2 Summary'!$H$23/100, 0)</f>
        <v>0</v>
      </c>
      <c r="S8" s="47">
        <f>-IF('Mix 2 Summary'!$M$18&gt;'Generation &amp; Ops Scenarios'!$D$45, ('Mix 2 Summary'!$M$18-'Generation &amp; Ops Scenarios'!$D$45)*'Mix 2 Summary'!$H$23/100, 0)</f>
        <v>0</v>
      </c>
      <c r="T8" s="47">
        <f>-IF('Mix 2 Summary'!$M$18&gt;'Generation &amp; Ops Scenarios'!$D$45, ('Mix 2 Summary'!$M$18-'Generation &amp; Ops Scenarios'!$D$45)*'Mix 2 Summary'!$H$23/100, 0)</f>
        <v>0</v>
      </c>
      <c r="U8" s="47">
        <f>-IF('Mix 2 Summary'!$M$18&gt;'Generation &amp; Ops Scenarios'!$D$45, ('Mix 2 Summary'!$M$18-'Generation &amp; Ops Scenarios'!$D$45)*'Mix 2 Summary'!$H$23/100, 0)</f>
        <v>0</v>
      </c>
      <c r="V8" s="47">
        <f>-IF('Mix 2 Summary'!$M$18&gt;'Generation &amp; Ops Scenarios'!$D$45, ('Mix 2 Summary'!$M$18-'Generation &amp; Ops Scenarios'!$D$45)*'Mix 2 Summary'!$H$23/100, 0)</f>
        <v>0</v>
      </c>
      <c r="W8" s="47">
        <f>-IF('Mix 2 Summary'!$M$18&gt;'Generation &amp; Ops Scenarios'!$D$45, ('Mix 2 Summary'!$M$18-'Generation &amp; Ops Scenarios'!$D$45)*'Mix 2 Summary'!$H$23/100, 0)</f>
        <v>0</v>
      </c>
      <c r="X8" s="47">
        <f>-IF('Mix 2 Summary'!$M$18&gt;'Generation &amp; Ops Scenarios'!$D$45, ('Mix 2 Summary'!$M$18-'Generation &amp; Ops Scenarios'!$D$45)*'Mix 2 Summary'!$H$23/100, 0)</f>
        <v>0</v>
      </c>
      <c r="Y8" s="47">
        <f>-IF('Mix 2 Summary'!$M$18&gt;'Generation &amp; Ops Scenarios'!$D$45, ('Mix 2 Summary'!$M$18-'Generation &amp; Ops Scenarios'!$D$45)*'Mix 2 Summary'!$H$23/100, 0)</f>
        <v>0</v>
      </c>
      <c r="Z8" s="47">
        <f>-IF('Mix 2 Summary'!$M$18&gt;'Generation &amp; Ops Scenarios'!$D$45, ('Mix 2 Summary'!$M$18-'Generation &amp; Ops Scenarios'!$D$45)*'Mix 2 Summary'!$H$23/100, 0)</f>
        <v>0</v>
      </c>
      <c r="AA8" s="47">
        <f>-IF('Mix 2 Summary'!$M$18&gt;'Generation &amp; Ops Scenarios'!$D$45, ('Mix 2 Summary'!$M$18-'Generation &amp; Ops Scenarios'!$D$45)*'Mix 2 Summary'!$H$23/100, 0)</f>
        <v>0</v>
      </c>
      <c r="AB8" s="47">
        <f>-IF('Mix 2 Summary'!$M$18&gt;'Generation &amp; Ops Scenarios'!$D$45, ('Mix 2 Summary'!$M$18-'Generation &amp; Ops Scenarios'!$D$45)*'Mix 2 Summary'!$H$23/100, 0)</f>
        <v>0</v>
      </c>
      <c r="AC8" s="47"/>
      <c r="AD8" s="47">
        <f>SUM(D8:AC8)</f>
        <v>0</v>
      </c>
    </row>
    <row r="9" spans="1:30" x14ac:dyDescent="0.3">
      <c r="A9" s="308" t="s">
        <v>24</v>
      </c>
      <c r="B9" s="308"/>
      <c r="C9" s="308"/>
      <c r="D9" s="47">
        <f>-'Mix 2 Summary'!H16</f>
        <v>-291846.2391666667</v>
      </c>
      <c r="E9" s="47">
        <f>D9*E44</f>
        <v>-291846.2391666667</v>
      </c>
      <c r="F9" s="47">
        <f t="shared" ref="F9:AB9" si="0">E9*F44</f>
        <v>-291846.2391666667</v>
      </c>
      <c r="G9" s="47">
        <f t="shared" si="0"/>
        <v>-291846.2391666667</v>
      </c>
      <c r="H9" s="47">
        <f t="shared" si="0"/>
        <v>-291846.2391666667</v>
      </c>
      <c r="I9" s="47">
        <f t="shared" si="0"/>
        <v>-291846.2391666667</v>
      </c>
      <c r="J9" s="47">
        <f t="shared" si="0"/>
        <v>-291846.2391666667</v>
      </c>
      <c r="K9" s="47">
        <f t="shared" si="0"/>
        <v>-291846.2391666667</v>
      </c>
      <c r="L9" s="47">
        <f t="shared" si="0"/>
        <v>-291846.2391666667</v>
      </c>
      <c r="M9" s="47">
        <f t="shared" si="0"/>
        <v>-291846.2391666667</v>
      </c>
      <c r="N9" s="47">
        <f t="shared" si="0"/>
        <v>-291846.2391666667</v>
      </c>
      <c r="O9" s="47">
        <f t="shared" si="0"/>
        <v>-291846.2391666667</v>
      </c>
      <c r="P9" s="47">
        <f t="shared" si="0"/>
        <v>-291846.2391666667</v>
      </c>
      <c r="Q9" s="47">
        <f t="shared" si="0"/>
        <v>-291846.2391666667</v>
      </c>
      <c r="R9" s="47">
        <f t="shared" si="0"/>
        <v>-291846.2391666667</v>
      </c>
      <c r="S9" s="47">
        <f t="shared" si="0"/>
        <v>-291846.2391666667</v>
      </c>
      <c r="T9" s="47">
        <f t="shared" si="0"/>
        <v>-291846.2391666667</v>
      </c>
      <c r="U9" s="47">
        <f t="shared" si="0"/>
        <v>-291846.2391666667</v>
      </c>
      <c r="V9" s="47">
        <f t="shared" si="0"/>
        <v>-291846.2391666667</v>
      </c>
      <c r="W9" s="47">
        <f t="shared" si="0"/>
        <v>-291846.2391666667</v>
      </c>
      <c r="X9" s="47">
        <f t="shared" si="0"/>
        <v>-291846.2391666667</v>
      </c>
      <c r="Y9" s="47">
        <f t="shared" si="0"/>
        <v>-291846.2391666667</v>
      </c>
      <c r="Z9" s="47">
        <f t="shared" si="0"/>
        <v>-291846.2391666667</v>
      </c>
      <c r="AA9" s="47">
        <f t="shared" si="0"/>
        <v>-291846.2391666667</v>
      </c>
      <c r="AB9" s="47">
        <f t="shared" si="0"/>
        <v>-291846.2391666667</v>
      </c>
      <c r="AC9" s="47"/>
      <c r="AD9" s="47"/>
    </row>
    <row r="10" spans="1:30" x14ac:dyDescent="0.3">
      <c r="A10" s="308"/>
      <c r="B10" s="308"/>
      <c r="C10" s="308"/>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row>
    <row r="11" spans="1:30" x14ac:dyDescent="0.3">
      <c r="A11" s="308" t="s">
        <v>18</v>
      </c>
      <c r="B11" s="308"/>
      <c r="C11" s="308"/>
      <c r="D11" s="342">
        <f>SUM(D7:D10)</f>
        <v>548153.76083333325</v>
      </c>
      <c r="E11" s="342">
        <f>SUM(E7:E10)</f>
        <v>548153.76083333325</v>
      </c>
      <c r="F11" s="342">
        <f t="shared" ref="F11:AD11" si="1">SUM(F7:F10)</f>
        <v>548153.76083333325</v>
      </c>
      <c r="G11" s="342">
        <f t="shared" si="1"/>
        <v>548153.76083333325</v>
      </c>
      <c r="H11" s="342">
        <f t="shared" si="1"/>
        <v>548153.76083333325</v>
      </c>
      <c r="I11" s="342">
        <f t="shared" si="1"/>
        <v>548153.76083333325</v>
      </c>
      <c r="J11" s="342">
        <f t="shared" si="1"/>
        <v>548153.76083333325</v>
      </c>
      <c r="K11" s="342">
        <f t="shared" si="1"/>
        <v>548153.76083333325</v>
      </c>
      <c r="L11" s="342">
        <f t="shared" si="1"/>
        <v>548153.76083333325</v>
      </c>
      <c r="M11" s="342">
        <f t="shared" si="1"/>
        <v>548153.76083333325</v>
      </c>
      <c r="N11" s="342">
        <f t="shared" si="1"/>
        <v>548153.76083333325</v>
      </c>
      <c r="O11" s="342">
        <f t="shared" si="1"/>
        <v>548153.76083333325</v>
      </c>
      <c r="P11" s="342">
        <f t="shared" si="1"/>
        <v>548153.76083333325</v>
      </c>
      <c r="Q11" s="342">
        <f t="shared" si="1"/>
        <v>548153.76083333325</v>
      </c>
      <c r="R11" s="342">
        <f t="shared" si="1"/>
        <v>548153.76083333325</v>
      </c>
      <c r="S11" s="342">
        <f t="shared" si="1"/>
        <v>548153.76083333325</v>
      </c>
      <c r="T11" s="342">
        <f t="shared" si="1"/>
        <v>548153.76083333325</v>
      </c>
      <c r="U11" s="342">
        <f t="shared" si="1"/>
        <v>548153.76083333325</v>
      </c>
      <c r="V11" s="342">
        <f t="shared" si="1"/>
        <v>548153.76083333325</v>
      </c>
      <c r="W11" s="342">
        <f t="shared" si="1"/>
        <v>548153.76083333325</v>
      </c>
      <c r="X11" s="342">
        <f t="shared" si="1"/>
        <v>548153.76083333325</v>
      </c>
      <c r="Y11" s="342">
        <f t="shared" si="1"/>
        <v>548153.76083333325</v>
      </c>
      <c r="Z11" s="342">
        <f t="shared" si="1"/>
        <v>548153.76083333325</v>
      </c>
      <c r="AA11" s="342">
        <f t="shared" si="1"/>
        <v>548153.76083333325</v>
      </c>
      <c r="AB11" s="342">
        <f t="shared" si="1"/>
        <v>548153.76083333325</v>
      </c>
      <c r="AC11" s="47"/>
      <c r="AD11" s="342">
        <f t="shared" si="1"/>
        <v>21000000</v>
      </c>
    </row>
    <row r="12" spans="1:30" x14ac:dyDescent="0.3">
      <c r="A12" s="308"/>
      <c r="B12" s="308"/>
      <c r="C12" s="308"/>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row>
    <row r="13" spans="1:30" x14ac:dyDescent="0.3">
      <c r="A13" s="308" t="s">
        <v>19</v>
      </c>
      <c r="B13" s="308"/>
      <c r="C13" s="308"/>
      <c r="D13" s="47">
        <f>'Mix 2 Interest Calculations'!E14</f>
        <v>-352516.79375000001</v>
      </c>
      <c r="E13" s="47">
        <f>'Mix 2 Interest Calculations'!F14</f>
        <v>-347331.03494622896</v>
      </c>
      <c r="F13" s="47">
        <f>'Mix 2 Interest Calculations'!G14</f>
        <v>-341756.34423217509</v>
      </c>
      <c r="G13" s="47">
        <f>'Mix 2 Interest Calculations'!H14</f>
        <v>-335763.55171456723</v>
      </c>
      <c r="H13" s="47">
        <f>'Mix 2 Interest Calculations'!I14</f>
        <v>-329321.29975813872</v>
      </c>
      <c r="I13" s="47">
        <f>'Mix 2 Interest Calculations'!J14</f>
        <v>-322395.8789049781</v>
      </c>
      <c r="J13" s="47">
        <f>'Mix 2 Interest Calculations'!K14</f>
        <v>-314951.05148783047</v>
      </c>
      <c r="K13" s="47">
        <f>'Mix 2 Interest Calculations'!L14</f>
        <v>-306947.8620143967</v>
      </c>
      <c r="L13" s="47">
        <f>'Mix 2 Interest Calculations'!M14</f>
        <v>-298344.43333045545</v>
      </c>
      <c r="M13" s="47">
        <f>'Mix 2 Interest Calculations'!N14</f>
        <v>-289095.74749521859</v>
      </c>
      <c r="N13" s="47">
        <f>'Mix 2 Interest Calculations'!O14</f>
        <v>-279153.41022233898</v>
      </c>
      <c r="O13" s="47">
        <f>'Mix 2 Interest Calculations'!P14</f>
        <v>-268465.39765399334</v>
      </c>
      <c r="P13" s="47">
        <f>'Mix 2 Interest Calculations'!Q14</f>
        <v>-256975.78414302183</v>
      </c>
      <c r="Q13" s="47">
        <f>'Mix 2 Interest Calculations'!R14</f>
        <v>-244624.44961872743</v>
      </c>
      <c r="R13" s="47">
        <f>'Mix 2 Interest Calculations'!S14</f>
        <v>-231346.765005111</v>
      </c>
      <c r="S13" s="47">
        <f>'Mix 2 Interest Calculations'!T14</f>
        <v>-217073.25404547327</v>
      </c>
      <c r="T13" s="47">
        <f>'Mix 2 Interest Calculations'!U14</f>
        <v>-201729.22976386274</v>
      </c>
      <c r="U13" s="47">
        <f>'Mix 2 Interest Calculations'!V14</f>
        <v>-185234.40366113142</v>
      </c>
      <c r="V13" s="47">
        <f>'Mix 2 Interest Calculations'!W14</f>
        <v>-167502.46560069526</v>
      </c>
      <c r="W13" s="47">
        <f>'Mix 2 Interest Calculations'!X14</f>
        <v>-148440.63218572637</v>
      </c>
      <c r="X13" s="47">
        <f>'Mix 2 Interest Calculations'!Y14</f>
        <v>-127949.16126463481</v>
      </c>
      <c r="Y13" s="47">
        <f>'Mix 2 Interest Calculations'!Z14</f>
        <v>-105920.83002446139</v>
      </c>
      <c r="Z13" s="47">
        <f>'Mix 2 Interest Calculations'!AA14</f>
        <v>-82240.373941274971</v>
      </c>
      <c r="AA13" s="47">
        <f>'Mix 2 Interest Calculations'!AB14</f>
        <v>-56783.883651849566</v>
      </c>
      <c r="AB13" s="47">
        <f>'Mix 2 Interest Calculations'!AC14</f>
        <v>-29418.156590717259</v>
      </c>
      <c r="AC13" s="47"/>
      <c r="AD13" s="47">
        <f t="shared" ref="AD13" si="2">SUM(D13:AC13)</f>
        <v>-5841282.1950070094</v>
      </c>
    </row>
    <row r="14" spans="1:30" x14ac:dyDescent="0.3">
      <c r="A14" s="308"/>
      <c r="B14" s="308"/>
      <c r="C14" s="308"/>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row>
    <row r="15" spans="1:30" x14ac:dyDescent="0.3">
      <c r="A15" s="308" t="s">
        <v>41</v>
      </c>
      <c r="B15" s="308"/>
      <c r="C15" s="308"/>
      <c r="D15" s="343">
        <f t="shared" ref="D15:AB15" si="3">SUM(D11:D14)</f>
        <v>195636.96708333323</v>
      </c>
      <c r="E15" s="343">
        <f t="shared" si="3"/>
        <v>200822.72588710429</v>
      </c>
      <c r="F15" s="343">
        <f t="shared" si="3"/>
        <v>206397.41660115815</v>
      </c>
      <c r="G15" s="343">
        <f t="shared" si="3"/>
        <v>212390.20911876601</v>
      </c>
      <c r="H15" s="343">
        <f t="shared" si="3"/>
        <v>218832.46107519453</v>
      </c>
      <c r="I15" s="343">
        <f t="shared" si="3"/>
        <v>225757.88192835514</v>
      </c>
      <c r="J15" s="343">
        <f t="shared" si="3"/>
        <v>233202.70934550278</v>
      </c>
      <c r="K15" s="343">
        <f t="shared" si="3"/>
        <v>241205.89881893655</v>
      </c>
      <c r="L15" s="343">
        <f t="shared" si="3"/>
        <v>249809.3275028778</v>
      </c>
      <c r="M15" s="343">
        <f t="shared" si="3"/>
        <v>259058.01333811466</v>
      </c>
      <c r="N15" s="343">
        <f t="shared" si="3"/>
        <v>269000.35061099427</v>
      </c>
      <c r="O15" s="343">
        <f t="shared" si="3"/>
        <v>279688.36317933991</v>
      </c>
      <c r="P15" s="343">
        <f t="shared" si="3"/>
        <v>291177.97669031145</v>
      </c>
      <c r="Q15" s="343">
        <f t="shared" si="3"/>
        <v>303529.31121460581</v>
      </c>
      <c r="R15" s="343">
        <f t="shared" si="3"/>
        <v>316806.99582822225</v>
      </c>
      <c r="S15" s="343">
        <f t="shared" si="3"/>
        <v>331080.50678785995</v>
      </c>
      <c r="T15" s="343">
        <f t="shared" si="3"/>
        <v>346424.53106947051</v>
      </c>
      <c r="U15" s="343">
        <f t="shared" si="3"/>
        <v>362919.35717220185</v>
      </c>
      <c r="V15" s="343">
        <f t="shared" si="3"/>
        <v>380651.29523263802</v>
      </c>
      <c r="W15" s="343">
        <f t="shared" si="3"/>
        <v>399713.12864760688</v>
      </c>
      <c r="X15" s="343">
        <f t="shared" si="3"/>
        <v>420204.59956869844</v>
      </c>
      <c r="Y15" s="343">
        <f t="shared" si="3"/>
        <v>442232.93080887187</v>
      </c>
      <c r="Z15" s="343">
        <f t="shared" si="3"/>
        <v>465913.3868920583</v>
      </c>
      <c r="AA15" s="343">
        <f t="shared" si="3"/>
        <v>491369.87718148367</v>
      </c>
      <c r="AB15" s="343">
        <f t="shared" si="3"/>
        <v>518735.60424261598</v>
      </c>
      <c r="AC15" s="47"/>
      <c r="AD15" s="343">
        <f>SUM(AD11:AD14)</f>
        <v>15158717.804992991</v>
      </c>
    </row>
    <row r="16" spans="1:30" x14ac:dyDescent="0.3">
      <c r="A16" s="308"/>
      <c r="B16" s="308"/>
      <c r="C16" s="308"/>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row>
    <row r="17" spans="1:30" x14ac:dyDescent="0.3">
      <c r="A17" s="341" t="s">
        <v>20</v>
      </c>
      <c r="B17" s="308"/>
      <c r="C17" s="308"/>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row>
    <row r="18" spans="1:30" x14ac:dyDescent="0.3">
      <c r="A18" s="308" t="s">
        <v>21</v>
      </c>
      <c r="B18" s="308"/>
      <c r="C18" s="308"/>
      <c r="D18" s="47">
        <f>-'Mix 2 Summary'!B22</f>
        <v>-4700223.916666667</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f t="shared" ref="AD18:AD19" si="4">SUM(D18:AC18)</f>
        <v>-4700223.916666667</v>
      </c>
    </row>
    <row r="19" spans="1:30" x14ac:dyDescent="0.3">
      <c r="A19" s="308" t="s">
        <v>40</v>
      </c>
      <c r="B19" s="308"/>
      <c r="C19" s="308"/>
      <c r="D19" s="47">
        <f>'Mix 2 Interest Calculations'!D9</f>
        <v>4700223.916666667</v>
      </c>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f t="shared" si="4"/>
        <v>4700223.916666667</v>
      </c>
    </row>
    <row r="20" spans="1:30" x14ac:dyDescent="0.3">
      <c r="A20" s="308"/>
      <c r="B20" s="308"/>
      <c r="C20" s="308"/>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row>
    <row r="21" spans="1:30" x14ac:dyDescent="0.3">
      <c r="A21" s="308"/>
      <c r="B21" s="308"/>
      <c r="C21" s="308"/>
      <c r="D21" s="342">
        <f t="shared" ref="D21:AB21" si="5">SUM(D18:D20)</f>
        <v>0</v>
      </c>
      <c r="E21" s="342">
        <f t="shared" si="5"/>
        <v>0</v>
      </c>
      <c r="F21" s="342">
        <f t="shared" si="5"/>
        <v>0</v>
      </c>
      <c r="G21" s="342">
        <f t="shared" si="5"/>
        <v>0</v>
      </c>
      <c r="H21" s="342">
        <f t="shared" si="5"/>
        <v>0</v>
      </c>
      <c r="I21" s="342">
        <f t="shared" si="5"/>
        <v>0</v>
      </c>
      <c r="J21" s="342">
        <f t="shared" si="5"/>
        <v>0</v>
      </c>
      <c r="K21" s="342">
        <f t="shared" si="5"/>
        <v>0</v>
      </c>
      <c r="L21" s="342">
        <f t="shared" si="5"/>
        <v>0</v>
      </c>
      <c r="M21" s="342">
        <f t="shared" si="5"/>
        <v>0</v>
      </c>
      <c r="N21" s="342">
        <f t="shared" si="5"/>
        <v>0</v>
      </c>
      <c r="O21" s="342">
        <f t="shared" si="5"/>
        <v>0</v>
      </c>
      <c r="P21" s="342">
        <f t="shared" si="5"/>
        <v>0</v>
      </c>
      <c r="Q21" s="342">
        <f t="shared" si="5"/>
        <v>0</v>
      </c>
      <c r="R21" s="342">
        <f t="shared" si="5"/>
        <v>0</v>
      </c>
      <c r="S21" s="342">
        <f t="shared" si="5"/>
        <v>0</v>
      </c>
      <c r="T21" s="342">
        <f t="shared" si="5"/>
        <v>0</v>
      </c>
      <c r="U21" s="342">
        <f t="shared" si="5"/>
        <v>0</v>
      </c>
      <c r="V21" s="342">
        <f t="shared" si="5"/>
        <v>0</v>
      </c>
      <c r="W21" s="342">
        <f t="shared" si="5"/>
        <v>0</v>
      </c>
      <c r="X21" s="342">
        <f t="shared" si="5"/>
        <v>0</v>
      </c>
      <c r="Y21" s="342">
        <f t="shared" si="5"/>
        <v>0</v>
      </c>
      <c r="Z21" s="342">
        <f t="shared" si="5"/>
        <v>0</v>
      </c>
      <c r="AA21" s="342">
        <f t="shared" si="5"/>
        <v>0</v>
      </c>
      <c r="AB21" s="342">
        <f t="shared" si="5"/>
        <v>0</v>
      </c>
      <c r="AC21" s="47"/>
      <c r="AD21" s="342">
        <f>SUM(AD18:AD20)</f>
        <v>0</v>
      </c>
    </row>
    <row r="22" spans="1:30" x14ac:dyDescent="0.3">
      <c r="A22" s="308"/>
      <c r="B22" s="308"/>
      <c r="C22" s="308"/>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row>
    <row r="23" spans="1:30" x14ac:dyDescent="0.3">
      <c r="A23" s="308" t="s">
        <v>22</v>
      </c>
      <c r="B23" s="308"/>
      <c r="C23" s="308"/>
      <c r="D23" s="47">
        <f>'Mix 2 Interest Calculations'!E13</f>
        <v>-69143.450716947031</v>
      </c>
      <c r="E23" s="47">
        <f>'Mix 2 Interest Calculations'!F13</f>
        <v>-74329.209520718083</v>
      </c>
      <c r="F23" s="47">
        <f>'Mix 2 Interest Calculations'!G13</f>
        <v>-79903.900234771951</v>
      </c>
      <c r="G23" s="47">
        <f>'Mix 2 Interest Calculations'!H13</f>
        <v>-85896.692752379808</v>
      </c>
      <c r="H23" s="47">
        <f>'Mix 2 Interest Calculations'!I13</f>
        <v>-92338.944708808325</v>
      </c>
      <c r="I23" s="47">
        <f>'Mix 2 Interest Calculations'!J13</f>
        <v>-99264.365561968938</v>
      </c>
      <c r="J23" s="47">
        <f>'Mix 2 Interest Calculations'!K13</f>
        <v>-106709.19297911657</v>
      </c>
      <c r="K23" s="47">
        <f>'Mix 2 Interest Calculations'!L13</f>
        <v>-114712.38245255034</v>
      </c>
      <c r="L23" s="47">
        <f>'Mix 2 Interest Calculations'!M13</f>
        <v>-123315.8111364916</v>
      </c>
      <c r="M23" s="47">
        <f>'Mix 2 Interest Calculations'!N13</f>
        <v>-132564.49697172845</v>
      </c>
      <c r="N23" s="47">
        <f>'Mix 2 Interest Calculations'!O13</f>
        <v>-142506.83424460806</v>
      </c>
      <c r="O23" s="47">
        <f>'Mix 2 Interest Calculations'!P13</f>
        <v>-153194.84681295371</v>
      </c>
      <c r="P23" s="47">
        <f>'Mix 2 Interest Calculations'!Q13</f>
        <v>-164684.46032392522</v>
      </c>
      <c r="Q23" s="47">
        <f>'Mix 2 Interest Calculations'!R13</f>
        <v>-177035.79484821961</v>
      </c>
      <c r="R23" s="47">
        <f>'Mix 2 Interest Calculations'!S13</f>
        <v>-190313.47946183605</v>
      </c>
      <c r="S23" s="47">
        <f>'Mix 2 Interest Calculations'!T13</f>
        <v>-204586.99042147378</v>
      </c>
      <c r="T23" s="47">
        <f>'Mix 2 Interest Calculations'!U13</f>
        <v>-219931.01470308431</v>
      </c>
      <c r="U23" s="47">
        <f>'Mix 2 Interest Calculations'!V13</f>
        <v>-236425.84080581562</v>
      </c>
      <c r="V23" s="47">
        <f>'Mix 2 Interest Calculations'!W13</f>
        <v>-254157.77886625179</v>
      </c>
      <c r="W23" s="47">
        <f>'Mix 2 Interest Calculations'!X13</f>
        <v>-273219.61228122067</v>
      </c>
      <c r="X23" s="47">
        <f>'Mix 2 Interest Calculations'!Y13</f>
        <v>-293711.08320231223</v>
      </c>
      <c r="Y23" s="47">
        <f>'Mix 2 Interest Calculations'!Z13</f>
        <v>-315739.41444248566</v>
      </c>
      <c r="Z23" s="47">
        <f>'Mix 2 Interest Calculations'!AA13</f>
        <v>-339419.8705256721</v>
      </c>
      <c r="AA23" s="47">
        <f>'Mix 2 Interest Calculations'!AB13</f>
        <v>-364876.36081509746</v>
      </c>
      <c r="AB23" s="47">
        <f>'Mix 2 Interest Calculations'!AC13</f>
        <v>-392242.08787622978</v>
      </c>
      <c r="AC23" s="47"/>
      <c r="AD23" s="47">
        <f>SUM(D23:AC23)</f>
        <v>-4700223.916666667</v>
      </c>
    </row>
    <row r="24" spans="1:30" x14ac:dyDescent="0.3">
      <c r="A24" s="308"/>
      <c r="B24" s="308"/>
      <c r="C24" s="308"/>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row>
    <row r="25" spans="1:30" x14ac:dyDescent="0.3">
      <c r="A25" s="308"/>
      <c r="B25" s="308"/>
      <c r="C25" s="308"/>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row>
    <row r="26" spans="1:30" x14ac:dyDescent="0.3">
      <c r="A26" s="308" t="s">
        <v>42</v>
      </c>
      <c r="B26" s="308"/>
      <c r="C26" s="308"/>
      <c r="D26" s="342">
        <f t="shared" ref="D26:AB26" si="6">D15+D21+D23</f>
        <v>126493.5163663862</v>
      </c>
      <c r="E26" s="342">
        <f t="shared" si="6"/>
        <v>126493.5163663862</v>
      </c>
      <c r="F26" s="342">
        <f t="shared" si="6"/>
        <v>126493.5163663862</v>
      </c>
      <c r="G26" s="342">
        <f t="shared" si="6"/>
        <v>126493.5163663862</v>
      </c>
      <c r="H26" s="342">
        <f t="shared" si="6"/>
        <v>126493.5163663862</v>
      </c>
      <c r="I26" s="342">
        <f t="shared" si="6"/>
        <v>126493.5163663862</v>
      </c>
      <c r="J26" s="342">
        <f t="shared" si="6"/>
        <v>126493.5163663862</v>
      </c>
      <c r="K26" s="342">
        <f t="shared" si="6"/>
        <v>126493.5163663862</v>
      </c>
      <c r="L26" s="342">
        <f t="shared" si="6"/>
        <v>126493.5163663862</v>
      </c>
      <c r="M26" s="342">
        <f t="shared" si="6"/>
        <v>126493.5163663862</v>
      </c>
      <c r="N26" s="342">
        <f t="shared" si="6"/>
        <v>126493.5163663862</v>
      </c>
      <c r="O26" s="342">
        <f t="shared" si="6"/>
        <v>126493.5163663862</v>
      </c>
      <c r="P26" s="342">
        <f t="shared" si="6"/>
        <v>126493.51636638623</v>
      </c>
      <c r="Q26" s="342">
        <f t="shared" si="6"/>
        <v>126493.5163663862</v>
      </c>
      <c r="R26" s="342">
        <f t="shared" si="6"/>
        <v>126493.5163663862</v>
      </c>
      <c r="S26" s="342">
        <f t="shared" si="6"/>
        <v>126493.51636638617</v>
      </c>
      <c r="T26" s="342">
        <f t="shared" si="6"/>
        <v>126493.5163663862</v>
      </c>
      <c r="U26" s="342">
        <f t="shared" si="6"/>
        <v>126493.51636638623</v>
      </c>
      <c r="V26" s="342">
        <f t="shared" si="6"/>
        <v>126493.51636638623</v>
      </c>
      <c r="W26" s="342">
        <f t="shared" si="6"/>
        <v>126493.5163663862</v>
      </c>
      <c r="X26" s="342">
        <f t="shared" si="6"/>
        <v>126493.5163663862</v>
      </c>
      <c r="Y26" s="342">
        <f t="shared" si="6"/>
        <v>126493.5163663862</v>
      </c>
      <c r="Z26" s="342">
        <f t="shared" si="6"/>
        <v>126493.5163663862</v>
      </c>
      <c r="AA26" s="342">
        <f t="shared" si="6"/>
        <v>126493.5163663862</v>
      </c>
      <c r="AB26" s="342">
        <f t="shared" si="6"/>
        <v>126493.5163663862</v>
      </c>
      <c r="AC26" s="47"/>
      <c r="AD26" s="342">
        <f>AD23+AD15</f>
        <v>10458493.888326325</v>
      </c>
    </row>
    <row r="27" spans="1:30" x14ac:dyDescent="0.3">
      <c r="A27" s="308"/>
      <c r="B27" s="308"/>
      <c r="C27" s="308"/>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row>
    <row r="28" spans="1:30" x14ac:dyDescent="0.3">
      <c r="A28" s="308" t="s">
        <v>43</v>
      </c>
      <c r="B28" s="308"/>
      <c r="C28" s="308"/>
      <c r="D28" s="47"/>
      <c r="E28" s="47">
        <f>D30</f>
        <v>126493.5163663862</v>
      </c>
      <c r="F28" s="47">
        <f t="shared" ref="F28:AB28" si="7">E30</f>
        <v>252987.03273277241</v>
      </c>
      <c r="G28" s="47">
        <f t="shared" si="7"/>
        <v>379480.54909915861</v>
      </c>
      <c r="H28" s="47">
        <f t="shared" si="7"/>
        <v>505974.06546554482</v>
      </c>
      <c r="I28" s="47">
        <f t="shared" si="7"/>
        <v>632467.58183193102</v>
      </c>
      <c r="J28" s="47">
        <f t="shared" si="7"/>
        <v>758961.09819831722</v>
      </c>
      <c r="K28" s="47">
        <f t="shared" si="7"/>
        <v>885454.61456470343</v>
      </c>
      <c r="L28" s="47">
        <f t="shared" si="7"/>
        <v>1011948.1309310896</v>
      </c>
      <c r="M28" s="47">
        <f t="shared" si="7"/>
        <v>1138441.647297476</v>
      </c>
      <c r="N28" s="47">
        <f t="shared" si="7"/>
        <v>1264935.1636638623</v>
      </c>
      <c r="O28" s="47">
        <f t="shared" si="7"/>
        <v>1391428.6800302486</v>
      </c>
      <c r="P28" s="47">
        <f t="shared" si="7"/>
        <v>1517922.1963966349</v>
      </c>
      <c r="Q28" s="47">
        <f t="shared" si="7"/>
        <v>1644415.7127630212</v>
      </c>
      <c r="R28" s="47">
        <f t="shared" si="7"/>
        <v>1770909.2291294076</v>
      </c>
      <c r="S28" s="47">
        <f t="shared" si="7"/>
        <v>1897402.7454957939</v>
      </c>
      <c r="T28" s="47">
        <f t="shared" si="7"/>
        <v>2023896.26186218</v>
      </c>
      <c r="U28" s="47">
        <f t="shared" si="7"/>
        <v>2150389.7782285661</v>
      </c>
      <c r="V28" s="47">
        <f t="shared" si="7"/>
        <v>2276883.2945949524</v>
      </c>
      <c r="W28" s="47">
        <f t="shared" si="7"/>
        <v>2403376.8109613387</v>
      </c>
      <c r="X28" s="47">
        <f t="shared" si="7"/>
        <v>2529870.327327725</v>
      </c>
      <c r="Y28" s="47">
        <f t="shared" si="7"/>
        <v>2656363.8436941113</v>
      </c>
      <c r="Z28" s="47">
        <f t="shared" si="7"/>
        <v>2782857.3600604977</v>
      </c>
      <c r="AA28" s="47">
        <f t="shared" si="7"/>
        <v>2909350.876426884</v>
      </c>
      <c r="AB28" s="47">
        <f t="shared" si="7"/>
        <v>3035844.3927932703</v>
      </c>
      <c r="AC28" s="47"/>
      <c r="AD28" s="47">
        <f>D28</f>
        <v>0</v>
      </c>
    </row>
    <row r="29" spans="1:30" x14ac:dyDescent="0.3">
      <c r="A29" s="308"/>
      <c r="B29" s="308"/>
      <c r="C29" s="308"/>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row>
    <row r="30" spans="1:30" ht="13.5" thickBot="1" x14ac:dyDescent="0.35">
      <c r="A30" s="308" t="s">
        <v>44</v>
      </c>
      <c r="B30" s="308"/>
      <c r="C30" s="308"/>
      <c r="D30" s="344">
        <f>SUM(D26:D29)</f>
        <v>126493.5163663862</v>
      </c>
      <c r="E30" s="344">
        <f>SUM(E26:E29)</f>
        <v>252987.03273277241</v>
      </c>
      <c r="F30" s="344">
        <f t="shared" ref="F30:AD30" si="8">SUM(F26:F29)</f>
        <v>379480.54909915861</v>
      </c>
      <c r="G30" s="344">
        <f t="shared" si="8"/>
        <v>505974.06546554482</v>
      </c>
      <c r="H30" s="344">
        <f t="shared" si="8"/>
        <v>632467.58183193102</v>
      </c>
      <c r="I30" s="344">
        <f t="shared" si="8"/>
        <v>758961.09819831722</v>
      </c>
      <c r="J30" s="344">
        <f t="shared" si="8"/>
        <v>885454.61456470343</v>
      </c>
      <c r="K30" s="344">
        <f t="shared" si="8"/>
        <v>1011948.1309310896</v>
      </c>
      <c r="L30" s="344">
        <f t="shared" si="8"/>
        <v>1138441.647297476</v>
      </c>
      <c r="M30" s="344">
        <f t="shared" si="8"/>
        <v>1264935.1636638623</v>
      </c>
      <c r="N30" s="344">
        <f t="shared" si="8"/>
        <v>1391428.6800302486</v>
      </c>
      <c r="O30" s="344">
        <f t="shared" si="8"/>
        <v>1517922.1963966349</v>
      </c>
      <c r="P30" s="344">
        <f t="shared" si="8"/>
        <v>1644415.7127630212</v>
      </c>
      <c r="Q30" s="344">
        <f t="shared" si="8"/>
        <v>1770909.2291294076</v>
      </c>
      <c r="R30" s="344">
        <f t="shared" si="8"/>
        <v>1897402.7454957939</v>
      </c>
      <c r="S30" s="344">
        <f t="shared" si="8"/>
        <v>2023896.26186218</v>
      </c>
      <c r="T30" s="344">
        <f t="shared" si="8"/>
        <v>2150389.7782285661</v>
      </c>
      <c r="U30" s="344">
        <f t="shared" si="8"/>
        <v>2276883.2945949524</v>
      </c>
      <c r="V30" s="344">
        <f t="shared" si="8"/>
        <v>2403376.8109613387</v>
      </c>
      <c r="W30" s="344">
        <f t="shared" si="8"/>
        <v>2529870.327327725</v>
      </c>
      <c r="X30" s="344">
        <f t="shared" si="8"/>
        <v>2656363.8436941113</v>
      </c>
      <c r="Y30" s="344">
        <f t="shared" si="8"/>
        <v>2782857.3600604977</v>
      </c>
      <c r="Z30" s="344">
        <f t="shared" si="8"/>
        <v>2909350.876426884</v>
      </c>
      <c r="AA30" s="344">
        <f t="shared" si="8"/>
        <v>3035844.3927932703</v>
      </c>
      <c r="AB30" s="344">
        <f t="shared" si="8"/>
        <v>3162337.9091596566</v>
      </c>
      <c r="AC30" s="47"/>
      <c r="AD30" s="344">
        <f t="shared" si="8"/>
        <v>10458493.888326325</v>
      </c>
    </row>
    <row r="34" spans="1:28" x14ac:dyDescent="0.3">
      <c r="A34" s="309" t="s">
        <v>78</v>
      </c>
    </row>
    <row r="36" spans="1:28" x14ac:dyDescent="0.3">
      <c r="A36" s="309" t="s">
        <v>79</v>
      </c>
      <c r="D36" s="308">
        <f>D11</f>
        <v>548153.76083333325</v>
      </c>
      <c r="E36" s="308">
        <f t="shared" ref="E36:AB36" si="9">E11</f>
        <v>548153.76083333325</v>
      </c>
      <c r="F36" s="308">
        <f t="shared" si="9"/>
        <v>548153.76083333325</v>
      </c>
      <c r="G36" s="308">
        <f t="shared" si="9"/>
        <v>548153.76083333325</v>
      </c>
      <c r="H36" s="308">
        <f t="shared" si="9"/>
        <v>548153.76083333325</v>
      </c>
      <c r="I36" s="308">
        <f t="shared" si="9"/>
        <v>548153.76083333325</v>
      </c>
      <c r="J36" s="308">
        <f t="shared" si="9"/>
        <v>548153.76083333325</v>
      </c>
      <c r="K36" s="308">
        <f t="shared" si="9"/>
        <v>548153.76083333325</v>
      </c>
      <c r="L36" s="308">
        <f t="shared" si="9"/>
        <v>548153.76083333325</v>
      </c>
      <c r="M36" s="308">
        <f t="shared" si="9"/>
        <v>548153.76083333325</v>
      </c>
      <c r="N36" s="308">
        <f t="shared" si="9"/>
        <v>548153.76083333325</v>
      </c>
      <c r="O36" s="308">
        <f t="shared" si="9"/>
        <v>548153.76083333325</v>
      </c>
      <c r="P36" s="308">
        <f t="shared" si="9"/>
        <v>548153.76083333325</v>
      </c>
      <c r="Q36" s="308">
        <f t="shared" si="9"/>
        <v>548153.76083333325</v>
      </c>
      <c r="R36" s="308">
        <f t="shared" si="9"/>
        <v>548153.76083333325</v>
      </c>
      <c r="S36" s="308">
        <f t="shared" si="9"/>
        <v>548153.76083333325</v>
      </c>
      <c r="T36" s="308">
        <f t="shared" si="9"/>
        <v>548153.76083333325</v>
      </c>
      <c r="U36" s="308">
        <f t="shared" si="9"/>
        <v>548153.76083333325</v>
      </c>
      <c r="V36" s="308">
        <f t="shared" si="9"/>
        <v>548153.76083333325</v>
      </c>
      <c r="W36" s="308">
        <f t="shared" si="9"/>
        <v>548153.76083333325</v>
      </c>
      <c r="X36" s="308">
        <f t="shared" si="9"/>
        <v>548153.76083333325</v>
      </c>
      <c r="Y36" s="308">
        <f t="shared" si="9"/>
        <v>548153.76083333325</v>
      </c>
      <c r="Z36" s="308">
        <f t="shared" si="9"/>
        <v>548153.76083333325</v>
      </c>
      <c r="AA36" s="308">
        <f t="shared" si="9"/>
        <v>548153.76083333325</v>
      </c>
      <c r="AB36" s="308">
        <f t="shared" si="9"/>
        <v>548153.76083333325</v>
      </c>
    </row>
    <row r="37" spans="1:28" x14ac:dyDescent="0.3">
      <c r="A37" s="309" t="s">
        <v>80</v>
      </c>
      <c r="D37" s="308">
        <f>-D23-D13</f>
        <v>421660.24446694704</v>
      </c>
      <c r="E37" s="308">
        <f t="shared" ref="E37:AB37" si="10">-E23-E13</f>
        <v>421660.24446694704</v>
      </c>
      <c r="F37" s="308">
        <f t="shared" si="10"/>
        <v>421660.24446694704</v>
      </c>
      <c r="G37" s="308">
        <f t="shared" si="10"/>
        <v>421660.24446694704</v>
      </c>
      <c r="H37" s="308">
        <f t="shared" si="10"/>
        <v>421660.24446694704</v>
      </c>
      <c r="I37" s="308">
        <f t="shared" si="10"/>
        <v>421660.24446694704</v>
      </c>
      <c r="J37" s="308">
        <f t="shared" si="10"/>
        <v>421660.24446694704</v>
      </c>
      <c r="K37" s="308">
        <f t="shared" si="10"/>
        <v>421660.24446694704</v>
      </c>
      <c r="L37" s="308">
        <f t="shared" si="10"/>
        <v>421660.24446694704</v>
      </c>
      <c r="M37" s="308">
        <f t="shared" si="10"/>
        <v>421660.24446694704</v>
      </c>
      <c r="N37" s="308">
        <f t="shared" si="10"/>
        <v>421660.24446694704</v>
      </c>
      <c r="O37" s="308">
        <f t="shared" si="10"/>
        <v>421660.24446694704</v>
      </c>
      <c r="P37" s="308">
        <f t="shared" si="10"/>
        <v>421660.24446694704</v>
      </c>
      <c r="Q37" s="308">
        <f t="shared" si="10"/>
        <v>421660.24446694704</v>
      </c>
      <c r="R37" s="308">
        <f t="shared" si="10"/>
        <v>421660.24446694704</v>
      </c>
      <c r="S37" s="308">
        <f t="shared" si="10"/>
        <v>421660.24446694704</v>
      </c>
      <c r="T37" s="308">
        <f t="shared" si="10"/>
        <v>421660.24446694704</v>
      </c>
      <c r="U37" s="308">
        <f t="shared" si="10"/>
        <v>421660.24446694704</v>
      </c>
      <c r="V37" s="308">
        <f t="shared" si="10"/>
        <v>421660.24446694704</v>
      </c>
      <c r="W37" s="308">
        <f t="shared" si="10"/>
        <v>421660.24446694704</v>
      </c>
      <c r="X37" s="308">
        <f t="shared" si="10"/>
        <v>421660.24446694704</v>
      </c>
      <c r="Y37" s="308">
        <f t="shared" si="10"/>
        <v>421660.24446694704</v>
      </c>
      <c r="Z37" s="308">
        <f t="shared" si="10"/>
        <v>421660.24446694704</v>
      </c>
      <c r="AA37" s="308">
        <f t="shared" si="10"/>
        <v>421660.24446694704</v>
      </c>
      <c r="AB37" s="308">
        <f t="shared" si="10"/>
        <v>421660.24446694704</v>
      </c>
    </row>
    <row r="39" spans="1:28" x14ac:dyDescent="0.3">
      <c r="A39" s="309" t="s">
        <v>81</v>
      </c>
      <c r="D39" s="345">
        <f>D36/D37</f>
        <v>1.2999891927831526</v>
      </c>
      <c r="E39" s="345">
        <f t="shared" ref="E39:W39" si="11">E36/E37</f>
        <v>1.2999891927831526</v>
      </c>
      <c r="F39" s="345">
        <f t="shared" si="11"/>
        <v>1.2999891927831526</v>
      </c>
      <c r="G39" s="345">
        <f t="shared" si="11"/>
        <v>1.2999891927831526</v>
      </c>
      <c r="H39" s="345">
        <f t="shared" si="11"/>
        <v>1.2999891927831526</v>
      </c>
      <c r="I39" s="345">
        <f t="shared" si="11"/>
        <v>1.2999891927831526</v>
      </c>
      <c r="J39" s="345">
        <f t="shared" si="11"/>
        <v>1.2999891927831526</v>
      </c>
      <c r="K39" s="345">
        <f t="shared" si="11"/>
        <v>1.2999891927831526</v>
      </c>
      <c r="L39" s="345">
        <f t="shared" si="11"/>
        <v>1.2999891927831526</v>
      </c>
      <c r="M39" s="345">
        <f t="shared" si="11"/>
        <v>1.2999891927831526</v>
      </c>
      <c r="N39" s="345">
        <f t="shared" si="11"/>
        <v>1.2999891927831526</v>
      </c>
      <c r="O39" s="345">
        <f t="shared" si="11"/>
        <v>1.2999891927831526</v>
      </c>
      <c r="P39" s="345">
        <f t="shared" si="11"/>
        <v>1.2999891927831526</v>
      </c>
      <c r="Q39" s="345">
        <f t="shared" si="11"/>
        <v>1.2999891927831526</v>
      </c>
      <c r="R39" s="345">
        <f t="shared" si="11"/>
        <v>1.2999891927831526</v>
      </c>
      <c r="S39" s="345">
        <f t="shared" si="11"/>
        <v>1.2999891927831526</v>
      </c>
      <c r="T39" s="345">
        <f t="shared" si="11"/>
        <v>1.2999891927831526</v>
      </c>
      <c r="U39" s="345">
        <f t="shared" si="11"/>
        <v>1.2999891927831526</v>
      </c>
      <c r="V39" s="345">
        <f t="shared" si="11"/>
        <v>1.2999891927831526</v>
      </c>
      <c r="W39" s="345">
        <f t="shared" si="11"/>
        <v>1.2999891927831526</v>
      </c>
      <c r="X39" s="345"/>
      <c r="Y39" s="345"/>
      <c r="Z39" s="345"/>
      <c r="AA39" s="345"/>
      <c r="AB39" s="345"/>
    </row>
    <row r="43" spans="1:28" x14ac:dyDescent="0.3">
      <c r="A43" s="309" t="s">
        <v>192</v>
      </c>
    </row>
    <row r="44" spans="1:28" x14ac:dyDescent="0.3">
      <c r="A44" s="309" t="s">
        <v>193</v>
      </c>
      <c r="D44" s="346">
        <v>1</v>
      </c>
      <c r="E44" s="346">
        <f>D44+'Mix 2 Summary'!$R$10</f>
        <v>1</v>
      </c>
      <c r="F44" s="346">
        <f>E44+'Mix 2 Summary'!$R$10</f>
        <v>1</v>
      </c>
      <c r="G44" s="346">
        <f>F44+'Mix 2 Summary'!$R$10</f>
        <v>1</v>
      </c>
      <c r="H44" s="346">
        <f>G44+'Mix 2 Summary'!$R$10</f>
        <v>1</v>
      </c>
      <c r="I44" s="346">
        <f>H44+'Mix 2 Summary'!$R$10</f>
        <v>1</v>
      </c>
      <c r="J44" s="346">
        <f>I44+'Mix 2 Summary'!$R$10</f>
        <v>1</v>
      </c>
      <c r="K44" s="346">
        <f>J44+'Mix 2 Summary'!$R$10</f>
        <v>1</v>
      </c>
      <c r="L44" s="346">
        <f>K44+'Mix 2 Summary'!$R$10</f>
        <v>1</v>
      </c>
      <c r="M44" s="346">
        <f>L44+'Mix 2 Summary'!$R$10</f>
        <v>1</v>
      </c>
      <c r="N44" s="346">
        <f>M44+'Mix 2 Summary'!$R$10</f>
        <v>1</v>
      </c>
      <c r="O44" s="346">
        <f>N44+'Mix 2 Summary'!$R$10</f>
        <v>1</v>
      </c>
      <c r="P44" s="346">
        <f>O44+'Mix 2 Summary'!$R$10</f>
        <v>1</v>
      </c>
      <c r="Q44" s="346">
        <f>P44+'Mix 2 Summary'!$R$10</f>
        <v>1</v>
      </c>
      <c r="R44" s="346">
        <f>Q44+'Mix 2 Summary'!$R$10</f>
        <v>1</v>
      </c>
      <c r="S44" s="346">
        <f>R44+'Mix 2 Summary'!$R$10</f>
        <v>1</v>
      </c>
      <c r="T44" s="346">
        <f>S44+'Mix 2 Summary'!$R$10</f>
        <v>1</v>
      </c>
      <c r="U44" s="346">
        <f>T44+'Mix 2 Summary'!$R$10</f>
        <v>1</v>
      </c>
      <c r="V44" s="346">
        <f>U44+'Mix 2 Summary'!$R$10</f>
        <v>1</v>
      </c>
      <c r="W44" s="346">
        <f>V44+'Mix 2 Summary'!$R$10</f>
        <v>1</v>
      </c>
      <c r="X44" s="346">
        <f>W44+'Mix 2 Summary'!$R$10</f>
        <v>1</v>
      </c>
      <c r="Y44" s="346">
        <f>X44+'Mix 2 Summary'!$R$10</f>
        <v>1</v>
      </c>
      <c r="Z44" s="346">
        <f>Y44+'Mix 2 Summary'!$R$10</f>
        <v>1</v>
      </c>
      <c r="AA44" s="346">
        <f>Z44+'Mix 2 Summary'!$R$10</f>
        <v>1</v>
      </c>
      <c r="AB44" s="346">
        <f>AA44+'Mix 2 Summary'!$R$10</f>
        <v>1</v>
      </c>
    </row>
    <row r="45" spans="1:28" x14ac:dyDescent="0.3">
      <c r="A45" s="309" t="s">
        <v>4</v>
      </c>
      <c r="D45" s="346">
        <v>1</v>
      </c>
      <c r="E45" s="346">
        <f>D45+'Mix 2 Summary'!$R$11</f>
        <v>1</v>
      </c>
      <c r="F45" s="346">
        <f>E45+'Mix 2 Summary'!$R$11</f>
        <v>1</v>
      </c>
      <c r="G45" s="346">
        <f>F45+'Mix 2 Summary'!$R$11</f>
        <v>1</v>
      </c>
      <c r="H45" s="346">
        <f>G45+'Mix 2 Summary'!$R$11</f>
        <v>1</v>
      </c>
      <c r="I45" s="346">
        <f>H45+'Mix 2 Summary'!$R$11</f>
        <v>1</v>
      </c>
      <c r="J45" s="346">
        <f>I45+'Mix 2 Summary'!$R$11</f>
        <v>1</v>
      </c>
      <c r="K45" s="346">
        <f>J45+'Mix 2 Summary'!$R$11</f>
        <v>1</v>
      </c>
      <c r="L45" s="346">
        <f>K45+'Mix 2 Summary'!$R$11</f>
        <v>1</v>
      </c>
      <c r="M45" s="346">
        <f>L45+'Mix 2 Summary'!$R$11</f>
        <v>1</v>
      </c>
      <c r="N45" s="346">
        <f>M45+'Mix 2 Summary'!$R$11</f>
        <v>1</v>
      </c>
      <c r="O45" s="346">
        <f>N45+'Mix 2 Summary'!$R$11</f>
        <v>1</v>
      </c>
      <c r="P45" s="346">
        <f>O45+'Mix 2 Summary'!$R$11</f>
        <v>1</v>
      </c>
      <c r="Q45" s="346">
        <f>P45+'Mix 2 Summary'!$R$11</f>
        <v>1</v>
      </c>
      <c r="R45" s="346">
        <f>Q45+'Mix 2 Summary'!$R$11</f>
        <v>1</v>
      </c>
      <c r="S45" s="346">
        <f>R45+'Mix 2 Summary'!$R$11</f>
        <v>1</v>
      </c>
      <c r="T45" s="346">
        <f>S45+'Mix 2 Summary'!$R$11</f>
        <v>1</v>
      </c>
      <c r="U45" s="346">
        <f>T45+'Mix 2 Summary'!$R$11</f>
        <v>1</v>
      </c>
      <c r="V45" s="346">
        <f>U45+'Mix 2 Summary'!$R$11</f>
        <v>1</v>
      </c>
      <c r="W45" s="346">
        <f>V45+'Mix 2 Summary'!$R$11</f>
        <v>1</v>
      </c>
      <c r="X45" s="346">
        <f>W45+'Mix 2 Summary'!$R$11</f>
        <v>1</v>
      </c>
      <c r="Y45" s="346">
        <f>X45+'Mix 2 Summary'!$R$11</f>
        <v>1</v>
      </c>
      <c r="Z45" s="346">
        <f>Y45+'Mix 2 Summary'!$R$11</f>
        <v>1</v>
      </c>
      <c r="AA45" s="346">
        <f>Z45+'Mix 2 Summary'!$R$11</f>
        <v>1</v>
      </c>
      <c r="AB45" s="346">
        <f>AA45+'Mix 2 Summary'!$R$11</f>
        <v>1</v>
      </c>
    </row>
    <row r="46" spans="1:28" x14ac:dyDescent="0.3">
      <c r="A46" s="309" t="s">
        <v>163</v>
      </c>
      <c r="D46" s="346">
        <v>1</v>
      </c>
      <c r="E46" s="346">
        <f>D46+'Mix 2 Summary'!$R$12</f>
        <v>1</v>
      </c>
      <c r="F46" s="346">
        <f>E46+'Mix 2 Summary'!$R$12</f>
        <v>1</v>
      </c>
      <c r="G46" s="346">
        <f>F46+'Mix 2 Summary'!$R$12</f>
        <v>1</v>
      </c>
      <c r="H46" s="346">
        <f>G46+'Mix 2 Summary'!$R$12</f>
        <v>1</v>
      </c>
      <c r="I46" s="346">
        <f>H46+'Mix 2 Summary'!$R$12</f>
        <v>1</v>
      </c>
      <c r="J46" s="346">
        <f>I46+'Mix 2 Summary'!$R$12</f>
        <v>1</v>
      </c>
      <c r="K46" s="346">
        <f>J46+'Mix 2 Summary'!$R$12</f>
        <v>1</v>
      </c>
      <c r="L46" s="346">
        <f>K46+'Mix 2 Summary'!$R$12</f>
        <v>1</v>
      </c>
      <c r="M46" s="346">
        <f>L46+'Mix 2 Summary'!$R$12</f>
        <v>1</v>
      </c>
      <c r="N46" s="346">
        <f>M46+'Mix 2 Summary'!$R$12</f>
        <v>1</v>
      </c>
      <c r="O46" s="346">
        <f>N46+'Mix 2 Summary'!$R$12</f>
        <v>1</v>
      </c>
      <c r="P46" s="346">
        <f>O46+'Mix 2 Summary'!$R$12</f>
        <v>1</v>
      </c>
      <c r="Q46" s="346">
        <f>P46+'Mix 2 Summary'!$R$12</f>
        <v>1</v>
      </c>
      <c r="R46" s="346">
        <f>Q46+'Mix 2 Summary'!$R$12</f>
        <v>1</v>
      </c>
      <c r="S46" s="346">
        <f>R46+'Mix 2 Summary'!$R$12</f>
        <v>1</v>
      </c>
      <c r="T46" s="346">
        <f>S46+'Mix 2 Summary'!$R$12</f>
        <v>1</v>
      </c>
      <c r="U46" s="346">
        <f>T46+'Mix 2 Summary'!$R$12</f>
        <v>1</v>
      </c>
      <c r="V46" s="346">
        <f>U46+'Mix 2 Summary'!$R$12</f>
        <v>1</v>
      </c>
      <c r="W46" s="346">
        <f>V46+'Mix 2 Summary'!$R$12</f>
        <v>1</v>
      </c>
      <c r="X46" s="346">
        <f>W46+'Mix 2 Summary'!$R$12</f>
        <v>1</v>
      </c>
      <c r="Y46" s="346">
        <f>X46+'Mix 2 Summary'!$R$12</f>
        <v>1</v>
      </c>
      <c r="Z46" s="346">
        <f>Y46+'Mix 2 Summary'!$R$12</f>
        <v>1</v>
      </c>
      <c r="AA46" s="346">
        <f>Z46+'Mix 2 Summary'!$R$12</f>
        <v>1</v>
      </c>
      <c r="AB46" s="346">
        <f>AA46+'Mix 2 Summary'!$R$12</f>
        <v>1</v>
      </c>
    </row>
  </sheetData>
  <sheetProtection algorithmName="SHA-512" hashValue="KGCPSBR1EamwFlY5alPQByns8/qVGgg9675/wbUWoIO0eWUtTIWCeoZS2ziOdSIeNH2FGwWuPl3aJMXPDnWAbQ==" saltValue="QVo1sSxhQtgDm6wiZlR/zg==" spinCount="100000" sheet="1" objects="1" scenarios="1" selectLockedCells="1" selectUnlockedCells="1"/>
  <mergeCells count="1">
    <mergeCell ref="D3:AB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B3E5F-2BE8-48A7-AE46-288FA77E59C4}">
  <dimension ref="A1:AD27"/>
  <sheetViews>
    <sheetView workbookViewId="0">
      <selection activeCell="D1" sqref="D1"/>
    </sheetView>
  </sheetViews>
  <sheetFormatPr defaultRowHeight="14.5" x14ac:dyDescent="0.35"/>
  <cols>
    <col min="3" max="3" width="5.453125" customWidth="1"/>
    <col min="4" max="28" width="9.453125" bestFit="1" customWidth="1"/>
    <col min="30" max="30" width="11.54296875" customWidth="1"/>
  </cols>
  <sheetData>
    <row r="1" spans="1:30" x14ac:dyDescent="0.35">
      <c r="A1" s="16" t="s">
        <v>45</v>
      </c>
      <c r="B1" s="4"/>
      <c r="C1" s="4"/>
      <c r="D1" s="16" t="str">
        <f>'Generation &amp; Ops Scenarios'!D27</f>
        <v>Mix 2 Wind, Solar Diesel standby</v>
      </c>
      <c r="E1" s="4"/>
      <c r="F1" s="4"/>
      <c r="G1" s="4"/>
      <c r="H1" s="4"/>
      <c r="I1" s="4"/>
      <c r="J1" s="4"/>
      <c r="K1" s="4"/>
      <c r="L1" s="4"/>
      <c r="M1" s="4"/>
      <c r="N1" s="4"/>
      <c r="O1" s="4"/>
      <c r="P1" s="4"/>
      <c r="Q1" s="4"/>
      <c r="R1" s="4"/>
      <c r="S1" s="4"/>
      <c r="T1" s="4"/>
      <c r="U1" s="4"/>
      <c r="V1" s="4"/>
      <c r="W1" s="4"/>
      <c r="X1" s="4"/>
      <c r="Y1" s="4"/>
      <c r="Z1" s="4"/>
      <c r="AA1" s="4"/>
      <c r="AB1" s="4"/>
      <c r="AC1" s="4"/>
      <c r="AD1" s="4"/>
    </row>
    <row r="2" spans="1:30" x14ac:dyDescent="0.35">
      <c r="A2" s="4"/>
      <c r="B2" s="4"/>
      <c r="C2" s="4"/>
      <c r="D2" s="17"/>
      <c r="E2" s="17"/>
      <c r="F2" s="17"/>
      <c r="G2" s="17"/>
      <c r="H2" s="17"/>
      <c r="I2" s="17"/>
      <c r="J2" s="17"/>
      <c r="K2" s="17"/>
      <c r="L2" s="17"/>
      <c r="M2" s="17"/>
      <c r="N2" s="17"/>
      <c r="O2" s="17"/>
      <c r="P2" s="17"/>
      <c r="Q2" s="17"/>
      <c r="R2" s="17"/>
      <c r="S2" s="17"/>
      <c r="T2" s="17"/>
      <c r="U2" s="17"/>
      <c r="V2" s="17"/>
      <c r="W2" s="17"/>
      <c r="X2" s="17"/>
      <c r="Y2" s="17"/>
      <c r="Z2" s="17"/>
      <c r="AA2" s="17"/>
      <c r="AB2" s="17"/>
      <c r="AC2" s="17"/>
      <c r="AD2" s="4"/>
    </row>
    <row r="3" spans="1:30" x14ac:dyDescent="0.35">
      <c r="A3" s="4"/>
      <c r="B3" s="4"/>
      <c r="C3" s="4"/>
      <c r="D3" s="17">
        <v>1</v>
      </c>
      <c r="E3" s="17">
        <v>2</v>
      </c>
      <c r="F3" s="17">
        <v>3</v>
      </c>
      <c r="G3" s="17">
        <v>4</v>
      </c>
      <c r="H3" s="17">
        <v>5</v>
      </c>
      <c r="I3" s="17">
        <v>6</v>
      </c>
      <c r="J3" s="17">
        <v>7</v>
      </c>
      <c r="K3" s="17">
        <v>8</v>
      </c>
      <c r="L3" s="17">
        <v>9</v>
      </c>
      <c r="M3" s="17">
        <v>10</v>
      </c>
      <c r="N3" s="17">
        <v>11</v>
      </c>
      <c r="O3" s="17">
        <v>12</v>
      </c>
      <c r="P3" s="17">
        <v>13</v>
      </c>
      <c r="Q3" s="17">
        <v>14</v>
      </c>
      <c r="R3" s="17">
        <v>15</v>
      </c>
      <c r="S3" s="17">
        <v>16</v>
      </c>
      <c r="T3" s="17">
        <v>17</v>
      </c>
      <c r="U3" s="17">
        <v>18</v>
      </c>
      <c r="V3" s="17">
        <v>19</v>
      </c>
      <c r="W3" s="17">
        <v>20</v>
      </c>
      <c r="X3" s="17">
        <v>21</v>
      </c>
      <c r="Y3" s="17">
        <v>22</v>
      </c>
      <c r="Z3" s="17">
        <v>23</v>
      </c>
      <c r="AA3" s="17">
        <v>24</v>
      </c>
      <c r="AB3" s="17">
        <v>25</v>
      </c>
      <c r="AC3" s="17"/>
      <c r="AD3" s="17" t="s">
        <v>46</v>
      </c>
    </row>
    <row r="4" spans="1:30" ht="15.5" x14ac:dyDescent="0.35">
      <c r="A4" s="18" t="s">
        <v>3</v>
      </c>
      <c r="B4" s="18"/>
      <c r="C4" s="18"/>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5">
      <c r="A5" s="4" t="s">
        <v>76</v>
      </c>
      <c r="B5" s="4"/>
      <c r="C5" s="4"/>
      <c r="D5" s="19">
        <f>'Mix 2 Cash Flow'!D7</f>
        <v>840000</v>
      </c>
      <c r="E5" s="19">
        <f>'Mix 2 Cash Flow'!E7</f>
        <v>840000</v>
      </c>
      <c r="F5" s="19">
        <f>'Mix 2 Cash Flow'!F7</f>
        <v>840000</v>
      </c>
      <c r="G5" s="19">
        <f>'Mix 2 Cash Flow'!G7</f>
        <v>840000</v>
      </c>
      <c r="H5" s="19">
        <f>'Mix 2 Cash Flow'!H7</f>
        <v>840000</v>
      </c>
      <c r="I5" s="19">
        <f>'Mix 2 Cash Flow'!I7</f>
        <v>840000</v>
      </c>
      <c r="J5" s="19">
        <f>'Mix 2 Cash Flow'!J7</f>
        <v>840000</v>
      </c>
      <c r="K5" s="19">
        <f>'Mix 2 Cash Flow'!K7</f>
        <v>840000</v>
      </c>
      <c r="L5" s="19">
        <f>'Mix 2 Cash Flow'!L7</f>
        <v>840000</v>
      </c>
      <c r="M5" s="19">
        <f>'Mix 2 Cash Flow'!M7</f>
        <v>840000</v>
      </c>
      <c r="N5" s="19">
        <f>'Mix 2 Cash Flow'!N7</f>
        <v>840000</v>
      </c>
      <c r="O5" s="19">
        <f>'Mix 2 Cash Flow'!O7</f>
        <v>840000</v>
      </c>
      <c r="P5" s="19">
        <f>'Mix 2 Cash Flow'!P7</f>
        <v>840000</v>
      </c>
      <c r="Q5" s="19">
        <f>'Mix 2 Cash Flow'!Q7</f>
        <v>840000</v>
      </c>
      <c r="R5" s="19">
        <f>'Mix 2 Cash Flow'!R7</f>
        <v>840000</v>
      </c>
      <c r="S5" s="19">
        <f>'Mix 2 Cash Flow'!S7</f>
        <v>840000</v>
      </c>
      <c r="T5" s="19">
        <f>'Mix 2 Cash Flow'!T7</f>
        <v>840000</v>
      </c>
      <c r="U5" s="19">
        <f>'Mix 2 Cash Flow'!U7</f>
        <v>840000</v>
      </c>
      <c r="V5" s="19">
        <f>'Mix 2 Cash Flow'!V7</f>
        <v>840000</v>
      </c>
      <c r="W5" s="19">
        <f>'Mix 2 Cash Flow'!W7</f>
        <v>840000</v>
      </c>
      <c r="X5" s="19">
        <f>'Mix 2 Cash Flow'!X7</f>
        <v>840000</v>
      </c>
      <c r="Y5" s="19">
        <f>'Mix 2 Cash Flow'!Y7</f>
        <v>840000</v>
      </c>
      <c r="Z5" s="19">
        <f>'Mix 2 Cash Flow'!Z7</f>
        <v>840000</v>
      </c>
      <c r="AA5" s="19">
        <f>'Mix 2 Cash Flow'!AA7</f>
        <v>840000</v>
      </c>
      <c r="AB5" s="19">
        <f>'Mix 2 Cash Flow'!AB7</f>
        <v>840000</v>
      </c>
      <c r="AC5" s="19"/>
      <c r="AD5" s="19">
        <f>SUM(D5:AC5)</f>
        <v>21000000</v>
      </c>
    </row>
    <row r="6" spans="1:30" x14ac:dyDescent="0.35">
      <c r="A6" s="4" t="s">
        <v>52</v>
      </c>
      <c r="B6" s="4"/>
      <c r="C6" s="4"/>
      <c r="D6" s="19">
        <v>0</v>
      </c>
      <c r="E6" s="19">
        <v>0</v>
      </c>
      <c r="F6" s="19">
        <v>0</v>
      </c>
      <c r="G6" s="19">
        <v>0</v>
      </c>
      <c r="H6" s="19">
        <v>0</v>
      </c>
      <c r="I6" s="19">
        <v>0</v>
      </c>
      <c r="J6" s="19">
        <v>0</v>
      </c>
      <c r="K6" s="19">
        <v>0</v>
      </c>
      <c r="L6" s="19">
        <v>0</v>
      </c>
      <c r="M6" s="19">
        <v>0</v>
      </c>
      <c r="N6" s="19">
        <v>0</v>
      </c>
      <c r="O6" s="19">
        <v>0</v>
      </c>
      <c r="P6" s="19">
        <v>0</v>
      </c>
      <c r="Q6" s="19">
        <v>0</v>
      </c>
      <c r="R6" s="19">
        <v>0</v>
      </c>
      <c r="S6" s="19">
        <v>0</v>
      </c>
      <c r="T6" s="19">
        <v>0</v>
      </c>
      <c r="U6" s="19">
        <v>0</v>
      </c>
      <c r="V6" s="19">
        <v>0</v>
      </c>
      <c r="W6" s="19">
        <v>0</v>
      </c>
      <c r="X6" s="19">
        <v>0</v>
      </c>
      <c r="Y6" s="19">
        <v>0</v>
      </c>
      <c r="Z6" s="19">
        <v>0</v>
      </c>
      <c r="AA6" s="19">
        <v>0</v>
      </c>
      <c r="AB6" s="19">
        <v>0</v>
      </c>
      <c r="AC6" s="19"/>
      <c r="AD6" s="19">
        <f t="shared" ref="AD6" si="0">SUM(D6:AC6)</f>
        <v>0</v>
      </c>
    </row>
    <row r="7" spans="1:30" x14ac:dyDescent="0.35">
      <c r="A7" s="4"/>
      <c r="B7" s="4"/>
      <c r="C7" s="4"/>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ht="15" thickBot="1" x14ac:dyDescent="0.4">
      <c r="A8" s="4" t="s">
        <v>47</v>
      </c>
      <c r="B8" s="4"/>
      <c r="C8" s="4"/>
      <c r="D8" s="24">
        <f t="shared" ref="D8:AB8" si="1">SUM(D5:D7)</f>
        <v>840000</v>
      </c>
      <c r="E8" s="24">
        <f t="shared" si="1"/>
        <v>840000</v>
      </c>
      <c r="F8" s="24">
        <f t="shared" si="1"/>
        <v>840000</v>
      </c>
      <c r="G8" s="24">
        <f t="shared" si="1"/>
        <v>840000</v>
      </c>
      <c r="H8" s="24">
        <f t="shared" si="1"/>
        <v>840000</v>
      </c>
      <c r="I8" s="24">
        <f t="shared" si="1"/>
        <v>840000</v>
      </c>
      <c r="J8" s="24">
        <f t="shared" si="1"/>
        <v>840000</v>
      </c>
      <c r="K8" s="24">
        <f t="shared" si="1"/>
        <v>840000</v>
      </c>
      <c r="L8" s="24">
        <f t="shared" si="1"/>
        <v>840000</v>
      </c>
      <c r="M8" s="24">
        <f t="shared" si="1"/>
        <v>840000</v>
      </c>
      <c r="N8" s="24">
        <f t="shared" si="1"/>
        <v>840000</v>
      </c>
      <c r="O8" s="24">
        <f t="shared" si="1"/>
        <v>840000</v>
      </c>
      <c r="P8" s="24">
        <f t="shared" si="1"/>
        <v>840000</v>
      </c>
      <c r="Q8" s="24">
        <f t="shared" si="1"/>
        <v>840000</v>
      </c>
      <c r="R8" s="24">
        <f t="shared" si="1"/>
        <v>840000</v>
      </c>
      <c r="S8" s="24">
        <f t="shared" si="1"/>
        <v>840000</v>
      </c>
      <c r="T8" s="24">
        <f t="shared" si="1"/>
        <v>840000</v>
      </c>
      <c r="U8" s="24">
        <f t="shared" si="1"/>
        <v>840000</v>
      </c>
      <c r="V8" s="24">
        <f t="shared" si="1"/>
        <v>840000</v>
      </c>
      <c r="W8" s="24">
        <f t="shared" si="1"/>
        <v>840000</v>
      </c>
      <c r="X8" s="24">
        <f t="shared" si="1"/>
        <v>840000</v>
      </c>
      <c r="Y8" s="24">
        <f t="shared" si="1"/>
        <v>840000</v>
      </c>
      <c r="Z8" s="24">
        <f t="shared" si="1"/>
        <v>840000</v>
      </c>
      <c r="AA8" s="24">
        <f t="shared" si="1"/>
        <v>840000</v>
      </c>
      <c r="AB8" s="24">
        <f t="shared" si="1"/>
        <v>840000</v>
      </c>
      <c r="AC8" s="19"/>
      <c r="AD8" s="24">
        <f>SUM(AD5:AD7)</f>
        <v>21000000</v>
      </c>
    </row>
    <row r="9" spans="1:30" ht="15" thickTop="1" x14ac:dyDescent="0.35">
      <c r="A9" s="4"/>
      <c r="B9" s="4"/>
      <c r="C9" s="4"/>
      <c r="D9" s="19"/>
      <c r="E9" s="19"/>
      <c r="F9" s="19"/>
      <c r="G9" s="19"/>
      <c r="H9" s="19"/>
      <c r="I9" s="19"/>
      <c r="J9" s="19"/>
      <c r="K9" s="19"/>
      <c r="L9" s="19"/>
      <c r="M9" s="19"/>
      <c r="N9" s="19"/>
      <c r="O9" s="19"/>
      <c r="P9" s="19"/>
      <c r="Q9" s="19"/>
      <c r="R9" s="19"/>
      <c r="S9" s="19"/>
      <c r="T9" s="19"/>
      <c r="U9" s="19"/>
      <c r="V9" s="19"/>
      <c r="W9" s="19"/>
      <c r="X9" s="19"/>
      <c r="Y9" s="19"/>
      <c r="Z9" s="19"/>
      <c r="AA9" s="19"/>
      <c r="AB9" s="19"/>
      <c r="AC9" s="19"/>
      <c r="AD9" s="19"/>
    </row>
    <row r="10" spans="1:30" x14ac:dyDescent="0.35">
      <c r="A10" s="4"/>
      <c r="B10" s="4"/>
      <c r="C10" s="4"/>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0" ht="15.5" x14ac:dyDescent="0.35">
      <c r="A11" s="18" t="s">
        <v>2</v>
      </c>
      <c r="B11" s="18"/>
      <c r="C11" s="18"/>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row>
    <row r="12" spans="1:30" x14ac:dyDescent="0.35">
      <c r="A12" s="4" t="s">
        <v>4</v>
      </c>
      <c r="B12" s="4"/>
      <c r="C12" s="4"/>
      <c r="D12" s="19">
        <f>'Mix 2 Cash Flow'!D8</f>
        <v>0</v>
      </c>
      <c r="E12" s="19">
        <f>'Mix 2 Cash Flow'!E8</f>
        <v>0</v>
      </c>
      <c r="F12" s="19">
        <f>'Mix 2 Cash Flow'!F8</f>
        <v>0</v>
      </c>
      <c r="G12" s="19">
        <f>'Mix 2 Cash Flow'!G8</f>
        <v>0</v>
      </c>
      <c r="H12" s="19">
        <f>'Mix 2 Cash Flow'!H8</f>
        <v>0</v>
      </c>
      <c r="I12" s="19">
        <f>'Mix 2 Cash Flow'!I8</f>
        <v>0</v>
      </c>
      <c r="J12" s="19">
        <f>'Mix 2 Cash Flow'!J8</f>
        <v>0</v>
      </c>
      <c r="K12" s="19">
        <f>'Mix 2 Cash Flow'!K8</f>
        <v>0</v>
      </c>
      <c r="L12" s="19">
        <f>'Mix 2 Cash Flow'!L8</f>
        <v>0</v>
      </c>
      <c r="M12" s="19">
        <f>'Mix 2 Cash Flow'!M8</f>
        <v>0</v>
      </c>
      <c r="N12" s="19">
        <f>'Mix 2 Cash Flow'!N8</f>
        <v>0</v>
      </c>
      <c r="O12" s="19">
        <f>'Mix 2 Cash Flow'!O8</f>
        <v>0</v>
      </c>
      <c r="P12" s="19">
        <f>'Mix 2 Cash Flow'!P8</f>
        <v>0</v>
      </c>
      <c r="Q12" s="19">
        <f>'Mix 2 Cash Flow'!Q8</f>
        <v>0</v>
      </c>
      <c r="R12" s="19">
        <f>'Mix 2 Cash Flow'!R8</f>
        <v>0</v>
      </c>
      <c r="S12" s="19">
        <f>'Mix 2 Cash Flow'!S8</f>
        <v>0</v>
      </c>
      <c r="T12" s="19">
        <f>'Mix 2 Cash Flow'!T8</f>
        <v>0</v>
      </c>
      <c r="U12" s="19">
        <f>'Mix 2 Cash Flow'!U8</f>
        <v>0</v>
      </c>
      <c r="V12" s="19">
        <f>'Mix 2 Cash Flow'!V8</f>
        <v>0</v>
      </c>
      <c r="W12" s="19">
        <f>'Mix 2 Cash Flow'!W8</f>
        <v>0</v>
      </c>
      <c r="X12" s="19">
        <f>'Mix 2 Cash Flow'!X8</f>
        <v>0</v>
      </c>
      <c r="Y12" s="19">
        <f>'Mix 2 Cash Flow'!Y8</f>
        <v>0</v>
      </c>
      <c r="Z12" s="19">
        <f>'Mix 2 Cash Flow'!Z8</f>
        <v>0</v>
      </c>
      <c r="AA12" s="19">
        <f>'Mix 2 Cash Flow'!AA8</f>
        <v>0</v>
      </c>
      <c r="AB12" s="19">
        <f>'Mix 2 Cash Flow'!AB8</f>
        <v>0</v>
      </c>
      <c r="AC12" s="19"/>
      <c r="AD12" s="19">
        <f t="shared" ref="AD12:AD13" si="2">SUM(D12:AC12)</f>
        <v>0</v>
      </c>
    </row>
    <row r="13" spans="1:30" x14ac:dyDescent="0.35">
      <c r="A13" s="4" t="s">
        <v>2</v>
      </c>
      <c r="B13" s="4"/>
      <c r="C13" s="4"/>
      <c r="D13" s="19">
        <f>'Mix 2 Cash Flow'!D9</f>
        <v>-291846.2391666667</v>
      </c>
      <c r="E13" s="19">
        <f>'Mix 2 Cash Flow'!E9</f>
        <v>-291846.2391666667</v>
      </c>
      <c r="F13" s="19">
        <f>'Mix 2 Cash Flow'!F9</f>
        <v>-291846.2391666667</v>
      </c>
      <c r="G13" s="19">
        <f>'Mix 2 Cash Flow'!G9</f>
        <v>-291846.2391666667</v>
      </c>
      <c r="H13" s="19">
        <f>'Mix 2 Cash Flow'!H9</f>
        <v>-291846.2391666667</v>
      </c>
      <c r="I13" s="19">
        <f>'Mix 2 Cash Flow'!I9</f>
        <v>-291846.2391666667</v>
      </c>
      <c r="J13" s="19">
        <f>'Mix 2 Cash Flow'!J9</f>
        <v>-291846.2391666667</v>
      </c>
      <c r="K13" s="19">
        <f>'Mix 2 Cash Flow'!K9</f>
        <v>-291846.2391666667</v>
      </c>
      <c r="L13" s="19">
        <f>'Mix 2 Cash Flow'!L9</f>
        <v>-291846.2391666667</v>
      </c>
      <c r="M13" s="19">
        <f>'Mix 2 Cash Flow'!M9</f>
        <v>-291846.2391666667</v>
      </c>
      <c r="N13" s="19">
        <f>'Mix 2 Cash Flow'!N9</f>
        <v>-291846.2391666667</v>
      </c>
      <c r="O13" s="19">
        <f>'Mix 2 Cash Flow'!O9</f>
        <v>-291846.2391666667</v>
      </c>
      <c r="P13" s="19">
        <f>'Mix 2 Cash Flow'!P9</f>
        <v>-291846.2391666667</v>
      </c>
      <c r="Q13" s="19">
        <f>'Mix 2 Cash Flow'!Q9</f>
        <v>-291846.2391666667</v>
      </c>
      <c r="R13" s="19">
        <f>'Mix 2 Cash Flow'!R9</f>
        <v>-291846.2391666667</v>
      </c>
      <c r="S13" s="19">
        <f>'Mix 2 Cash Flow'!S9</f>
        <v>-291846.2391666667</v>
      </c>
      <c r="T13" s="19">
        <f>'Mix 2 Cash Flow'!T9</f>
        <v>-291846.2391666667</v>
      </c>
      <c r="U13" s="19">
        <f>'Mix 2 Cash Flow'!U9</f>
        <v>-291846.2391666667</v>
      </c>
      <c r="V13" s="19">
        <f>'Mix 2 Cash Flow'!V9</f>
        <v>-291846.2391666667</v>
      </c>
      <c r="W13" s="19">
        <f>'Mix 2 Cash Flow'!W9</f>
        <v>-291846.2391666667</v>
      </c>
      <c r="X13" s="19">
        <f>'Mix 2 Cash Flow'!X9</f>
        <v>-291846.2391666667</v>
      </c>
      <c r="Y13" s="19">
        <f>'Mix 2 Cash Flow'!Y9</f>
        <v>-291846.2391666667</v>
      </c>
      <c r="Z13" s="19">
        <f>'Mix 2 Cash Flow'!Z9</f>
        <v>-291846.2391666667</v>
      </c>
      <c r="AA13" s="19">
        <f>'Mix 2 Cash Flow'!AA9</f>
        <v>-291846.2391666667</v>
      </c>
      <c r="AB13" s="19">
        <f>'Mix 2 Cash Flow'!AB9</f>
        <v>-291846.2391666667</v>
      </c>
      <c r="AC13" s="19"/>
      <c r="AD13" s="19">
        <f t="shared" si="2"/>
        <v>-7296155.9791666679</v>
      </c>
    </row>
    <row r="14" spans="1:30" ht="15" thickBot="1" x14ac:dyDescent="0.4">
      <c r="A14" s="4" t="s">
        <v>48</v>
      </c>
      <c r="B14" s="4"/>
      <c r="C14" s="4"/>
      <c r="D14" s="24">
        <f t="shared" ref="D14:AB14" si="3">SUM(D12:D13)</f>
        <v>-291846.2391666667</v>
      </c>
      <c r="E14" s="24">
        <f t="shared" si="3"/>
        <v>-291846.2391666667</v>
      </c>
      <c r="F14" s="24">
        <f t="shared" si="3"/>
        <v>-291846.2391666667</v>
      </c>
      <c r="G14" s="24">
        <f t="shared" si="3"/>
        <v>-291846.2391666667</v>
      </c>
      <c r="H14" s="24">
        <f t="shared" si="3"/>
        <v>-291846.2391666667</v>
      </c>
      <c r="I14" s="24">
        <f t="shared" si="3"/>
        <v>-291846.2391666667</v>
      </c>
      <c r="J14" s="24">
        <f t="shared" si="3"/>
        <v>-291846.2391666667</v>
      </c>
      <c r="K14" s="24">
        <f t="shared" si="3"/>
        <v>-291846.2391666667</v>
      </c>
      <c r="L14" s="24">
        <f t="shared" si="3"/>
        <v>-291846.2391666667</v>
      </c>
      <c r="M14" s="24">
        <f t="shared" si="3"/>
        <v>-291846.2391666667</v>
      </c>
      <c r="N14" s="24">
        <f t="shared" si="3"/>
        <v>-291846.2391666667</v>
      </c>
      <c r="O14" s="24">
        <f t="shared" si="3"/>
        <v>-291846.2391666667</v>
      </c>
      <c r="P14" s="24">
        <f t="shared" si="3"/>
        <v>-291846.2391666667</v>
      </c>
      <c r="Q14" s="24">
        <f t="shared" si="3"/>
        <v>-291846.2391666667</v>
      </c>
      <c r="R14" s="24">
        <f t="shared" si="3"/>
        <v>-291846.2391666667</v>
      </c>
      <c r="S14" s="24">
        <f t="shared" si="3"/>
        <v>-291846.2391666667</v>
      </c>
      <c r="T14" s="24">
        <f t="shared" si="3"/>
        <v>-291846.2391666667</v>
      </c>
      <c r="U14" s="24">
        <f t="shared" si="3"/>
        <v>-291846.2391666667</v>
      </c>
      <c r="V14" s="24">
        <f t="shared" si="3"/>
        <v>-291846.2391666667</v>
      </c>
      <c r="W14" s="24">
        <f t="shared" si="3"/>
        <v>-291846.2391666667</v>
      </c>
      <c r="X14" s="24">
        <f t="shared" si="3"/>
        <v>-291846.2391666667</v>
      </c>
      <c r="Y14" s="24">
        <f t="shared" si="3"/>
        <v>-291846.2391666667</v>
      </c>
      <c r="Z14" s="24">
        <f t="shared" si="3"/>
        <v>-291846.2391666667</v>
      </c>
      <c r="AA14" s="24">
        <f t="shared" si="3"/>
        <v>-291846.2391666667</v>
      </c>
      <c r="AB14" s="24">
        <f t="shared" si="3"/>
        <v>-291846.2391666667</v>
      </c>
      <c r="AC14" s="19"/>
      <c r="AD14" s="24">
        <f>SUM(AD12:AD13)</f>
        <v>-7296155.9791666679</v>
      </c>
    </row>
    <row r="15" spans="1:30" ht="15" thickTop="1" x14ac:dyDescent="0.35">
      <c r="A15" s="4"/>
      <c r="B15" s="4"/>
      <c r="C15" s="4"/>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row>
    <row r="16" spans="1:30" x14ac:dyDescent="0.35">
      <c r="A16" s="16" t="s">
        <v>49</v>
      </c>
      <c r="B16" s="16"/>
      <c r="C16" s="16"/>
      <c r="D16" s="25">
        <f>D8+D14</f>
        <v>548153.76083333325</v>
      </c>
      <c r="E16" s="25">
        <f t="shared" ref="E16:AB16" si="4">E8+E14</f>
        <v>548153.76083333325</v>
      </c>
      <c r="F16" s="25">
        <f t="shared" si="4"/>
        <v>548153.76083333325</v>
      </c>
      <c r="G16" s="25">
        <f t="shared" si="4"/>
        <v>548153.76083333325</v>
      </c>
      <c r="H16" s="25">
        <f t="shared" si="4"/>
        <v>548153.76083333325</v>
      </c>
      <c r="I16" s="25">
        <f t="shared" si="4"/>
        <v>548153.76083333325</v>
      </c>
      <c r="J16" s="25">
        <f t="shared" si="4"/>
        <v>548153.76083333325</v>
      </c>
      <c r="K16" s="25">
        <f t="shared" si="4"/>
        <v>548153.76083333325</v>
      </c>
      <c r="L16" s="25">
        <f t="shared" si="4"/>
        <v>548153.76083333325</v>
      </c>
      <c r="M16" s="25">
        <f t="shared" si="4"/>
        <v>548153.76083333325</v>
      </c>
      <c r="N16" s="25">
        <f t="shared" si="4"/>
        <v>548153.76083333325</v>
      </c>
      <c r="O16" s="25">
        <f t="shared" si="4"/>
        <v>548153.76083333325</v>
      </c>
      <c r="P16" s="25">
        <f t="shared" si="4"/>
        <v>548153.76083333325</v>
      </c>
      <c r="Q16" s="25">
        <f t="shared" si="4"/>
        <v>548153.76083333325</v>
      </c>
      <c r="R16" s="25">
        <f t="shared" si="4"/>
        <v>548153.76083333325</v>
      </c>
      <c r="S16" s="25">
        <f t="shared" si="4"/>
        <v>548153.76083333325</v>
      </c>
      <c r="T16" s="25">
        <f t="shared" si="4"/>
        <v>548153.76083333325</v>
      </c>
      <c r="U16" s="25">
        <f t="shared" si="4"/>
        <v>548153.76083333325</v>
      </c>
      <c r="V16" s="25">
        <f t="shared" si="4"/>
        <v>548153.76083333325</v>
      </c>
      <c r="W16" s="25">
        <f t="shared" si="4"/>
        <v>548153.76083333325</v>
      </c>
      <c r="X16" s="25">
        <f t="shared" si="4"/>
        <v>548153.76083333325</v>
      </c>
      <c r="Y16" s="25">
        <f t="shared" si="4"/>
        <v>548153.76083333325</v>
      </c>
      <c r="Z16" s="25">
        <f t="shared" si="4"/>
        <v>548153.76083333325</v>
      </c>
      <c r="AA16" s="25">
        <f t="shared" si="4"/>
        <v>548153.76083333325</v>
      </c>
      <c r="AB16" s="25">
        <f t="shared" si="4"/>
        <v>548153.76083333325</v>
      </c>
      <c r="AC16" s="26"/>
      <c r="AD16" s="25">
        <f>AD8-AD14</f>
        <v>28296155.979166668</v>
      </c>
    </row>
    <row r="17" spans="1:30" x14ac:dyDescent="0.35">
      <c r="A17" s="14"/>
      <c r="B17" s="14"/>
      <c r="C17" s="14"/>
      <c r="D17" s="27">
        <f t="shared" ref="D17:AB17" si="5">D16/D8</f>
        <v>0.65256400099206335</v>
      </c>
      <c r="E17" s="27">
        <f t="shared" si="5"/>
        <v>0.65256400099206335</v>
      </c>
      <c r="F17" s="27">
        <f t="shared" si="5"/>
        <v>0.65256400099206335</v>
      </c>
      <c r="G17" s="27">
        <f t="shared" si="5"/>
        <v>0.65256400099206335</v>
      </c>
      <c r="H17" s="27">
        <f t="shared" si="5"/>
        <v>0.65256400099206335</v>
      </c>
      <c r="I17" s="27">
        <f t="shared" si="5"/>
        <v>0.65256400099206335</v>
      </c>
      <c r="J17" s="27">
        <f t="shared" si="5"/>
        <v>0.65256400099206335</v>
      </c>
      <c r="K17" s="27">
        <f t="shared" si="5"/>
        <v>0.65256400099206335</v>
      </c>
      <c r="L17" s="27">
        <f t="shared" si="5"/>
        <v>0.65256400099206335</v>
      </c>
      <c r="M17" s="27">
        <f t="shared" si="5"/>
        <v>0.65256400099206335</v>
      </c>
      <c r="N17" s="27">
        <f t="shared" si="5"/>
        <v>0.65256400099206335</v>
      </c>
      <c r="O17" s="27">
        <f t="shared" si="5"/>
        <v>0.65256400099206335</v>
      </c>
      <c r="P17" s="27">
        <f t="shared" si="5"/>
        <v>0.65256400099206335</v>
      </c>
      <c r="Q17" s="27">
        <f t="shared" si="5"/>
        <v>0.65256400099206335</v>
      </c>
      <c r="R17" s="27">
        <f t="shared" si="5"/>
        <v>0.65256400099206335</v>
      </c>
      <c r="S17" s="27">
        <f t="shared" si="5"/>
        <v>0.65256400099206335</v>
      </c>
      <c r="T17" s="27">
        <f t="shared" si="5"/>
        <v>0.65256400099206335</v>
      </c>
      <c r="U17" s="27">
        <f t="shared" si="5"/>
        <v>0.65256400099206335</v>
      </c>
      <c r="V17" s="27">
        <f t="shared" si="5"/>
        <v>0.65256400099206335</v>
      </c>
      <c r="W17" s="27">
        <f t="shared" si="5"/>
        <v>0.65256400099206335</v>
      </c>
      <c r="X17" s="27">
        <f t="shared" si="5"/>
        <v>0.65256400099206335</v>
      </c>
      <c r="Y17" s="27">
        <f t="shared" si="5"/>
        <v>0.65256400099206335</v>
      </c>
      <c r="Z17" s="27">
        <f t="shared" si="5"/>
        <v>0.65256400099206335</v>
      </c>
      <c r="AA17" s="27">
        <f t="shared" si="5"/>
        <v>0.65256400099206335</v>
      </c>
      <c r="AB17" s="27">
        <f t="shared" si="5"/>
        <v>0.65256400099206335</v>
      </c>
      <c r="AC17" s="27"/>
      <c r="AD17" s="27">
        <f>AD16/AD8</f>
        <v>1.3474359990079365</v>
      </c>
    </row>
    <row r="18" spans="1:30" x14ac:dyDescent="0.35">
      <c r="A18" s="4"/>
      <c r="B18" s="4"/>
      <c r="C18" s="4"/>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x14ac:dyDescent="0.35">
      <c r="A19" s="4" t="s">
        <v>63</v>
      </c>
      <c r="B19" s="4"/>
      <c r="C19" s="4"/>
      <c r="D19" s="19">
        <f>-'Mix 2 Summary'!$B$22/'Mix 2 Summary'!$R$9</f>
        <v>-188008.95666666667</v>
      </c>
      <c r="E19" s="19">
        <f>-'Mix 2 Summary'!$B$22/'Mix 2 Summary'!$R$9</f>
        <v>-188008.95666666667</v>
      </c>
      <c r="F19" s="19">
        <f>-'Mix 2 Summary'!$B$22/'Mix 2 Summary'!$R$9</f>
        <v>-188008.95666666667</v>
      </c>
      <c r="G19" s="19">
        <f>-'Mix 2 Summary'!$B$22/'Mix 2 Summary'!$R$9</f>
        <v>-188008.95666666667</v>
      </c>
      <c r="H19" s="19">
        <f>-'Mix 2 Summary'!$B$22/'Mix 2 Summary'!$R$9</f>
        <v>-188008.95666666667</v>
      </c>
      <c r="I19" s="19">
        <f>-'Mix 2 Summary'!$B$22/'Mix 2 Summary'!$R$9</f>
        <v>-188008.95666666667</v>
      </c>
      <c r="J19" s="19">
        <f>-'Mix 2 Summary'!$B$22/'Mix 2 Summary'!$R$9</f>
        <v>-188008.95666666667</v>
      </c>
      <c r="K19" s="19">
        <f>-'Mix 2 Summary'!$B$22/'Mix 2 Summary'!$R$9</f>
        <v>-188008.95666666667</v>
      </c>
      <c r="L19" s="19">
        <f>-'Mix 2 Summary'!$B$22/'Mix 2 Summary'!$R$9</f>
        <v>-188008.95666666667</v>
      </c>
      <c r="M19" s="19">
        <f>-'Mix 2 Summary'!$B$22/'Mix 2 Summary'!$R$9</f>
        <v>-188008.95666666667</v>
      </c>
      <c r="N19" s="19">
        <f>-'Mix 2 Summary'!$B$22/'Mix 2 Summary'!$R$9</f>
        <v>-188008.95666666667</v>
      </c>
      <c r="O19" s="19">
        <f>-'Mix 2 Summary'!$B$22/'Mix 2 Summary'!$R$9</f>
        <v>-188008.95666666667</v>
      </c>
      <c r="P19" s="19">
        <f>-'Mix 2 Summary'!$B$22/'Mix 2 Summary'!$R$9</f>
        <v>-188008.95666666667</v>
      </c>
      <c r="Q19" s="19">
        <f>-'Mix 2 Summary'!$B$22/'Mix 2 Summary'!$R$9</f>
        <v>-188008.95666666667</v>
      </c>
      <c r="R19" s="19">
        <f>-'Mix 2 Summary'!$B$22/'Mix 2 Summary'!$R$9</f>
        <v>-188008.95666666667</v>
      </c>
      <c r="S19" s="19">
        <f>-'Mix 2 Summary'!$B$22/'Mix 2 Summary'!$R$9</f>
        <v>-188008.95666666667</v>
      </c>
      <c r="T19" s="19">
        <f>-'Mix 2 Summary'!$B$22/'Mix 2 Summary'!$R$9</f>
        <v>-188008.95666666667</v>
      </c>
      <c r="U19" s="19">
        <f>-'Mix 2 Summary'!$B$22/'Mix 2 Summary'!$R$9</f>
        <v>-188008.95666666667</v>
      </c>
      <c r="V19" s="19">
        <f>-'Mix 2 Summary'!$B$22/'Mix 2 Summary'!$R$9</f>
        <v>-188008.95666666667</v>
      </c>
      <c r="W19" s="19">
        <f>-'Mix 2 Summary'!$B$22/'Mix 2 Summary'!$R$9</f>
        <v>-188008.95666666667</v>
      </c>
      <c r="X19" s="19">
        <f>-'Mix 2 Summary'!$B$22/'Mix 2 Summary'!$R$9</f>
        <v>-188008.95666666667</v>
      </c>
      <c r="Y19" s="19">
        <f>-'Mix 2 Summary'!$B$22/'Mix 2 Summary'!$R$9</f>
        <v>-188008.95666666667</v>
      </c>
      <c r="Z19" s="19">
        <f>-'Mix 2 Summary'!$B$22/'Mix 2 Summary'!$R$9</f>
        <v>-188008.95666666667</v>
      </c>
      <c r="AA19" s="19">
        <f>-'Mix 2 Summary'!$B$22/'Mix 2 Summary'!$R$9</f>
        <v>-188008.95666666667</v>
      </c>
      <c r="AB19" s="19">
        <f>-'Mix 2 Summary'!$B$22/'Mix 2 Summary'!$R$9</f>
        <v>-188008.95666666667</v>
      </c>
      <c r="AC19" s="19"/>
      <c r="AD19" s="19">
        <f t="shared" ref="AD19" si="6">SUM(D19:AC19)</f>
        <v>-4700223.916666666</v>
      </c>
    </row>
    <row r="20" spans="1:30" x14ac:dyDescent="0.35">
      <c r="A20" s="4"/>
      <c r="B20" s="4"/>
      <c r="C20" s="4"/>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1:30" x14ac:dyDescent="0.35">
      <c r="A21" s="16" t="s">
        <v>50</v>
      </c>
      <c r="B21" s="16"/>
      <c r="C21" s="16"/>
      <c r="D21" s="25">
        <f>+D16+D19</f>
        <v>360144.80416666658</v>
      </c>
      <c r="E21" s="25">
        <f t="shared" ref="E21:AB21" si="7">+E16+E19</f>
        <v>360144.80416666658</v>
      </c>
      <c r="F21" s="25">
        <f t="shared" si="7"/>
        <v>360144.80416666658</v>
      </c>
      <c r="G21" s="25">
        <f t="shared" si="7"/>
        <v>360144.80416666658</v>
      </c>
      <c r="H21" s="25">
        <f t="shared" si="7"/>
        <v>360144.80416666658</v>
      </c>
      <c r="I21" s="25">
        <f t="shared" si="7"/>
        <v>360144.80416666658</v>
      </c>
      <c r="J21" s="25">
        <f t="shared" si="7"/>
        <v>360144.80416666658</v>
      </c>
      <c r="K21" s="25">
        <f t="shared" si="7"/>
        <v>360144.80416666658</v>
      </c>
      <c r="L21" s="25">
        <f t="shared" si="7"/>
        <v>360144.80416666658</v>
      </c>
      <c r="M21" s="25">
        <f t="shared" si="7"/>
        <v>360144.80416666658</v>
      </c>
      <c r="N21" s="25">
        <f t="shared" si="7"/>
        <v>360144.80416666658</v>
      </c>
      <c r="O21" s="25">
        <f t="shared" si="7"/>
        <v>360144.80416666658</v>
      </c>
      <c r="P21" s="25">
        <f t="shared" si="7"/>
        <v>360144.80416666658</v>
      </c>
      <c r="Q21" s="25">
        <f t="shared" si="7"/>
        <v>360144.80416666658</v>
      </c>
      <c r="R21" s="25">
        <f t="shared" si="7"/>
        <v>360144.80416666658</v>
      </c>
      <c r="S21" s="25">
        <f t="shared" si="7"/>
        <v>360144.80416666658</v>
      </c>
      <c r="T21" s="25">
        <f t="shared" si="7"/>
        <v>360144.80416666658</v>
      </c>
      <c r="U21" s="25">
        <f t="shared" si="7"/>
        <v>360144.80416666658</v>
      </c>
      <c r="V21" s="25">
        <f t="shared" si="7"/>
        <v>360144.80416666658</v>
      </c>
      <c r="W21" s="25">
        <f t="shared" si="7"/>
        <v>360144.80416666658</v>
      </c>
      <c r="X21" s="25">
        <f t="shared" si="7"/>
        <v>360144.80416666658</v>
      </c>
      <c r="Y21" s="25">
        <f t="shared" si="7"/>
        <v>360144.80416666658</v>
      </c>
      <c r="Z21" s="25">
        <f t="shared" si="7"/>
        <v>360144.80416666658</v>
      </c>
      <c r="AA21" s="25">
        <f t="shared" si="7"/>
        <v>360144.80416666658</v>
      </c>
      <c r="AB21" s="25">
        <f t="shared" si="7"/>
        <v>360144.80416666658</v>
      </c>
      <c r="AC21" s="26"/>
      <c r="AD21" s="25">
        <f t="shared" ref="AD21" si="8">+AD16-AD19</f>
        <v>32996379.895833336</v>
      </c>
    </row>
    <row r="22" spans="1:30" x14ac:dyDescent="0.35">
      <c r="A22" s="4"/>
      <c r="B22" s="4"/>
      <c r="C22" s="4"/>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1:30" x14ac:dyDescent="0.35">
      <c r="A23" s="4" t="s">
        <v>51</v>
      </c>
      <c r="B23" s="4"/>
      <c r="C23" s="4"/>
      <c r="D23" s="19">
        <f>'Mix 2 Interest Calculations'!E14</f>
        <v>-352516.79375000001</v>
      </c>
      <c r="E23" s="19">
        <f>'Mix 2 Interest Calculations'!F14</f>
        <v>-347331.03494622896</v>
      </c>
      <c r="F23" s="19">
        <f>'Mix 2 Interest Calculations'!G14</f>
        <v>-341756.34423217509</v>
      </c>
      <c r="G23" s="19">
        <f>'Mix 2 Interest Calculations'!H14</f>
        <v>-335763.55171456723</v>
      </c>
      <c r="H23" s="19">
        <f>'Mix 2 Interest Calculations'!I14</f>
        <v>-329321.29975813872</v>
      </c>
      <c r="I23" s="19">
        <f>'Mix 2 Interest Calculations'!J14</f>
        <v>-322395.8789049781</v>
      </c>
      <c r="J23" s="19">
        <f>'Mix 2 Interest Calculations'!K14</f>
        <v>-314951.05148783047</v>
      </c>
      <c r="K23" s="19">
        <f>'Mix 2 Interest Calculations'!L14</f>
        <v>-306947.8620143967</v>
      </c>
      <c r="L23" s="19">
        <f>'Mix 2 Interest Calculations'!M14</f>
        <v>-298344.43333045545</v>
      </c>
      <c r="M23" s="19">
        <f>'Mix 2 Interest Calculations'!N14</f>
        <v>-289095.74749521859</v>
      </c>
      <c r="N23" s="19">
        <f>'Mix 2 Interest Calculations'!O14</f>
        <v>-279153.41022233898</v>
      </c>
      <c r="O23" s="19">
        <f>'Mix 2 Interest Calculations'!P14</f>
        <v>-268465.39765399334</v>
      </c>
      <c r="P23" s="19">
        <f>'Mix 2 Interest Calculations'!Q14</f>
        <v>-256975.78414302183</v>
      </c>
      <c r="Q23" s="19">
        <f>'Mix 2 Interest Calculations'!R14</f>
        <v>-244624.44961872743</v>
      </c>
      <c r="R23" s="19">
        <f>'Mix 2 Interest Calculations'!S14</f>
        <v>-231346.765005111</v>
      </c>
      <c r="S23" s="19">
        <f>'Mix 2 Interest Calculations'!T14</f>
        <v>-217073.25404547327</v>
      </c>
      <c r="T23" s="19">
        <f>'Mix 2 Interest Calculations'!U14</f>
        <v>-201729.22976386274</v>
      </c>
      <c r="U23" s="19">
        <f>'Mix 2 Interest Calculations'!V14</f>
        <v>-185234.40366113142</v>
      </c>
      <c r="V23" s="19">
        <f>'Mix 2 Interest Calculations'!W14</f>
        <v>-167502.46560069526</v>
      </c>
      <c r="W23" s="19">
        <f>'Mix 2 Interest Calculations'!X14</f>
        <v>-148440.63218572637</v>
      </c>
      <c r="X23" s="19">
        <f>'Mix 2 Interest Calculations'!Y14</f>
        <v>-127949.16126463481</v>
      </c>
      <c r="Y23" s="19">
        <f>'Mix 2 Interest Calculations'!Z14</f>
        <v>-105920.83002446139</v>
      </c>
      <c r="Z23" s="19">
        <f>'Mix 2 Interest Calculations'!AA14</f>
        <v>-82240.373941274971</v>
      </c>
      <c r="AA23" s="19">
        <f>'Mix 2 Interest Calculations'!AB14</f>
        <v>-56783.883651849566</v>
      </c>
      <c r="AB23" s="19">
        <f>'Mix 2 Interest Calculations'!AC14</f>
        <v>-29418.156590717259</v>
      </c>
      <c r="AC23" s="19"/>
      <c r="AD23" s="19">
        <f t="shared" ref="AD23" si="9">SUM(D23:AC23)</f>
        <v>-5841282.1950070094</v>
      </c>
    </row>
    <row r="24" spans="1:30" x14ac:dyDescent="0.35">
      <c r="A24" s="4"/>
      <c r="B24" s="4"/>
      <c r="C24" s="4"/>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15" thickBot="1" x14ac:dyDescent="0.4">
      <c r="A25" s="16" t="s">
        <v>54</v>
      </c>
      <c r="B25" s="16"/>
      <c r="C25" s="16"/>
      <c r="D25" s="28">
        <f>+D21+D23</f>
        <v>7628.0104166665697</v>
      </c>
      <c r="E25" s="28">
        <f t="shared" ref="E25:AB25" si="10">+E21+E23</f>
        <v>12813.769220437622</v>
      </c>
      <c r="F25" s="28">
        <f t="shared" si="10"/>
        <v>18388.45993449149</v>
      </c>
      <c r="G25" s="28">
        <f t="shared" si="10"/>
        <v>24381.252452099347</v>
      </c>
      <c r="H25" s="28">
        <f t="shared" si="10"/>
        <v>30823.504408527864</v>
      </c>
      <c r="I25" s="28">
        <f t="shared" si="10"/>
        <v>37748.925261688477</v>
      </c>
      <c r="J25" s="28">
        <f t="shared" si="10"/>
        <v>45193.752678836114</v>
      </c>
      <c r="K25" s="28">
        <f t="shared" si="10"/>
        <v>53196.942152269883</v>
      </c>
      <c r="L25" s="28">
        <f t="shared" si="10"/>
        <v>61800.370836211136</v>
      </c>
      <c r="M25" s="28">
        <f t="shared" si="10"/>
        <v>71049.056671447994</v>
      </c>
      <c r="N25" s="28">
        <f t="shared" si="10"/>
        <v>80991.393944327603</v>
      </c>
      <c r="O25" s="28">
        <f t="shared" si="10"/>
        <v>91679.406512673246</v>
      </c>
      <c r="P25" s="28">
        <f t="shared" si="10"/>
        <v>103169.02002364476</v>
      </c>
      <c r="Q25" s="28">
        <f t="shared" si="10"/>
        <v>115520.35454793915</v>
      </c>
      <c r="R25" s="28">
        <f t="shared" si="10"/>
        <v>128798.03916155559</v>
      </c>
      <c r="S25" s="28">
        <f t="shared" si="10"/>
        <v>143071.55012119332</v>
      </c>
      <c r="T25" s="28">
        <f t="shared" si="10"/>
        <v>158415.57440280385</v>
      </c>
      <c r="U25" s="28">
        <f t="shared" si="10"/>
        <v>174910.40050553516</v>
      </c>
      <c r="V25" s="28">
        <f t="shared" si="10"/>
        <v>192642.33856597132</v>
      </c>
      <c r="W25" s="28">
        <f t="shared" si="10"/>
        <v>211704.17198094021</v>
      </c>
      <c r="X25" s="28">
        <f t="shared" si="10"/>
        <v>232195.64290203177</v>
      </c>
      <c r="Y25" s="28">
        <f t="shared" si="10"/>
        <v>254223.9741422052</v>
      </c>
      <c r="Z25" s="28">
        <f t="shared" si="10"/>
        <v>277904.43022539164</v>
      </c>
      <c r="AA25" s="28">
        <f t="shared" si="10"/>
        <v>303360.920514817</v>
      </c>
      <c r="AB25" s="28">
        <f t="shared" si="10"/>
        <v>330726.64757594932</v>
      </c>
      <c r="AC25" s="19"/>
      <c r="AD25" s="25">
        <f t="shared" ref="AD25" si="11">+AD21-AD23</f>
        <v>38837662.090840347</v>
      </c>
    </row>
    <row r="26" spans="1:30" ht="15" thickTop="1" x14ac:dyDescent="0.35">
      <c r="A26" s="4"/>
      <c r="B26" s="4"/>
      <c r="C26" s="4"/>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row>
    <row r="27" spans="1:30" x14ac:dyDescent="0.35">
      <c r="D27" s="45">
        <f>D25/3000000*100</f>
        <v>0.25426701388888567</v>
      </c>
      <c r="E27" s="45">
        <f t="shared" ref="E27:AB27" si="12">E25/3000000*100</f>
        <v>0.42712564068125403</v>
      </c>
      <c r="F27" s="45">
        <f t="shared" si="12"/>
        <v>0.61294866448304963</v>
      </c>
      <c r="G27" s="45">
        <f t="shared" si="12"/>
        <v>0.81270841506997826</v>
      </c>
      <c r="H27" s="45">
        <f t="shared" si="12"/>
        <v>1.0274501469509287</v>
      </c>
      <c r="I27" s="45">
        <f t="shared" si="12"/>
        <v>1.2582975087229493</v>
      </c>
      <c r="J27" s="45">
        <f t="shared" si="12"/>
        <v>1.5064584226278706</v>
      </c>
      <c r="K27" s="45">
        <f t="shared" si="12"/>
        <v>1.7732314050756628</v>
      </c>
      <c r="L27" s="45">
        <f t="shared" si="12"/>
        <v>2.060012361207038</v>
      </c>
      <c r="M27" s="45">
        <f t="shared" si="12"/>
        <v>2.3683018890482663</v>
      </c>
      <c r="N27" s="45">
        <f t="shared" si="12"/>
        <v>2.6997131314775871</v>
      </c>
      <c r="O27" s="45">
        <f t="shared" si="12"/>
        <v>3.0559802170891084</v>
      </c>
      <c r="P27" s="45">
        <f t="shared" si="12"/>
        <v>3.4389673341214921</v>
      </c>
      <c r="Q27" s="45">
        <f t="shared" si="12"/>
        <v>3.8506784849313047</v>
      </c>
      <c r="R27" s="45">
        <f t="shared" si="12"/>
        <v>4.2932679720518525</v>
      </c>
      <c r="S27" s="45">
        <f t="shared" si="12"/>
        <v>4.7690516707064434</v>
      </c>
      <c r="T27" s="45">
        <f t="shared" si="12"/>
        <v>5.2805191467601285</v>
      </c>
      <c r="U27" s="45">
        <f t="shared" si="12"/>
        <v>5.8303466835178384</v>
      </c>
      <c r="V27" s="45">
        <f t="shared" si="12"/>
        <v>6.4214112855323773</v>
      </c>
      <c r="W27" s="45">
        <f t="shared" si="12"/>
        <v>7.0568057326980069</v>
      </c>
      <c r="X27" s="45">
        <f t="shared" si="12"/>
        <v>7.739854763401059</v>
      </c>
      <c r="Y27" s="45">
        <f t="shared" si="12"/>
        <v>8.4741324714068398</v>
      </c>
      <c r="Z27" s="45">
        <f t="shared" si="12"/>
        <v>9.2634810075130556</v>
      </c>
      <c r="AA27" s="45">
        <f t="shared" si="12"/>
        <v>10.112030683827234</v>
      </c>
      <c r="AB27" s="45">
        <f t="shared" si="12"/>
        <v>11.024221585864977</v>
      </c>
    </row>
  </sheetData>
  <sheetProtection algorithmName="SHA-512" hashValue="ZYWSXbfa9MzSUWadPGkMMJ97D/aMCoPPJgTSpQ1c2bT2DblejCbV1hD/9NQEK61VJHUw5k9EmSpoXrvqu0Gqgw==" saltValue="iL96DHwPDx6TNwNHEry4tQ==" spinCount="100000" sheet="1" objects="1" scenarios="1" selectLockedCells="1" selectUnlockedCell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8B5DA-B501-4A87-84E0-9B77C138B749}">
  <dimension ref="A1:Z65"/>
  <sheetViews>
    <sheetView workbookViewId="0">
      <selection activeCell="I18" sqref="I18"/>
    </sheetView>
  </sheetViews>
  <sheetFormatPr defaultColWidth="16.453125" defaultRowHeight="14.5" x14ac:dyDescent="0.35"/>
  <cols>
    <col min="1" max="1" width="39.54296875" style="89" customWidth="1"/>
    <col min="2" max="2" width="22.7265625" style="89" customWidth="1"/>
    <col min="3" max="3" width="10.54296875" style="90" customWidth="1"/>
    <col min="4" max="4" width="12.1796875" style="89" customWidth="1"/>
    <col min="5" max="5" width="15.453125" style="89" customWidth="1"/>
    <col min="6" max="6" width="10.81640625" style="89" customWidth="1"/>
    <col min="7" max="7" width="11.54296875" style="89" customWidth="1"/>
    <col min="8" max="9" width="14.26953125" style="89" customWidth="1"/>
    <col min="10" max="10" width="12" style="89" customWidth="1"/>
    <col min="11" max="11" width="13.7265625" style="89" customWidth="1"/>
    <col min="12" max="12" width="12.26953125" style="89" customWidth="1"/>
    <col min="13" max="13" width="10.81640625" style="89" customWidth="1"/>
    <col min="14" max="14" width="10.7265625" style="89" customWidth="1"/>
    <col min="15" max="15" width="10.81640625" style="89" customWidth="1"/>
    <col min="16" max="16" width="10.453125" style="89" customWidth="1"/>
    <col min="17" max="17" width="12.54296875" style="89" customWidth="1"/>
    <col min="18" max="18" width="11.54296875" style="89" customWidth="1"/>
    <col min="19" max="19" width="10.81640625" style="89" bestFit="1" customWidth="1"/>
    <col min="20" max="20" width="12.453125" style="89" customWidth="1"/>
    <col min="21" max="21" width="11.7265625" style="89" customWidth="1"/>
    <col min="22" max="16384" width="16.453125" style="89"/>
  </cols>
  <sheetData>
    <row r="1" spans="1:19" ht="21" x14ac:dyDescent="0.35">
      <c r="A1" s="326" t="s">
        <v>154</v>
      </c>
      <c r="B1" s="347" t="str">
        <f>'Generation &amp; Ops Scenarios'!E27</f>
        <v>Mix 3 Wind, Solar, Storage, Diesel standby</v>
      </c>
      <c r="C1" s="348"/>
      <c r="D1" s="348"/>
    </row>
    <row r="2" spans="1:19" x14ac:dyDescent="0.35">
      <c r="A2" s="327" t="s">
        <v>152</v>
      </c>
      <c r="B2" s="328">
        <f>'Generation &amp; Ops Scenarios'!E35+'Generation &amp; Ops Scenarios'!E36+'Generation &amp; Ops Scenarios'!E37</f>
        <v>1700</v>
      </c>
      <c r="C2" s="310"/>
      <c r="D2" s="310"/>
    </row>
    <row r="3" spans="1:19" ht="15" thickBot="1" x14ac:dyDescent="0.4"/>
    <row r="4" spans="1:19" ht="15" thickBot="1" x14ac:dyDescent="0.4">
      <c r="A4" s="417" t="s">
        <v>1</v>
      </c>
      <c r="B4" s="418"/>
      <c r="C4" s="89"/>
      <c r="D4" s="419" t="s">
        <v>2</v>
      </c>
      <c r="E4" s="420"/>
      <c r="F4" s="420"/>
      <c r="G4" s="420"/>
      <c r="H4" s="421"/>
      <c r="K4" s="419" t="s">
        <v>3</v>
      </c>
      <c r="L4" s="420"/>
      <c r="M4" s="421"/>
      <c r="P4" s="417" t="s">
        <v>77</v>
      </c>
      <c r="Q4" s="422"/>
      <c r="R4" s="418"/>
    </row>
    <row r="5" spans="1:19" x14ac:dyDescent="0.35">
      <c r="A5" s="89" t="s">
        <v>83</v>
      </c>
      <c r="B5" s="329">
        <f>'Generation &amp; Ops Scenarios'!E55</f>
        <v>90000</v>
      </c>
      <c r="C5" s="89"/>
      <c r="D5" s="413" t="s">
        <v>9</v>
      </c>
      <c r="E5" s="414"/>
      <c r="F5" s="161"/>
      <c r="G5" s="161"/>
      <c r="H5" s="311">
        <f>'Generation &amp; Ops Scenarios'!$D$13</f>
        <v>160000</v>
      </c>
      <c r="K5" s="295" t="s">
        <v>153</v>
      </c>
      <c r="L5" s="161"/>
      <c r="M5" s="56">
        <f>H21</f>
        <v>1400000</v>
      </c>
      <c r="P5" s="399" t="s">
        <v>25</v>
      </c>
      <c r="Q5" s="400"/>
      <c r="R5" s="86">
        <f>'Generation &amp; Ops Scenarios'!$B$11</f>
        <v>1</v>
      </c>
    </row>
    <row r="6" spans="1:19" x14ac:dyDescent="0.35">
      <c r="A6" s="89" t="s">
        <v>84</v>
      </c>
      <c r="B6" s="330">
        <f>'Generation &amp; Ops Scenarios'!E56</f>
        <v>1000000</v>
      </c>
      <c r="C6" s="89"/>
      <c r="D6" s="413" t="s">
        <v>10</v>
      </c>
      <c r="E6" s="414"/>
      <c r="F6" s="161"/>
      <c r="G6" s="161"/>
      <c r="H6" s="312">
        <f>'Generation &amp; Ops Scenarios'!$D$12</f>
        <v>40000</v>
      </c>
      <c r="K6" s="295" t="s">
        <v>15</v>
      </c>
      <c r="L6" s="313"/>
      <c r="M6" s="56">
        <f>'Generation &amp; Ops Scenarios'!$B$2</f>
        <v>60</v>
      </c>
      <c r="P6" s="399" t="s">
        <v>5</v>
      </c>
      <c r="Q6" s="400"/>
      <c r="R6" s="74">
        <f>'Generation &amp; Ops Scenarios'!B14</f>
        <v>7.4999999999999997E-2</v>
      </c>
    </row>
    <row r="7" spans="1:19" x14ac:dyDescent="0.35">
      <c r="A7" s="89" t="s">
        <v>85</v>
      </c>
      <c r="B7" s="330">
        <f>'Generation &amp; Ops Scenarios'!E57</f>
        <v>780000</v>
      </c>
      <c r="C7" s="89"/>
      <c r="D7" s="413" t="s">
        <v>11</v>
      </c>
      <c r="E7" s="414"/>
      <c r="F7" s="161"/>
      <c r="G7" s="161"/>
      <c r="H7" s="300">
        <f>SUM(H5:H6)</f>
        <v>200000</v>
      </c>
      <c r="K7" s="295" t="s">
        <v>28</v>
      </c>
      <c r="L7" s="313"/>
      <c r="M7" s="314">
        <v>0</v>
      </c>
      <c r="P7" s="399" t="s">
        <v>26</v>
      </c>
      <c r="Q7" s="400"/>
      <c r="R7" s="87">
        <f>R5*B22</f>
        <v>5014823.916666667</v>
      </c>
    </row>
    <row r="8" spans="1:19" x14ac:dyDescent="0.35">
      <c r="A8" s="89" t="s">
        <v>86</v>
      </c>
      <c r="B8" s="330">
        <f>'Generation &amp; Ops Scenarios'!E58</f>
        <v>0</v>
      </c>
      <c r="C8" s="89"/>
      <c r="D8" s="413"/>
      <c r="E8" s="414"/>
      <c r="F8" s="161"/>
      <c r="G8" s="161"/>
      <c r="H8" s="300"/>
      <c r="K8" s="401" t="s">
        <v>72</v>
      </c>
      <c r="L8" s="402"/>
      <c r="M8" s="315">
        <f>'Generation &amp; Ops Scenarios'!$G$10</f>
        <v>0</v>
      </c>
      <c r="P8" s="399" t="s">
        <v>27</v>
      </c>
      <c r="Q8" s="400"/>
      <c r="R8" s="87">
        <f>'Generation &amp; Ops Scenarios'!$B$12</f>
        <v>25</v>
      </c>
    </row>
    <row r="9" spans="1:19" x14ac:dyDescent="0.35">
      <c r="A9" s="89" t="s">
        <v>87</v>
      </c>
      <c r="B9" s="330">
        <f>'Generation &amp; Ops Scenarios'!E59</f>
        <v>250000</v>
      </c>
      <c r="C9" s="89"/>
      <c r="D9" s="111" t="s">
        <v>103</v>
      </c>
      <c r="E9" s="161"/>
      <c r="F9" s="161"/>
      <c r="G9" s="161"/>
      <c r="H9" s="77">
        <f>B5*'Generation &amp; Ops Scenarios'!$B$20</f>
        <v>13500</v>
      </c>
      <c r="K9" s="401" t="s">
        <v>73</v>
      </c>
      <c r="L9" s="402"/>
      <c r="M9" s="315">
        <f>'Generation &amp; Ops Scenarios'!$G$11</f>
        <v>0</v>
      </c>
      <c r="P9" s="399" t="s">
        <v>53</v>
      </c>
      <c r="Q9" s="400"/>
      <c r="R9" s="87">
        <f>'Generation &amp; Ops Scenarios'!B13</f>
        <v>25</v>
      </c>
    </row>
    <row r="10" spans="1:19" x14ac:dyDescent="0.35">
      <c r="A10" s="89" t="s">
        <v>88</v>
      </c>
      <c r="B10" s="330">
        <f>SUM(B5:B9)*0.1</f>
        <v>212000</v>
      </c>
      <c r="C10" s="89"/>
      <c r="D10" s="111" t="s">
        <v>105</v>
      </c>
      <c r="E10" s="161"/>
      <c r="F10" s="161"/>
      <c r="G10" s="161"/>
      <c r="H10" s="77">
        <f>B7*'Generation &amp; Ops Scenarios'!$B$21</f>
        <v>7800</v>
      </c>
      <c r="K10" s="401" t="s">
        <v>74</v>
      </c>
      <c r="L10" s="402"/>
      <c r="M10" s="315">
        <f>'Generation &amp; Ops Scenarios'!$G$12</f>
        <v>0</v>
      </c>
      <c r="P10" s="399" t="s">
        <v>56</v>
      </c>
      <c r="Q10" s="400"/>
      <c r="R10" s="74">
        <f>'Generation &amp; Ops Scenarios'!$G$16</f>
        <v>0</v>
      </c>
    </row>
    <row r="11" spans="1:19" ht="15" thickBot="1" x14ac:dyDescent="0.4">
      <c r="A11" s="89" t="s">
        <v>8</v>
      </c>
      <c r="B11" s="330">
        <f>SUM(B5:B10)*0.1</f>
        <v>233200</v>
      </c>
      <c r="C11" s="89"/>
      <c r="D11" s="111" t="s">
        <v>107</v>
      </c>
      <c r="E11" s="161"/>
      <c r="F11" s="161"/>
      <c r="G11" s="161"/>
      <c r="H11" s="77">
        <f>B6*'Generation &amp; Ops Scenarios'!$B$22</f>
        <v>20000</v>
      </c>
      <c r="K11" s="411" t="s">
        <v>75</v>
      </c>
      <c r="L11" s="412"/>
      <c r="M11" s="316">
        <f>'Generation &amp; Ops Scenarios'!$G$13</f>
        <v>0</v>
      </c>
      <c r="P11" s="399" t="s">
        <v>55</v>
      </c>
      <c r="Q11" s="400"/>
      <c r="R11" s="74">
        <f>'Generation &amp; Ops Scenarios'!$G$17</f>
        <v>0</v>
      </c>
    </row>
    <row r="12" spans="1:19" ht="15" thickBot="1" x14ac:dyDescent="0.4">
      <c r="A12" s="89" t="s">
        <v>89</v>
      </c>
      <c r="B12" s="331">
        <f>SUM(B5:B11)</f>
        <v>2565200</v>
      </c>
      <c r="C12" s="89"/>
      <c r="D12" s="111" t="s">
        <v>108</v>
      </c>
      <c r="E12" s="161"/>
      <c r="F12" s="161"/>
      <c r="G12" s="161"/>
      <c r="H12" s="77">
        <f>B8*'Generation &amp; Ops Scenarios'!B23</f>
        <v>0</v>
      </c>
      <c r="P12" s="403" t="s">
        <v>57</v>
      </c>
      <c r="Q12" s="404"/>
      <c r="R12" s="332">
        <f>'Generation &amp; Ops Scenarios'!$G$18</f>
        <v>0</v>
      </c>
    </row>
    <row r="13" spans="1:19" x14ac:dyDescent="0.35">
      <c r="B13" s="333"/>
      <c r="C13" s="89"/>
      <c r="D13" s="111" t="s">
        <v>109</v>
      </c>
      <c r="E13" s="161"/>
      <c r="F13" s="161"/>
      <c r="G13" s="161"/>
      <c r="H13" s="77">
        <f>B21*'Generation &amp; Ops Scenarios'!$B$24</f>
        <v>24496.23916666667</v>
      </c>
      <c r="K13" s="408" t="s">
        <v>230</v>
      </c>
      <c r="L13" s="409"/>
      <c r="M13" s="410"/>
    </row>
    <row r="14" spans="1:19" ht="15" thickBot="1" x14ac:dyDescent="0.4">
      <c r="A14" s="89" t="s">
        <v>166</v>
      </c>
      <c r="B14" s="330">
        <f>'Generation &amp; Ops Scenarios'!E64</f>
        <v>542630</v>
      </c>
      <c r="C14" s="89"/>
      <c r="D14" s="111" t="s">
        <v>162</v>
      </c>
      <c r="E14" s="161"/>
      <c r="F14" s="161"/>
      <c r="G14" s="161"/>
      <c r="H14" s="77">
        <f>'Generation &amp; Ops Scenarios'!B81*M5/100</f>
        <v>14000</v>
      </c>
      <c r="K14" s="405" t="s">
        <v>231</v>
      </c>
      <c r="L14" s="406"/>
      <c r="M14" s="407"/>
    </row>
    <row r="15" spans="1:19" x14ac:dyDescent="0.35">
      <c r="A15" s="89" t="s">
        <v>170</v>
      </c>
      <c r="B15" s="330">
        <f>'Generation &amp; Ops Scenarios'!E65</f>
        <v>359081.8</v>
      </c>
      <c r="C15" s="89"/>
      <c r="D15" s="111" t="s">
        <v>151</v>
      </c>
      <c r="E15" s="161"/>
      <c r="F15" s="161"/>
      <c r="G15" s="161"/>
      <c r="H15" s="56">
        <f>('Generation &amp; Ops Scenarios'!D15+('Generation &amp; Ops Scenarios'!D16*'Generation &amp; Ops Scenarios'!D37/100)+('Generation &amp; Ops Scenarios'!D17*'Generation &amp; Ops Scenarios'!D36/100))</f>
        <v>14650</v>
      </c>
      <c r="K15" s="292" t="s">
        <v>229</v>
      </c>
      <c r="L15" s="293"/>
      <c r="M15" s="294">
        <f>'Generation &amp; Ops Scenarios'!E48</f>
        <v>0</v>
      </c>
    </row>
    <row r="16" spans="1:19" x14ac:dyDescent="0.35">
      <c r="A16" s="89" t="s">
        <v>175</v>
      </c>
      <c r="B16" s="330">
        <f>'Generation &amp; Ops Scenarios'!E66</f>
        <v>196652.5</v>
      </c>
      <c r="C16" s="89"/>
      <c r="D16" s="317" t="s">
        <v>14</v>
      </c>
      <c r="E16" s="318"/>
      <c r="F16" s="161"/>
      <c r="G16" s="161"/>
      <c r="H16" s="299">
        <f>SUM(H7:H15)</f>
        <v>294446.2391666667</v>
      </c>
      <c r="J16" s="161"/>
      <c r="K16" s="295" t="s">
        <v>232</v>
      </c>
      <c r="L16" s="163"/>
      <c r="M16" s="87">
        <f>'Generation &amp; Ops Scenarios'!E41+'Generation &amp; Ops Scenarios'!E43</f>
        <v>657000</v>
      </c>
      <c r="N16" s="161"/>
      <c r="O16" s="161"/>
      <c r="P16" s="161"/>
      <c r="Q16" s="161"/>
      <c r="R16" s="161"/>
      <c r="S16" s="161"/>
    </row>
    <row r="17" spans="1:26" x14ac:dyDescent="0.35">
      <c r="A17" s="89" t="s">
        <v>174</v>
      </c>
      <c r="B17" s="330">
        <f>'Generation &amp; Ops Scenarios'!E67</f>
        <v>113166.53333333334</v>
      </c>
      <c r="C17" s="89"/>
      <c r="D17" s="319"/>
      <c r="E17" s="320"/>
      <c r="F17" s="161"/>
      <c r="G17" s="161"/>
      <c r="H17" s="300"/>
      <c r="J17" s="161"/>
      <c r="K17" s="295" t="s">
        <v>233</v>
      </c>
      <c r="L17" s="163"/>
      <c r="M17" s="87">
        <f>'Generation &amp; Ops Scenarios'!E42+'Generation &amp; Ops Scenarios'!E44</f>
        <v>806000</v>
      </c>
      <c r="N17" s="161"/>
      <c r="O17" s="161"/>
      <c r="P17" s="161"/>
      <c r="Q17" s="161"/>
      <c r="R17" s="161"/>
      <c r="S17" s="161"/>
    </row>
    <row r="18" spans="1:26" ht="15" thickBot="1" x14ac:dyDescent="0.4">
      <c r="A18" s="89" t="s">
        <v>182</v>
      </c>
      <c r="B18" s="330">
        <f>'Generation &amp; Ops Scenarios'!E68</f>
        <v>855400</v>
      </c>
      <c r="C18" s="89"/>
      <c r="D18" s="317" t="s">
        <v>12</v>
      </c>
      <c r="E18" s="318"/>
      <c r="F18" s="161"/>
      <c r="G18" s="161"/>
      <c r="H18" s="301">
        <f>'Generation &amp; Ops Scenarios'!B17</f>
        <v>87</v>
      </c>
      <c r="J18" s="161"/>
      <c r="K18" s="296" t="s">
        <v>234</v>
      </c>
      <c r="L18" s="261"/>
      <c r="M18" s="297">
        <f>SUM(M15:M17)</f>
        <v>1463000</v>
      </c>
      <c r="N18" s="161"/>
      <c r="O18" s="161"/>
      <c r="P18" s="161"/>
      <c r="Q18" s="161"/>
      <c r="R18" s="161"/>
      <c r="S18" s="161"/>
    </row>
    <row r="19" spans="1:26" x14ac:dyDescent="0.35">
      <c r="A19" s="89" t="s">
        <v>185</v>
      </c>
      <c r="B19" s="330">
        <f>'Generation &amp; Ops Scenarios'!E69</f>
        <v>160000</v>
      </c>
      <c r="C19" s="89"/>
      <c r="D19" s="317" t="s">
        <v>155</v>
      </c>
      <c r="E19" s="318"/>
      <c r="F19" s="161"/>
      <c r="G19" s="161"/>
      <c r="H19" s="302">
        <f>'Generation &amp; Ops Scenarios'!B18</f>
        <v>3.9583333333333335</v>
      </c>
      <c r="J19" s="161"/>
      <c r="K19" s="161"/>
      <c r="L19" s="161"/>
      <c r="M19" s="161"/>
      <c r="N19" s="161"/>
      <c r="O19" s="161"/>
      <c r="P19" s="161"/>
      <c r="Q19" s="161"/>
      <c r="R19" s="161"/>
      <c r="S19" s="161"/>
    </row>
    <row r="20" spans="1:26" x14ac:dyDescent="0.35">
      <c r="A20" s="89" t="s">
        <v>8</v>
      </c>
      <c r="B20" s="330">
        <f>SUM(B14:B19)*0.1</f>
        <v>222693.08333333337</v>
      </c>
      <c r="C20" s="89"/>
      <c r="D20" s="317"/>
      <c r="E20" s="318"/>
      <c r="F20" s="161"/>
      <c r="G20" s="161"/>
      <c r="H20" s="303"/>
      <c r="J20" s="161"/>
      <c r="K20" s="161"/>
      <c r="L20" s="161"/>
      <c r="M20" s="161"/>
      <c r="N20" s="161"/>
      <c r="O20" s="161"/>
      <c r="P20" s="161"/>
      <c r="Q20" s="161"/>
      <c r="R20" s="161"/>
      <c r="S20" s="161"/>
    </row>
    <row r="21" spans="1:26" x14ac:dyDescent="0.35">
      <c r="A21" s="89" t="s">
        <v>90</v>
      </c>
      <c r="B21" s="331">
        <f>SUM(B14:B20)</f>
        <v>2449623.916666667</v>
      </c>
      <c r="C21" s="89"/>
      <c r="D21" s="317" t="s">
        <v>13</v>
      </c>
      <c r="E21" s="318"/>
      <c r="F21" s="161"/>
      <c r="G21" s="161"/>
      <c r="H21" s="304">
        <f>'Generation &amp; Ops Scenarios'!B3</f>
        <v>1400000</v>
      </c>
      <c r="J21" s="161"/>
      <c r="K21" s="161"/>
      <c r="L21" s="161"/>
      <c r="M21" s="161"/>
      <c r="N21" s="161"/>
      <c r="O21" s="161"/>
      <c r="P21" s="161"/>
      <c r="Q21" s="161"/>
      <c r="R21" s="161"/>
      <c r="S21" s="161"/>
    </row>
    <row r="22" spans="1:26" ht="15" thickBot="1" x14ac:dyDescent="0.4">
      <c r="A22" s="108" t="s">
        <v>6</v>
      </c>
      <c r="B22" s="334">
        <f>B12+B21</f>
        <v>5014823.916666667</v>
      </c>
      <c r="C22" s="89"/>
      <c r="D22" s="317"/>
      <c r="E22" s="318"/>
      <c r="F22" s="161"/>
      <c r="G22" s="161"/>
      <c r="H22" s="305"/>
      <c r="J22" s="161"/>
      <c r="K22" s="161"/>
      <c r="L22" s="161"/>
      <c r="M22" s="161"/>
      <c r="N22" s="161"/>
      <c r="O22" s="161"/>
      <c r="P22" s="161"/>
      <c r="Q22" s="161"/>
      <c r="R22" s="161"/>
      <c r="S22" s="161"/>
    </row>
    <row r="23" spans="1:26" x14ac:dyDescent="0.35">
      <c r="A23" s="161"/>
      <c r="B23" s="335"/>
      <c r="C23" s="89"/>
      <c r="D23" s="322" t="s">
        <v>157</v>
      </c>
      <c r="E23" s="323"/>
      <c r="F23" s="161"/>
      <c r="G23" s="161"/>
      <c r="H23" s="290">
        <f>H18/H19</f>
        <v>21.978947368421053</v>
      </c>
      <c r="J23" s="161"/>
      <c r="K23" s="161"/>
      <c r="L23" s="161"/>
      <c r="M23" s="161"/>
      <c r="N23" s="161"/>
      <c r="O23" s="161"/>
      <c r="P23" s="161"/>
      <c r="Q23" s="161"/>
      <c r="R23" s="161"/>
      <c r="S23" s="161"/>
    </row>
    <row r="24" spans="1:26" ht="15" thickBot="1" x14ac:dyDescent="0.4">
      <c r="A24" s="161"/>
      <c r="B24" s="335"/>
      <c r="C24" s="89"/>
      <c r="D24" s="324" t="s">
        <v>156</v>
      </c>
      <c r="E24" s="325"/>
      <c r="F24" s="258"/>
      <c r="G24" s="258"/>
      <c r="H24" s="291">
        <f>-'Mix 3 Cash Flow'!D8/H21*100</f>
        <v>0</v>
      </c>
      <c r="J24" s="161"/>
      <c r="K24" s="161"/>
      <c r="L24" s="161"/>
      <c r="M24" s="161"/>
      <c r="N24" s="161"/>
      <c r="O24" s="161"/>
      <c r="P24" s="161"/>
      <c r="Q24" s="161"/>
      <c r="R24" s="161"/>
      <c r="S24" s="161"/>
    </row>
    <row r="25" spans="1:26" x14ac:dyDescent="0.35">
      <c r="A25" s="161"/>
      <c r="B25" s="335"/>
      <c r="C25" s="89"/>
      <c r="D25" s="323"/>
      <c r="E25" s="336"/>
      <c r="F25" s="161"/>
      <c r="G25" s="161"/>
      <c r="H25" s="307"/>
      <c r="J25" s="161"/>
      <c r="K25" s="161"/>
      <c r="L25" s="161"/>
      <c r="M25" s="161"/>
      <c r="N25" s="161"/>
      <c r="O25" s="161"/>
      <c r="P25" s="161"/>
      <c r="Q25" s="161"/>
      <c r="R25" s="161"/>
      <c r="S25" s="161"/>
    </row>
    <row r="26" spans="1:26" ht="14.15" customHeight="1" thickBot="1" x14ac:dyDescent="0.4"/>
    <row r="27" spans="1:26" ht="15" thickBot="1" x14ac:dyDescent="0.4">
      <c r="A27" s="91"/>
      <c r="B27" s="92" t="s">
        <v>7</v>
      </c>
      <c r="C27" s="93"/>
      <c r="D27" s="93"/>
      <c r="E27" s="93"/>
      <c r="F27" s="93"/>
      <c r="G27" s="93"/>
      <c r="H27" s="93"/>
      <c r="I27" s="93"/>
      <c r="J27" s="93"/>
      <c r="K27" s="93"/>
      <c r="L27" s="93"/>
      <c r="M27" s="93"/>
      <c r="N27" s="93"/>
      <c r="O27" s="93"/>
      <c r="P27" s="93"/>
      <c r="Q27" s="93"/>
      <c r="R27" s="93"/>
      <c r="S27" s="93"/>
      <c r="T27" s="93"/>
      <c r="U27" s="93"/>
      <c r="V27" s="93"/>
      <c r="W27" s="93"/>
      <c r="X27" s="93"/>
      <c r="Y27" s="93"/>
      <c r="Z27" s="94"/>
    </row>
    <row r="28" spans="1:26" x14ac:dyDescent="0.35">
      <c r="A28" s="95"/>
      <c r="B28" s="96">
        <v>1</v>
      </c>
      <c r="C28" s="96">
        <v>2</v>
      </c>
      <c r="D28" s="96">
        <v>3</v>
      </c>
      <c r="E28" s="96">
        <v>4</v>
      </c>
      <c r="F28" s="96">
        <v>5</v>
      </c>
      <c r="G28" s="96">
        <v>6</v>
      </c>
      <c r="H28" s="96">
        <v>7</v>
      </c>
      <c r="I28" s="96">
        <v>8</v>
      </c>
      <c r="J28" s="96">
        <v>9</v>
      </c>
      <c r="K28" s="96">
        <v>10</v>
      </c>
      <c r="L28" s="96">
        <v>11</v>
      </c>
      <c r="M28" s="96">
        <v>12</v>
      </c>
      <c r="N28" s="96">
        <v>13</v>
      </c>
      <c r="O28" s="96">
        <v>14</v>
      </c>
      <c r="P28" s="96">
        <v>15</v>
      </c>
      <c r="Q28" s="96">
        <v>16</v>
      </c>
      <c r="R28" s="96">
        <v>17</v>
      </c>
      <c r="S28" s="96">
        <v>18</v>
      </c>
      <c r="T28" s="96">
        <v>19</v>
      </c>
      <c r="U28" s="96">
        <v>20</v>
      </c>
      <c r="V28" s="96">
        <v>21</v>
      </c>
      <c r="W28" s="96">
        <v>22</v>
      </c>
      <c r="X28" s="96">
        <v>23</v>
      </c>
      <c r="Y28" s="96">
        <v>24</v>
      </c>
      <c r="Z28" s="96">
        <v>25</v>
      </c>
    </row>
    <row r="29" spans="1:26" x14ac:dyDescent="0.35">
      <c r="A29" s="97" t="s">
        <v>65</v>
      </c>
      <c r="B29" s="98">
        <f>'Mix 3 Profit and Loss'!D8</f>
        <v>840000</v>
      </c>
      <c r="C29" s="98">
        <f>'Mix 3 Profit and Loss'!E8</f>
        <v>840000</v>
      </c>
      <c r="D29" s="98">
        <f>'Mix 3 Profit and Loss'!F8</f>
        <v>840000</v>
      </c>
      <c r="E29" s="98">
        <f>'Mix 3 Profit and Loss'!G8</f>
        <v>840000</v>
      </c>
      <c r="F29" s="98">
        <f>'Mix 3 Profit and Loss'!H8</f>
        <v>840000</v>
      </c>
      <c r="G29" s="98">
        <f>'Mix 3 Profit and Loss'!I8</f>
        <v>840000</v>
      </c>
      <c r="H29" s="98">
        <f>'Mix 3 Profit and Loss'!J8</f>
        <v>840000</v>
      </c>
      <c r="I29" s="98">
        <f>'Mix 3 Profit and Loss'!K8</f>
        <v>840000</v>
      </c>
      <c r="J29" s="98">
        <f>'Mix 3 Profit and Loss'!L8</f>
        <v>840000</v>
      </c>
      <c r="K29" s="98">
        <f>'Mix 3 Profit and Loss'!M8</f>
        <v>840000</v>
      </c>
      <c r="L29" s="98">
        <f>'Mix 3 Profit and Loss'!N8</f>
        <v>840000</v>
      </c>
      <c r="M29" s="98">
        <f>'Mix 3 Profit and Loss'!O8</f>
        <v>840000</v>
      </c>
      <c r="N29" s="98">
        <f>'Mix 3 Profit and Loss'!P8</f>
        <v>840000</v>
      </c>
      <c r="O29" s="98">
        <f>'Mix 3 Profit and Loss'!Q8</f>
        <v>840000</v>
      </c>
      <c r="P29" s="98">
        <f>'Mix 3 Profit and Loss'!R8</f>
        <v>840000</v>
      </c>
      <c r="Q29" s="98">
        <f>'Mix 3 Profit and Loss'!S8</f>
        <v>840000</v>
      </c>
      <c r="R29" s="98">
        <f>'Mix 3 Profit and Loss'!T8</f>
        <v>840000</v>
      </c>
      <c r="S29" s="98">
        <f>'Mix 3 Profit and Loss'!U8</f>
        <v>840000</v>
      </c>
      <c r="T29" s="98">
        <f>'Mix 3 Profit and Loss'!V8</f>
        <v>840000</v>
      </c>
      <c r="U29" s="98">
        <f>'Mix 3 Profit and Loss'!W8</f>
        <v>840000</v>
      </c>
      <c r="V29" s="98">
        <f>'Mix 3 Profit and Loss'!X8</f>
        <v>840000</v>
      </c>
      <c r="W29" s="98">
        <f>'Mix 3 Profit and Loss'!Y8</f>
        <v>840000</v>
      </c>
      <c r="X29" s="98">
        <f>'Mix 3 Profit and Loss'!Z8</f>
        <v>840000</v>
      </c>
      <c r="Y29" s="98">
        <f>'Mix 3 Profit and Loss'!AA8</f>
        <v>840000</v>
      </c>
      <c r="Z29" s="98">
        <f>'Mix 3 Profit and Loss'!AB8</f>
        <v>840000</v>
      </c>
    </row>
    <row r="30" spans="1:26" x14ac:dyDescent="0.35">
      <c r="A30" s="99" t="s">
        <v>66</v>
      </c>
      <c r="B30" s="98">
        <f>'Mix 3 Profit and Loss'!D14</f>
        <v>-294446.2391666667</v>
      </c>
      <c r="C30" s="98">
        <f>'Mix 3 Profit and Loss'!E14</f>
        <v>-294446.2391666667</v>
      </c>
      <c r="D30" s="98">
        <f>'Mix 3 Profit and Loss'!F14</f>
        <v>-294446.2391666667</v>
      </c>
      <c r="E30" s="98">
        <f>'Mix 3 Profit and Loss'!G14</f>
        <v>-294446.2391666667</v>
      </c>
      <c r="F30" s="98">
        <f>'Mix 3 Profit and Loss'!H14</f>
        <v>-294446.2391666667</v>
      </c>
      <c r="G30" s="98">
        <f>'Mix 3 Profit and Loss'!I14</f>
        <v>-294446.2391666667</v>
      </c>
      <c r="H30" s="98">
        <f>'Mix 3 Profit and Loss'!J14</f>
        <v>-294446.2391666667</v>
      </c>
      <c r="I30" s="98">
        <f>'Mix 3 Profit and Loss'!K14</f>
        <v>-294446.2391666667</v>
      </c>
      <c r="J30" s="98">
        <f>'Mix 3 Profit and Loss'!L14</f>
        <v>-294446.2391666667</v>
      </c>
      <c r="K30" s="98">
        <f>'Mix 3 Profit and Loss'!M14</f>
        <v>-294446.2391666667</v>
      </c>
      <c r="L30" s="98">
        <f>'Mix 3 Profit and Loss'!N14</f>
        <v>-294446.2391666667</v>
      </c>
      <c r="M30" s="98">
        <f>'Mix 3 Profit and Loss'!O14</f>
        <v>-294446.2391666667</v>
      </c>
      <c r="N30" s="98">
        <f>'Mix 3 Profit and Loss'!P14</f>
        <v>-294446.2391666667</v>
      </c>
      <c r="O30" s="98">
        <f>'Mix 3 Profit and Loss'!Q14</f>
        <v>-294446.2391666667</v>
      </c>
      <c r="P30" s="98">
        <f>'Mix 3 Profit and Loss'!R14</f>
        <v>-294446.2391666667</v>
      </c>
      <c r="Q30" s="98">
        <f>'Mix 3 Profit and Loss'!S14</f>
        <v>-294446.2391666667</v>
      </c>
      <c r="R30" s="98">
        <f>'Mix 3 Profit and Loss'!T14</f>
        <v>-294446.2391666667</v>
      </c>
      <c r="S30" s="98">
        <f>'Mix 3 Profit and Loss'!U14</f>
        <v>-294446.2391666667</v>
      </c>
      <c r="T30" s="98">
        <f>'Mix 3 Profit and Loss'!V14</f>
        <v>-294446.2391666667</v>
      </c>
      <c r="U30" s="98">
        <f>'Mix 3 Profit and Loss'!W14</f>
        <v>-294446.2391666667</v>
      </c>
      <c r="V30" s="98">
        <f>'Mix 3 Profit and Loss'!X14</f>
        <v>-294446.2391666667</v>
      </c>
      <c r="W30" s="98">
        <f>'Mix 3 Profit and Loss'!Y14</f>
        <v>-294446.2391666667</v>
      </c>
      <c r="X30" s="98">
        <f>'Mix 3 Profit and Loss'!Z14</f>
        <v>-294446.2391666667</v>
      </c>
      <c r="Y30" s="98">
        <f>'Mix 3 Profit and Loss'!AA14</f>
        <v>-294446.2391666667</v>
      </c>
      <c r="Z30" s="98">
        <f>'Mix 3 Profit and Loss'!AB14</f>
        <v>-294446.2391666667</v>
      </c>
    </row>
    <row r="31" spans="1:26" x14ac:dyDescent="0.35">
      <c r="A31" s="100" t="s">
        <v>67</v>
      </c>
      <c r="B31" s="101">
        <f>SUM(B29:B30)</f>
        <v>545553.76083333325</v>
      </c>
      <c r="C31" s="101">
        <f t="shared" ref="C31:U31" si="0">SUM(C29:C30)</f>
        <v>545553.76083333325</v>
      </c>
      <c r="D31" s="101">
        <f t="shared" si="0"/>
        <v>545553.76083333325</v>
      </c>
      <c r="E31" s="101">
        <f t="shared" si="0"/>
        <v>545553.76083333325</v>
      </c>
      <c r="F31" s="101">
        <f t="shared" si="0"/>
        <v>545553.76083333325</v>
      </c>
      <c r="G31" s="101">
        <f t="shared" si="0"/>
        <v>545553.76083333325</v>
      </c>
      <c r="H31" s="101">
        <f t="shared" si="0"/>
        <v>545553.76083333325</v>
      </c>
      <c r="I31" s="101">
        <f t="shared" si="0"/>
        <v>545553.76083333325</v>
      </c>
      <c r="J31" s="101">
        <f t="shared" si="0"/>
        <v>545553.76083333325</v>
      </c>
      <c r="K31" s="101">
        <f t="shared" si="0"/>
        <v>545553.76083333325</v>
      </c>
      <c r="L31" s="101">
        <f t="shared" si="0"/>
        <v>545553.76083333325</v>
      </c>
      <c r="M31" s="101">
        <f t="shared" si="0"/>
        <v>545553.76083333325</v>
      </c>
      <c r="N31" s="101">
        <f t="shared" si="0"/>
        <v>545553.76083333325</v>
      </c>
      <c r="O31" s="101">
        <f t="shared" si="0"/>
        <v>545553.76083333325</v>
      </c>
      <c r="P31" s="101">
        <f t="shared" si="0"/>
        <v>545553.76083333325</v>
      </c>
      <c r="Q31" s="101">
        <f t="shared" si="0"/>
        <v>545553.76083333325</v>
      </c>
      <c r="R31" s="101">
        <f t="shared" si="0"/>
        <v>545553.76083333325</v>
      </c>
      <c r="S31" s="101">
        <f t="shared" si="0"/>
        <v>545553.76083333325</v>
      </c>
      <c r="T31" s="101">
        <f t="shared" si="0"/>
        <v>545553.76083333325</v>
      </c>
      <c r="U31" s="101">
        <f t="shared" si="0"/>
        <v>545553.76083333325</v>
      </c>
      <c r="V31" s="101">
        <f t="shared" ref="V31:Z31" si="1">SUM(V29:V30)</f>
        <v>545553.76083333325</v>
      </c>
      <c r="W31" s="101">
        <f t="shared" si="1"/>
        <v>545553.76083333325</v>
      </c>
      <c r="X31" s="101">
        <f t="shared" si="1"/>
        <v>545553.76083333325</v>
      </c>
      <c r="Y31" s="101">
        <f t="shared" si="1"/>
        <v>545553.76083333325</v>
      </c>
      <c r="Z31" s="101">
        <f t="shared" si="1"/>
        <v>545553.76083333325</v>
      </c>
    </row>
    <row r="32" spans="1:26" x14ac:dyDescent="0.35">
      <c r="A32" s="99" t="s">
        <v>68</v>
      </c>
      <c r="B32" s="98">
        <f>'Mix 3 Profit and Loss'!D19</f>
        <v>-200592.95666666667</v>
      </c>
      <c r="C32" s="98">
        <f>'Mix 3 Profit and Loss'!E19</f>
        <v>-200592.95666666667</v>
      </c>
      <c r="D32" s="98">
        <f>'Mix 3 Profit and Loss'!F19</f>
        <v>-200592.95666666667</v>
      </c>
      <c r="E32" s="98">
        <f>'Mix 3 Profit and Loss'!G19</f>
        <v>-200592.95666666667</v>
      </c>
      <c r="F32" s="98">
        <f>'Mix 3 Profit and Loss'!H19</f>
        <v>-200592.95666666667</v>
      </c>
      <c r="G32" s="98">
        <f>'Mix 3 Profit and Loss'!I19</f>
        <v>-200592.95666666667</v>
      </c>
      <c r="H32" s="98">
        <f>'Mix 3 Profit and Loss'!J19</f>
        <v>-200592.95666666667</v>
      </c>
      <c r="I32" s="98">
        <f>'Mix 3 Profit and Loss'!K19</f>
        <v>-200592.95666666667</v>
      </c>
      <c r="J32" s="98">
        <f>'Mix 3 Profit and Loss'!L19</f>
        <v>-200592.95666666667</v>
      </c>
      <c r="K32" s="98">
        <f>'Mix 3 Profit and Loss'!M19</f>
        <v>-200592.95666666667</v>
      </c>
      <c r="L32" s="98">
        <f>'Mix 3 Profit and Loss'!N19</f>
        <v>-200592.95666666667</v>
      </c>
      <c r="M32" s="98">
        <f>'Mix 3 Profit and Loss'!O19</f>
        <v>-200592.95666666667</v>
      </c>
      <c r="N32" s="98">
        <f>'Mix 3 Profit and Loss'!P19</f>
        <v>-200592.95666666667</v>
      </c>
      <c r="O32" s="98">
        <f>'Mix 3 Profit and Loss'!Q19</f>
        <v>-200592.95666666667</v>
      </c>
      <c r="P32" s="98">
        <f>'Mix 3 Profit and Loss'!R19</f>
        <v>-200592.95666666667</v>
      </c>
      <c r="Q32" s="98">
        <f>'Mix 3 Profit and Loss'!S19</f>
        <v>-200592.95666666667</v>
      </c>
      <c r="R32" s="98">
        <f>'Mix 3 Profit and Loss'!T19</f>
        <v>-200592.95666666667</v>
      </c>
      <c r="S32" s="98">
        <f>'Mix 3 Profit and Loss'!U19</f>
        <v>-200592.95666666667</v>
      </c>
      <c r="T32" s="98">
        <f>'Mix 3 Profit and Loss'!V19</f>
        <v>-200592.95666666667</v>
      </c>
      <c r="U32" s="98">
        <f>'Mix 3 Profit and Loss'!W19</f>
        <v>-200592.95666666667</v>
      </c>
      <c r="V32" s="98">
        <f>'Mix 3 Profit and Loss'!X19</f>
        <v>-200592.95666666667</v>
      </c>
      <c r="W32" s="98">
        <f>'Mix 3 Profit and Loss'!Y19</f>
        <v>-200592.95666666667</v>
      </c>
      <c r="X32" s="98">
        <f>'Mix 3 Profit and Loss'!Z19</f>
        <v>-200592.95666666667</v>
      </c>
      <c r="Y32" s="98">
        <f>'Mix 3 Profit and Loss'!AA19</f>
        <v>-200592.95666666667</v>
      </c>
      <c r="Z32" s="98">
        <f>'Mix 3 Profit and Loss'!AB19</f>
        <v>-200592.95666666667</v>
      </c>
    </row>
    <row r="33" spans="1:26" x14ac:dyDescent="0.35">
      <c r="A33" s="100" t="s">
        <v>64</v>
      </c>
      <c r="B33" s="101">
        <f>SUM(B31:B32)</f>
        <v>344960.80416666658</v>
      </c>
      <c r="C33" s="101">
        <f t="shared" ref="C33:U33" si="2">SUM(C31:C32)</f>
        <v>344960.80416666658</v>
      </c>
      <c r="D33" s="101">
        <f t="shared" si="2"/>
        <v>344960.80416666658</v>
      </c>
      <c r="E33" s="101">
        <f t="shared" si="2"/>
        <v>344960.80416666658</v>
      </c>
      <c r="F33" s="101">
        <f t="shared" si="2"/>
        <v>344960.80416666658</v>
      </c>
      <c r="G33" s="101">
        <f t="shared" si="2"/>
        <v>344960.80416666658</v>
      </c>
      <c r="H33" s="101">
        <f t="shared" si="2"/>
        <v>344960.80416666658</v>
      </c>
      <c r="I33" s="101">
        <f t="shared" si="2"/>
        <v>344960.80416666658</v>
      </c>
      <c r="J33" s="101">
        <f t="shared" si="2"/>
        <v>344960.80416666658</v>
      </c>
      <c r="K33" s="101">
        <f t="shared" si="2"/>
        <v>344960.80416666658</v>
      </c>
      <c r="L33" s="101">
        <f t="shared" si="2"/>
        <v>344960.80416666658</v>
      </c>
      <c r="M33" s="101">
        <f t="shared" si="2"/>
        <v>344960.80416666658</v>
      </c>
      <c r="N33" s="101">
        <f t="shared" si="2"/>
        <v>344960.80416666658</v>
      </c>
      <c r="O33" s="101">
        <f t="shared" si="2"/>
        <v>344960.80416666658</v>
      </c>
      <c r="P33" s="101">
        <f t="shared" si="2"/>
        <v>344960.80416666658</v>
      </c>
      <c r="Q33" s="101">
        <f t="shared" si="2"/>
        <v>344960.80416666658</v>
      </c>
      <c r="R33" s="101">
        <f t="shared" si="2"/>
        <v>344960.80416666658</v>
      </c>
      <c r="S33" s="101">
        <f t="shared" si="2"/>
        <v>344960.80416666658</v>
      </c>
      <c r="T33" s="101">
        <f t="shared" si="2"/>
        <v>344960.80416666658</v>
      </c>
      <c r="U33" s="101">
        <f t="shared" si="2"/>
        <v>344960.80416666658</v>
      </c>
      <c r="V33" s="101">
        <f t="shared" ref="V33:Z33" si="3">SUM(V31:V32)</f>
        <v>344960.80416666658</v>
      </c>
      <c r="W33" s="101">
        <f t="shared" si="3"/>
        <v>344960.80416666658</v>
      </c>
      <c r="X33" s="101">
        <f t="shared" si="3"/>
        <v>344960.80416666658</v>
      </c>
      <c r="Y33" s="101">
        <f t="shared" si="3"/>
        <v>344960.80416666658</v>
      </c>
      <c r="Z33" s="101">
        <f t="shared" si="3"/>
        <v>344960.80416666658</v>
      </c>
    </row>
    <row r="34" spans="1:26" x14ac:dyDescent="0.35">
      <c r="A34" s="95" t="s">
        <v>69</v>
      </c>
      <c r="B34" s="102">
        <f>'Mix 3 Profit and Loss'!D23</f>
        <v>-376111.79375000001</v>
      </c>
      <c r="C34" s="102">
        <f>'Mix 3 Profit and Loss'!E23</f>
        <v>-370578.93664866034</v>
      </c>
      <c r="D34" s="102">
        <f>'Mix 3 Profit and Loss'!F23</f>
        <v>-364631.11526472023</v>
      </c>
      <c r="E34" s="102">
        <f>'Mix 3 Profit and Loss'!G23</f>
        <v>-358237.20727698453</v>
      </c>
      <c r="F34" s="102">
        <f>'Mix 3 Profit and Loss'!H23</f>
        <v>-351363.75619016873</v>
      </c>
      <c r="G34" s="102">
        <f>'Mix 3 Profit and Loss'!I23</f>
        <v>-343974.79627184174</v>
      </c>
      <c r="H34" s="102">
        <f>'Mix 3 Profit and Loss'!J23</f>
        <v>-336031.66435964021</v>
      </c>
      <c r="I34" s="102">
        <f>'Mix 3 Profit and Loss'!K23</f>
        <v>-327492.79755402356</v>
      </c>
      <c r="J34" s="102">
        <f>'Mix 3 Profit and Loss'!L23</f>
        <v>-318313.51573798567</v>
      </c>
      <c r="K34" s="102">
        <f>'Mix 3 Profit and Loss'!M23</f>
        <v>-308445.78778574488</v>
      </c>
      <c r="L34" s="102">
        <f>'Mix 3 Profit and Loss'!N23</f>
        <v>-297837.98023708613</v>
      </c>
      <c r="M34" s="102">
        <f>'Mix 3 Profit and Loss'!O23</f>
        <v>-286434.58712227794</v>
      </c>
      <c r="N34" s="102">
        <f>'Mix 3 Profit and Loss'!P23</f>
        <v>-274175.93952385912</v>
      </c>
      <c r="O34" s="102">
        <f>'Mix 3 Profit and Loss'!Q23</f>
        <v>-260997.89335555889</v>
      </c>
      <c r="P34" s="102">
        <f>'Mix 3 Profit and Loss'!R23</f>
        <v>-246831.49372463615</v>
      </c>
      <c r="Q34" s="102">
        <f>'Mix 3 Profit and Loss'!S23</f>
        <v>-231602.6141213942</v>
      </c>
      <c r="R34" s="102">
        <f>'Mix 3 Profit and Loss'!T23</f>
        <v>-215231.56854790909</v>
      </c>
      <c r="S34" s="102">
        <f>'Mix 3 Profit and Loss'!U23</f>
        <v>-197632.69455641261</v>
      </c>
      <c r="T34" s="102">
        <f>'Mix 3 Profit and Loss'!V23</f>
        <v>-178713.9050155539</v>
      </c>
      <c r="U34" s="102">
        <f>'Mix 3 Profit and Loss'!W23</f>
        <v>-158376.20625913076</v>
      </c>
      <c r="V34" s="102">
        <f>'Mix 3 Profit and Loss'!X23</f>
        <v>-136513.1800959759</v>
      </c>
      <c r="W34" s="102">
        <f>'Mix 3 Profit and Loss'!Y23</f>
        <v>-113010.42697058445</v>
      </c>
      <c r="X34" s="102">
        <f>'Mix 3 Profit and Loss'!Z23</f>
        <v>-87744.967360788607</v>
      </c>
      <c r="Y34" s="102">
        <f>'Mix 3 Profit and Loss'!AA23</f>
        <v>-60584.598280258091</v>
      </c>
      <c r="Z34" s="102">
        <f>'Mix 3 Profit and Loss'!AB23</f>
        <v>-31387.201518687783</v>
      </c>
    </row>
    <row r="35" spans="1:26" ht="15" thickBot="1" x14ac:dyDescent="0.4">
      <c r="A35" s="103" t="s">
        <v>70</v>
      </c>
      <c r="B35" s="104">
        <f>SUM(B33:B34)</f>
        <v>-31150.98958333343</v>
      </c>
      <c r="C35" s="104">
        <f t="shared" ref="C35:U35" si="4">SUM(C33:C34)</f>
        <v>-25618.132481993758</v>
      </c>
      <c r="D35" s="104">
        <f t="shared" si="4"/>
        <v>-19670.311098053644</v>
      </c>
      <c r="E35" s="104">
        <f t="shared" si="4"/>
        <v>-13276.403110317944</v>
      </c>
      <c r="F35" s="104">
        <f t="shared" si="4"/>
        <v>-6402.9520235021482</v>
      </c>
      <c r="G35" s="104">
        <f t="shared" si="4"/>
        <v>986.00789482484106</v>
      </c>
      <c r="H35" s="104">
        <f t="shared" si="4"/>
        <v>8929.1398070263676</v>
      </c>
      <c r="I35" s="104">
        <f t="shared" si="4"/>
        <v>17468.006612643017</v>
      </c>
      <c r="J35" s="104">
        <f t="shared" si="4"/>
        <v>26647.288428680913</v>
      </c>
      <c r="K35" s="104">
        <f t="shared" si="4"/>
        <v>36515.016380921705</v>
      </c>
      <c r="L35" s="104">
        <f t="shared" si="4"/>
        <v>47122.823929580452</v>
      </c>
      <c r="M35" s="104">
        <f t="shared" si="4"/>
        <v>58526.217044388643</v>
      </c>
      <c r="N35" s="104">
        <f t="shared" si="4"/>
        <v>70784.864642807457</v>
      </c>
      <c r="O35" s="104">
        <f t="shared" si="4"/>
        <v>83962.910811107693</v>
      </c>
      <c r="P35" s="104">
        <f t="shared" si="4"/>
        <v>98129.31044203043</v>
      </c>
      <c r="Q35" s="104">
        <f t="shared" si="4"/>
        <v>113358.19004527238</v>
      </c>
      <c r="R35" s="104">
        <f t="shared" si="4"/>
        <v>129729.23561875749</v>
      </c>
      <c r="S35" s="104">
        <f t="shared" si="4"/>
        <v>147328.10961025397</v>
      </c>
      <c r="T35" s="104">
        <f t="shared" si="4"/>
        <v>166246.89915111268</v>
      </c>
      <c r="U35" s="104">
        <f t="shared" si="4"/>
        <v>186584.59790753582</v>
      </c>
      <c r="V35" s="104">
        <f t="shared" ref="V35:Z35" si="5">SUM(V33:V34)</f>
        <v>208447.62407069068</v>
      </c>
      <c r="W35" s="104">
        <f t="shared" si="5"/>
        <v>231950.37719608215</v>
      </c>
      <c r="X35" s="104">
        <f t="shared" si="5"/>
        <v>257215.83680587797</v>
      </c>
      <c r="Y35" s="104">
        <f t="shared" si="5"/>
        <v>284376.20588640851</v>
      </c>
      <c r="Z35" s="104">
        <f t="shared" si="5"/>
        <v>313573.60264797881</v>
      </c>
    </row>
    <row r="36" spans="1:26" ht="15" thickBot="1" x14ac:dyDescent="0.4">
      <c r="A36" s="111"/>
      <c r="B36" s="161"/>
      <c r="C36" s="162"/>
      <c r="D36" s="161"/>
      <c r="E36" s="161"/>
      <c r="F36" s="161"/>
      <c r="G36" s="161"/>
      <c r="H36" s="161"/>
      <c r="I36" s="161"/>
      <c r="J36" s="161"/>
      <c r="K36" s="161"/>
      <c r="L36" s="161"/>
      <c r="M36" s="161"/>
      <c r="N36" s="161"/>
      <c r="O36" s="161"/>
      <c r="P36" s="161"/>
      <c r="Q36" s="161"/>
      <c r="R36" s="161"/>
      <c r="S36" s="161"/>
      <c r="T36" s="161"/>
      <c r="U36" s="161"/>
      <c r="V36" s="161"/>
      <c r="W36" s="161"/>
      <c r="X36" s="161"/>
      <c r="Y36" s="161"/>
      <c r="Z36" s="163"/>
    </row>
    <row r="37" spans="1:26" ht="15" thickBot="1" x14ac:dyDescent="0.4">
      <c r="A37" s="105" t="s">
        <v>71</v>
      </c>
      <c r="B37" s="106">
        <f>'Mix 3 Cash Flow'!D26</f>
        <v>95670.539065471094</v>
      </c>
      <c r="C37" s="106">
        <f>'Mix 3 Cash Flow'!E26</f>
        <v>95670.539065471094</v>
      </c>
      <c r="D37" s="106">
        <f>'Mix 3 Cash Flow'!F26</f>
        <v>95670.539065471094</v>
      </c>
      <c r="E37" s="106">
        <f>'Mix 3 Cash Flow'!G26</f>
        <v>95670.539065471094</v>
      </c>
      <c r="F37" s="106">
        <f>'Mix 3 Cash Flow'!H26</f>
        <v>95670.539065471094</v>
      </c>
      <c r="G37" s="106">
        <f>'Mix 3 Cash Flow'!I26</f>
        <v>95670.539065471094</v>
      </c>
      <c r="H37" s="106">
        <f>'Mix 3 Cash Flow'!J26</f>
        <v>95670.539065471094</v>
      </c>
      <c r="I37" s="106">
        <f>'Mix 3 Cash Flow'!K26</f>
        <v>95670.539065471094</v>
      </c>
      <c r="J37" s="106">
        <f>'Mix 3 Cash Flow'!L26</f>
        <v>95670.539065471094</v>
      </c>
      <c r="K37" s="106">
        <f>'Mix 3 Cash Flow'!M26</f>
        <v>95670.539065471094</v>
      </c>
      <c r="L37" s="106">
        <f>'Mix 3 Cash Flow'!N26</f>
        <v>95670.539065471094</v>
      </c>
      <c r="M37" s="106">
        <f>'Mix 3 Cash Flow'!O26</f>
        <v>95670.539065471094</v>
      </c>
      <c r="N37" s="106">
        <f>'Mix 3 Cash Flow'!P26</f>
        <v>95670.539065471094</v>
      </c>
      <c r="O37" s="106">
        <f>'Mix 3 Cash Flow'!Q26</f>
        <v>95670.539065471123</v>
      </c>
      <c r="P37" s="106">
        <f>'Mix 3 Cash Flow'!R26</f>
        <v>95670.539065471094</v>
      </c>
      <c r="Q37" s="106">
        <f>'Mix 3 Cash Flow'!S26</f>
        <v>95670.539065471065</v>
      </c>
      <c r="R37" s="106">
        <f>'Mix 3 Cash Flow'!T26</f>
        <v>95670.539065471094</v>
      </c>
      <c r="S37" s="106">
        <f>'Mix 3 Cash Flow'!U26</f>
        <v>95670.539065471065</v>
      </c>
      <c r="T37" s="106">
        <f>'Mix 3 Cash Flow'!V26</f>
        <v>95670.539065471035</v>
      </c>
      <c r="U37" s="107">
        <f>'Mix 3 Cash Flow'!W26</f>
        <v>95670.539065471152</v>
      </c>
      <c r="V37" s="107">
        <f>'Mix 3 Cash Flow'!X26</f>
        <v>95670.539065471152</v>
      </c>
      <c r="W37" s="107">
        <f>'Mix 3 Cash Flow'!Y26</f>
        <v>95670.539065471094</v>
      </c>
      <c r="X37" s="107">
        <f>'Mix 3 Cash Flow'!Z26</f>
        <v>95670.539065471094</v>
      </c>
      <c r="Y37" s="107">
        <f>'Mix 3 Cash Flow'!AA26</f>
        <v>95670.539065471094</v>
      </c>
      <c r="Z37" s="107">
        <f>'Mix 3 Cash Flow'!AB26</f>
        <v>95670.539065471094</v>
      </c>
    </row>
    <row r="38" spans="1:26" ht="15" thickBot="1" x14ac:dyDescent="0.4"/>
    <row r="39" spans="1:26" ht="15" thickBot="1" x14ac:dyDescent="0.4">
      <c r="A39" s="397" t="s">
        <v>0</v>
      </c>
      <c r="B39" s="398"/>
    </row>
    <row r="40" spans="1:26" ht="15" thickBot="1" x14ac:dyDescent="0.4">
      <c r="A40" s="108" t="s">
        <v>58</v>
      </c>
      <c r="B40" s="109">
        <f>'Generation &amp; Ops Scenarios'!$G$20</f>
        <v>0.05</v>
      </c>
      <c r="E40" s="110"/>
    </row>
    <row r="41" spans="1:26" x14ac:dyDescent="0.35">
      <c r="A41" s="111" t="s">
        <v>59</v>
      </c>
      <c r="B41" s="112">
        <f>NPV(B40,'Mix 3 Cash Flow'!D26:M26)</f>
        <v>738742.54319578828</v>
      </c>
    </row>
    <row r="42" spans="1:26" x14ac:dyDescent="0.35">
      <c r="A42" s="111" t="s">
        <v>60</v>
      </c>
      <c r="B42" s="112">
        <f>NPV(B40,'Mix 3 Cash Flow'!D26:R26)</f>
        <v>993027.4798279875</v>
      </c>
    </row>
    <row r="43" spans="1:26" x14ac:dyDescent="0.35">
      <c r="A43" s="111" t="s">
        <v>62</v>
      </c>
      <c r="B43" s="112">
        <f>NPV(B40,'Mix 3 Cash Flow'!D26:W26)</f>
        <v>1192266.3814180896</v>
      </c>
    </row>
    <row r="44" spans="1:26" ht="15" thickBot="1" x14ac:dyDescent="0.4">
      <c r="A44" s="108" t="s">
        <v>61</v>
      </c>
      <c r="B44" s="113">
        <f>NPV(B40,'Mix 3 Cash Flow'!D26:AB26)</f>
        <v>1348375.2741923686</v>
      </c>
      <c r="D44" s="114"/>
    </row>
    <row r="46" spans="1:26" x14ac:dyDescent="0.35">
      <c r="A46" s="89" t="s">
        <v>82</v>
      </c>
      <c r="B46" s="115">
        <f>MIN('Mix 3 Cash Flow'!D39:W39)</f>
        <v>1.212656383782271</v>
      </c>
    </row>
    <row r="47" spans="1:26" x14ac:dyDescent="0.35">
      <c r="A47" s="116" t="s">
        <v>121</v>
      </c>
      <c r="B47" s="117">
        <f>'Generation &amp; Ops Scenarios'!C41</f>
        <v>328500</v>
      </c>
      <c r="C47" s="118">
        <f t="shared" ref="C47:C53" si="6">B47</f>
        <v>328500</v>
      </c>
      <c r="D47" s="118">
        <f t="shared" ref="D47:S53" si="7">C47</f>
        <v>328500</v>
      </c>
      <c r="E47" s="118">
        <f t="shared" si="7"/>
        <v>328500</v>
      </c>
      <c r="F47" s="118">
        <f t="shared" si="7"/>
        <v>328500</v>
      </c>
      <c r="G47" s="118">
        <f t="shared" si="7"/>
        <v>328500</v>
      </c>
      <c r="H47" s="118">
        <f t="shared" si="7"/>
        <v>328500</v>
      </c>
      <c r="I47" s="118">
        <f t="shared" si="7"/>
        <v>328500</v>
      </c>
      <c r="J47" s="118">
        <f t="shared" si="7"/>
        <v>328500</v>
      </c>
      <c r="K47" s="118">
        <f t="shared" ref="K47:K53" si="8">J47</f>
        <v>328500</v>
      </c>
      <c r="L47" s="118">
        <f t="shared" si="7"/>
        <v>328500</v>
      </c>
      <c r="M47" s="118">
        <f t="shared" si="7"/>
        <v>328500</v>
      </c>
      <c r="N47" s="118">
        <f t="shared" ref="N47:N53" si="9">M47</f>
        <v>328500</v>
      </c>
      <c r="O47" s="118">
        <f t="shared" si="7"/>
        <v>328500</v>
      </c>
      <c r="P47" s="118">
        <f t="shared" si="7"/>
        <v>328500</v>
      </c>
      <c r="Q47" s="118">
        <f t="shared" si="7"/>
        <v>328500</v>
      </c>
      <c r="R47" s="118">
        <f t="shared" si="7"/>
        <v>328500</v>
      </c>
      <c r="S47" s="118">
        <f t="shared" si="7"/>
        <v>328500</v>
      </c>
      <c r="T47" s="118">
        <f t="shared" ref="S47:U53" si="10">S47</f>
        <v>328500</v>
      </c>
      <c r="U47" s="118">
        <f t="shared" si="10"/>
        <v>328500</v>
      </c>
      <c r="V47" s="118">
        <f t="shared" ref="V47:V53" si="11">U47</f>
        <v>328500</v>
      </c>
      <c r="W47" s="118">
        <f t="shared" ref="W47:W53" si="12">V47</f>
        <v>328500</v>
      </c>
      <c r="X47" s="118">
        <f t="shared" ref="X47:X53" si="13">W47</f>
        <v>328500</v>
      </c>
      <c r="Y47" s="118">
        <f t="shared" ref="Y47:Y53" si="14">X47</f>
        <v>328500</v>
      </c>
      <c r="Z47" s="118">
        <f t="shared" ref="Z47:Z53" si="15">Y47</f>
        <v>328500</v>
      </c>
    </row>
    <row r="48" spans="1:26" x14ac:dyDescent="0.35">
      <c r="A48" s="116" t="s">
        <v>122</v>
      </c>
      <c r="B48" s="117">
        <f>'Generation &amp; Ops Scenarios'!C42</f>
        <v>1024920</v>
      </c>
      <c r="C48" s="118">
        <f t="shared" si="6"/>
        <v>1024920</v>
      </c>
      <c r="D48" s="118">
        <f t="shared" si="7"/>
        <v>1024920</v>
      </c>
      <c r="E48" s="118">
        <f t="shared" si="7"/>
        <v>1024920</v>
      </c>
      <c r="F48" s="118">
        <f t="shared" si="7"/>
        <v>1024920</v>
      </c>
      <c r="G48" s="118">
        <f t="shared" si="7"/>
        <v>1024920</v>
      </c>
      <c r="H48" s="118">
        <f t="shared" si="7"/>
        <v>1024920</v>
      </c>
      <c r="I48" s="118">
        <f t="shared" si="7"/>
        <v>1024920</v>
      </c>
      <c r="J48" s="118">
        <f t="shared" si="7"/>
        <v>1024920</v>
      </c>
      <c r="K48" s="118">
        <f t="shared" si="8"/>
        <v>1024920</v>
      </c>
      <c r="L48" s="118">
        <f t="shared" si="7"/>
        <v>1024920</v>
      </c>
      <c r="M48" s="118">
        <f t="shared" si="7"/>
        <v>1024920</v>
      </c>
      <c r="N48" s="118">
        <f t="shared" si="9"/>
        <v>1024920</v>
      </c>
      <c r="O48" s="118">
        <f t="shared" si="7"/>
        <v>1024920</v>
      </c>
      <c r="P48" s="118">
        <f t="shared" si="7"/>
        <v>1024920</v>
      </c>
      <c r="Q48" s="118">
        <f t="shared" si="7"/>
        <v>1024920</v>
      </c>
      <c r="R48" s="118">
        <f t="shared" si="7"/>
        <v>1024920</v>
      </c>
      <c r="S48" s="118">
        <f t="shared" si="10"/>
        <v>1024920</v>
      </c>
      <c r="T48" s="118">
        <f t="shared" si="10"/>
        <v>1024920</v>
      </c>
      <c r="U48" s="118">
        <f t="shared" si="10"/>
        <v>1024920</v>
      </c>
      <c r="V48" s="118">
        <f t="shared" si="11"/>
        <v>1024920</v>
      </c>
      <c r="W48" s="118">
        <f t="shared" si="12"/>
        <v>1024920</v>
      </c>
      <c r="X48" s="118">
        <f t="shared" si="13"/>
        <v>1024920</v>
      </c>
      <c r="Y48" s="118">
        <f t="shared" si="14"/>
        <v>1024920</v>
      </c>
      <c r="Z48" s="118">
        <f t="shared" si="15"/>
        <v>1024920</v>
      </c>
    </row>
    <row r="49" spans="1:26" x14ac:dyDescent="0.35">
      <c r="A49" s="116" t="s">
        <v>123</v>
      </c>
      <c r="B49" s="117">
        <f>'Generation &amp; Ops Scenarios'!C43</f>
        <v>0</v>
      </c>
      <c r="C49" s="118">
        <f t="shared" si="6"/>
        <v>0</v>
      </c>
      <c r="D49" s="118">
        <f t="shared" si="7"/>
        <v>0</v>
      </c>
      <c r="E49" s="118">
        <f t="shared" si="7"/>
        <v>0</v>
      </c>
      <c r="F49" s="118">
        <f t="shared" si="7"/>
        <v>0</v>
      </c>
      <c r="G49" s="118">
        <f t="shared" si="7"/>
        <v>0</v>
      </c>
      <c r="H49" s="118">
        <f t="shared" si="7"/>
        <v>0</v>
      </c>
      <c r="I49" s="118">
        <f t="shared" si="7"/>
        <v>0</v>
      </c>
      <c r="J49" s="118">
        <f t="shared" si="7"/>
        <v>0</v>
      </c>
      <c r="K49" s="118">
        <f t="shared" si="8"/>
        <v>0</v>
      </c>
      <c r="L49" s="118">
        <f t="shared" si="7"/>
        <v>0</v>
      </c>
      <c r="M49" s="118">
        <f t="shared" si="7"/>
        <v>0</v>
      </c>
      <c r="N49" s="118">
        <f t="shared" si="9"/>
        <v>0</v>
      </c>
      <c r="O49" s="118">
        <f t="shared" si="7"/>
        <v>0</v>
      </c>
      <c r="P49" s="118">
        <f t="shared" si="7"/>
        <v>0</v>
      </c>
      <c r="Q49" s="118">
        <f t="shared" si="7"/>
        <v>0</v>
      </c>
      <c r="R49" s="118">
        <f t="shared" si="7"/>
        <v>0</v>
      </c>
      <c r="S49" s="118">
        <f t="shared" si="7"/>
        <v>0</v>
      </c>
      <c r="T49" s="118">
        <f t="shared" si="10"/>
        <v>0</v>
      </c>
      <c r="U49" s="118">
        <f t="shared" si="10"/>
        <v>0</v>
      </c>
      <c r="V49" s="118">
        <f t="shared" si="11"/>
        <v>0</v>
      </c>
      <c r="W49" s="118">
        <f t="shared" si="12"/>
        <v>0</v>
      </c>
      <c r="X49" s="118">
        <f t="shared" si="13"/>
        <v>0</v>
      </c>
      <c r="Y49" s="118">
        <f t="shared" si="14"/>
        <v>0</v>
      </c>
      <c r="Z49" s="118">
        <f t="shared" si="15"/>
        <v>0</v>
      </c>
    </row>
    <row r="50" spans="1:26" x14ac:dyDescent="0.35">
      <c r="A50" s="116" t="s">
        <v>124</v>
      </c>
      <c r="B50" s="117">
        <f>'Generation &amp; Ops Scenarios'!C44</f>
        <v>0</v>
      </c>
      <c r="C50" s="118">
        <f t="shared" si="6"/>
        <v>0</v>
      </c>
      <c r="D50" s="118">
        <f t="shared" si="7"/>
        <v>0</v>
      </c>
      <c r="E50" s="118">
        <f t="shared" si="7"/>
        <v>0</v>
      </c>
      <c r="F50" s="118">
        <f t="shared" si="7"/>
        <v>0</v>
      </c>
      <c r="G50" s="118">
        <f t="shared" si="7"/>
        <v>0</v>
      </c>
      <c r="H50" s="118">
        <f t="shared" si="7"/>
        <v>0</v>
      </c>
      <c r="I50" s="118">
        <f t="shared" si="7"/>
        <v>0</v>
      </c>
      <c r="J50" s="118">
        <f t="shared" si="7"/>
        <v>0</v>
      </c>
      <c r="K50" s="118">
        <f t="shared" si="8"/>
        <v>0</v>
      </c>
      <c r="L50" s="118">
        <f t="shared" si="7"/>
        <v>0</v>
      </c>
      <c r="M50" s="118">
        <f t="shared" si="7"/>
        <v>0</v>
      </c>
      <c r="N50" s="118">
        <f t="shared" si="9"/>
        <v>0</v>
      </c>
      <c r="O50" s="118">
        <f t="shared" si="7"/>
        <v>0</v>
      </c>
      <c r="P50" s="118">
        <f t="shared" si="7"/>
        <v>0</v>
      </c>
      <c r="Q50" s="118">
        <f t="shared" si="7"/>
        <v>0</v>
      </c>
      <c r="R50" s="118">
        <f t="shared" si="7"/>
        <v>0</v>
      </c>
      <c r="S50" s="118">
        <f t="shared" si="7"/>
        <v>0</v>
      </c>
      <c r="T50" s="118">
        <f t="shared" si="10"/>
        <v>0</v>
      </c>
      <c r="U50" s="118">
        <f t="shared" si="10"/>
        <v>0</v>
      </c>
      <c r="V50" s="118">
        <f t="shared" si="11"/>
        <v>0</v>
      </c>
      <c r="W50" s="118">
        <f t="shared" si="12"/>
        <v>0</v>
      </c>
      <c r="X50" s="118">
        <f t="shared" si="13"/>
        <v>0</v>
      </c>
      <c r="Y50" s="118">
        <f t="shared" si="14"/>
        <v>0</v>
      </c>
      <c r="Z50" s="118">
        <f t="shared" si="15"/>
        <v>0</v>
      </c>
    </row>
    <row r="51" spans="1:26" x14ac:dyDescent="0.35">
      <c r="A51" s="116" t="s">
        <v>125</v>
      </c>
      <c r="B51" s="117">
        <f>'Generation &amp; Ops Scenarios'!C45</f>
        <v>1353420</v>
      </c>
      <c r="C51" s="118">
        <f t="shared" si="6"/>
        <v>1353420</v>
      </c>
      <c r="D51" s="118">
        <f t="shared" si="7"/>
        <v>1353420</v>
      </c>
      <c r="E51" s="118">
        <f t="shared" si="7"/>
        <v>1353420</v>
      </c>
      <c r="F51" s="118">
        <f t="shared" si="7"/>
        <v>1353420</v>
      </c>
      <c r="G51" s="118">
        <f t="shared" si="7"/>
        <v>1353420</v>
      </c>
      <c r="H51" s="118">
        <f t="shared" si="7"/>
        <v>1353420</v>
      </c>
      <c r="I51" s="118">
        <f t="shared" si="7"/>
        <v>1353420</v>
      </c>
      <c r="J51" s="118">
        <f t="shared" si="7"/>
        <v>1353420</v>
      </c>
      <c r="K51" s="118">
        <f t="shared" si="8"/>
        <v>1353420</v>
      </c>
      <c r="L51" s="118">
        <f t="shared" si="7"/>
        <v>1353420</v>
      </c>
      <c r="M51" s="118">
        <f t="shared" si="7"/>
        <v>1353420</v>
      </c>
      <c r="N51" s="118">
        <f t="shared" si="9"/>
        <v>1353420</v>
      </c>
      <c r="O51" s="118">
        <f t="shared" si="7"/>
        <v>1353420</v>
      </c>
      <c r="P51" s="118">
        <f t="shared" si="7"/>
        <v>1353420</v>
      </c>
      <c r="Q51" s="118">
        <f t="shared" si="7"/>
        <v>1353420</v>
      </c>
      <c r="R51" s="118">
        <f t="shared" si="7"/>
        <v>1353420</v>
      </c>
      <c r="S51" s="118">
        <f t="shared" si="7"/>
        <v>1353420</v>
      </c>
      <c r="T51" s="118">
        <f t="shared" si="10"/>
        <v>1353420</v>
      </c>
      <c r="U51" s="118">
        <f t="shared" si="10"/>
        <v>1353420</v>
      </c>
      <c r="V51" s="118">
        <f t="shared" si="11"/>
        <v>1353420</v>
      </c>
      <c r="W51" s="118">
        <f t="shared" si="12"/>
        <v>1353420</v>
      </c>
      <c r="X51" s="118">
        <f t="shared" si="13"/>
        <v>1353420</v>
      </c>
      <c r="Y51" s="118">
        <f t="shared" si="14"/>
        <v>1353420</v>
      </c>
      <c r="Z51" s="118">
        <f t="shared" si="15"/>
        <v>1353420</v>
      </c>
    </row>
    <row r="52" spans="1:26" x14ac:dyDescent="0.35">
      <c r="A52" s="116" t="s">
        <v>126</v>
      </c>
      <c r="B52" s="117">
        <f>'Generation &amp; Ops Scenarios'!C46</f>
        <v>0</v>
      </c>
      <c r="C52" s="118">
        <f t="shared" si="6"/>
        <v>0</v>
      </c>
      <c r="D52" s="118">
        <f t="shared" si="7"/>
        <v>0</v>
      </c>
      <c r="E52" s="118">
        <f t="shared" si="7"/>
        <v>0</v>
      </c>
      <c r="F52" s="118">
        <f t="shared" si="7"/>
        <v>0</v>
      </c>
      <c r="G52" s="118">
        <f t="shared" si="7"/>
        <v>0</v>
      </c>
      <c r="H52" s="118">
        <f t="shared" si="7"/>
        <v>0</v>
      </c>
      <c r="I52" s="118">
        <f t="shared" si="7"/>
        <v>0</v>
      </c>
      <c r="J52" s="118">
        <f t="shared" si="7"/>
        <v>0</v>
      </c>
      <c r="K52" s="118">
        <f t="shared" si="8"/>
        <v>0</v>
      </c>
      <c r="L52" s="118">
        <f t="shared" si="7"/>
        <v>0</v>
      </c>
      <c r="M52" s="118">
        <f t="shared" si="7"/>
        <v>0</v>
      </c>
      <c r="N52" s="118">
        <f t="shared" si="9"/>
        <v>0</v>
      </c>
      <c r="O52" s="118">
        <f t="shared" si="7"/>
        <v>0</v>
      </c>
      <c r="P52" s="118">
        <f t="shared" si="7"/>
        <v>0</v>
      </c>
      <c r="Q52" s="118">
        <f t="shared" si="7"/>
        <v>0</v>
      </c>
      <c r="R52" s="118">
        <f t="shared" si="7"/>
        <v>0</v>
      </c>
      <c r="S52" s="118">
        <f t="shared" si="7"/>
        <v>0</v>
      </c>
      <c r="T52" s="118">
        <f t="shared" si="10"/>
        <v>0</v>
      </c>
      <c r="U52" s="118">
        <f t="shared" si="10"/>
        <v>0</v>
      </c>
      <c r="V52" s="118">
        <f t="shared" si="11"/>
        <v>0</v>
      </c>
      <c r="W52" s="118">
        <f t="shared" si="12"/>
        <v>0</v>
      </c>
      <c r="X52" s="118">
        <f t="shared" si="13"/>
        <v>0</v>
      </c>
      <c r="Y52" s="118">
        <f t="shared" si="14"/>
        <v>0</v>
      </c>
      <c r="Z52" s="118">
        <f t="shared" si="15"/>
        <v>0</v>
      </c>
    </row>
    <row r="53" spans="1:26" x14ac:dyDescent="0.35">
      <c r="A53" s="116" t="s">
        <v>127</v>
      </c>
      <c r="B53" s="117">
        <f>'Generation &amp; Ops Scenarios'!C47</f>
        <v>0</v>
      </c>
      <c r="C53" s="118">
        <f t="shared" si="6"/>
        <v>0</v>
      </c>
      <c r="D53" s="118">
        <f t="shared" si="7"/>
        <v>0</v>
      </c>
      <c r="E53" s="118">
        <f t="shared" si="7"/>
        <v>0</v>
      </c>
      <c r="F53" s="118">
        <f t="shared" si="7"/>
        <v>0</v>
      </c>
      <c r="G53" s="118">
        <f t="shared" si="7"/>
        <v>0</v>
      </c>
      <c r="H53" s="118">
        <f t="shared" si="7"/>
        <v>0</v>
      </c>
      <c r="I53" s="118">
        <f t="shared" si="7"/>
        <v>0</v>
      </c>
      <c r="J53" s="118">
        <f t="shared" si="7"/>
        <v>0</v>
      </c>
      <c r="K53" s="118">
        <f t="shared" si="8"/>
        <v>0</v>
      </c>
      <c r="L53" s="118">
        <f t="shared" si="7"/>
        <v>0</v>
      </c>
      <c r="M53" s="118">
        <f t="shared" si="7"/>
        <v>0</v>
      </c>
      <c r="N53" s="118">
        <f t="shared" si="9"/>
        <v>0</v>
      </c>
      <c r="O53" s="118">
        <f t="shared" si="7"/>
        <v>0</v>
      </c>
      <c r="P53" s="118">
        <f t="shared" si="7"/>
        <v>0</v>
      </c>
      <c r="Q53" s="118">
        <f t="shared" si="7"/>
        <v>0</v>
      </c>
      <c r="R53" s="118">
        <f t="shared" si="7"/>
        <v>0</v>
      </c>
      <c r="S53" s="118">
        <f t="shared" si="7"/>
        <v>0</v>
      </c>
      <c r="T53" s="118">
        <f t="shared" si="10"/>
        <v>0</v>
      </c>
      <c r="U53" s="118">
        <f t="shared" si="10"/>
        <v>0</v>
      </c>
      <c r="V53" s="118">
        <f t="shared" si="11"/>
        <v>0</v>
      </c>
      <c r="W53" s="118">
        <f t="shared" si="12"/>
        <v>0</v>
      </c>
      <c r="X53" s="118">
        <f t="shared" si="13"/>
        <v>0</v>
      </c>
      <c r="Y53" s="118">
        <f t="shared" si="14"/>
        <v>0</v>
      </c>
      <c r="Z53" s="118">
        <f t="shared" si="15"/>
        <v>0</v>
      </c>
    </row>
    <row r="54" spans="1:26" x14ac:dyDescent="0.35">
      <c r="A54" s="116" t="s">
        <v>128</v>
      </c>
      <c r="B54" s="117">
        <f>B57-B51</f>
        <v>46580</v>
      </c>
      <c r="C54" s="117">
        <f t="shared" ref="C54:U54" si="16">C57-C51</f>
        <v>46580</v>
      </c>
      <c r="D54" s="117">
        <f t="shared" si="16"/>
        <v>46580</v>
      </c>
      <c r="E54" s="117">
        <f t="shared" si="16"/>
        <v>46580</v>
      </c>
      <c r="F54" s="117">
        <f t="shared" si="16"/>
        <v>46580</v>
      </c>
      <c r="G54" s="117">
        <f t="shared" si="16"/>
        <v>46580</v>
      </c>
      <c r="H54" s="117">
        <f t="shared" si="16"/>
        <v>46580</v>
      </c>
      <c r="I54" s="117">
        <f t="shared" si="16"/>
        <v>46580</v>
      </c>
      <c r="J54" s="117">
        <f t="shared" si="16"/>
        <v>46580</v>
      </c>
      <c r="K54" s="117">
        <f t="shared" si="16"/>
        <v>46580</v>
      </c>
      <c r="L54" s="117">
        <f t="shared" si="16"/>
        <v>46580</v>
      </c>
      <c r="M54" s="117">
        <f>M57-M51</f>
        <v>46580</v>
      </c>
      <c r="N54" s="117">
        <f t="shared" si="16"/>
        <v>46580</v>
      </c>
      <c r="O54" s="117">
        <f t="shared" si="16"/>
        <v>46580</v>
      </c>
      <c r="P54" s="117">
        <f t="shared" si="16"/>
        <v>46580</v>
      </c>
      <c r="Q54" s="117">
        <f t="shared" si="16"/>
        <v>46580</v>
      </c>
      <c r="R54" s="117">
        <f t="shared" si="16"/>
        <v>46580</v>
      </c>
      <c r="S54" s="117">
        <f t="shared" si="16"/>
        <v>46580</v>
      </c>
      <c r="T54" s="119">
        <f t="shared" si="16"/>
        <v>46580</v>
      </c>
      <c r="U54" s="119">
        <f t="shared" si="16"/>
        <v>46580</v>
      </c>
      <c r="V54" s="119">
        <f t="shared" ref="V54:Z54" si="17">V57-V51</f>
        <v>46580</v>
      </c>
      <c r="W54" s="119">
        <f t="shared" si="17"/>
        <v>46580</v>
      </c>
      <c r="X54" s="119">
        <f t="shared" si="17"/>
        <v>46580</v>
      </c>
      <c r="Y54" s="119">
        <f t="shared" si="17"/>
        <v>46580</v>
      </c>
      <c r="Z54" s="119">
        <f t="shared" si="17"/>
        <v>46580</v>
      </c>
    </row>
    <row r="55" spans="1:26" x14ac:dyDescent="0.35">
      <c r="A55" s="116"/>
      <c r="B55" s="120"/>
      <c r="C55" s="118"/>
      <c r="D55" s="116"/>
      <c r="E55" s="116"/>
      <c r="F55" s="121"/>
      <c r="G55" s="116"/>
      <c r="H55" s="116"/>
      <c r="I55" s="116"/>
      <c r="J55" s="116"/>
      <c r="K55" s="116"/>
      <c r="L55" s="116"/>
      <c r="M55" s="116"/>
      <c r="N55" s="116"/>
      <c r="O55" s="116"/>
      <c r="P55" s="116"/>
      <c r="Q55" s="116"/>
      <c r="R55" s="116"/>
      <c r="S55" s="116"/>
      <c r="T55" s="116"/>
      <c r="U55" s="116"/>
      <c r="V55" s="116"/>
      <c r="W55" s="116"/>
      <c r="X55" s="116"/>
      <c r="Y55" s="116"/>
      <c r="Z55" s="116"/>
    </row>
    <row r="56" spans="1:26" x14ac:dyDescent="0.35">
      <c r="A56" s="116"/>
      <c r="B56" s="116"/>
      <c r="C56" s="118"/>
      <c r="D56" s="116"/>
      <c r="E56" s="116"/>
      <c r="F56" s="116"/>
      <c r="G56" s="116"/>
      <c r="H56" s="116"/>
      <c r="I56" s="116"/>
      <c r="J56" s="116"/>
      <c r="K56" s="116"/>
      <c r="L56" s="116"/>
      <c r="M56" s="116"/>
      <c r="N56" s="116"/>
      <c r="O56" s="116"/>
      <c r="P56" s="116"/>
      <c r="Q56" s="116"/>
      <c r="R56" s="116"/>
      <c r="S56" s="116"/>
      <c r="T56" s="116"/>
      <c r="U56" s="116"/>
      <c r="V56" s="116"/>
      <c r="W56" s="116"/>
      <c r="X56" s="116"/>
      <c r="Y56" s="116"/>
      <c r="Z56" s="116"/>
    </row>
    <row r="57" spans="1:26" x14ac:dyDescent="0.35">
      <c r="A57" s="116" t="s">
        <v>158</v>
      </c>
      <c r="B57" s="122">
        <f>M5</f>
        <v>1400000</v>
      </c>
      <c r="C57" s="123">
        <f>B57*(1+'Mix 3 Summary'!$M$8)</f>
        <v>1400000</v>
      </c>
      <c r="D57" s="123">
        <f>C57*(1+'Mix 3 Summary'!$M$8)</f>
        <v>1400000</v>
      </c>
      <c r="E57" s="123">
        <f>D57*(1+'Mix 3 Summary'!$M$8)</f>
        <v>1400000</v>
      </c>
      <c r="F57" s="123">
        <f>E57*(1+'Mix 3 Summary'!$M$8)</f>
        <v>1400000</v>
      </c>
      <c r="G57" s="123">
        <f>F57*(1+'Mix 3 Summary'!$M$9)</f>
        <v>1400000</v>
      </c>
      <c r="H57" s="123">
        <f>G57*(1+'Mix 3 Summary'!$M$9)</f>
        <v>1400000</v>
      </c>
      <c r="I57" s="123">
        <f>H57*(1+'Mix 3 Summary'!$M$9)</f>
        <v>1400000</v>
      </c>
      <c r="J57" s="123">
        <f>I57*(1+'Mix 3 Summary'!$M$9)</f>
        <v>1400000</v>
      </c>
      <c r="K57" s="123">
        <f>J57*(1+'Mix 3 Summary'!$M$9)</f>
        <v>1400000</v>
      </c>
      <c r="L57" s="123">
        <f>K57*(1+'Mix 3 Summary'!$M$10)</f>
        <v>1400000</v>
      </c>
      <c r="M57" s="123">
        <f>L57*(1+'Mix 3 Summary'!$M$10)</f>
        <v>1400000</v>
      </c>
      <c r="N57" s="123">
        <f>M57*(1+'Mix 3 Summary'!$M$10)</f>
        <v>1400000</v>
      </c>
      <c r="O57" s="123">
        <f>N57*(1+'Mix 3 Summary'!$M$10)</f>
        <v>1400000</v>
      </c>
      <c r="P57" s="123">
        <f>O57*(1+'Mix 3 Summary'!$M$10)</f>
        <v>1400000</v>
      </c>
      <c r="Q57" s="123">
        <f>P57*(1+'Mix 3 Summary'!$M$11)</f>
        <v>1400000</v>
      </c>
      <c r="R57" s="123">
        <f>Q57*(1+'Mix 3 Summary'!$M$11)</f>
        <v>1400000</v>
      </c>
      <c r="S57" s="123">
        <f>R57*(1+'Mix 3 Summary'!$M$11)</f>
        <v>1400000</v>
      </c>
      <c r="T57" s="123">
        <f>S57*(1+'Mix 3 Summary'!$M$11)</f>
        <v>1400000</v>
      </c>
      <c r="U57" s="123">
        <f>T57*(1+'Mix 3 Summary'!$M$11)</f>
        <v>1400000</v>
      </c>
      <c r="V57" s="123">
        <f>U57*(1+'Mix 3 Summary'!$M$11)</f>
        <v>1400000</v>
      </c>
      <c r="W57" s="123">
        <f>V57*(1+'Mix 3 Summary'!$M$11)</f>
        <v>1400000</v>
      </c>
      <c r="X57" s="123">
        <f>W57*(1+'Mix 3 Summary'!$M$11)</f>
        <v>1400000</v>
      </c>
      <c r="Y57" s="123">
        <f>X57*(1+'Mix 3 Summary'!$M$11)</f>
        <v>1400000</v>
      </c>
      <c r="Z57" s="123">
        <f>Y57*(1+'Mix 3 Summary'!$M$11)</f>
        <v>1400000</v>
      </c>
    </row>
    <row r="58" spans="1:26" x14ac:dyDescent="0.35">
      <c r="A58" s="116"/>
      <c r="B58" s="116"/>
      <c r="C58" s="118"/>
      <c r="D58" s="116"/>
      <c r="E58" s="116"/>
      <c r="F58" s="116"/>
      <c r="G58" s="116"/>
      <c r="H58" s="116"/>
      <c r="I58" s="116"/>
      <c r="J58" s="116"/>
      <c r="K58" s="116"/>
      <c r="L58" s="116"/>
      <c r="M58" s="116"/>
      <c r="N58" s="116"/>
      <c r="O58" s="116"/>
      <c r="P58" s="116"/>
      <c r="Q58" s="116"/>
      <c r="R58" s="116"/>
      <c r="S58" s="116"/>
      <c r="T58" s="116"/>
      <c r="U58" s="116"/>
      <c r="V58" s="116"/>
      <c r="W58" s="116"/>
      <c r="X58" s="116"/>
      <c r="Y58" s="116"/>
      <c r="Z58" s="116"/>
    </row>
    <row r="59" spans="1:26" x14ac:dyDescent="0.35">
      <c r="A59" s="116" t="s">
        <v>134</v>
      </c>
      <c r="B59" s="120">
        <f>-'Mix 3 Cash Flow'!D8/'Mix 3 Summary'!B57*100</f>
        <v>0</v>
      </c>
      <c r="C59" s="120">
        <f>-'Mix 3 Cash Flow'!E8/'Mix 3 Summary'!C57*100</f>
        <v>0</v>
      </c>
      <c r="D59" s="120">
        <f>-'Mix 3 Cash Flow'!F8/'Mix 3 Summary'!D57*100</f>
        <v>0</v>
      </c>
      <c r="E59" s="120">
        <f>-'Mix 3 Cash Flow'!G8/'Mix 3 Summary'!E57*100</f>
        <v>0</v>
      </c>
      <c r="F59" s="120">
        <f>-'Mix 3 Cash Flow'!H8/'Mix 3 Summary'!F57*100</f>
        <v>0</v>
      </c>
      <c r="G59" s="120">
        <f>-'Mix 3 Cash Flow'!I8/'Mix 3 Summary'!G57*100</f>
        <v>0</v>
      </c>
      <c r="H59" s="120">
        <f>-'Mix 3 Cash Flow'!J8/'Mix 3 Summary'!H57*100</f>
        <v>0</v>
      </c>
      <c r="I59" s="120">
        <f>-'Mix 3 Cash Flow'!K8/'Mix 3 Summary'!I57*100</f>
        <v>0</v>
      </c>
      <c r="J59" s="120">
        <f>-'Mix 3 Cash Flow'!L8/'Mix 3 Summary'!J57*100</f>
        <v>0</v>
      </c>
      <c r="K59" s="120">
        <f>-'Mix 3 Cash Flow'!M8/'Mix 3 Summary'!K57*100</f>
        <v>0</v>
      </c>
      <c r="L59" s="120">
        <f>-'Mix 3 Cash Flow'!N8/'Mix 3 Summary'!L57*100</f>
        <v>0</v>
      </c>
      <c r="M59" s="120">
        <f>-'Mix 3 Cash Flow'!O8/'Mix 3 Summary'!M57*100</f>
        <v>0</v>
      </c>
      <c r="N59" s="120">
        <f>-'Mix 3 Cash Flow'!P8/'Mix 3 Summary'!N57*100</f>
        <v>0</v>
      </c>
      <c r="O59" s="120">
        <f>-'Mix 3 Cash Flow'!Q8/'Mix 3 Summary'!O57*100</f>
        <v>0</v>
      </c>
      <c r="P59" s="120">
        <f>-'Mix 3 Cash Flow'!R8/'Mix 3 Summary'!P57*100</f>
        <v>0</v>
      </c>
      <c r="Q59" s="120">
        <f>-'Mix 3 Cash Flow'!S8/'Mix 3 Summary'!Q57*100</f>
        <v>0</v>
      </c>
      <c r="R59" s="120">
        <f>-'Mix 3 Cash Flow'!T8/'Mix 3 Summary'!R57*100</f>
        <v>0</v>
      </c>
      <c r="S59" s="120">
        <f>-'Mix 3 Cash Flow'!U8/'Mix 3 Summary'!S57*100</f>
        <v>0</v>
      </c>
      <c r="T59" s="120">
        <f>-'Mix 3 Cash Flow'!V8/'Mix 3 Summary'!T57*100</f>
        <v>0</v>
      </c>
      <c r="U59" s="120">
        <f>-'Mix 3 Cash Flow'!W8/'Mix 3 Summary'!U57*100</f>
        <v>0</v>
      </c>
      <c r="V59" s="120">
        <f>-'Mix 3 Cash Flow'!X8/'Mix 3 Summary'!V57*100</f>
        <v>0</v>
      </c>
      <c r="W59" s="120">
        <f>-'Mix 3 Cash Flow'!Y8/'Mix 3 Summary'!W57*100</f>
        <v>0</v>
      </c>
      <c r="X59" s="120">
        <f>-'Mix 3 Cash Flow'!Z8/'Mix 3 Summary'!X57*100</f>
        <v>0</v>
      </c>
      <c r="Y59" s="120">
        <f>-'Mix 3 Cash Flow'!AA8/'Mix 3 Summary'!Y57*100</f>
        <v>0</v>
      </c>
      <c r="Z59" s="120">
        <f>-'Mix 3 Cash Flow'!AB8/'Mix 3 Summary'!Z57*100</f>
        <v>0</v>
      </c>
    </row>
    <row r="60" spans="1:26" x14ac:dyDescent="0.35">
      <c r="A60" s="116" t="s">
        <v>159</v>
      </c>
      <c r="B60" s="120">
        <f>-'Mix 3 Interest Calculations'!E14/'Mix 3 Summary'!B57*100</f>
        <v>26.865128124999998</v>
      </c>
      <c r="C60" s="120">
        <f>-'Mix 3 Interest Calculations'!F14/'Mix 3 Summary'!C57*100</f>
        <v>26.469924046332881</v>
      </c>
      <c r="D60" s="120">
        <f>-'Mix 3 Interest Calculations'!G14/'Mix 3 Summary'!D57*100</f>
        <v>26.04507966176573</v>
      </c>
      <c r="E60" s="120">
        <f>-'Mix 3 Interest Calculations'!H14/'Mix 3 Summary'!E57*100</f>
        <v>25.588371948356038</v>
      </c>
      <c r="F60" s="120">
        <f>-'Mix 3 Interest Calculations'!I14/'Mix 3 Summary'!F57*100</f>
        <v>25.097411156440625</v>
      </c>
      <c r="G60" s="120">
        <f>-'Mix 3 Interest Calculations'!J14/'Mix 3 Summary'!G57*100</f>
        <v>24.569628305131552</v>
      </c>
      <c r="H60" s="120">
        <f>-'Mix 3 Interest Calculations'!K14/'Mix 3 Summary'!H57*100</f>
        <v>24.002261739974301</v>
      </c>
      <c r="I60" s="120">
        <f>-'Mix 3 Interest Calculations'!L14/'Mix 3 Summary'!I57*100</f>
        <v>23.392342682430254</v>
      </c>
      <c r="J60" s="120">
        <f>-'Mix 3 Interest Calculations'!M14/'Mix 3 Summary'!J57*100</f>
        <v>22.736679695570405</v>
      </c>
      <c r="K60" s="120">
        <f>-'Mix 3 Interest Calculations'!N14/'Mix 3 Summary'!K57*100</f>
        <v>22.031841984696062</v>
      </c>
      <c r="L60" s="120">
        <f>-'Mix 3 Interest Calculations'!O14/'Mix 3 Summary'!L57*100</f>
        <v>21.274141445506153</v>
      </c>
      <c r="M60" s="120">
        <f>-'Mix 3 Interest Calculations'!P14/'Mix 3 Summary'!M57*100</f>
        <v>20.459613365876997</v>
      </c>
      <c r="N60" s="120">
        <f>-'Mix 3 Interest Calculations'!Q14/'Mix 3 Summary'!N57*100</f>
        <v>19.583995680275653</v>
      </c>
      <c r="O60" s="120">
        <f>-'Mix 3 Interest Calculations'!R14/'Mix 3 Summary'!O57*100</f>
        <v>18.642706668254206</v>
      </c>
      <c r="P60" s="120">
        <f>-'Mix 3 Interest Calculations'!S14/'Mix 3 Summary'!P57*100</f>
        <v>17.630820980331155</v>
      </c>
      <c r="Q60" s="120">
        <f>-'Mix 3 Interest Calculations'!T14/'Mix 3 Summary'!Q57*100</f>
        <v>16.543043865813871</v>
      </c>
      <c r="R60" s="120">
        <f>-'Mix 3 Interest Calculations'!U14/'Mix 3 Summary'!R57*100</f>
        <v>15.37368346770779</v>
      </c>
      <c r="S60" s="120">
        <f>-'Mix 3 Interest Calculations'!V14/'Mix 3 Summary'!S57*100</f>
        <v>14.116621039743757</v>
      </c>
      <c r="T60" s="120">
        <f>-'Mix 3 Interest Calculations'!W14/'Mix 3 Summary'!T57*100</f>
        <v>12.765278929682422</v>
      </c>
      <c r="U60" s="120">
        <f>-'Mix 3 Interest Calculations'!X14/'Mix 3 Summary'!U57*100</f>
        <v>11.312586161366484</v>
      </c>
      <c r="V60" s="120">
        <f>-'Mix 3 Interest Calculations'!Y14/'Mix 3 Summary'!V57*100</f>
        <v>9.7509414354268493</v>
      </c>
      <c r="W60" s="120">
        <f>-'Mix 3 Interest Calculations'!Z14/'Mix 3 Summary'!W57*100</f>
        <v>8.0721733550417465</v>
      </c>
      <c r="X60" s="120">
        <f>-'Mix 3 Interest Calculations'!AA14/'Mix 3 Summary'!X57*100</f>
        <v>6.2674976686277573</v>
      </c>
      <c r="Y60" s="120">
        <f>-'Mix 3 Interest Calculations'!AB14/'Mix 3 Summary'!Y57*100</f>
        <v>4.3274713057327201</v>
      </c>
      <c r="Z60" s="120">
        <f>-'Mix 3 Interest Calculations'!AC14/'Mix 3 Summary'!Z57*100</f>
        <v>2.2419429656205558</v>
      </c>
    </row>
    <row r="61" spans="1:26" x14ac:dyDescent="0.35">
      <c r="A61" s="116" t="s">
        <v>160</v>
      </c>
      <c r="B61" s="124">
        <f>-'Mix 3 Interest Calculations'!E13/B57*100</f>
        <v>5.2693877155615816</v>
      </c>
      <c r="C61" s="124">
        <f>-'Mix 3 Interest Calculations'!F13/C57*100</f>
        <v>5.6645917942287012</v>
      </c>
      <c r="D61" s="124">
        <f>-'Mix 3 Interest Calculations'!G13/D57*100</f>
        <v>6.089436178795852</v>
      </c>
      <c r="E61" s="124">
        <f>-'Mix 3 Interest Calculations'!H13/E57*100</f>
        <v>6.5461438922055439</v>
      </c>
      <c r="F61" s="124">
        <f>-'Mix 3 Interest Calculations'!I13/F57*100</f>
        <v>7.0371046841209592</v>
      </c>
      <c r="G61" s="124">
        <f>-'Mix 3 Interest Calculations'!J13/G57*100</f>
        <v>7.5648875354300289</v>
      </c>
      <c r="H61" s="124">
        <f>-'Mix 3 Interest Calculations'!K13/H57*100</f>
        <v>8.1322541005872822</v>
      </c>
      <c r="I61" s="124">
        <f>-'Mix 3 Interest Calculations'!L13/I57*100</f>
        <v>8.7421731581313278</v>
      </c>
      <c r="J61" s="124">
        <f>-'Mix 3 Interest Calculations'!M13/J57*100</f>
        <v>9.3978361449911763</v>
      </c>
      <c r="K61" s="124">
        <f>-'Mix 3 Interest Calculations'!N13/K57*100</f>
        <v>10.10267385586552</v>
      </c>
      <c r="L61" s="124">
        <f>-'Mix 3 Interest Calculations'!O13/L57*100</f>
        <v>10.86037439505543</v>
      </c>
      <c r="M61" s="124">
        <f>-'Mix 3 Interest Calculations'!P13/M57*100</f>
        <v>11.674902474684586</v>
      </c>
      <c r="N61" s="124">
        <f>-'Mix 3 Interest Calculations'!Q13/N57*100</f>
        <v>12.550520160285931</v>
      </c>
      <c r="O61" s="124">
        <f>-'Mix 3 Interest Calculations'!R13/O57*100</f>
        <v>13.491809172307375</v>
      </c>
      <c r="P61" s="124">
        <f>-'Mix 3 Interest Calculations'!S13/P57*100</f>
        <v>14.503694860230429</v>
      </c>
      <c r="Q61" s="124">
        <f>-'Mix 3 Interest Calculations'!T13/Q57*100</f>
        <v>15.591471974747712</v>
      </c>
      <c r="R61" s="124">
        <f>-'Mix 3 Interest Calculations'!U13/R57*100</f>
        <v>16.760832372853791</v>
      </c>
      <c r="S61" s="124">
        <f>-'Mix 3 Interest Calculations'!V13/S57*100</f>
        <v>18.017894800817825</v>
      </c>
      <c r="T61" s="124">
        <f>-'Mix 3 Interest Calculations'!W13/T57*100</f>
        <v>19.369236910879163</v>
      </c>
      <c r="U61" s="124">
        <f>-'Mix 3 Interest Calculations'!X13/U57*100</f>
        <v>20.821929679195097</v>
      </c>
      <c r="V61" s="124">
        <f>-'Mix 3 Interest Calculations'!Y13/V57*100</f>
        <v>22.383574405134731</v>
      </c>
      <c r="W61" s="124">
        <f>-'Mix 3 Interest Calculations'!Z13/W57*100</f>
        <v>24.062342485519835</v>
      </c>
      <c r="X61" s="124">
        <f>-'Mix 3 Interest Calculations'!AA13/X57*100</f>
        <v>25.867018171933825</v>
      </c>
      <c r="Y61" s="124">
        <f>-'Mix 3 Interest Calculations'!AB13/Y57*100</f>
        <v>27.807044534828862</v>
      </c>
      <c r="Z61" s="124">
        <f>-'Mix 3 Interest Calculations'!AC13/Z57*100</f>
        <v>29.892572874941024</v>
      </c>
    </row>
    <row r="62" spans="1:26" x14ac:dyDescent="0.35">
      <c r="A62" s="116" t="s">
        <v>161</v>
      </c>
      <c r="B62" s="120">
        <f>-'Mix 3 Cash Flow'!D9/'Mix 3 Summary'!B57*100</f>
        <v>21.031874226190478</v>
      </c>
      <c r="C62" s="120">
        <f>-'Mix 3 Cash Flow'!E9/'Mix 3 Summary'!C57*100</f>
        <v>21.031874226190478</v>
      </c>
      <c r="D62" s="120">
        <f>-'Mix 3 Cash Flow'!F9/'Mix 3 Summary'!D57*100</f>
        <v>21.031874226190478</v>
      </c>
      <c r="E62" s="120">
        <f>-'Mix 3 Cash Flow'!G9/'Mix 3 Summary'!E57*100</f>
        <v>21.031874226190478</v>
      </c>
      <c r="F62" s="120">
        <f>-'Mix 3 Cash Flow'!H9/'Mix 3 Summary'!F57*100</f>
        <v>21.031874226190478</v>
      </c>
      <c r="G62" s="120">
        <f>-'Mix 3 Cash Flow'!I9/'Mix 3 Summary'!G57*100</f>
        <v>21.031874226190478</v>
      </c>
      <c r="H62" s="120">
        <f>-'Mix 3 Cash Flow'!J9/'Mix 3 Summary'!H57*100</f>
        <v>21.031874226190478</v>
      </c>
      <c r="I62" s="120">
        <f>-'Mix 3 Cash Flow'!K9/'Mix 3 Summary'!I57*100</f>
        <v>21.031874226190478</v>
      </c>
      <c r="J62" s="120">
        <f>-'Mix 3 Cash Flow'!L9/'Mix 3 Summary'!J57*100</f>
        <v>21.031874226190478</v>
      </c>
      <c r="K62" s="120">
        <f>-'Mix 3 Cash Flow'!M9/'Mix 3 Summary'!K57*100</f>
        <v>21.031874226190478</v>
      </c>
      <c r="L62" s="120">
        <f>-'Mix 3 Cash Flow'!N9/'Mix 3 Summary'!L57*100</f>
        <v>21.031874226190478</v>
      </c>
      <c r="M62" s="120">
        <f>-'Mix 3 Cash Flow'!O9/'Mix 3 Summary'!M57*100</f>
        <v>21.031874226190478</v>
      </c>
      <c r="N62" s="120">
        <f>-'Mix 3 Cash Flow'!P9/'Mix 3 Summary'!N57*100</f>
        <v>21.031874226190478</v>
      </c>
      <c r="O62" s="120">
        <f>-'Mix 3 Cash Flow'!Q9/'Mix 3 Summary'!O57*100</f>
        <v>21.031874226190478</v>
      </c>
      <c r="P62" s="120">
        <f>-'Mix 3 Cash Flow'!R9/'Mix 3 Summary'!P57*100</f>
        <v>21.031874226190478</v>
      </c>
      <c r="Q62" s="120">
        <f>-'Mix 3 Cash Flow'!S9/'Mix 3 Summary'!Q57*100</f>
        <v>21.031874226190478</v>
      </c>
      <c r="R62" s="120">
        <f>-'Mix 3 Cash Flow'!T9/'Mix 3 Summary'!R57*100</f>
        <v>21.031874226190478</v>
      </c>
      <c r="S62" s="120">
        <f>-'Mix 3 Cash Flow'!U9/'Mix 3 Summary'!S57*100</f>
        <v>21.031874226190478</v>
      </c>
      <c r="T62" s="120">
        <f>-'Mix 3 Cash Flow'!V9/'Mix 3 Summary'!T57*100</f>
        <v>21.031874226190478</v>
      </c>
      <c r="U62" s="120">
        <f>-'Mix 3 Cash Flow'!W9/'Mix 3 Summary'!U57*100</f>
        <v>21.031874226190478</v>
      </c>
      <c r="V62" s="120">
        <f>-'Mix 3 Cash Flow'!X9/'Mix 3 Summary'!V57*100</f>
        <v>21.031874226190478</v>
      </c>
      <c r="W62" s="120">
        <f>-'Mix 3 Cash Flow'!Y9/'Mix 3 Summary'!W57*100</f>
        <v>21.031874226190478</v>
      </c>
      <c r="X62" s="120">
        <f>-'Mix 3 Cash Flow'!Z9/'Mix 3 Summary'!X57*100</f>
        <v>21.031874226190478</v>
      </c>
      <c r="Y62" s="120">
        <f>-'Mix 3 Cash Flow'!AA9/'Mix 3 Summary'!Y57*100</f>
        <v>21.031874226190478</v>
      </c>
      <c r="Z62" s="120">
        <f>-'Mix 3 Cash Flow'!AB9/'Mix 3 Summary'!Z57*100</f>
        <v>21.031874226190478</v>
      </c>
    </row>
    <row r="63" spans="1:26" x14ac:dyDescent="0.35">
      <c r="A63" s="116"/>
      <c r="B63" s="120">
        <f>SUM(B59:B62)</f>
        <v>53.166390066752058</v>
      </c>
      <c r="C63" s="120">
        <f t="shared" ref="C63:U63" si="18">SUM(C59:C62)</f>
        <v>53.166390066752058</v>
      </c>
      <c r="D63" s="120">
        <f t="shared" si="18"/>
        <v>53.166390066752058</v>
      </c>
      <c r="E63" s="120">
        <f t="shared" si="18"/>
        <v>53.166390066752058</v>
      </c>
      <c r="F63" s="120">
        <f t="shared" si="18"/>
        <v>53.166390066752058</v>
      </c>
      <c r="G63" s="120">
        <f t="shared" si="18"/>
        <v>53.166390066752058</v>
      </c>
      <c r="H63" s="120">
        <f t="shared" si="18"/>
        <v>53.166390066752058</v>
      </c>
      <c r="I63" s="120">
        <f t="shared" si="18"/>
        <v>53.166390066752058</v>
      </c>
      <c r="J63" s="120">
        <f t="shared" si="18"/>
        <v>53.166390066752058</v>
      </c>
      <c r="K63" s="120">
        <f t="shared" si="18"/>
        <v>53.166390066752058</v>
      </c>
      <c r="L63" s="120">
        <f t="shared" si="18"/>
        <v>53.166390066752058</v>
      </c>
      <c r="M63" s="120">
        <f t="shared" si="18"/>
        <v>53.166390066752058</v>
      </c>
      <c r="N63" s="120">
        <f t="shared" si="18"/>
        <v>53.166390066752058</v>
      </c>
      <c r="O63" s="120">
        <f t="shared" si="18"/>
        <v>53.166390066752058</v>
      </c>
      <c r="P63" s="120">
        <f t="shared" si="18"/>
        <v>53.166390066752058</v>
      </c>
      <c r="Q63" s="120">
        <f t="shared" si="18"/>
        <v>53.166390066752058</v>
      </c>
      <c r="R63" s="120">
        <f t="shared" si="18"/>
        <v>53.166390066752058</v>
      </c>
      <c r="S63" s="120">
        <f t="shared" si="18"/>
        <v>53.166390066752058</v>
      </c>
      <c r="T63" s="120">
        <f t="shared" si="18"/>
        <v>53.166390066752058</v>
      </c>
      <c r="U63" s="120">
        <f t="shared" si="18"/>
        <v>53.166390066752058</v>
      </c>
      <c r="V63" s="120">
        <f t="shared" ref="V63:Z63" si="19">SUM(V59:V62)</f>
        <v>53.166390066752058</v>
      </c>
      <c r="W63" s="120">
        <f t="shared" si="19"/>
        <v>53.166390066752058</v>
      </c>
      <c r="X63" s="120">
        <f t="shared" si="19"/>
        <v>53.166390066752058</v>
      </c>
      <c r="Y63" s="120">
        <f t="shared" si="19"/>
        <v>53.166390066752058</v>
      </c>
      <c r="Z63" s="120">
        <f t="shared" si="19"/>
        <v>53.166390066752058</v>
      </c>
    </row>
    <row r="64" spans="1:26" x14ac:dyDescent="0.35">
      <c r="A64" s="116" t="s">
        <v>142</v>
      </c>
      <c r="B64" s="124">
        <f>B65-B63</f>
        <v>6.8336099332479421</v>
      </c>
      <c r="C64" s="124">
        <f t="shared" ref="C64:U64" si="20">C65-C63</f>
        <v>6.8336099332479421</v>
      </c>
      <c r="D64" s="124">
        <f t="shared" si="20"/>
        <v>6.8336099332479421</v>
      </c>
      <c r="E64" s="124">
        <f t="shared" si="20"/>
        <v>6.8336099332479421</v>
      </c>
      <c r="F64" s="124">
        <f t="shared" si="20"/>
        <v>6.8336099332479421</v>
      </c>
      <c r="G64" s="124">
        <f t="shared" si="20"/>
        <v>6.8336099332479421</v>
      </c>
      <c r="H64" s="124">
        <f t="shared" si="20"/>
        <v>6.8336099332479421</v>
      </c>
      <c r="I64" s="124">
        <f t="shared" si="20"/>
        <v>6.8336099332479421</v>
      </c>
      <c r="J64" s="124">
        <f t="shared" si="20"/>
        <v>6.8336099332479421</v>
      </c>
      <c r="K64" s="124">
        <f t="shared" si="20"/>
        <v>6.8336099332479421</v>
      </c>
      <c r="L64" s="124">
        <f t="shared" si="20"/>
        <v>6.8336099332479421</v>
      </c>
      <c r="M64" s="124">
        <f t="shared" si="20"/>
        <v>6.8336099332479421</v>
      </c>
      <c r="N64" s="124">
        <f t="shared" si="20"/>
        <v>6.8336099332479421</v>
      </c>
      <c r="O64" s="124">
        <f t="shared" si="20"/>
        <v>6.8336099332479421</v>
      </c>
      <c r="P64" s="124">
        <f t="shared" si="20"/>
        <v>6.8336099332479421</v>
      </c>
      <c r="Q64" s="124">
        <f t="shared" si="20"/>
        <v>6.8336099332479421</v>
      </c>
      <c r="R64" s="124">
        <f t="shared" si="20"/>
        <v>6.8336099332479421</v>
      </c>
      <c r="S64" s="124">
        <f t="shared" si="20"/>
        <v>6.8336099332479421</v>
      </c>
      <c r="T64" s="124">
        <f t="shared" si="20"/>
        <v>6.8336099332479421</v>
      </c>
      <c r="U64" s="124">
        <f t="shared" si="20"/>
        <v>6.8336099332479421</v>
      </c>
      <c r="V64" s="124">
        <f t="shared" ref="V64:Z64" si="21">V65-V63</f>
        <v>6.8336099332479421</v>
      </c>
      <c r="W64" s="124">
        <f t="shared" si="21"/>
        <v>6.8336099332479421</v>
      </c>
      <c r="X64" s="124">
        <f t="shared" si="21"/>
        <v>6.8336099332479421</v>
      </c>
      <c r="Y64" s="124">
        <f t="shared" si="21"/>
        <v>6.8336099332479421</v>
      </c>
      <c r="Z64" s="124">
        <f t="shared" si="21"/>
        <v>6.8336099332479421</v>
      </c>
    </row>
    <row r="65" spans="1:26" x14ac:dyDescent="0.35">
      <c r="A65" s="116" t="s">
        <v>163</v>
      </c>
      <c r="B65" s="125">
        <f t="shared" ref="B65:Z65" si="22">$M$6</f>
        <v>60</v>
      </c>
      <c r="C65" s="125">
        <f t="shared" si="22"/>
        <v>60</v>
      </c>
      <c r="D65" s="125">
        <f t="shared" si="22"/>
        <v>60</v>
      </c>
      <c r="E65" s="125">
        <f t="shared" si="22"/>
        <v>60</v>
      </c>
      <c r="F65" s="125">
        <f t="shared" si="22"/>
        <v>60</v>
      </c>
      <c r="G65" s="125">
        <f t="shared" si="22"/>
        <v>60</v>
      </c>
      <c r="H65" s="125">
        <f t="shared" si="22"/>
        <v>60</v>
      </c>
      <c r="I65" s="125">
        <f t="shared" si="22"/>
        <v>60</v>
      </c>
      <c r="J65" s="125">
        <f t="shared" si="22"/>
        <v>60</v>
      </c>
      <c r="K65" s="125">
        <f t="shared" si="22"/>
        <v>60</v>
      </c>
      <c r="L65" s="125">
        <f t="shared" si="22"/>
        <v>60</v>
      </c>
      <c r="M65" s="125">
        <f t="shared" si="22"/>
        <v>60</v>
      </c>
      <c r="N65" s="125">
        <f t="shared" si="22"/>
        <v>60</v>
      </c>
      <c r="O65" s="125">
        <f t="shared" si="22"/>
        <v>60</v>
      </c>
      <c r="P65" s="125">
        <f t="shared" si="22"/>
        <v>60</v>
      </c>
      <c r="Q65" s="125">
        <f t="shared" si="22"/>
        <v>60</v>
      </c>
      <c r="R65" s="125">
        <f t="shared" si="22"/>
        <v>60</v>
      </c>
      <c r="S65" s="125">
        <f t="shared" si="22"/>
        <v>60</v>
      </c>
      <c r="T65" s="125">
        <f t="shared" si="22"/>
        <v>60</v>
      </c>
      <c r="U65" s="125">
        <f t="shared" si="22"/>
        <v>60</v>
      </c>
      <c r="V65" s="125">
        <f t="shared" si="22"/>
        <v>60</v>
      </c>
      <c r="W65" s="125">
        <f t="shared" si="22"/>
        <v>60</v>
      </c>
      <c r="X65" s="125">
        <f t="shared" si="22"/>
        <v>60</v>
      </c>
      <c r="Y65" s="125">
        <f t="shared" si="22"/>
        <v>60</v>
      </c>
      <c r="Z65" s="125">
        <f t="shared" si="22"/>
        <v>60</v>
      </c>
    </row>
  </sheetData>
  <sheetProtection algorithmName="SHA-512" hashValue="YrxHQYF5oEtvJrae1rqN4aLdWZqQRhvdHiNmUFJDjmQZd+9Dw/0AXkWTKodyN07v3DORVXCkuqbR/CGpNQ9acA==" saltValue="sMDa6otZG1QtxxbY6nxvbg==" spinCount="100000" sheet="1" objects="1" scenarios="1" selectLockedCells="1" selectUnlockedCells="1"/>
  <mergeCells count="23">
    <mergeCell ref="K10:L10"/>
    <mergeCell ref="K11:L11"/>
    <mergeCell ref="A39:B39"/>
    <mergeCell ref="P9:Q9"/>
    <mergeCell ref="P10:Q10"/>
    <mergeCell ref="P11:Q11"/>
    <mergeCell ref="K9:L9"/>
    <mergeCell ref="P12:Q12"/>
    <mergeCell ref="K13:M13"/>
    <mergeCell ref="K14:M14"/>
    <mergeCell ref="D6:E6"/>
    <mergeCell ref="P6:Q6"/>
    <mergeCell ref="D7:E7"/>
    <mergeCell ref="P7:Q7"/>
    <mergeCell ref="D8:E8"/>
    <mergeCell ref="P8:Q8"/>
    <mergeCell ref="K8:L8"/>
    <mergeCell ref="A4:B4"/>
    <mergeCell ref="D4:H4"/>
    <mergeCell ref="K4:M4"/>
    <mergeCell ref="P4:R4"/>
    <mergeCell ref="D5:E5"/>
    <mergeCell ref="P5:Q5"/>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greaterThan" id="{B0AE7774-6DFF-4B99-8063-28F392A7F59B}">
            <xm:f>'Generation &amp; Ops Scenarios'!$C$35*8760*0.3</xm:f>
            <x14:dxf>
              <font>
                <color rgb="FFFF0000"/>
              </font>
              <fill>
                <patternFill>
                  <bgColor theme="5" tint="0.79998168889431442"/>
                </patternFill>
              </fill>
            </x14:dxf>
          </x14:cfRule>
          <xm:sqref>B54:Z54</xm:sqref>
        </x14:conditionalFormatting>
        <x14:conditionalFormatting xmlns:xm="http://schemas.microsoft.com/office/excel/2006/main">
          <x14:cfRule type="cellIs" priority="2" operator="greaterThan" id="{CD64315B-D960-4F1D-88AD-53B8D97DC269}">
            <xm:f>'Generation &amp; Ops Scenarios'!$C$35*8760*0.3+$B$51</xm:f>
            <x14:dxf>
              <font>
                <color rgb="FFFF0000"/>
              </font>
              <fill>
                <patternFill>
                  <bgColor theme="5" tint="0.79998168889431442"/>
                </patternFill>
              </fill>
            </x14:dxf>
          </x14:cfRule>
          <xm:sqref>B57:Z57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D0FD-07F1-49C9-9191-99375F106BF4}">
  <dimension ref="A1:AC18"/>
  <sheetViews>
    <sheetView workbookViewId="0">
      <selection activeCell="D1" sqref="D1"/>
    </sheetView>
  </sheetViews>
  <sheetFormatPr defaultRowHeight="14.5" x14ac:dyDescent="0.35"/>
  <cols>
    <col min="2" max="2" width="5.453125" customWidth="1"/>
    <col min="3" max="3" width="14.54296875" customWidth="1"/>
    <col min="4" max="4" width="9.26953125" customWidth="1"/>
    <col min="5" max="5" width="12.54296875" customWidth="1"/>
    <col min="6" max="6" width="12.1796875" customWidth="1"/>
    <col min="7" max="7" width="10.26953125" customWidth="1"/>
    <col min="8" max="8" width="10.1796875" customWidth="1"/>
    <col min="9" max="9" width="10.453125" customWidth="1"/>
    <col min="10" max="10" width="10" customWidth="1"/>
    <col min="11" max="11" width="9.81640625" customWidth="1"/>
    <col min="12" max="12" width="10" customWidth="1"/>
    <col min="13" max="13" width="9.54296875" customWidth="1"/>
    <col min="14" max="14" width="9.81640625" customWidth="1"/>
    <col min="15" max="15" width="10" customWidth="1"/>
    <col min="16" max="17" width="10.7265625" customWidth="1"/>
    <col min="18" max="18" width="11.1796875" customWidth="1"/>
    <col min="19" max="19" width="11" customWidth="1"/>
    <col min="20" max="20" width="10.26953125" customWidth="1"/>
    <col min="21" max="21" width="10.1796875" customWidth="1"/>
    <col min="22" max="22" width="10.26953125" customWidth="1"/>
    <col min="23" max="23" width="10" customWidth="1"/>
    <col min="24" max="26" width="10.1796875" customWidth="1"/>
    <col min="27" max="28" width="9.54296875" customWidth="1"/>
    <col min="29" max="29" width="9.453125" customWidth="1"/>
  </cols>
  <sheetData>
    <row r="1" spans="1:29" x14ac:dyDescent="0.35">
      <c r="A1" s="5" t="s">
        <v>29</v>
      </c>
      <c r="B1" s="5"/>
      <c r="D1" s="5" t="str">
        <f>'Generation &amp; Ops Scenarios'!E27</f>
        <v>Mix 3 Wind, Solar, Storage, Diesel standby</v>
      </c>
    </row>
    <row r="3" spans="1:29" x14ac:dyDescent="0.35">
      <c r="D3" t="s">
        <v>30</v>
      </c>
      <c r="E3" s="79">
        <v>1</v>
      </c>
      <c r="F3" s="79">
        <v>2</v>
      </c>
      <c r="G3" s="79">
        <v>3</v>
      </c>
      <c r="H3" s="79">
        <v>4</v>
      </c>
      <c r="I3" s="79">
        <v>5</v>
      </c>
      <c r="J3" s="79">
        <v>6</v>
      </c>
      <c r="K3" s="79">
        <v>7</v>
      </c>
      <c r="L3" s="79">
        <v>8</v>
      </c>
      <c r="M3" s="79">
        <v>9</v>
      </c>
      <c r="N3" s="79">
        <v>10</v>
      </c>
      <c r="O3" s="79">
        <v>11</v>
      </c>
      <c r="P3" s="79">
        <v>12</v>
      </c>
      <c r="Q3" s="79">
        <v>13</v>
      </c>
      <c r="R3" s="79">
        <v>14</v>
      </c>
      <c r="S3" s="79">
        <v>15</v>
      </c>
      <c r="T3" s="79">
        <v>16</v>
      </c>
      <c r="U3" s="79">
        <v>17</v>
      </c>
      <c r="V3" s="79">
        <v>18</v>
      </c>
      <c r="W3" s="79">
        <v>19</v>
      </c>
      <c r="X3" s="79">
        <v>20</v>
      </c>
      <c r="Y3" s="79">
        <v>21</v>
      </c>
      <c r="Z3" s="79">
        <v>22</v>
      </c>
      <c r="AA3" s="79">
        <v>23</v>
      </c>
      <c r="AB3" s="79">
        <v>24</v>
      </c>
      <c r="AC3" s="79">
        <v>25</v>
      </c>
    </row>
    <row r="4" spans="1:29" x14ac:dyDescent="0.35">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x14ac:dyDescent="0.35">
      <c r="A5" t="s">
        <v>31</v>
      </c>
      <c r="C5" s="19"/>
      <c r="D5" s="19">
        <f>'Mix 3 Summary'!B22</f>
        <v>5014823.916666667</v>
      </c>
      <c r="E5" s="19"/>
      <c r="F5" s="19"/>
      <c r="G5" s="19"/>
      <c r="H5" s="19"/>
      <c r="I5" s="19"/>
      <c r="J5" s="19"/>
      <c r="K5" s="19"/>
      <c r="L5" s="19"/>
      <c r="M5" s="19"/>
      <c r="N5" s="19"/>
      <c r="O5" s="19"/>
      <c r="P5" s="19"/>
      <c r="Q5" s="19"/>
      <c r="R5" s="19"/>
      <c r="S5" s="19"/>
      <c r="T5" s="19"/>
      <c r="U5" s="19"/>
      <c r="V5" s="19"/>
      <c r="W5" s="19"/>
      <c r="X5" s="19"/>
      <c r="Y5" s="19"/>
      <c r="Z5" s="19"/>
      <c r="AA5" s="19"/>
      <c r="AB5" s="19"/>
      <c r="AC5" s="19"/>
    </row>
    <row r="6" spans="1:29" x14ac:dyDescent="0.35">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x14ac:dyDescent="0.35">
      <c r="A7" t="s">
        <v>38</v>
      </c>
      <c r="C7" s="19"/>
      <c r="D7" s="21">
        <f>'Mix 3 Summary'!R5</f>
        <v>1</v>
      </c>
      <c r="E7" s="19"/>
      <c r="F7" s="19"/>
      <c r="G7" s="19"/>
      <c r="H7" s="19"/>
      <c r="I7" s="19"/>
      <c r="J7" s="19"/>
      <c r="K7" s="19"/>
      <c r="L7" s="19"/>
      <c r="M7" s="19"/>
      <c r="N7" s="19"/>
      <c r="O7" s="19"/>
      <c r="P7" s="19"/>
      <c r="Q7" s="19"/>
      <c r="R7" s="19"/>
      <c r="S7" s="19"/>
      <c r="T7" s="19"/>
      <c r="U7" s="19"/>
      <c r="V7" s="19"/>
      <c r="W7" s="19"/>
      <c r="X7" s="19"/>
      <c r="Y7" s="19"/>
      <c r="Z7" s="19"/>
      <c r="AA7" s="19"/>
      <c r="AB7" s="19"/>
      <c r="AC7" s="19"/>
    </row>
    <row r="8" spans="1:29" x14ac:dyDescent="0.35">
      <c r="C8" s="19"/>
      <c r="D8" s="19"/>
      <c r="E8" s="19"/>
      <c r="F8" s="19"/>
      <c r="G8" s="19"/>
      <c r="H8" s="19"/>
      <c r="I8" s="19"/>
      <c r="J8" s="19"/>
      <c r="K8" s="19"/>
      <c r="L8" s="19"/>
      <c r="M8" s="19"/>
      <c r="N8" s="19"/>
      <c r="O8" s="19"/>
      <c r="P8" s="19"/>
      <c r="Q8" s="19"/>
      <c r="R8" s="19"/>
      <c r="S8" s="19"/>
      <c r="T8" s="19"/>
      <c r="U8" s="19"/>
      <c r="V8" s="19"/>
      <c r="W8" s="19"/>
      <c r="X8" s="19"/>
      <c r="Y8" s="19"/>
      <c r="Z8" s="19"/>
      <c r="AA8" s="19"/>
      <c r="AB8" s="19"/>
      <c r="AC8" s="19"/>
    </row>
    <row r="9" spans="1:29" x14ac:dyDescent="0.35">
      <c r="C9" t="s">
        <v>32</v>
      </c>
      <c r="D9" s="19">
        <f>D5*D7</f>
        <v>5014823.916666667</v>
      </c>
      <c r="E9" s="19"/>
      <c r="F9" s="19"/>
      <c r="G9" s="19"/>
      <c r="H9" s="19"/>
      <c r="I9" s="19"/>
      <c r="J9" s="19"/>
      <c r="K9" s="19"/>
      <c r="L9" s="19"/>
      <c r="M9" s="19"/>
      <c r="N9" s="19"/>
      <c r="O9" s="19"/>
      <c r="P9" s="19"/>
      <c r="Q9" s="19"/>
      <c r="R9" s="19"/>
      <c r="S9" s="19"/>
      <c r="T9" s="19"/>
      <c r="U9" s="19"/>
      <c r="V9" s="19"/>
      <c r="W9" s="19"/>
      <c r="X9" s="19"/>
      <c r="Y9" s="19"/>
      <c r="Z9" s="19"/>
      <c r="AA9" s="19"/>
      <c r="AB9" s="19"/>
      <c r="AC9" s="19"/>
    </row>
    <row r="10" spans="1:29" x14ac:dyDescent="0.35">
      <c r="C10" t="s">
        <v>33</v>
      </c>
      <c r="D10" s="21">
        <f>'Mix 3 Summary'!R6</f>
        <v>7.4999999999999997E-2</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x14ac:dyDescent="0.35">
      <c r="C11" s="19" t="s">
        <v>34</v>
      </c>
      <c r="D11" s="19">
        <f>'Mix 3 Summary'!R8</f>
        <v>25</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x14ac:dyDescent="0.35">
      <c r="C12" s="19" t="s">
        <v>35</v>
      </c>
      <c r="D12" s="19"/>
      <c r="E12" s="19">
        <f>+D9</f>
        <v>5014823.916666667</v>
      </c>
      <c r="F12" s="19">
        <f t="shared" ref="F12:AC12" si="0">E15</f>
        <v>4941052.4886488048</v>
      </c>
      <c r="G12" s="19">
        <f t="shared" si="0"/>
        <v>4861748.2035296028</v>
      </c>
      <c r="H12" s="19">
        <f t="shared" si="0"/>
        <v>4776496.0970264608</v>
      </c>
      <c r="I12" s="19">
        <f t="shared" si="0"/>
        <v>4684850.0825355835</v>
      </c>
      <c r="J12" s="19">
        <f t="shared" si="0"/>
        <v>4586330.6169578899</v>
      </c>
      <c r="K12" s="19">
        <f t="shared" si="0"/>
        <v>4480422.1914618695</v>
      </c>
      <c r="L12" s="19">
        <f t="shared" si="0"/>
        <v>4366570.6340536475</v>
      </c>
      <c r="M12" s="19">
        <f t="shared" si="0"/>
        <v>4244180.2098398088</v>
      </c>
      <c r="N12" s="19">
        <f t="shared" si="0"/>
        <v>4112610.5038099322</v>
      </c>
      <c r="O12" s="19">
        <f t="shared" si="0"/>
        <v>3971173.0698278151</v>
      </c>
      <c r="P12" s="19">
        <f t="shared" si="0"/>
        <v>3819127.828297039</v>
      </c>
      <c r="Q12" s="19">
        <f t="shared" si="0"/>
        <v>3655679.193651455</v>
      </c>
      <c r="R12" s="19">
        <f t="shared" si="0"/>
        <v>3479971.9114074521</v>
      </c>
      <c r="S12" s="19">
        <f t="shared" si="0"/>
        <v>3291086.5829951488</v>
      </c>
      <c r="T12" s="19">
        <f t="shared" si="0"/>
        <v>3088034.8549519228</v>
      </c>
      <c r="U12" s="19">
        <f t="shared" si="0"/>
        <v>2869754.2473054547</v>
      </c>
      <c r="V12" s="19">
        <f t="shared" si="0"/>
        <v>2635102.5940855015</v>
      </c>
      <c r="W12" s="19">
        <f t="shared" si="0"/>
        <v>2382852.0668740519</v>
      </c>
      <c r="X12" s="19">
        <f t="shared" si="0"/>
        <v>2111682.7501217434</v>
      </c>
      <c r="Y12" s="19">
        <f t="shared" si="0"/>
        <v>1820175.7346130121</v>
      </c>
      <c r="Z12" s="19">
        <f t="shared" si="0"/>
        <v>1506805.6929411259</v>
      </c>
      <c r="AA12" s="19">
        <f t="shared" si="0"/>
        <v>1169932.8981438482</v>
      </c>
      <c r="AB12" s="19">
        <f t="shared" si="0"/>
        <v>807794.64373677457</v>
      </c>
      <c r="AC12" s="19">
        <f t="shared" si="0"/>
        <v>418496.02024917048</v>
      </c>
    </row>
    <row r="13" spans="1:29" x14ac:dyDescent="0.35">
      <c r="C13" s="19" t="s">
        <v>36</v>
      </c>
      <c r="D13" s="19"/>
      <c r="E13" s="46">
        <f>E16-E14</f>
        <v>-73771.428017862141</v>
      </c>
      <c r="F13" s="19">
        <f>F16-F14</f>
        <v>-79304.285119201813</v>
      </c>
      <c r="G13" s="19">
        <f t="shared" ref="G13:AC13" si="1">G16-G14</f>
        <v>-85252.106503141928</v>
      </c>
      <c r="H13" s="19">
        <f t="shared" si="1"/>
        <v>-91646.014490877627</v>
      </c>
      <c r="I13" s="19">
        <f t="shared" si="1"/>
        <v>-98519.465577693423</v>
      </c>
      <c r="J13" s="19">
        <f t="shared" si="1"/>
        <v>-105908.42549602041</v>
      </c>
      <c r="K13" s="19">
        <f t="shared" si="1"/>
        <v>-113851.55740822194</v>
      </c>
      <c r="L13" s="19">
        <f t="shared" si="1"/>
        <v>-122390.42421383859</v>
      </c>
      <c r="M13" s="19">
        <f t="shared" si="1"/>
        <v>-131569.70602987648</v>
      </c>
      <c r="N13" s="19">
        <f t="shared" si="1"/>
        <v>-141437.43398211728</v>
      </c>
      <c r="O13" s="19">
        <f t="shared" si="1"/>
        <v>-152045.24153077602</v>
      </c>
      <c r="P13" s="19">
        <f t="shared" si="1"/>
        <v>-163448.63464558421</v>
      </c>
      <c r="Q13" s="19">
        <f t="shared" si="1"/>
        <v>-175707.28224400303</v>
      </c>
      <c r="R13" s="19">
        <f t="shared" si="1"/>
        <v>-188885.32841230326</v>
      </c>
      <c r="S13" s="19">
        <f t="shared" si="1"/>
        <v>-203051.728043226</v>
      </c>
      <c r="T13" s="19">
        <f t="shared" si="1"/>
        <v>-218280.60764646795</v>
      </c>
      <c r="U13" s="19">
        <f t="shared" si="1"/>
        <v>-234651.65321995306</v>
      </c>
      <c r="V13" s="19">
        <f t="shared" si="1"/>
        <v>-252250.52721144955</v>
      </c>
      <c r="W13" s="19">
        <f t="shared" si="1"/>
        <v>-271169.31675230828</v>
      </c>
      <c r="X13" s="19">
        <f t="shared" si="1"/>
        <v>-291507.01550873136</v>
      </c>
      <c r="Y13" s="19">
        <f t="shared" si="1"/>
        <v>-313370.04167188623</v>
      </c>
      <c r="Z13" s="19">
        <f t="shared" si="1"/>
        <v>-336872.79479727772</v>
      </c>
      <c r="AA13" s="19">
        <f t="shared" si="1"/>
        <v>-362138.25440707355</v>
      </c>
      <c r="AB13" s="19">
        <f t="shared" si="1"/>
        <v>-389298.62348760408</v>
      </c>
      <c r="AC13" s="19">
        <f t="shared" si="1"/>
        <v>-418496.02024917438</v>
      </c>
    </row>
    <row r="14" spans="1:29" x14ac:dyDescent="0.35">
      <c r="C14" s="19" t="s">
        <v>39</v>
      </c>
      <c r="D14" s="19"/>
      <c r="E14" s="19">
        <f>-E12*$D$10</f>
        <v>-376111.79375000001</v>
      </c>
      <c r="F14" s="19">
        <f t="shared" ref="F14:AC14" si="2">-F12*$D$10</f>
        <v>-370578.93664866034</v>
      </c>
      <c r="G14" s="19">
        <f t="shared" si="2"/>
        <v>-364631.11526472023</v>
      </c>
      <c r="H14" s="19">
        <f t="shared" si="2"/>
        <v>-358237.20727698453</v>
      </c>
      <c r="I14" s="19">
        <f t="shared" si="2"/>
        <v>-351363.75619016873</v>
      </c>
      <c r="J14" s="19">
        <f t="shared" si="2"/>
        <v>-343974.79627184174</v>
      </c>
      <c r="K14" s="19">
        <f t="shared" si="2"/>
        <v>-336031.66435964021</v>
      </c>
      <c r="L14" s="19">
        <f t="shared" si="2"/>
        <v>-327492.79755402356</v>
      </c>
      <c r="M14" s="19">
        <f t="shared" si="2"/>
        <v>-318313.51573798567</v>
      </c>
      <c r="N14" s="19">
        <f t="shared" si="2"/>
        <v>-308445.78778574488</v>
      </c>
      <c r="O14" s="19">
        <f t="shared" si="2"/>
        <v>-297837.98023708613</v>
      </c>
      <c r="P14" s="19">
        <f t="shared" si="2"/>
        <v>-286434.58712227794</v>
      </c>
      <c r="Q14" s="19">
        <f t="shared" si="2"/>
        <v>-274175.93952385912</v>
      </c>
      <c r="R14" s="19">
        <f t="shared" si="2"/>
        <v>-260997.89335555889</v>
      </c>
      <c r="S14" s="19">
        <f t="shared" si="2"/>
        <v>-246831.49372463615</v>
      </c>
      <c r="T14" s="19">
        <f t="shared" si="2"/>
        <v>-231602.6141213942</v>
      </c>
      <c r="U14" s="19">
        <f t="shared" si="2"/>
        <v>-215231.56854790909</v>
      </c>
      <c r="V14" s="19">
        <f t="shared" si="2"/>
        <v>-197632.69455641261</v>
      </c>
      <c r="W14" s="19">
        <f t="shared" si="2"/>
        <v>-178713.9050155539</v>
      </c>
      <c r="X14" s="19">
        <f t="shared" si="2"/>
        <v>-158376.20625913076</v>
      </c>
      <c r="Y14" s="19">
        <f t="shared" si="2"/>
        <v>-136513.1800959759</v>
      </c>
      <c r="Z14" s="19">
        <f t="shared" si="2"/>
        <v>-113010.42697058445</v>
      </c>
      <c r="AA14" s="19">
        <f t="shared" si="2"/>
        <v>-87744.967360788607</v>
      </c>
      <c r="AB14" s="19">
        <f t="shared" si="2"/>
        <v>-60584.598280258091</v>
      </c>
      <c r="AC14" s="19">
        <f t="shared" si="2"/>
        <v>-31387.201518687783</v>
      </c>
    </row>
    <row r="15" spans="1:29" x14ac:dyDescent="0.35">
      <c r="C15" s="19" t="s">
        <v>37</v>
      </c>
      <c r="D15" s="19"/>
      <c r="E15" s="20">
        <f>E12+E13</f>
        <v>4941052.4886488048</v>
      </c>
      <c r="F15" s="20">
        <f t="shared" ref="F15:AC15" si="3">F12+F13</f>
        <v>4861748.2035296028</v>
      </c>
      <c r="G15" s="20">
        <f t="shared" si="3"/>
        <v>4776496.0970264608</v>
      </c>
      <c r="H15" s="20">
        <f t="shared" si="3"/>
        <v>4684850.0825355835</v>
      </c>
      <c r="I15" s="20">
        <f t="shared" si="3"/>
        <v>4586330.6169578899</v>
      </c>
      <c r="J15" s="20">
        <f t="shared" si="3"/>
        <v>4480422.1914618695</v>
      </c>
      <c r="K15" s="20">
        <f t="shared" si="3"/>
        <v>4366570.6340536475</v>
      </c>
      <c r="L15" s="20">
        <f t="shared" si="3"/>
        <v>4244180.2098398088</v>
      </c>
      <c r="M15" s="20">
        <f t="shared" si="3"/>
        <v>4112610.5038099322</v>
      </c>
      <c r="N15" s="20">
        <f t="shared" si="3"/>
        <v>3971173.0698278151</v>
      </c>
      <c r="O15" s="20">
        <f t="shared" si="3"/>
        <v>3819127.828297039</v>
      </c>
      <c r="P15" s="20">
        <f t="shared" si="3"/>
        <v>3655679.193651455</v>
      </c>
      <c r="Q15" s="20">
        <f t="shared" si="3"/>
        <v>3479971.9114074521</v>
      </c>
      <c r="R15" s="20">
        <f t="shared" si="3"/>
        <v>3291086.5829951488</v>
      </c>
      <c r="S15" s="20">
        <f t="shared" si="3"/>
        <v>3088034.8549519228</v>
      </c>
      <c r="T15" s="20">
        <f t="shared" si="3"/>
        <v>2869754.2473054547</v>
      </c>
      <c r="U15" s="20">
        <f t="shared" si="3"/>
        <v>2635102.5940855015</v>
      </c>
      <c r="V15" s="20">
        <f t="shared" si="3"/>
        <v>2382852.0668740519</v>
      </c>
      <c r="W15" s="20">
        <f t="shared" si="3"/>
        <v>2111682.7501217434</v>
      </c>
      <c r="X15" s="20">
        <f t="shared" si="3"/>
        <v>1820175.7346130121</v>
      </c>
      <c r="Y15" s="20">
        <f t="shared" si="3"/>
        <v>1506805.6929411259</v>
      </c>
      <c r="Z15" s="20">
        <f t="shared" si="3"/>
        <v>1169932.8981438482</v>
      </c>
      <c r="AA15" s="20">
        <f t="shared" si="3"/>
        <v>807794.64373677457</v>
      </c>
      <c r="AB15" s="20">
        <f t="shared" si="3"/>
        <v>418496.02024917048</v>
      </c>
      <c r="AC15" s="20">
        <f t="shared" si="3"/>
        <v>-3.8999132812023163E-9</v>
      </c>
    </row>
    <row r="16" spans="1:29" x14ac:dyDescent="0.35">
      <c r="C16" s="19"/>
      <c r="D16" s="19"/>
      <c r="E16" s="19">
        <f>PMT(D10,25,D9)</f>
        <v>-449883.22176786215</v>
      </c>
      <c r="F16" s="19">
        <f>E16</f>
        <v>-449883.22176786215</v>
      </c>
      <c r="G16" s="19">
        <f t="shared" ref="G16:AC16" si="4">F16</f>
        <v>-449883.22176786215</v>
      </c>
      <c r="H16" s="19">
        <f t="shared" si="4"/>
        <v>-449883.22176786215</v>
      </c>
      <c r="I16" s="19">
        <f t="shared" si="4"/>
        <v>-449883.22176786215</v>
      </c>
      <c r="J16" s="19">
        <f t="shared" si="4"/>
        <v>-449883.22176786215</v>
      </c>
      <c r="K16" s="19">
        <f t="shared" si="4"/>
        <v>-449883.22176786215</v>
      </c>
      <c r="L16" s="19">
        <f t="shared" si="4"/>
        <v>-449883.22176786215</v>
      </c>
      <c r="M16" s="19">
        <f t="shared" si="4"/>
        <v>-449883.22176786215</v>
      </c>
      <c r="N16" s="19">
        <f t="shared" si="4"/>
        <v>-449883.22176786215</v>
      </c>
      <c r="O16" s="19">
        <f t="shared" si="4"/>
        <v>-449883.22176786215</v>
      </c>
      <c r="P16" s="19">
        <f t="shared" si="4"/>
        <v>-449883.22176786215</v>
      </c>
      <c r="Q16" s="19">
        <f t="shared" si="4"/>
        <v>-449883.22176786215</v>
      </c>
      <c r="R16" s="19">
        <f t="shared" si="4"/>
        <v>-449883.22176786215</v>
      </c>
      <c r="S16" s="19">
        <f t="shared" si="4"/>
        <v>-449883.22176786215</v>
      </c>
      <c r="T16" s="19">
        <f t="shared" si="4"/>
        <v>-449883.22176786215</v>
      </c>
      <c r="U16" s="19">
        <f t="shared" si="4"/>
        <v>-449883.22176786215</v>
      </c>
      <c r="V16" s="19">
        <f t="shared" si="4"/>
        <v>-449883.22176786215</v>
      </c>
      <c r="W16" s="19">
        <f t="shared" si="4"/>
        <v>-449883.22176786215</v>
      </c>
      <c r="X16" s="19">
        <f t="shared" si="4"/>
        <v>-449883.22176786215</v>
      </c>
      <c r="Y16" s="19">
        <f t="shared" si="4"/>
        <v>-449883.22176786215</v>
      </c>
      <c r="Z16" s="19">
        <f t="shared" si="4"/>
        <v>-449883.22176786215</v>
      </c>
      <c r="AA16" s="19">
        <f t="shared" si="4"/>
        <v>-449883.22176786215</v>
      </c>
      <c r="AB16" s="19">
        <f t="shared" si="4"/>
        <v>-449883.22176786215</v>
      </c>
      <c r="AC16" s="19">
        <f t="shared" si="4"/>
        <v>-449883.22176786215</v>
      </c>
    </row>
    <row r="17" spans="3:29" x14ac:dyDescent="0.35">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row>
    <row r="18" spans="3:29" x14ac:dyDescent="0.35">
      <c r="E18" s="4">
        <f>E16-E14</f>
        <v>-73771.428017862141</v>
      </c>
      <c r="F18" s="4">
        <f t="shared" ref="F18:P18" si="5">F13+-F16</f>
        <v>370578.93664866034</v>
      </c>
      <c r="G18" s="4">
        <f t="shared" si="5"/>
        <v>364631.11526472023</v>
      </c>
      <c r="H18" s="4">
        <f t="shared" si="5"/>
        <v>358237.20727698453</v>
      </c>
      <c r="I18" s="4">
        <f t="shared" si="5"/>
        <v>351363.75619016873</v>
      </c>
      <c r="J18" s="4">
        <f t="shared" si="5"/>
        <v>343974.79627184174</v>
      </c>
      <c r="K18" s="4">
        <f t="shared" si="5"/>
        <v>336031.66435964021</v>
      </c>
      <c r="L18" s="4">
        <f t="shared" si="5"/>
        <v>327492.79755402356</v>
      </c>
      <c r="M18" s="4">
        <f t="shared" si="5"/>
        <v>318313.51573798567</v>
      </c>
      <c r="N18" s="4">
        <f t="shared" si="5"/>
        <v>308445.78778574488</v>
      </c>
      <c r="O18" s="4">
        <f t="shared" si="5"/>
        <v>297837.98023708613</v>
      </c>
      <c r="P18" s="4">
        <f t="shared" si="5"/>
        <v>286434.58712227794</v>
      </c>
    </row>
  </sheetData>
  <sheetProtection algorithmName="SHA-512" hashValue="cifINxDiXCmgRiH33kTP7BxbAzA/W6aKC4QfB7aJToPJc+lCKqNKn8g5v8zdY5G1aCXgcT8ua+qAI5YAsOTA6Q==" saltValue="ZO5FnTxIHg0GekNYSaVSOQ==" spinCount="100000" sheet="1" objects="1" scenarios="1" selectLockedCells="1" selectUnlockedCell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858CD-3568-4D19-BC8C-13172167F583}">
  <dimension ref="A1:AD46"/>
  <sheetViews>
    <sheetView workbookViewId="0">
      <selection activeCell="F4" sqref="F4"/>
    </sheetView>
  </sheetViews>
  <sheetFormatPr defaultColWidth="9.1796875" defaultRowHeight="13" x14ac:dyDescent="0.3"/>
  <cols>
    <col min="1" max="2" width="9.1796875" style="35"/>
    <col min="3" max="4" width="10.7265625" style="35" customWidth="1"/>
    <col min="5" max="5" width="9" style="35" customWidth="1"/>
    <col min="6" max="6" width="10.7265625" style="35" customWidth="1"/>
    <col min="7" max="7" width="10" style="35" customWidth="1"/>
    <col min="8" max="8" width="9.81640625" style="35" customWidth="1"/>
    <col min="9" max="9" width="9.7265625" style="35" customWidth="1"/>
    <col min="10" max="11" width="10.26953125" style="35" customWidth="1"/>
    <col min="12" max="13" width="10" style="35" customWidth="1"/>
    <col min="14" max="14" width="10.1796875" style="35" customWidth="1"/>
    <col min="15" max="15" width="9.81640625" style="35" customWidth="1"/>
    <col min="16" max="16" width="10.26953125" style="35" customWidth="1"/>
    <col min="17" max="18" width="9.81640625" style="35" customWidth="1"/>
    <col min="19" max="19" width="10.453125" style="35" customWidth="1"/>
    <col min="20" max="21" width="10.1796875" style="35" customWidth="1"/>
    <col min="22" max="22" width="9.81640625" style="35" customWidth="1"/>
    <col min="23" max="23" width="9.7265625" style="35" customWidth="1"/>
    <col min="24" max="24" width="10" style="35" customWidth="1"/>
    <col min="25" max="28" width="10.453125" style="35" customWidth="1"/>
    <col min="29" max="29" width="9.1796875" style="35"/>
    <col min="30" max="30" width="11.1796875" style="35" bestFit="1" customWidth="1"/>
    <col min="31" max="16384" width="9.1796875" style="35"/>
  </cols>
  <sheetData>
    <row r="1" spans="1:30" x14ac:dyDescent="0.3">
      <c r="A1" s="33" t="s">
        <v>16</v>
      </c>
      <c r="B1" s="34"/>
      <c r="C1" s="33" t="str">
        <f>'Generation &amp; Ops Scenarios'!E27</f>
        <v>Mix 3 Wind, Solar, Storage, Diesel standby</v>
      </c>
      <c r="D1" s="34"/>
      <c r="E1" s="34"/>
      <c r="F1" s="34"/>
      <c r="G1" s="34"/>
      <c r="H1" s="34"/>
      <c r="I1" s="34"/>
      <c r="J1" s="34"/>
      <c r="K1" s="34"/>
      <c r="L1" s="34"/>
      <c r="M1" s="34"/>
      <c r="N1" s="34"/>
      <c r="O1" s="34"/>
      <c r="P1" s="34"/>
      <c r="Q1" s="34"/>
      <c r="R1" s="34"/>
      <c r="S1" s="34"/>
      <c r="T1" s="34"/>
      <c r="U1" s="34"/>
      <c r="V1" s="34"/>
      <c r="W1" s="34"/>
      <c r="X1" s="34"/>
      <c r="Y1" s="34"/>
      <c r="Z1" s="34"/>
      <c r="AA1" s="34"/>
      <c r="AB1" s="34"/>
      <c r="AC1" s="34"/>
      <c r="AD1" s="34"/>
    </row>
    <row r="2" spans="1:30" x14ac:dyDescent="0.3">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x14ac:dyDescent="0.3">
      <c r="A3" s="34"/>
      <c r="B3" s="34"/>
      <c r="C3" s="34"/>
      <c r="D3" s="423" t="s">
        <v>7</v>
      </c>
      <c r="E3" s="423"/>
      <c r="F3" s="423"/>
      <c r="G3" s="423"/>
      <c r="H3" s="423"/>
      <c r="I3" s="423"/>
      <c r="J3" s="423"/>
      <c r="K3" s="423"/>
      <c r="L3" s="423"/>
      <c r="M3" s="423"/>
      <c r="N3" s="423"/>
      <c r="O3" s="423"/>
      <c r="P3" s="423"/>
      <c r="Q3" s="423"/>
      <c r="R3" s="423"/>
      <c r="S3" s="423"/>
      <c r="T3" s="423"/>
      <c r="U3" s="423"/>
      <c r="V3" s="423"/>
      <c r="W3" s="423"/>
      <c r="X3" s="423"/>
      <c r="Y3" s="423"/>
      <c r="Z3" s="423"/>
      <c r="AA3" s="423"/>
      <c r="AB3" s="423"/>
      <c r="AC3" s="84"/>
      <c r="AD3" s="34"/>
    </row>
    <row r="4" spans="1:30" x14ac:dyDescent="0.3">
      <c r="A4" s="34"/>
      <c r="B4" s="34"/>
      <c r="C4" s="34" t="s">
        <v>7</v>
      </c>
      <c r="D4" s="37">
        <v>1</v>
      </c>
      <c r="E4" s="37">
        <v>2</v>
      </c>
      <c r="F4" s="37">
        <v>3</v>
      </c>
      <c r="G4" s="37">
        <v>4</v>
      </c>
      <c r="H4" s="37">
        <v>5</v>
      </c>
      <c r="I4" s="37">
        <v>6</v>
      </c>
      <c r="J4" s="37">
        <v>7</v>
      </c>
      <c r="K4" s="37">
        <v>8</v>
      </c>
      <c r="L4" s="37">
        <v>9</v>
      </c>
      <c r="M4" s="37">
        <v>10</v>
      </c>
      <c r="N4" s="37">
        <v>11</v>
      </c>
      <c r="O4" s="37">
        <v>12</v>
      </c>
      <c r="P4" s="37">
        <v>13</v>
      </c>
      <c r="Q4" s="37">
        <v>14</v>
      </c>
      <c r="R4" s="37">
        <v>15</v>
      </c>
      <c r="S4" s="37">
        <v>16</v>
      </c>
      <c r="T4" s="37">
        <v>17</v>
      </c>
      <c r="U4" s="37">
        <v>18</v>
      </c>
      <c r="V4" s="37">
        <v>19</v>
      </c>
      <c r="W4" s="37">
        <v>20</v>
      </c>
      <c r="X4" s="37">
        <v>21</v>
      </c>
      <c r="Y4" s="37">
        <v>22</v>
      </c>
      <c r="Z4" s="37">
        <v>23</v>
      </c>
      <c r="AA4" s="37">
        <v>24</v>
      </c>
      <c r="AB4" s="37">
        <v>25</v>
      </c>
      <c r="AC4" s="84"/>
      <c r="AD4" s="37" t="s">
        <v>46</v>
      </c>
    </row>
    <row r="5" spans="1:30" x14ac:dyDescent="0.3">
      <c r="A5" s="38"/>
      <c r="B5" s="38"/>
      <c r="C5" s="38"/>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3">
      <c r="A6" s="39" t="s">
        <v>17</v>
      </c>
      <c r="B6" s="34"/>
      <c r="C6" s="34"/>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x14ac:dyDescent="0.3">
      <c r="A7" s="34" t="s">
        <v>3</v>
      </c>
      <c r="B7" s="34"/>
      <c r="C7" s="34"/>
      <c r="D7" s="40">
        <f>'Mix 3 Summary'!M5*'Mix 3 Summary'!M6/100</f>
        <v>840000</v>
      </c>
      <c r="E7" s="40">
        <f>D7*(1+'Mix 3 Summary'!$M$8)*E44</f>
        <v>840000</v>
      </c>
      <c r="F7" s="40">
        <f>E7*(1+'Mix 3 Summary'!$M$8)*F44</f>
        <v>840000</v>
      </c>
      <c r="G7" s="40">
        <f>F7*(1+'Mix 3 Summary'!$M$8)*G44</f>
        <v>840000</v>
      </c>
      <c r="H7" s="40">
        <f>G7*(1+'Mix 3 Summary'!$M$8)*H44</f>
        <v>840000</v>
      </c>
      <c r="I7" s="40">
        <f>H7*(1+'Mix 3 Summary'!$M$8)*I44</f>
        <v>840000</v>
      </c>
      <c r="J7" s="40">
        <f>I7*(1+'Mix 3 Summary'!$M$8)*J44</f>
        <v>840000</v>
      </c>
      <c r="K7" s="40">
        <f>J7*(1+'Mix 3 Summary'!$M$8)*K44</f>
        <v>840000</v>
      </c>
      <c r="L7" s="40">
        <f>K7*(1+'Mix 3 Summary'!$M$8)*L44</f>
        <v>840000</v>
      </c>
      <c r="M7" s="40">
        <f>L7*(1+'Mix 3 Summary'!$M$8)*M44</f>
        <v>840000</v>
      </c>
      <c r="N7" s="40">
        <f>M7*(1+'Mix 3 Summary'!$M$8)*N44</f>
        <v>840000</v>
      </c>
      <c r="O7" s="40">
        <f>N7*(1+'Mix 3 Summary'!$M$8)*O44</f>
        <v>840000</v>
      </c>
      <c r="P7" s="40">
        <f>O7*(1+'Mix 3 Summary'!$M$8)*P44</f>
        <v>840000</v>
      </c>
      <c r="Q7" s="40">
        <f>P7*(1+'Mix 3 Summary'!$M$8)*Q44</f>
        <v>840000</v>
      </c>
      <c r="R7" s="40">
        <f>Q7*(1+'Mix 3 Summary'!$M$8)*R44</f>
        <v>840000</v>
      </c>
      <c r="S7" s="40">
        <f>R7*(1+'Mix 3 Summary'!$M$8)*S44</f>
        <v>840000</v>
      </c>
      <c r="T7" s="40">
        <f>S7*(1+'Mix 3 Summary'!$M$8)*T44</f>
        <v>840000</v>
      </c>
      <c r="U7" s="40">
        <f>T7*(1+'Mix 3 Summary'!$M$8)*U44</f>
        <v>840000</v>
      </c>
      <c r="V7" s="40">
        <f>U7*(1+'Mix 3 Summary'!$M$8)*V44</f>
        <v>840000</v>
      </c>
      <c r="W7" s="40">
        <f>V7*(1+'Mix 3 Summary'!$M$8)*W44</f>
        <v>840000</v>
      </c>
      <c r="X7" s="40">
        <f>W7*(1+'Mix 3 Summary'!$M$8)*X44</f>
        <v>840000</v>
      </c>
      <c r="Y7" s="40">
        <f>X7*(1+'Mix 3 Summary'!$M$8)*Y44</f>
        <v>840000</v>
      </c>
      <c r="Z7" s="40">
        <f>Y7*(1+'Mix 3 Summary'!$M$8)*Z44</f>
        <v>840000</v>
      </c>
      <c r="AA7" s="40">
        <f>Z7*(1+'Mix 3 Summary'!$M$8)*AA44</f>
        <v>840000</v>
      </c>
      <c r="AB7" s="40">
        <f>AA7*(1+'Mix 3 Summary'!$M$8)*AB44</f>
        <v>840000</v>
      </c>
      <c r="AC7" s="40"/>
      <c r="AD7" s="40">
        <f>SUM(D7:AC7)</f>
        <v>21000000</v>
      </c>
    </row>
    <row r="8" spans="1:30" s="309" customFormat="1" x14ac:dyDescent="0.3">
      <c r="A8" s="308" t="s">
        <v>23</v>
      </c>
      <c r="B8" s="308"/>
      <c r="C8" s="308"/>
      <c r="D8" s="47">
        <f>-IF('Mix 3 Summary'!$M$18&gt;'Generation &amp; Ops Scenarios'!$E$45, ('Mix 3 Summary'!$M$18-'Generation &amp; Ops Scenarios'!$E$45)*'Mix 3 Summary'!$H$23/100, 0)</f>
        <v>0</v>
      </c>
      <c r="E8" s="47">
        <f>-IF('Mix 3 Summary'!$M$18&gt;'Generation &amp; Ops Scenarios'!$E$45, ('Mix 3 Summary'!$M$18-'Generation &amp; Ops Scenarios'!$E$45)*'Mix 3 Summary'!$H$23/100, 0)</f>
        <v>0</v>
      </c>
      <c r="F8" s="47">
        <f>-IF('Mix 3 Summary'!$M$18&gt;'Generation &amp; Ops Scenarios'!$E$45, ('Mix 3 Summary'!$M$18-'Generation &amp; Ops Scenarios'!$E$45)*'Mix 3 Summary'!$H$23/100, 0)</f>
        <v>0</v>
      </c>
      <c r="G8" s="47">
        <f>-IF('Mix 3 Summary'!$M$18&gt;'Generation &amp; Ops Scenarios'!$E$45, ('Mix 3 Summary'!$M$18-'Generation &amp; Ops Scenarios'!$E$45)*'Mix 3 Summary'!$H$23/100, 0)</f>
        <v>0</v>
      </c>
      <c r="H8" s="47">
        <f>-IF('Mix 3 Summary'!$M$18&gt;'Generation &amp; Ops Scenarios'!$E$45, ('Mix 3 Summary'!$M$18-'Generation &amp; Ops Scenarios'!$E$45)*'Mix 3 Summary'!$H$23/100, 0)</f>
        <v>0</v>
      </c>
      <c r="I8" s="47">
        <f>-IF('Mix 3 Summary'!$M$18&gt;'Generation &amp; Ops Scenarios'!$E$45, ('Mix 3 Summary'!$M$18-'Generation &amp; Ops Scenarios'!$E$45)*'Mix 3 Summary'!$H$23/100, 0)</f>
        <v>0</v>
      </c>
      <c r="J8" s="47">
        <f>-IF('Mix 3 Summary'!$M$18&gt;'Generation &amp; Ops Scenarios'!$E$45, ('Mix 3 Summary'!$M$18-'Generation &amp; Ops Scenarios'!$E$45)*'Mix 3 Summary'!$H$23/100, 0)</f>
        <v>0</v>
      </c>
      <c r="K8" s="47">
        <f>-IF('Mix 3 Summary'!$M$18&gt;'Generation &amp; Ops Scenarios'!$E$45, ('Mix 3 Summary'!$M$18-'Generation &amp; Ops Scenarios'!$E$45)*'Mix 3 Summary'!$H$23/100, 0)</f>
        <v>0</v>
      </c>
      <c r="L8" s="47">
        <f>-IF('Mix 3 Summary'!$M$18&gt;'Generation &amp; Ops Scenarios'!$E$45, ('Mix 3 Summary'!$M$18-'Generation &amp; Ops Scenarios'!$E$45)*'Mix 3 Summary'!$H$23/100, 0)</f>
        <v>0</v>
      </c>
      <c r="M8" s="47">
        <f>-IF('Mix 3 Summary'!$M$18&gt;'Generation &amp; Ops Scenarios'!$E$45, ('Mix 3 Summary'!$M$18-'Generation &amp; Ops Scenarios'!$E$45)*'Mix 3 Summary'!$H$23/100, 0)</f>
        <v>0</v>
      </c>
      <c r="N8" s="47">
        <f>-IF('Mix 3 Summary'!$M$18&gt;'Generation &amp; Ops Scenarios'!$E$45, ('Mix 3 Summary'!$M$18-'Generation &amp; Ops Scenarios'!$E$45)*'Mix 3 Summary'!$H$23/100, 0)</f>
        <v>0</v>
      </c>
      <c r="O8" s="47">
        <f>-IF('Mix 3 Summary'!$M$18&gt;'Generation &amp; Ops Scenarios'!$E$45, ('Mix 3 Summary'!$M$18-'Generation &amp; Ops Scenarios'!$E$45)*'Mix 3 Summary'!$H$23/100, 0)</f>
        <v>0</v>
      </c>
      <c r="P8" s="47">
        <f>-IF('Mix 3 Summary'!$M$18&gt;'Generation &amp; Ops Scenarios'!$E$45, ('Mix 3 Summary'!$M$18-'Generation &amp; Ops Scenarios'!$E$45)*'Mix 3 Summary'!$H$23/100, 0)</f>
        <v>0</v>
      </c>
      <c r="Q8" s="47">
        <f>-IF('Mix 3 Summary'!$M$18&gt;'Generation &amp; Ops Scenarios'!$E$45, ('Mix 3 Summary'!$M$18-'Generation &amp; Ops Scenarios'!$E$45)*'Mix 3 Summary'!$H$23/100, 0)</f>
        <v>0</v>
      </c>
      <c r="R8" s="47">
        <f>-IF('Mix 3 Summary'!$M$18&gt;'Generation &amp; Ops Scenarios'!$E$45, ('Mix 3 Summary'!$M$18-'Generation &amp; Ops Scenarios'!$E$45)*'Mix 3 Summary'!$H$23/100, 0)</f>
        <v>0</v>
      </c>
      <c r="S8" s="47">
        <f>-IF('Mix 3 Summary'!$M$18&gt;'Generation &amp; Ops Scenarios'!$E$45, ('Mix 3 Summary'!$M$18-'Generation &amp; Ops Scenarios'!$E$45)*'Mix 3 Summary'!$H$23/100, 0)</f>
        <v>0</v>
      </c>
      <c r="T8" s="47">
        <f>-IF('Mix 3 Summary'!$M$18&gt;'Generation &amp; Ops Scenarios'!$E$45, ('Mix 3 Summary'!$M$18-'Generation &amp; Ops Scenarios'!$E$45)*'Mix 3 Summary'!$H$23/100, 0)</f>
        <v>0</v>
      </c>
      <c r="U8" s="47">
        <f>-IF('Mix 3 Summary'!$M$18&gt;'Generation &amp; Ops Scenarios'!$E$45, ('Mix 3 Summary'!$M$18-'Generation &amp; Ops Scenarios'!$E$45)*'Mix 3 Summary'!$H$23/100, 0)</f>
        <v>0</v>
      </c>
      <c r="V8" s="47">
        <f>-IF('Mix 3 Summary'!$M$18&gt;'Generation &amp; Ops Scenarios'!$E$45, ('Mix 3 Summary'!$M$18-'Generation &amp; Ops Scenarios'!$E$45)*'Mix 3 Summary'!$H$23/100, 0)</f>
        <v>0</v>
      </c>
      <c r="W8" s="47">
        <f>-IF('Mix 3 Summary'!$M$18&gt;'Generation &amp; Ops Scenarios'!$E$45, ('Mix 3 Summary'!$M$18-'Generation &amp; Ops Scenarios'!$E$45)*'Mix 3 Summary'!$H$23/100, 0)</f>
        <v>0</v>
      </c>
      <c r="X8" s="47">
        <f>-IF('Mix 3 Summary'!$M$18&gt;'Generation &amp; Ops Scenarios'!$E$45, ('Mix 3 Summary'!$M$18-'Generation &amp; Ops Scenarios'!$E$45)*'Mix 3 Summary'!$H$23/100, 0)</f>
        <v>0</v>
      </c>
      <c r="Y8" s="47">
        <f>-IF('Mix 3 Summary'!$M$18&gt;'Generation &amp; Ops Scenarios'!$E$45, ('Mix 3 Summary'!$M$18-'Generation &amp; Ops Scenarios'!$E$45)*'Mix 3 Summary'!$H$23/100, 0)</f>
        <v>0</v>
      </c>
      <c r="Z8" s="47">
        <f>-IF('Mix 3 Summary'!$M$18&gt;'Generation &amp; Ops Scenarios'!$E$45, ('Mix 3 Summary'!$M$18-'Generation &amp; Ops Scenarios'!$E$45)*'Mix 3 Summary'!$H$23/100, 0)</f>
        <v>0</v>
      </c>
      <c r="AA8" s="47">
        <f>-IF('Mix 3 Summary'!$M$18&gt;'Generation &amp; Ops Scenarios'!$E$45, ('Mix 3 Summary'!$M$18-'Generation &amp; Ops Scenarios'!$E$45)*'Mix 3 Summary'!$H$23/100, 0)</f>
        <v>0</v>
      </c>
      <c r="AB8" s="47">
        <f>-IF('Mix 3 Summary'!$M$18&gt;'Generation &amp; Ops Scenarios'!$E$45, ('Mix 3 Summary'!$M$18-'Generation &amp; Ops Scenarios'!$E$45)*'Mix 3 Summary'!$H$23/100, 0)</f>
        <v>0</v>
      </c>
      <c r="AC8" s="47"/>
      <c r="AD8" s="47">
        <f>SUM(D8:AC8)</f>
        <v>0</v>
      </c>
    </row>
    <row r="9" spans="1:30" x14ac:dyDescent="0.3">
      <c r="A9" s="34" t="s">
        <v>24</v>
      </c>
      <c r="B9" s="34"/>
      <c r="C9" s="34"/>
      <c r="D9" s="40">
        <f>-'Mix 3 Summary'!H16</f>
        <v>-294446.2391666667</v>
      </c>
      <c r="E9" s="40">
        <f>D9*E44</f>
        <v>-294446.2391666667</v>
      </c>
      <c r="F9" s="40">
        <f t="shared" ref="F9:AB9" si="0">E9*F44</f>
        <v>-294446.2391666667</v>
      </c>
      <c r="G9" s="40">
        <f t="shared" si="0"/>
        <v>-294446.2391666667</v>
      </c>
      <c r="H9" s="40">
        <f t="shared" si="0"/>
        <v>-294446.2391666667</v>
      </c>
      <c r="I9" s="40">
        <f t="shared" si="0"/>
        <v>-294446.2391666667</v>
      </c>
      <c r="J9" s="40">
        <f t="shared" si="0"/>
        <v>-294446.2391666667</v>
      </c>
      <c r="K9" s="40">
        <f t="shared" si="0"/>
        <v>-294446.2391666667</v>
      </c>
      <c r="L9" s="40">
        <f t="shared" si="0"/>
        <v>-294446.2391666667</v>
      </c>
      <c r="M9" s="40">
        <f t="shared" si="0"/>
        <v>-294446.2391666667</v>
      </c>
      <c r="N9" s="40">
        <f t="shared" si="0"/>
        <v>-294446.2391666667</v>
      </c>
      <c r="O9" s="40">
        <f t="shared" si="0"/>
        <v>-294446.2391666667</v>
      </c>
      <c r="P9" s="40">
        <f t="shared" si="0"/>
        <v>-294446.2391666667</v>
      </c>
      <c r="Q9" s="40">
        <f t="shared" si="0"/>
        <v>-294446.2391666667</v>
      </c>
      <c r="R9" s="40">
        <f t="shared" si="0"/>
        <v>-294446.2391666667</v>
      </c>
      <c r="S9" s="40">
        <f t="shared" si="0"/>
        <v>-294446.2391666667</v>
      </c>
      <c r="T9" s="40">
        <f t="shared" si="0"/>
        <v>-294446.2391666667</v>
      </c>
      <c r="U9" s="40">
        <f t="shared" si="0"/>
        <v>-294446.2391666667</v>
      </c>
      <c r="V9" s="40">
        <f t="shared" si="0"/>
        <v>-294446.2391666667</v>
      </c>
      <c r="W9" s="40">
        <f t="shared" si="0"/>
        <v>-294446.2391666667</v>
      </c>
      <c r="X9" s="40">
        <f t="shared" si="0"/>
        <v>-294446.2391666667</v>
      </c>
      <c r="Y9" s="40">
        <f t="shared" si="0"/>
        <v>-294446.2391666667</v>
      </c>
      <c r="Z9" s="40">
        <f t="shared" si="0"/>
        <v>-294446.2391666667</v>
      </c>
      <c r="AA9" s="40">
        <f t="shared" si="0"/>
        <v>-294446.2391666667</v>
      </c>
      <c r="AB9" s="40">
        <f t="shared" si="0"/>
        <v>-294446.2391666667</v>
      </c>
      <c r="AC9" s="40"/>
      <c r="AD9" s="40"/>
    </row>
    <row r="10" spans="1:30" x14ac:dyDescent="0.3">
      <c r="A10" s="34"/>
      <c r="B10" s="34"/>
      <c r="C10" s="34"/>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0" x14ac:dyDescent="0.3">
      <c r="A11" s="34" t="s">
        <v>18</v>
      </c>
      <c r="B11" s="34"/>
      <c r="C11" s="34"/>
      <c r="D11" s="41">
        <f>SUM(D7:D10)</f>
        <v>545553.76083333325</v>
      </c>
      <c r="E11" s="41">
        <f>SUM(E7:E10)</f>
        <v>545553.76083333325</v>
      </c>
      <c r="F11" s="41">
        <f t="shared" ref="F11:AD11" si="1">SUM(F7:F10)</f>
        <v>545553.76083333325</v>
      </c>
      <c r="G11" s="41">
        <f t="shared" si="1"/>
        <v>545553.76083333325</v>
      </c>
      <c r="H11" s="41">
        <f t="shared" si="1"/>
        <v>545553.76083333325</v>
      </c>
      <c r="I11" s="41">
        <f t="shared" si="1"/>
        <v>545553.76083333325</v>
      </c>
      <c r="J11" s="41">
        <f t="shared" si="1"/>
        <v>545553.76083333325</v>
      </c>
      <c r="K11" s="41">
        <f t="shared" si="1"/>
        <v>545553.76083333325</v>
      </c>
      <c r="L11" s="41">
        <f t="shared" si="1"/>
        <v>545553.76083333325</v>
      </c>
      <c r="M11" s="41">
        <f t="shared" si="1"/>
        <v>545553.76083333325</v>
      </c>
      <c r="N11" s="41">
        <f t="shared" si="1"/>
        <v>545553.76083333325</v>
      </c>
      <c r="O11" s="41">
        <f t="shared" si="1"/>
        <v>545553.76083333325</v>
      </c>
      <c r="P11" s="41">
        <f t="shared" si="1"/>
        <v>545553.76083333325</v>
      </c>
      <c r="Q11" s="41">
        <f t="shared" si="1"/>
        <v>545553.76083333325</v>
      </c>
      <c r="R11" s="41">
        <f t="shared" si="1"/>
        <v>545553.76083333325</v>
      </c>
      <c r="S11" s="41">
        <f t="shared" si="1"/>
        <v>545553.76083333325</v>
      </c>
      <c r="T11" s="41">
        <f t="shared" si="1"/>
        <v>545553.76083333325</v>
      </c>
      <c r="U11" s="41">
        <f t="shared" si="1"/>
        <v>545553.76083333325</v>
      </c>
      <c r="V11" s="41">
        <f t="shared" si="1"/>
        <v>545553.76083333325</v>
      </c>
      <c r="W11" s="41">
        <f t="shared" si="1"/>
        <v>545553.76083333325</v>
      </c>
      <c r="X11" s="41">
        <f t="shared" si="1"/>
        <v>545553.76083333325</v>
      </c>
      <c r="Y11" s="41">
        <f t="shared" si="1"/>
        <v>545553.76083333325</v>
      </c>
      <c r="Z11" s="41">
        <f t="shared" si="1"/>
        <v>545553.76083333325</v>
      </c>
      <c r="AA11" s="41">
        <f t="shared" si="1"/>
        <v>545553.76083333325</v>
      </c>
      <c r="AB11" s="41">
        <f t="shared" si="1"/>
        <v>545553.76083333325</v>
      </c>
      <c r="AC11" s="40"/>
      <c r="AD11" s="41">
        <f t="shared" si="1"/>
        <v>21000000</v>
      </c>
    </row>
    <row r="12" spans="1:30" x14ac:dyDescent="0.3">
      <c r="A12" s="34"/>
      <c r="B12" s="34"/>
      <c r="C12" s="34"/>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row>
    <row r="13" spans="1:30" x14ac:dyDescent="0.3">
      <c r="A13" s="34" t="s">
        <v>19</v>
      </c>
      <c r="B13" s="34"/>
      <c r="C13" s="34"/>
      <c r="D13" s="40">
        <f>'Mix 3 Interest Calculations'!E14</f>
        <v>-376111.79375000001</v>
      </c>
      <c r="E13" s="40">
        <f>'Mix 3 Interest Calculations'!F14</f>
        <v>-370578.93664866034</v>
      </c>
      <c r="F13" s="40">
        <f>'Mix 3 Interest Calculations'!G14</f>
        <v>-364631.11526472023</v>
      </c>
      <c r="G13" s="40">
        <f>'Mix 3 Interest Calculations'!H14</f>
        <v>-358237.20727698453</v>
      </c>
      <c r="H13" s="40">
        <f>'Mix 3 Interest Calculations'!I14</f>
        <v>-351363.75619016873</v>
      </c>
      <c r="I13" s="40">
        <f>'Mix 3 Interest Calculations'!J14</f>
        <v>-343974.79627184174</v>
      </c>
      <c r="J13" s="40">
        <f>'Mix 3 Interest Calculations'!K14</f>
        <v>-336031.66435964021</v>
      </c>
      <c r="K13" s="40">
        <f>'Mix 3 Interest Calculations'!L14</f>
        <v>-327492.79755402356</v>
      </c>
      <c r="L13" s="40">
        <f>'Mix 3 Interest Calculations'!M14</f>
        <v>-318313.51573798567</v>
      </c>
      <c r="M13" s="40">
        <f>'Mix 3 Interest Calculations'!N14</f>
        <v>-308445.78778574488</v>
      </c>
      <c r="N13" s="40">
        <f>'Mix 3 Interest Calculations'!O14</f>
        <v>-297837.98023708613</v>
      </c>
      <c r="O13" s="40">
        <f>'Mix 3 Interest Calculations'!P14</f>
        <v>-286434.58712227794</v>
      </c>
      <c r="P13" s="40">
        <f>'Mix 3 Interest Calculations'!Q14</f>
        <v>-274175.93952385912</v>
      </c>
      <c r="Q13" s="40">
        <f>'Mix 3 Interest Calculations'!R14</f>
        <v>-260997.89335555889</v>
      </c>
      <c r="R13" s="40">
        <f>'Mix 3 Interest Calculations'!S14</f>
        <v>-246831.49372463615</v>
      </c>
      <c r="S13" s="40">
        <f>'Mix 3 Interest Calculations'!T14</f>
        <v>-231602.6141213942</v>
      </c>
      <c r="T13" s="40">
        <f>'Mix 3 Interest Calculations'!U14</f>
        <v>-215231.56854790909</v>
      </c>
      <c r="U13" s="40">
        <f>'Mix 3 Interest Calculations'!V14</f>
        <v>-197632.69455641261</v>
      </c>
      <c r="V13" s="40">
        <f>'Mix 3 Interest Calculations'!W14</f>
        <v>-178713.9050155539</v>
      </c>
      <c r="W13" s="40">
        <f>'Mix 3 Interest Calculations'!X14</f>
        <v>-158376.20625913076</v>
      </c>
      <c r="X13" s="40">
        <f>'Mix 3 Interest Calculations'!Y14</f>
        <v>-136513.1800959759</v>
      </c>
      <c r="Y13" s="40">
        <f>'Mix 3 Interest Calculations'!Z14</f>
        <v>-113010.42697058445</v>
      </c>
      <c r="Z13" s="40">
        <f>'Mix 3 Interest Calculations'!AA14</f>
        <v>-87744.967360788607</v>
      </c>
      <c r="AA13" s="40">
        <f>'Mix 3 Interest Calculations'!AB14</f>
        <v>-60584.598280258091</v>
      </c>
      <c r="AB13" s="40">
        <f>'Mix 3 Interest Calculations'!AC14</f>
        <v>-31387.201518687783</v>
      </c>
      <c r="AC13" s="40"/>
      <c r="AD13" s="40">
        <f t="shared" ref="AD13" si="2">SUM(D13:AC13)</f>
        <v>-6232256.6275298838</v>
      </c>
    </row>
    <row r="14" spans="1:30" x14ac:dyDescent="0.3">
      <c r="A14" s="34"/>
      <c r="B14" s="34"/>
      <c r="C14" s="34"/>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5" spans="1:30" x14ac:dyDescent="0.3">
      <c r="A15" s="34" t="s">
        <v>41</v>
      </c>
      <c r="B15" s="34"/>
      <c r="C15" s="34"/>
      <c r="D15" s="42">
        <f t="shared" ref="D15:AB15" si="3">SUM(D11:D14)</f>
        <v>169441.96708333323</v>
      </c>
      <c r="E15" s="42">
        <f t="shared" si="3"/>
        <v>174974.82418467291</v>
      </c>
      <c r="F15" s="42">
        <f t="shared" si="3"/>
        <v>180922.64556861302</v>
      </c>
      <c r="G15" s="42">
        <f t="shared" si="3"/>
        <v>187316.55355634872</v>
      </c>
      <c r="H15" s="42">
        <f t="shared" si="3"/>
        <v>194190.00464316452</v>
      </c>
      <c r="I15" s="42">
        <f t="shared" si="3"/>
        <v>201578.96456149151</v>
      </c>
      <c r="J15" s="42">
        <f t="shared" si="3"/>
        <v>209522.09647369303</v>
      </c>
      <c r="K15" s="42">
        <f t="shared" si="3"/>
        <v>218060.96327930968</v>
      </c>
      <c r="L15" s="42">
        <f t="shared" si="3"/>
        <v>227240.24509534758</v>
      </c>
      <c r="M15" s="42">
        <f t="shared" si="3"/>
        <v>237107.97304758837</v>
      </c>
      <c r="N15" s="42">
        <f t="shared" si="3"/>
        <v>247715.78059624712</v>
      </c>
      <c r="O15" s="42">
        <f t="shared" si="3"/>
        <v>259119.17371105531</v>
      </c>
      <c r="P15" s="42">
        <f t="shared" si="3"/>
        <v>271377.82130947412</v>
      </c>
      <c r="Q15" s="42">
        <f t="shared" si="3"/>
        <v>284555.86747777439</v>
      </c>
      <c r="R15" s="42">
        <f t="shared" si="3"/>
        <v>298722.26710869709</v>
      </c>
      <c r="S15" s="42">
        <f t="shared" si="3"/>
        <v>313951.14671193901</v>
      </c>
      <c r="T15" s="42">
        <f t="shared" si="3"/>
        <v>330322.19228542416</v>
      </c>
      <c r="U15" s="42">
        <f t="shared" si="3"/>
        <v>347921.06627692061</v>
      </c>
      <c r="V15" s="42">
        <f t="shared" si="3"/>
        <v>366839.85581777932</v>
      </c>
      <c r="W15" s="42">
        <f t="shared" si="3"/>
        <v>387177.55457420251</v>
      </c>
      <c r="X15" s="42">
        <f t="shared" si="3"/>
        <v>409040.58073735738</v>
      </c>
      <c r="Y15" s="42">
        <f t="shared" si="3"/>
        <v>432543.33386274881</v>
      </c>
      <c r="Z15" s="42">
        <f t="shared" si="3"/>
        <v>457808.79347254464</v>
      </c>
      <c r="AA15" s="42">
        <f t="shared" si="3"/>
        <v>484969.16255307518</v>
      </c>
      <c r="AB15" s="42">
        <f t="shared" si="3"/>
        <v>514166.55931464548</v>
      </c>
      <c r="AC15" s="40"/>
      <c r="AD15" s="42">
        <f>SUM(AD11:AD14)</f>
        <v>14767743.372470116</v>
      </c>
    </row>
    <row r="16" spans="1:30" x14ac:dyDescent="0.3">
      <c r="A16" s="34"/>
      <c r="B16" s="34"/>
      <c r="C16" s="34"/>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x14ac:dyDescent="0.3">
      <c r="A17" s="39" t="s">
        <v>20</v>
      </c>
      <c r="B17" s="34"/>
      <c r="C17" s="34"/>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row>
    <row r="18" spans="1:30" x14ac:dyDescent="0.3">
      <c r="A18" s="34" t="s">
        <v>21</v>
      </c>
      <c r="B18" s="34"/>
      <c r="C18" s="34"/>
      <c r="D18" s="40">
        <f>-'Mix 3 Summary'!B22</f>
        <v>-5014823.916666667</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f t="shared" ref="AD18:AD19" si="4">SUM(D18:AC18)</f>
        <v>-5014823.916666667</v>
      </c>
    </row>
    <row r="19" spans="1:30" x14ac:dyDescent="0.3">
      <c r="A19" s="34" t="s">
        <v>40</v>
      </c>
      <c r="B19" s="34"/>
      <c r="C19" s="34"/>
      <c r="D19" s="40">
        <f>'Mix 3 Interest Calculations'!D9</f>
        <v>5014823.916666667</v>
      </c>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f t="shared" si="4"/>
        <v>5014823.916666667</v>
      </c>
    </row>
    <row r="20" spans="1:30" x14ac:dyDescent="0.3">
      <c r="A20" s="34"/>
      <c r="B20" s="34"/>
      <c r="C20" s="34"/>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3">
      <c r="A21" s="34"/>
      <c r="B21" s="34"/>
      <c r="C21" s="34"/>
      <c r="D21" s="41">
        <f t="shared" ref="D21:AB21" si="5">SUM(D18:D20)</f>
        <v>0</v>
      </c>
      <c r="E21" s="41">
        <f t="shared" si="5"/>
        <v>0</v>
      </c>
      <c r="F21" s="41">
        <f t="shared" si="5"/>
        <v>0</v>
      </c>
      <c r="G21" s="41">
        <f t="shared" si="5"/>
        <v>0</v>
      </c>
      <c r="H21" s="41">
        <f t="shared" si="5"/>
        <v>0</v>
      </c>
      <c r="I21" s="41">
        <f t="shared" si="5"/>
        <v>0</v>
      </c>
      <c r="J21" s="41">
        <f t="shared" si="5"/>
        <v>0</v>
      </c>
      <c r="K21" s="41">
        <f t="shared" si="5"/>
        <v>0</v>
      </c>
      <c r="L21" s="41">
        <f t="shared" si="5"/>
        <v>0</v>
      </c>
      <c r="M21" s="41">
        <f t="shared" si="5"/>
        <v>0</v>
      </c>
      <c r="N21" s="41">
        <f t="shared" si="5"/>
        <v>0</v>
      </c>
      <c r="O21" s="41">
        <f t="shared" si="5"/>
        <v>0</v>
      </c>
      <c r="P21" s="41">
        <f t="shared" si="5"/>
        <v>0</v>
      </c>
      <c r="Q21" s="41">
        <f t="shared" si="5"/>
        <v>0</v>
      </c>
      <c r="R21" s="41">
        <f t="shared" si="5"/>
        <v>0</v>
      </c>
      <c r="S21" s="41">
        <f t="shared" si="5"/>
        <v>0</v>
      </c>
      <c r="T21" s="41">
        <f t="shared" si="5"/>
        <v>0</v>
      </c>
      <c r="U21" s="41">
        <f t="shared" si="5"/>
        <v>0</v>
      </c>
      <c r="V21" s="41">
        <f t="shared" si="5"/>
        <v>0</v>
      </c>
      <c r="W21" s="41">
        <f t="shared" si="5"/>
        <v>0</v>
      </c>
      <c r="X21" s="41">
        <f t="shared" si="5"/>
        <v>0</v>
      </c>
      <c r="Y21" s="41">
        <f t="shared" si="5"/>
        <v>0</v>
      </c>
      <c r="Z21" s="41">
        <f t="shared" si="5"/>
        <v>0</v>
      </c>
      <c r="AA21" s="41">
        <f t="shared" si="5"/>
        <v>0</v>
      </c>
      <c r="AB21" s="41">
        <f t="shared" si="5"/>
        <v>0</v>
      </c>
      <c r="AC21" s="40"/>
      <c r="AD21" s="41">
        <f>SUM(AD18:AD20)</f>
        <v>0</v>
      </c>
    </row>
    <row r="22" spans="1:30" x14ac:dyDescent="0.3">
      <c r="A22" s="34"/>
      <c r="B22" s="34"/>
      <c r="C22" s="34"/>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30" x14ac:dyDescent="0.3">
      <c r="A23" s="34" t="s">
        <v>22</v>
      </c>
      <c r="B23" s="34"/>
      <c r="C23" s="34"/>
      <c r="D23" s="40">
        <f>'Mix 3 Interest Calculations'!E13</f>
        <v>-73771.428017862141</v>
      </c>
      <c r="E23" s="40">
        <f>'Mix 3 Interest Calculations'!F13</f>
        <v>-79304.285119201813</v>
      </c>
      <c r="F23" s="40">
        <f>'Mix 3 Interest Calculations'!G13</f>
        <v>-85252.106503141928</v>
      </c>
      <c r="G23" s="40">
        <f>'Mix 3 Interest Calculations'!H13</f>
        <v>-91646.014490877627</v>
      </c>
      <c r="H23" s="40">
        <f>'Mix 3 Interest Calculations'!I13</f>
        <v>-98519.465577693423</v>
      </c>
      <c r="I23" s="40">
        <f>'Mix 3 Interest Calculations'!J13</f>
        <v>-105908.42549602041</v>
      </c>
      <c r="J23" s="40">
        <f>'Mix 3 Interest Calculations'!K13</f>
        <v>-113851.55740822194</v>
      </c>
      <c r="K23" s="40">
        <f>'Mix 3 Interest Calculations'!L13</f>
        <v>-122390.42421383859</v>
      </c>
      <c r="L23" s="40">
        <f>'Mix 3 Interest Calculations'!M13</f>
        <v>-131569.70602987648</v>
      </c>
      <c r="M23" s="40">
        <f>'Mix 3 Interest Calculations'!N13</f>
        <v>-141437.43398211728</v>
      </c>
      <c r="N23" s="40">
        <f>'Mix 3 Interest Calculations'!O13</f>
        <v>-152045.24153077602</v>
      </c>
      <c r="O23" s="40">
        <f>'Mix 3 Interest Calculations'!P13</f>
        <v>-163448.63464558421</v>
      </c>
      <c r="P23" s="40">
        <f>'Mix 3 Interest Calculations'!Q13</f>
        <v>-175707.28224400303</v>
      </c>
      <c r="Q23" s="40">
        <f>'Mix 3 Interest Calculations'!R13</f>
        <v>-188885.32841230326</v>
      </c>
      <c r="R23" s="40">
        <f>'Mix 3 Interest Calculations'!S13</f>
        <v>-203051.728043226</v>
      </c>
      <c r="S23" s="40">
        <f>'Mix 3 Interest Calculations'!T13</f>
        <v>-218280.60764646795</v>
      </c>
      <c r="T23" s="40">
        <f>'Mix 3 Interest Calculations'!U13</f>
        <v>-234651.65321995306</v>
      </c>
      <c r="U23" s="40">
        <f>'Mix 3 Interest Calculations'!V13</f>
        <v>-252250.52721144955</v>
      </c>
      <c r="V23" s="40">
        <f>'Mix 3 Interest Calculations'!W13</f>
        <v>-271169.31675230828</v>
      </c>
      <c r="W23" s="40">
        <f>'Mix 3 Interest Calculations'!X13</f>
        <v>-291507.01550873136</v>
      </c>
      <c r="X23" s="40">
        <f>'Mix 3 Interest Calculations'!Y13</f>
        <v>-313370.04167188623</v>
      </c>
      <c r="Y23" s="40">
        <f>'Mix 3 Interest Calculations'!Z13</f>
        <v>-336872.79479727772</v>
      </c>
      <c r="Z23" s="40">
        <f>'Mix 3 Interest Calculations'!AA13</f>
        <v>-362138.25440707355</v>
      </c>
      <c r="AA23" s="40">
        <f>'Mix 3 Interest Calculations'!AB13</f>
        <v>-389298.62348760408</v>
      </c>
      <c r="AB23" s="40">
        <f>'Mix 3 Interest Calculations'!AC13</f>
        <v>-418496.02024917438</v>
      </c>
      <c r="AC23" s="40"/>
      <c r="AD23" s="40">
        <f>SUM(D23:AC23)</f>
        <v>-5014823.9166666698</v>
      </c>
    </row>
    <row r="24" spans="1:30" x14ac:dyDescent="0.3">
      <c r="A24" s="34"/>
      <c r="B24" s="34"/>
      <c r="C24" s="34"/>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3">
      <c r="A25" s="34"/>
      <c r="B25" s="34"/>
      <c r="C25" s="34"/>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x14ac:dyDescent="0.3">
      <c r="A26" s="34" t="s">
        <v>42</v>
      </c>
      <c r="B26" s="34"/>
      <c r="C26" s="34"/>
      <c r="D26" s="41">
        <f t="shared" ref="D26:AB26" si="6">D15+D21+D23</f>
        <v>95670.539065471094</v>
      </c>
      <c r="E26" s="41">
        <f t="shared" si="6"/>
        <v>95670.539065471094</v>
      </c>
      <c r="F26" s="41">
        <f t="shared" si="6"/>
        <v>95670.539065471094</v>
      </c>
      <c r="G26" s="41">
        <f t="shared" si="6"/>
        <v>95670.539065471094</v>
      </c>
      <c r="H26" s="41">
        <f t="shared" si="6"/>
        <v>95670.539065471094</v>
      </c>
      <c r="I26" s="41">
        <f t="shared" si="6"/>
        <v>95670.539065471094</v>
      </c>
      <c r="J26" s="41">
        <f t="shared" si="6"/>
        <v>95670.539065471094</v>
      </c>
      <c r="K26" s="41">
        <f t="shared" si="6"/>
        <v>95670.539065471094</v>
      </c>
      <c r="L26" s="41">
        <f t="shared" si="6"/>
        <v>95670.539065471094</v>
      </c>
      <c r="M26" s="41">
        <f t="shared" si="6"/>
        <v>95670.539065471094</v>
      </c>
      <c r="N26" s="41">
        <f t="shared" si="6"/>
        <v>95670.539065471094</v>
      </c>
      <c r="O26" s="41">
        <f t="shared" si="6"/>
        <v>95670.539065471094</v>
      </c>
      <c r="P26" s="41">
        <f t="shared" si="6"/>
        <v>95670.539065471094</v>
      </c>
      <c r="Q26" s="41">
        <f t="shared" si="6"/>
        <v>95670.539065471123</v>
      </c>
      <c r="R26" s="41">
        <f t="shared" si="6"/>
        <v>95670.539065471094</v>
      </c>
      <c r="S26" s="41">
        <f t="shared" si="6"/>
        <v>95670.539065471065</v>
      </c>
      <c r="T26" s="41">
        <f t="shared" si="6"/>
        <v>95670.539065471094</v>
      </c>
      <c r="U26" s="41">
        <f t="shared" si="6"/>
        <v>95670.539065471065</v>
      </c>
      <c r="V26" s="41">
        <f t="shared" si="6"/>
        <v>95670.539065471035</v>
      </c>
      <c r="W26" s="41">
        <f t="shared" si="6"/>
        <v>95670.539065471152</v>
      </c>
      <c r="X26" s="41">
        <f t="shared" si="6"/>
        <v>95670.539065471152</v>
      </c>
      <c r="Y26" s="41">
        <f t="shared" si="6"/>
        <v>95670.539065471094</v>
      </c>
      <c r="Z26" s="41">
        <f t="shared" si="6"/>
        <v>95670.539065471094</v>
      </c>
      <c r="AA26" s="41">
        <f t="shared" si="6"/>
        <v>95670.539065471094</v>
      </c>
      <c r="AB26" s="41">
        <f t="shared" si="6"/>
        <v>95670.539065471094</v>
      </c>
      <c r="AC26" s="40"/>
      <c r="AD26" s="41">
        <f>AD23+AD15</f>
        <v>9752919.4558034465</v>
      </c>
    </row>
    <row r="27" spans="1:30" x14ac:dyDescent="0.3">
      <c r="A27" s="34"/>
      <c r="B27" s="34"/>
      <c r="C27" s="34"/>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3">
      <c r="A28" s="34" t="s">
        <v>43</v>
      </c>
      <c r="B28" s="34"/>
      <c r="C28" s="34"/>
      <c r="D28" s="40"/>
      <c r="E28" s="40">
        <f>D30</f>
        <v>95670.539065471094</v>
      </c>
      <c r="F28" s="40">
        <f t="shared" ref="F28:AB28" si="7">E30</f>
        <v>191341.07813094219</v>
      </c>
      <c r="G28" s="40">
        <f t="shared" si="7"/>
        <v>287011.61719641328</v>
      </c>
      <c r="H28" s="40">
        <f t="shared" si="7"/>
        <v>382682.15626188437</v>
      </c>
      <c r="I28" s="40">
        <f t="shared" si="7"/>
        <v>478352.69532735547</v>
      </c>
      <c r="J28" s="40">
        <f t="shared" si="7"/>
        <v>574023.23439282656</v>
      </c>
      <c r="K28" s="40">
        <f t="shared" si="7"/>
        <v>669693.7734582976</v>
      </c>
      <c r="L28" s="40">
        <f t="shared" si="7"/>
        <v>765364.31252376875</v>
      </c>
      <c r="M28" s="40">
        <f t="shared" si="7"/>
        <v>861034.8515892399</v>
      </c>
      <c r="N28" s="40">
        <f t="shared" si="7"/>
        <v>956705.39065471105</v>
      </c>
      <c r="O28" s="40">
        <f t="shared" si="7"/>
        <v>1052375.9297201822</v>
      </c>
      <c r="P28" s="40">
        <f t="shared" si="7"/>
        <v>1148046.4687856534</v>
      </c>
      <c r="Q28" s="40">
        <f t="shared" si="7"/>
        <v>1243717.0078511245</v>
      </c>
      <c r="R28" s="40">
        <f t="shared" si="7"/>
        <v>1339387.5469165957</v>
      </c>
      <c r="S28" s="40">
        <f t="shared" si="7"/>
        <v>1435058.0859820668</v>
      </c>
      <c r="T28" s="40">
        <f t="shared" si="7"/>
        <v>1530728.625047538</v>
      </c>
      <c r="U28" s="40">
        <f t="shared" si="7"/>
        <v>1626399.1641130091</v>
      </c>
      <c r="V28" s="40">
        <f t="shared" si="7"/>
        <v>1722069.7031784803</v>
      </c>
      <c r="W28" s="40">
        <f t="shared" si="7"/>
        <v>1817740.2422439512</v>
      </c>
      <c r="X28" s="40">
        <f t="shared" si="7"/>
        <v>1913410.7813094223</v>
      </c>
      <c r="Y28" s="40">
        <f t="shared" si="7"/>
        <v>2009081.3203748935</v>
      </c>
      <c r="Z28" s="40">
        <f t="shared" si="7"/>
        <v>2104751.8594403644</v>
      </c>
      <c r="AA28" s="40">
        <f t="shared" si="7"/>
        <v>2200422.3985058353</v>
      </c>
      <c r="AB28" s="40">
        <f t="shared" si="7"/>
        <v>2296092.9375713062</v>
      </c>
      <c r="AC28" s="40"/>
      <c r="AD28" s="40">
        <f>D28</f>
        <v>0</v>
      </c>
    </row>
    <row r="29" spans="1:30" x14ac:dyDescent="0.3">
      <c r="A29" s="34"/>
      <c r="B29" s="34"/>
      <c r="C29" s="34"/>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ht="13.5" thickBot="1" x14ac:dyDescent="0.35">
      <c r="A30" s="34" t="s">
        <v>44</v>
      </c>
      <c r="B30" s="34"/>
      <c r="C30" s="34"/>
      <c r="D30" s="43">
        <f>SUM(D26:D29)</f>
        <v>95670.539065471094</v>
      </c>
      <c r="E30" s="43">
        <f>SUM(E26:E29)</f>
        <v>191341.07813094219</v>
      </c>
      <c r="F30" s="43">
        <f t="shared" ref="F30:AD30" si="8">SUM(F26:F29)</f>
        <v>287011.61719641328</v>
      </c>
      <c r="G30" s="43">
        <f t="shared" si="8"/>
        <v>382682.15626188437</v>
      </c>
      <c r="H30" s="43">
        <f t="shared" si="8"/>
        <v>478352.69532735547</v>
      </c>
      <c r="I30" s="43">
        <f t="shared" si="8"/>
        <v>574023.23439282656</v>
      </c>
      <c r="J30" s="43">
        <f t="shared" si="8"/>
        <v>669693.7734582976</v>
      </c>
      <c r="K30" s="43">
        <f t="shared" si="8"/>
        <v>765364.31252376875</v>
      </c>
      <c r="L30" s="43">
        <f t="shared" si="8"/>
        <v>861034.8515892399</v>
      </c>
      <c r="M30" s="43">
        <f t="shared" si="8"/>
        <v>956705.39065471105</v>
      </c>
      <c r="N30" s="43">
        <f t="shared" si="8"/>
        <v>1052375.9297201822</v>
      </c>
      <c r="O30" s="43">
        <f t="shared" si="8"/>
        <v>1148046.4687856534</v>
      </c>
      <c r="P30" s="43">
        <f t="shared" si="8"/>
        <v>1243717.0078511245</v>
      </c>
      <c r="Q30" s="43">
        <f t="shared" si="8"/>
        <v>1339387.5469165957</v>
      </c>
      <c r="R30" s="43">
        <f t="shared" si="8"/>
        <v>1435058.0859820668</v>
      </c>
      <c r="S30" s="43">
        <f t="shared" si="8"/>
        <v>1530728.625047538</v>
      </c>
      <c r="T30" s="43">
        <f t="shared" si="8"/>
        <v>1626399.1641130091</v>
      </c>
      <c r="U30" s="43">
        <f t="shared" si="8"/>
        <v>1722069.7031784803</v>
      </c>
      <c r="V30" s="43">
        <f t="shared" si="8"/>
        <v>1817740.2422439512</v>
      </c>
      <c r="W30" s="43">
        <f t="shared" si="8"/>
        <v>1913410.7813094223</v>
      </c>
      <c r="X30" s="43">
        <f t="shared" si="8"/>
        <v>2009081.3203748935</v>
      </c>
      <c r="Y30" s="43">
        <f t="shared" si="8"/>
        <v>2104751.8594403644</v>
      </c>
      <c r="Z30" s="43">
        <f t="shared" si="8"/>
        <v>2200422.3985058353</v>
      </c>
      <c r="AA30" s="43">
        <f t="shared" si="8"/>
        <v>2296092.9375713062</v>
      </c>
      <c r="AB30" s="43">
        <f t="shared" si="8"/>
        <v>2391763.4766367772</v>
      </c>
      <c r="AC30" s="40"/>
      <c r="AD30" s="43">
        <f t="shared" si="8"/>
        <v>9752919.4558034465</v>
      </c>
    </row>
    <row r="34" spans="1:28" x14ac:dyDescent="0.3">
      <c r="A34" s="35" t="s">
        <v>78</v>
      </c>
    </row>
    <row r="36" spans="1:28" x14ac:dyDescent="0.3">
      <c r="A36" s="35" t="s">
        <v>79</v>
      </c>
      <c r="D36" s="34">
        <f>D11</f>
        <v>545553.76083333325</v>
      </c>
      <c r="E36" s="34">
        <f t="shared" ref="E36:AB36" si="9">E11</f>
        <v>545553.76083333325</v>
      </c>
      <c r="F36" s="34">
        <f t="shared" si="9"/>
        <v>545553.76083333325</v>
      </c>
      <c r="G36" s="34">
        <f t="shared" si="9"/>
        <v>545553.76083333325</v>
      </c>
      <c r="H36" s="34">
        <f t="shared" si="9"/>
        <v>545553.76083333325</v>
      </c>
      <c r="I36" s="34">
        <f t="shared" si="9"/>
        <v>545553.76083333325</v>
      </c>
      <c r="J36" s="34">
        <f t="shared" si="9"/>
        <v>545553.76083333325</v>
      </c>
      <c r="K36" s="34">
        <f t="shared" si="9"/>
        <v>545553.76083333325</v>
      </c>
      <c r="L36" s="34">
        <f t="shared" si="9"/>
        <v>545553.76083333325</v>
      </c>
      <c r="M36" s="34">
        <f t="shared" si="9"/>
        <v>545553.76083333325</v>
      </c>
      <c r="N36" s="34">
        <f t="shared" si="9"/>
        <v>545553.76083333325</v>
      </c>
      <c r="O36" s="34">
        <f t="shared" si="9"/>
        <v>545553.76083333325</v>
      </c>
      <c r="P36" s="34">
        <f t="shared" si="9"/>
        <v>545553.76083333325</v>
      </c>
      <c r="Q36" s="34">
        <f t="shared" si="9"/>
        <v>545553.76083333325</v>
      </c>
      <c r="R36" s="34">
        <f t="shared" si="9"/>
        <v>545553.76083333325</v>
      </c>
      <c r="S36" s="34">
        <f t="shared" si="9"/>
        <v>545553.76083333325</v>
      </c>
      <c r="T36" s="34">
        <f t="shared" si="9"/>
        <v>545553.76083333325</v>
      </c>
      <c r="U36" s="34">
        <f t="shared" si="9"/>
        <v>545553.76083333325</v>
      </c>
      <c r="V36" s="34">
        <f t="shared" si="9"/>
        <v>545553.76083333325</v>
      </c>
      <c r="W36" s="34">
        <f t="shared" si="9"/>
        <v>545553.76083333325</v>
      </c>
      <c r="X36" s="34">
        <f t="shared" si="9"/>
        <v>545553.76083333325</v>
      </c>
      <c r="Y36" s="34">
        <f t="shared" si="9"/>
        <v>545553.76083333325</v>
      </c>
      <c r="Z36" s="34">
        <f t="shared" si="9"/>
        <v>545553.76083333325</v>
      </c>
      <c r="AA36" s="34">
        <f t="shared" si="9"/>
        <v>545553.76083333325</v>
      </c>
      <c r="AB36" s="34">
        <f t="shared" si="9"/>
        <v>545553.76083333325</v>
      </c>
    </row>
    <row r="37" spans="1:28" x14ac:dyDescent="0.3">
      <c r="A37" s="35" t="s">
        <v>80</v>
      </c>
      <c r="D37" s="34">
        <f>-D23-D13</f>
        <v>449883.22176786215</v>
      </c>
      <c r="E37" s="34">
        <f t="shared" ref="E37:AB37" si="10">-E23-E13</f>
        <v>449883.22176786215</v>
      </c>
      <c r="F37" s="34">
        <f t="shared" si="10"/>
        <v>449883.22176786215</v>
      </c>
      <c r="G37" s="34">
        <f t="shared" si="10"/>
        <v>449883.22176786215</v>
      </c>
      <c r="H37" s="34">
        <f t="shared" si="10"/>
        <v>449883.22176786215</v>
      </c>
      <c r="I37" s="34">
        <f t="shared" si="10"/>
        <v>449883.22176786215</v>
      </c>
      <c r="J37" s="34">
        <f t="shared" si="10"/>
        <v>449883.22176786215</v>
      </c>
      <c r="K37" s="34">
        <f t="shared" si="10"/>
        <v>449883.22176786215</v>
      </c>
      <c r="L37" s="34">
        <f t="shared" si="10"/>
        <v>449883.22176786215</v>
      </c>
      <c r="M37" s="34">
        <f t="shared" si="10"/>
        <v>449883.22176786215</v>
      </c>
      <c r="N37" s="34">
        <f t="shared" si="10"/>
        <v>449883.22176786215</v>
      </c>
      <c r="O37" s="34">
        <f t="shared" si="10"/>
        <v>449883.22176786215</v>
      </c>
      <c r="P37" s="34">
        <f t="shared" si="10"/>
        <v>449883.22176786215</v>
      </c>
      <c r="Q37" s="34">
        <f t="shared" si="10"/>
        <v>449883.22176786215</v>
      </c>
      <c r="R37" s="34">
        <f t="shared" si="10"/>
        <v>449883.22176786215</v>
      </c>
      <c r="S37" s="34">
        <f t="shared" si="10"/>
        <v>449883.22176786215</v>
      </c>
      <c r="T37" s="34">
        <f t="shared" si="10"/>
        <v>449883.22176786215</v>
      </c>
      <c r="U37" s="34">
        <f t="shared" si="10"/>
        <v>449883.22176786215</v>
      </c>
      <c r="V37" s="34">
        <f t="shared" si="10"/>
        <v>449883.22176786221</v>
      </c>
      <c r="W37" s="34">
        <f t="shared" si="10"/>
        <v>449883.22176786209</v>
      </c>
      <c r="X37" s="34">
        <f t="shared" si="10"/>
        <v>449883.22176786209</v>
      </c>
      <c r="Y37" s="34">
        <f t="shared" si="10"/>
        <v>449883.22176786215</v>
      </c>
      <c r="Z37" s="34">
        <f t="shared" si="10"/>
        <v>449883.22176786215</v>
      </c>
      <c r="AA37" s="34">
        <f t="shared" si="10"/>
        <v>449883.22176786215</v>
      </c>
      <c r="AB37" s="34">
        <f t="shared" si="10"/>
        <v>449883.22176786215</v>
      </c>
    </row>
    <row r="39" spans="1:28" x14ac:dyDescent="0.3">
      <c r="A39" s="35" t="s">
        <v>81</v>
      </c>
      <c r="D39" s="44">
        <f>D36/D37</f>
        <v>1.2126563837822713</v>
      </c>
      <c r="E39" s="44">
        <f t="shared" ref="E39:AB39" si="11">E36/E37</f>
        <v>1.2126563837822713</v>
      </c>
      <c r="F39" s="44">
        <f t="shared" si="11"/>
        <v>1.2126563837822713</v>
      </c>
      <c r="G39" s="44">
        <f t="shared" si="11"/>
        <v>1.2126563837822713</v>
      </c>
      <c r="H39" s="44">
        <f t="shared" si="11"/>
        <v>1.2126563837822713</v>
      </c>
      <c r="I39" s="44">
        <f t="shared" si="11"/>
        <v>1.2126563837822713</v>
      </c>
      <c r="J39" s="44">
        <f t="shared" si="11"/>
        <v>1.2126563837822713</v>
      </c>
      <c r="K39" s="44">
        <f t="shared" si="11"/>
        <v>1.2126563837822713</v>
      </c>
      <c r="L39" s="44">
        <f t="shared" si="11"/>
        <v>1.2126563837822713</v>
      </c>
      <c r="M39" s="44">
        <f t="shared" si="11"/>
        <v>1.2126563837822713</v>
      </c>
      <c r="N39" s="44">
        <f t="shared" si="11"/>
        <v>1.2126563837822713</v>
      </c>
      <c r="O39" s="44">
        <f t="shared" si="11"/>
        <v>1.2126563837822713</v>
      </c>
      <c r="P39" s="44">
        <f t="shared" si="11"/>
        <v>1.2126563837822713</v>
      </c>
      <c r="Q39" s="44">
        <f t="shared" si="11"/>
        <v>1.2126563837822713</v>
      </c>
      <c r="R39" s="44">
        <f t="shared" si="11"/>
        <v>1.2126563837822713</v>
      </c>
      <c r="S39" s="44">
        <f t="shared" si="11"/>
        <v>1.2126563837822713</v>
      </c>
      <c r="T39" s="44">
        <f t="shared" si="11"/>
        <v>1.2126563837822713</v>
      </c>
      <c r="U39" s="44">
        <f t="shared" si="11"/>
        <v>1.2126563837822713</v>
      </c>
      <c r="V39" s="44">
        <f t="shared" si="11"/>
        <v>1.212656383782271</v>
      </c>
      <c r="W39" s="44">
        <f t="shared" si="11"/>
        <v>1.2126563837822713</v>
      </c>
      <c r="X39" s="44">
        <f t="shared" si="11"/>
        <v>1.2126563837822713</v>
      </c>
      <c r="Y39" s="44">
        <f t="shared" si="11"/>
        <v>1.2126563837822713</v>
      </c>
      <c r="Z39" s="44">
        <f t="shared" si="11"/>
        <v>1.2126563837822713</v>
      </c>
      <c r="AA39" s="44">
        <f t="shared" si="11"/>
        <v>1.2126563837822713</v>
      </c>
      <c r="AB39" s="44">
        <f t="shared" si="11"/>
        <v>1.2126563837822713</v>
      </c>
    </row>
    <row r="43" spans="1:28" x14ac:dyDescent="0.3">
      <c r="A43" s="35" t="s">
        <v>192</v>
      </c>
    </row>
    <row r="44" spans="1:28" x14ac:dyDescent="0.3">
      <c r="A44" s="35" t="s">
        <v>193</v>
      </c>
      <c r="D44" s="85">
        <v>1</v>
      </c>
      <c r="E44" s="85">
        <f>D44+'Mix 3 Summary'!$R$10</f>
        <v>1</v>
      </c>
      <c r="F44" s="85">
        <f>E44+'Mix 3 Summary'!$R$10</f>
        <v>1</v>
      </c>
      <c r="G44" s="85">
        <f>F44+'Mix 3 Summary'!$R$10</f>
        <v>1</v>
      </c>
      <c r="H44" s="85">
        <f>G44+'Mix 3 Summary'!$R$10</f>
        <v>1</v>
      </c>
      <c r="I44" s="85">
        <f>H44+'Mix 3 Summary'!$R$10</f>
        <v>1</v>
      </c>
      <c r="J44" s="85">
        <f>I44+'Mix 3 Summary'!$R$10</f>
        <v>1</v>
      </c>
      <c r="K44" s="85">
        <f>J44+'Mix 3 Summary'!$R$10</f>
        <v>1</v>
      </c>
      <c r="L44" s="85">
        <f>K44+'Mix 3 Summary'!$R$10</f>
        <v>1</v>
      </c>
      <c r="M44" s="85">
        <f>L44+'Mix 3 Summary'!$R$10</f>
        <v>1</v>
      </c>
      <c r="N44" s="85">
        <f>M44+'Mix 3 Summary'!$R$10</f>
        <v>1</v>
      </c>
      <c r="O44" s="85">
        <f>N44+'Mix 3 Summary'!$R$10</f>
        <v>1</v>
      </c>
      <c r="P44" s="85">
        <f>O44+'Mix 3 Summary'!$R$10</f>
        <v>1</v>
      </c>
      <c r="Q44" s="85">
        <f>P44+'Mix 3 Summary'!$R$10</f>
        <v>1</v>
      </c>
      <c r="R44" s="85">
        <f>Q44+'Mix 3 Summary'!$R$10</f>
        <v>1</v>
      </c>
      <c r="S44" s="85">
        <f>R44+'Mix 3 Summary'!$R$10</f>
        <v>1</v>
      </c>
      <c r="T44" s="85">
        <f>S44+'Mix 3 Summary'!$R$10</f>
        <v>1</v>
      </c>
      <c r="U44" s="85">
        <f>T44+'Mix 3 Summary'!$R$10</f>
        <v>1</v>
      </c>
      <c r="V44" s="85">
        <f>U44+'Mix 3 Summary'!$R$10</f>
        <v>1</v>
      </c>
      <c r="W44" s="85">
        <f>V44+'Mix 3 Summary'!$R$10</f>
        <v>1</v>
      </c>
      <c r="X44" s="85">
        <f>W44+'Mix 3 Summary'!$R$10</f>
        <v>1</v>
      </c>
      <c r="Y44" s="85">
        <f>X44+'Mix 3 Summary'!$R$10</f>
        <v>1</v>
      </c>
      <c r="Z44" s="85">
        <f>Y44+'Mix 3 Summary'!$R$10</f>
        <v>1</v>
      </c>
      <c r="AA44" s="85">
        <f>Z44+'Mix 3 Summary'!$R$10</f>
        <v>1</v>
      </c>
      <c r="AB44" s="85">
        <f>AA44+'Mix 3 Summary'!$R$10</f>
        <v>1</v>
      </c>
    </row>
    <row r="45" spans="1:28" x14ac:dyDescent="0.3">
      <c r="A45" s="35" t="s">
        <v>4</v>
      </c>
      <c r="D45" s="85">
        <v>1</v>
      </c>
      <c r="E45" s="85">
        <f>D45+'Mix 3 Summary'!$R$11</f>
        <v>1</v>
      </c>
      <c r="F45" s="85">
        <f>E45+'Mix 3 Summary'!$R$11</f>
        <v>1</v>
      </c>
      <c r="G45" s="85">
        <f>F45+'Mix 3 Summary'!$R$11</f>
        <v>1</v>
      </c>
      <c r="H45" s="85">
        <f>G45+'Mix 3 Summary'!$R$11</f>
        <v>1</v>
      </c>
      <c r="I45" s="85">
        <f>H45+'Mix 3 Summary'!$R$11</f>
        <v>1</v>
      </c>
      <c r="J45" s="85">
        <f>I45+'Mix 3 Summary'!$R$11</f>
        <v>1</v>
      </c>
      <c r="K45" s="85">
        <f>J45+'Mix 3 Summary'!$R$11</f>
        <v>1</v>
      </c>
      <c r="L45" s="85">
        <f>K45+'Mix 3 Summary'!$R$11</f>
        <v>1</v>
      </c>
      <c r="M45" s="85">
        <f>L45+'Mix 3 Summary'!$R$11</f>
        <v>1</v>
      </c>
      <c r="N45" s="85">
        <f>M45+'Mix 3 Summary'!$R$11</f>
        <v>1</v>
      </c>
      <c r="O45" s="85">
        <f>N45+'Mix 3 Summary'!$R$11</f>
        <v>1</v>
      </c>
      <c r="P45" s="85">
        <f>O45+'Mix 3 Summary'!$R$11</f>
        <v>1</v>
      </c>
      <c r="Q45" s="85">
        <f>P45+'Mix 3 Summary'!$R$11</f>
        <v>1</v>
      </c>
      <c r="R45" s="85">
        <f>Q45+'Mix 3 Summary'!$R$11</f>
        <v>1</v>
      </c>
      <c r="S45" s="85">
        <f>R45+'Mix 3 Summary'!$R$11</f>
        <v>1</v>
      </c>
      <c r="T45" s="85">
        <f>S45+'Mix 3 Summary'!$R$11</f>
        <v>1</v>
      </c>
      <c r="U45" s="85">
        <f>T45+'Mix 3 Summary'!$R$11</f>
        <v>1</v>
      </c>
      <c r="V45" s="85">
        <f>U45+'Mix 3 Summary'!$R$11</f>
        <v>1</v>
      </c>
      <c r="W45" s="85">
        <f>V45+'Mix 3 Summary'!$R$11</f>
        <v>1</v>
      </c>
      <c r="X45" s="85">
        <f>W45+'Mix 3 Summary'!$R$11</f>
        <v>1</v>
      </c>
      <c r="Y45" s="85">
        <f>X45+'Mix 3 Summary'!$R$11</f>
        <v>1</v>
      </c>
      <c r="Z45" s="85">
        <f>Y45+'Mix 3 Summary'!$R$11</f>
        <v>1</v>
      </c>
      <c r="AA45" s="85">
        <f>Z45+'Mix 3 Summary'!$R$11</f>
        <v>1</v>
      </c>
      <c r="AB45" s="85">
        <f>AA45+'Mix 3 Summary'!$R$11</f>
        <v>1</v>
      </c>
    </row>
    <row r="46" spans="1:28" x14ac:dyDescent="0.3">
      <c r="A46" s="35" t="s">
        <v>163</v>
      </c>
      <c r="D46" s="85">
        <v>1</v>
      </c>
      <c r="E46" s="85">
        <f>D46+'Mix 3 Summary'!$R$12</f>
        <v>1</v>
      </c>
      <c r="F46" s="85">
        <f>E46+'Mix 3 Summary'!$R$12</f>
        <v>1</v>
      </c>
      <c r="G46" s="85">
        <f>F46+'Mix 3 Summary'!$R$12</f>
        <v>1</v>
      </c>
      <c r="H46" s="85">
        <f>G46+'Mix 3 Summary'!$R$12</f>
        <v>1</v>
      </c>
      <c r="I46" s="85">
        <f>H46+'Mix 3 Summary'!$R$12</f>
        <v>1</v>
      </c>
      <c r="J46" s="85">
        <f>I46+'Mix 3 Summary'!$R$12</f>
        <v>1</v>
      </c>
      <c r="K46" s="85">
        <f>J46+'Mix 3 Summary'!$R$12</f>
        <v>1</v>
      </c>
      <c r="L46" s="85">
        <f>K46+'Mix 3 Summary'!$R$12</f>
        <v>1</v>
      </c>
      <c r="M46" s="85">
        <f>L46+'Mix 3 Summary'!$R$12</f>
        <v>1</v>
      </c>
      <c r="N46" s="85">
        <f>M46+'Mix 3 Summary'!$R$12</f>
        <v>1</v>
      </c>
      <c r="O46" s="85">
        <f>N46+'Mix 3 Summary'!$R$12</f>
        <v>1</v>
      </c>
      <c r="P46" s="85">
        <f>O46+'Mix 3 Summary'!$R$12</f>
        <v>1</v>
      </c>
      <c r="Q46" s="85">
        <f>P46+'Mix 3 Summary'!$R$12</f>
        <v>1</v>
      </c>
      <c r="R46" s="85">
        <f>Q46+'Mix 3 Summary'!$R$12</f>
        <v>1</v>
      </c>
      <c r="S46" s="85">
        <f>R46+'Mix 3 Summary'!$R$12</f>
        <v>1</v>
      </c>
      <c r="T46" s="85">
        <f>S46+'Mix 3 Summary'!$R$12</f>
        <v>1</v>
      </c>
      <c r="U46" s="85">
        <f>T46+'Mix 3 Summary'!$R$12</f>
        <v>1</v>
      </c>
      <c r="V46" s="85">
        <f>U46+'Mix 3 Summary'!$R$12</f>
        <v>1</v>
      </c>
      <c r="W46" s="85">
        <f>V46+'Mix 3 Summary'!$R$12</f>
        <v>1</v>
      </c>
      <c r="X46" s="85">
        <f>W46+'Mix 3 Summary'!$R$12</f>
        <v>1</v>
      </c>
      <c r="Y46" s="85">
        <f>X46+'Mix 3 Summary'!$R$12</f>
        <v>1</v>
      </c>
      <c r="Z46" s="85">
        <f>Y46+'Mix 3 Summary'!$R$12</f>
        <v>1</v>
      </c>
      <c r="AA46" s="85">
        <f>Z46+'Mix 3 Summary'!$R$12</f>
        <v>1</v>
      </c>
      <c r="AB46" s="85">
        <f>AA46+'Mix 3 Summary'!$R$12</f>
        <v>1</v>
      </c>
    </row>
  </sheetData>
  <sheetProtection algorithmName="SHA-512" hashValue="I0lFZSOFQDWm6k5E9m6Pf33NWGdAE3tKvVkAAD0DIwopJul+8O/tyYyEHoidzfMZtrlvom0GELg51ISjoFTqwg==" saltValue="32Zb2dY+sA5nR4X4Edv/Dg==" spinCount="100000" sheet="1" objects="1" scenarios="1" selectLockedCells="1" selectUnlockedCells="1"/>
  <mergeCells count="1">
    <mergeCell ref="D3:AB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4F501-C4DC-49DC-A179-92519E9C8853}">
  <dimension ref="A1:AD27"/>
  <sheetViews>
    <sheetView topLeftCell="B1" workbookViewId="0">
      <selection activeCell="D1" sqref="D1"/>
    </sheetView>
  </sheetViews>
  <sheetFormatPr defaultRowHeight="14.5" x14ac:dyDescent="0.35"/>
  <cols>
    <col min="3" max="3" width="5.453125" customWidth="1"/>
    <col min="4" max="28" width="9.453125" bestFit="1" customWidth="1"/>
    <col min="30" max="30" width="11.54296875" customWidth="1"/>
  </cols>
  <sheetData>
    <row r="1" spans="1:30" x14ac:dyDescent="0.35">
      <c r="A1" s="16" t="s">
        <v>45</v>
      </c>
      <c r="B1" s="4"/>
      <c r="C1" s="4"/>
      <c r="D1" s="16" t="str">
        <f>'Generation &amp; Ops Scenarios'!E27</f>
        <v>Mix 3 Wind, Solar, Storage, Diesel standby</v>
      </c>
      <c r="E1" s="4"/>
      <c r="F1" s="4"/>
      <c r="G1" s="4"/>
      <c r="H1" s="4"/>
      <c r="I1" s="4"/>
      <c r="J1" s="4"/>
      <c r="K1" s="4"/>
      <c r="L1" s="4"/>
      <c r="M1" s="4"/>
      <c r="N1" s="4"/>
      <c r="O1" s="4"/>
      <c r="P1" s="4"/>
      <c r="Q1" s="4"/>
      <c r="R1" s="4"/>
      <c r="S1" s="4"/>
      <c r="T1" s="4"/>
      <c r="U1" s="4"/>
      <c r="V1" s="4"/>
      <c r="W1" s="4"/>
      <c r="X1" s="4"/>
      <c r="Y1" s="4"/>
      <c r="Z1" s="4"/>
      <c r="AA1" s="4"/>
      <c r="AB1" s="4"/>
      <c r="AC1" s="4"/>
      <c r="AD1" s="4"/>
    </row>
    <row r="2" spans="1:30" x14ac:dyDescent="0.35">
      <c r="A2" s="4"/>
      <c r="B2" s="4"/>
      <c r="C2" s="4"/>
      <c r="D2" s="17"/>
      <c r="E2" s="17"/>
      <c r="F2" s="17"/>
      <c r="G2" s="17"/>
      <c r="H2" s="17"/>
      <c r="I2" s="17"/>
      <c r="J2" s="17"/>
      <c r="K2" s="17"/>
      <c r="L2" s="17"/>
      <c r="M2" s="17"/>
      <c r="N2" s="17"/>
      <c r="O2" s="17"/>
      <c r="P2" s="17"/>
      <c r="Q2" s="17"/>
      <c r="R2" s="17"/>
      <c r="S2" s="17"/>
      <c r="T2" s="17"/>
      <c r="U2" s="17"/>
      <c r="V2" s="17"/>
      <c r="W2" s="17"/>
      <c r="X2" s="17"/>
      <c r="Y2" s="17"/>
      <c r="Z2" s="17"/>
      <c r="AA2" s="17"/>
      <c r="AB2" s="17"/>
      <c r="AC2" s="17"/>
      <c r="AD2" s="4"/>
    </row>
    <row r="3" spans="1:30" x14ac:dyDescent="0.35">
      <c r="A3" s="4"/>
      <c r="B3" s="4"/>
      <c r="C3" s="4"/>
      <c r="D3" s="17">
        <v>1</v>
      </c>
      <c r="E3" s="17">
        <v>2</v>
      </c>
      <c r="F3" s="17">
        <v>3</v>
      </c>
      <c r="G3" s="17">
        <v>4</v>
      </c>
      <c r="H3" s="17">
        <v>5</v>
      </c>
      <c r="I3" s="17">
        <v>6</v>
      </c>
      <c r="J3" s="17">
        <v>7</v>
      </c>
      <c r="K3" s="17">
        <v>8</v>
      </c>
      <c r="L3" s="17">
        <v>9</v>
      </c>
      <c r="M3" s="17">
        <v>10</v>
      </c>
      <c r="N3" s="17">
        <v>11</v>
      </c>
      <c r="O3" s="17">
        <v>12</v>
      </c>
      <c r="P3" s="17">
        <v>13</v>
      </c>
      <c r="Q3" s="17">
        <v>14</v>
      </c>
      <c r="R3" s="17">
        <v>15</v>
      </c>
      <c r="S3" s="17">
        <v>16</v>
      </c>
      <c r="T3" s="17">
        <v>17</v>
      </c>
      <c r="U3" s="17">
        <v>18</v>
      </c>
      <c r="V3" s="17">
        <v>19</v>
      </c>
      <c r="W3" s="17">
        <v>20</v>
      </c>
      <c r="X3" s="17">
        <v>21</v>
      </c>
      <c r="Y3" s="17">
        <v>22</v>
      </c>
      <c r="Z3" s="17">
        <v>23</v>
      </c>
      <c r="AA3" s="17">
        <v>24</v>
      </c>
      <c r="AB3" s="17">
        <v>25</v>
      </c>
      <c r="AC3" s="17"/>
      <c r="AD3" s="17" t="s">
        <v>46</v>
      </c>
    </row>
    <row r="4" spans="1:30" ht="15.5" x14ac:dyDescent="0.35">
      <c r="A4" s="18" t="s">
        <v>3</v>
      </c>
      <c r="B4" s="18"/>
      <c r="C4" s="18"/>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5">
      <c r="A5" s="4" t="s">
        <v>76</v>
      </c>
      <c r="B5" s="4"/>
      <c r="C5" s="4"/>
      <c r="D5" s="19">
        <f>'Mix 3 Cash Flow'!D7</f>
        <v>840000</v>
      </c>
      <c r="E5" s="19">
        <f>'Mix 3 Cash Flow'!E7</f>
        <v>840000</v>
      </c>
      <c r="F5" s="19">
        <f>'Mix 3 Cash Flow'!F7</f>
        <v>840000</v>
      </c>
      <c r="G5" s="19">
        <f>'Mix 3 Cash Flow'!G7</f>
        <v>840000</v>
      </c>
      <c r="H5" s="19">
        <f>'Mix 3 Cash Flow'!H7</f>
        <v>840000</v>
      </c>
      <c r="I5" s="19">
        <f>'Mix 3 Cash Flow'!I7</f>
        <v>840000</v>
      </c>
      <c r="J5" s="19">
        <f>'Mix 3 Cash Flow'!J7</f>
        <v>840000</v>
      </c>
      <c r="K5" s="19">
        <f>'Mix 3 Cash Flow'!K7</f>
        <v>840000</v>
      </c>
      <c r="L5" s="19">
        <f>'Mix 3 Cash Flow'!L7</f>
        <v>840000</v>
      </c>
      <c r="M5" s="19">
        <f>'Mix 3 Cash Flow'!M7</f>
        <v>840000</v>
      </c>
      <c r="N5" s="19">
        <f>'Mix 3 Cash Flow'!N7</f>
        <v>840000</v>
      </c>
      <c r="O5" s="19">
        <f>'Mix 3 Cash Flow'!O7</f>
        <v>840000</v>
      </c>
      <c r="P5" s="19">
        <f>'Mix 3 Cash Flow'!P7</f>
        <v>840000</v>
      </c>
      <c r="Q5" s="19">
        <f>'Mix 3 Cash Flow'!Q7</f>
        <v>840000</v>
      </c>
      <c r="R5" s="19">
        <f>'Mix 3 Cash Flow'!R7</f>
        <v>840000</v>
      </c>
      <c r="S5" s="19">
        <f>'Mix 3 Cash Flow'!S7</f>
        <v>840000</v>
      </c>
      <c r="T5" s="19">
        <f>'Mix 3 Cash Flow'!T7</f>
        <v>840000</v>
      </c>
      <c r="U5" s="19">
        <f>'Mix 3 Cash Flow'!U7</f>
        <v>840000</v>
      </c>
      <c r="V5" s="19">
        <f>'Mix 3 Cash Flow'!V7</f>
        <v>840000</v>
      </c>
      <c r="W5" s="19">
        <f>'Mix 3 Cash Flow'!W7</f>
        <v>840000</v>
      </c>
      <c r="X5" s="19">
        <f>'Mix 3 Cash Flow'!X7</f>
        <v>840000</v>
      </c>
      <c r="Y5" s="19">
        <f>'Mix 3 Cash Flow'!Y7</f>
        <v>840000</v>
      </c>
      <c r="Z5" s="19">
        <f>'Mix 3 Cash Flow'!Z7</f>
        <v>840000</v>
      </c>
      <c r="AA5" s="19">
        <f>'Mix 3 Cash Flow'!AA7</f>
        <v>840000</v>
      </c>
      <c r="AB5" s="19">
        <f>'Mix 3 Cash Flow'!AB7</f>
        <v>840000</v>
      </c>
      <c r="AC5" s="19"/>
      <c r="AD5" s="19">
        <f>SUM(D5:AC5)</f>
        <v>21000000</v>
      </c>
    </row>
    <row r="6" spans="1:30" x14ac:dyDescent="0.35">
      <c r="A6" s="4" t="s">
        <v>52</v>
      </c>
      <c r="B6" s="4"/>
      <c r="C6" s="4"/>
      <c r="D6" s="19">
        <v>0</v>
      </c>
      <c r="E6" s="19">
        <v>0</v>
      </c>
      <c r="F6" s="19">
        <v>0</v>
      </c>
      <c r="G6" s="19">
        <v>0</v>
      </c>
      <c r="H6" s="19">
        <v>0</v>
      </c>
      <c r="I6" s="19">
        <v>0</v>
      </c>
      <c r="J6" s="19">
        <v>0</v>
      </c>
      <c r="K6" s="19">
        <v>0</v>
      </c>
      <c r="L6" s="19">
        <v>0</v>
      </c>
      <c r="M6" s="19">
        <v>0</v>
      </c>
      <c r="N6" s="19">
        <v>0</v>
      </c>
      <c r="O6" s="19">
        <v>0</v>
      </c>
      <c r="P6" s="19">
        <v>0</v>
      </c>
      <c r="Q6" s="19">
        <v>0</v>
      </c>
      <c r="R6" s="19">
        <v>0</v>
      </c>
      <c r="S6" s="19">
        <v>0</v>
      </c>
      <c r="T6" s="19">
        <v>0</v>
      </c>
      <c r="U6" s="19">
        <v>0</v>
      </c>
      <c r="V6" s="19">
        <v>0</v>
      </c>
      <c r="W6" s="19">
        <v>0</v>
      </c>
      <c r="X6" s="19">
        <v>0</v>
      </c>
      <c r="Y6" s="19">
        <v>0</v>
      </c>
      <c r="Z6" s="19">
        <v>0</v>
      </c>
      <c r="AA6" s="19">
        <v>0</v>
      </c>
      <c r="AB6" s="19">
        <v>0</v>
      </c>
      <c r="AC6" s="19"/>
      <c r="AD6" s="19">
        <f t="shared" ref="AD6" si="0">SUM(D6:AC6)</f>
        <v>0</v>
      </c>
    </row>
    <row r="7" spans="1:30" x14ac:dyDescent="0.35">
      <c r="A7" s="4"/>
      <c r="B7" s="4"/>
      <c r="C7" s="4"/>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ht="15" thickBot="1" x14ac:dyDescent="0.4">
      <c r="A8" s="4" t="s">
        <v>47</v>
      </c>
      <c r="B8" s="4"/>
      <c r="C8" s="4"/>
      <c r="D8" s="24">
        <f t="shared" ref="D8:AB8" si="1">SUM(D5:D7)</f>
        <v>840000</v>
      </c>
      <c r="E8" s="24">
        <f t="shared" si="1"/>
        <v>840000</v>
      </c>
      <c r="F8" s="24">
        <f t="shared" si="1"/>
        <v>840000</v>
      </c>
      <c r="G8" s="24">
        <f t="shared" si="1"/>
        <v>840000</v>
      </c>
      <c r="H8" s="24">
        <f t="shared" si="1"/>
        <v>840000</v>
      </c>
      <c r="I8" s="24">
        <f t="shared" si="1"/>
        <v>840000</v>
      </c>
      <c r="J8" s="24">
        <f t="shared" si="1"/>
        <v>840000</v>
      </c>
      <c r="K8" s="24">
        <f t="shared" si="1"/>
        <v>840000</v>
      </c>
      <c r="L8" s="24">
        <f t="shared" si="1"/>
        <v>840000</v>
      </c>
      <c r="M8" s="24">
        <f t="shared" si="1"/>
        <v>840000</v>
      </c>
      <c r="N8" s="24">
        <f t="shared" si="1"/>
        <v>840000</v>
      </c>
      <c r="O8" s="24">
        <f t="shared" si="1"/>
        <v>840000</v>
      </c>
      <c r="P8" s="24">
        <f t="shared" si="1"/>
        <v>840000</v>
      </c>
      <c r="Q8" s="24">
        <f t="shared" si="1"/>
        <v>840000</v>
      </c>
      <c r="R8" s="24">
        <f t="shared" si="1"/>
        <v>840000</v>
      </c>
      <c r="S8" s="24">
        <f t="shared" si="1"/>
        <v>840000</v>
      </c>
      <c r="T8" s="24">
        <f t="shared" si="1"/>
        <v>840000</v>
      </c>
      <c r="U8" s="24">
        <f t="shared" si="1"/>
        <v>840000</v>
      </c>
      <c r="V8" s="24">
        <f t="shared" si="1"/>
        <v>840000</v>
      </c>
      <c r="W8" s="24">
        <f t="shared" si="1"/>
        <v>840000</v>
      </c>
      <c r="X8" s="24">
        <f t="shared" si="1"/>
        <v>840000</v>
      </c>
      <c r="Y8" s="24">
        <f t="shared" si="1"/>
        <v>840000</v>
      </c>
      <c r="Z8" s="24">
        <f t="shared" si="1"/>
        <v>840000</v>
      </c>
      <c r="AA8" s="24">
        <f t="shared" si="1"/>
        <v>840000</v>
      </c>
      <c r="AB8" s="24">
        <f t="shared" si="1"/>
        <v>840000</v>
      </c>
      <c r="AC8" s="19"/>
      <c r="AD8" s="24">
        <f>SUM(AD5:AD7)</f>
        <v>21000000</v>
      </c>
    </row>
    <row r="9" spans="1:30" ht="15" thickTop="1" x14ac:dyDescent="0.35">
      <c r="A9" s="4"/>
      <c r="B9" s="4"/>
      <c r="C9" s="4"/>
      <c r="D9" s="19"/>
      <c r="E9" s="19"/>
      <c r="F9" s="19"/>
      <c r="G9" s="19"/>
      <c r="H9" s="19"/>
      <c r="I9" s="19"/>
      <c r="J9" s="19"/>
      <c r="K9" s="19"/>
      <c r="L9" s="19"/>
      <c r="M9" s="19"/>
      <c r="N9" s="19"/>
      <c r="O9" s="19"/>
      <c r="P9" s="19"/>
      <c r="Q9" s="19"/>
      <c r="R9" s="19"/>
      <c r="S9" s="19"/>
      <c r="T9" s="19"/>
      <c r="U9" s="19"/>
      <c r="V9" s="19"/>
      <c r="W9" s="19"/>
      <c r="X9" s="19"/>
      <c r="Y9" s="19"/>
      <c r="Z9" s="19"/>
      <c r="AA9" s="19"/>
      <c r="AB9" s="19"/>
      <c r="AC9" s="19"/>
      <c r="AD9" s="19"/>
    </row>
    <row r="10" spans="1:30" x14ac:dyDescent="0.35">
      <c r="A10" s="4"/>
      <c r="B10" s="4"/>
      <c r="C10" s="4"/>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0" ht="15.5" x14ac:dyDescent="0.35">
      <c r="A11" s="18" t="s">
        <v>2</v>
      </c>
      <c r="B11" s="18"/>
      <c r="C11" s="18"/>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row>
    <row r="12" spans="1:30" x14ac:dyDescent="0.35">
      <c r="A12" s="4" t="s">
        <v>4</v>
      </c>
      <c r="B12" s="4"/>
      <c r="C12" s="4"/>
      <c r="D12" s="19">
        <f>'Mix 3 Cash Flow'!D8</f>
        <v>0</v>
      </c>
      <c r="E12" s="19">
        <f>'Mix 3 Cash Flow'!E8</f>
        <v>0</v>
      </c>
      <c r="F12" s="19">
        <f>'Mix 3 Cash Flow'!F8</f>
        <v>0</v>
      </c>
      <c r="G12" s="19">
        <f>'Mix 3 Cash Flow'!G8</f>
        <v>0</v>
      </c>
      <c r="H12" s="19">
        <f>'Mix 3 Cash Flow'!H8</f>
        <v>0</v>
      </c>
      <c r="I12" s="19">
        <f>'Mix 3 Cash Flow'!I8</f>
        <v>0</v>
      </c>
      <c r="J12" s="19">
        <f>'Mix 3 Cash Flow'!J8</f>
        <v>0</v>
      </c>
      <c r="K12" s="19">
        <f>'Mix 3 Cash Flow'!K8</f>
        <v>0</v>
      </c>
      <c r="L12" s="19">
        <f>'Mix 3 Cash Flow'!L8</f>
        <v>0</v>
      </c>
      <c r="M12" s="19">
        <f>'Mix 3 Cash Flow'!M8</f>
        <v>0</v>
      </c>
      <c r="N12" s="19">
        <f>'Mix 3 Cash Flow'!N8</f>
        <v>0</v>
      </c>
      <c r="O12" s="19">
        <f>'Mix 3 Cash Flow'!O8</f>
        <v>0</v>
      </c>
      <c r="P12" s="19">
        <f>'Mix 3 Cash Flow'!P8</f>
        <v>0</v>
      </c>
      <c r="Q12" s="19">
        <f>'Mix 3 Cash Flow'!Q8</f>
        <v>0</v>
      </c>
      <c r="R12" s="19">
        <f>'Mix 3 Cash Flow'!R8</f>
        <v>0</v>
      </c>
      <c r="S12" s="19">
        <f>'Mix 3 Cash Flow'!S8</f>
        <v>0</v>
      </c>
      <c r="T12" s="19">
        <f>'Mix 3 Cash Flow'!T8</f>
        <v>0</v>
      </c>
      <c r="U12" s="19">
        <f>'Mix 3 Cash Flow'!U8</f>
        <v>0</v>
      </c>
      <c r="V12" s="19">
        <f>'Mix 3 Cash Flow'!V8</f>
        <v>0</v>
      </c>
      <c r="W12" s="19">
        <f>'Mix 3 Cash Flow'!W8</f>
        <v>0</v>
      </c>
      <c r="X12" s="19">
        <f>'Mix 3 Cash Flow'!X8</f>
        <v>0</v>
      </c>
      <c r="Y12" s="19">
        <f>'Mix 3 Cash Flow'!Y8</f>
        <v>0</v>
      </c>
      <c r="Z12" s="19">
        <f>'Mix 3 Cash Flow'!Z8</f>
        <v>0</v>
      </c>
      <c r="AA12" s="19">
        <f>'Mix 3 Cash Flow'!AA8</f>
        <v>0</v>
      </c>
      <c r="AB12" s="19">
        <f>'Mix 3 Cash Flow'!AB8</f>
        <v>0</v>
      </c>
      <c r="AC12" s="19"/>
      <c r="AD12" s="19">
        <f t="shared" ref="AD12:AD13" si="2">SUM(D12:AC12)</f>
        <v>0</v>
      </c>
    </row>
    <row r="13" spans="1:30" x14ac:dyDescent="0.35">
      <c r="A13" s="4" t="s">
        <v>2</v>
      </c>
      <c r="B13" s="4"/>
      <c r="C13" s="4"/>
      <c r="D13" s="19">
        <f>'Mix 3 Cash Flow'!D9</f>
        <v>-294446.2391666667</v>
      </c>
      <c r="E13" s="19">
        <f>'Mix 3 Cash Flow'!E9</f>
        <v>-294446.2391666667</v>
      </c>
      <c r="F13" s="19">
        <f>'Mix 3 Cash Flow'!F9</f>
        <v>-294446.2391666667</v>
      </c>
      <c r="G13" s="19">
        <f>'Mix 3 Cash Flow'!G9</f>
        <v>-294446.2391666667</v>
      </c>
      <c r="H13" s="19">
        <f>'Mix 3 Cash Flow'!H9</f>
        <v>-294446.2391666667</v>
      </c>
      <c r="I13" s="19">
        <f>'Mix 3 Cash Flow'!I9</f>
        <v>-294446.2391666667</v>
      </c>
      <c r="J13" s="19">
        <f>'Mix 3 Cash Flow'!J9</f>
        <v>-294446.2391666667</v>
      </c>
      <c r="K13" s="19">
        <f>'Mix 3 Cash Flow'!K9</f>
        <v>-294446.2391666667</v>
      </c>
      <c r="L13" s="19">
        <f>'Mix 3 Cash Flow'!L9</f>
        <v>-294446.2391666667</v>
      </c>
      <c r="M13" s="19">
        <f>'Mix 3 Cash Flow'!M9</f>
        <v>-294446.2391666667</v>
      </c>
      <c r="N13" s="19">
        <f>'Mix 3 Cash Flow'!N9</f>
        <v>-294446.2391666667</v>
      </c>
      <c r="O13" s="19">
        <f>'Mix 3 Cash Flow'!O9</f>
        <v>-294446.2391666667</v>
      </c>
      <c r="P13" s="19">
        <f>'Mix 3 Cash Flow'!P9</f>
        <v>-294446.2391666667</v>
      </c>
      <c r="Q13" s="19">
        <f>'Mix 3 Cash Flow'!Q9</f>
        <v>-294446.2391666667</v>
      </c>
      <c r="R13" s="19">
        <f>'Mix 3 Cash Flow'!R9</f>
        <v>-294446.2391666667</v>
      </c>
      <c r="S13" s="19">
        <f>'Mix 3 Cash Flow'!S9</f>
        <v>-294446.2391666667</v>
      </c>
      <c r="T13" s="19">
        <f>'Mix 3 Cash Flow'!T9</f>
        <v>-294446.2391666667</v>
      </c>
      <c r="U13" s="19">
        <f>'Mix 3 Cash Flow'!U9</f>
        <v>-294446.2391666667</v>
      </c>
      <c r="V13" s="19">
        <f>'Mix 3 Cash Flow'!V9</f>
        <v>-294446.2391666667</v>
      </c>
      <c r="W13" s="19">
        <f>'Mix 3 Cash Flow'!W9</f>
        <v>-294446.2391666667</v>
      </c>
      <c r="X13" s="19">
        <f>'Mix 3 Cash Flow'!X9</f>
        <v>-294446.2391666667</v>
      </c>
      <c r="Y13" s="19">
        <f>'Mix 3 Cash Flow'!Y9</f>
        <v>-294446.2391666667</v>
      </c>
      <c r="Z13" s="19">
        <f>'Mix 3 Cash Flow'!Z9</f>
        <v>-294446.2391666667</v>
      </c>
      <c r="AA13" s="19">
        <f>'Mix 3 Cash Flow'!AA9</f>
        <v>-294446.2391666667</v>
      </c>
      <c r="AB13" s="19">
        <f>'Mix 3 Cash Flow'!AB9</f>
        <v>-294446.2391666667</v>
      </c>
      <c r="AC13" s="19"/>
      <c r="AD13" s="19">
        <f t="shared" si="2"/>
        <v>-7361155.9791666679</v>
      </c>
    </row>
    <row r="14" spans="1:30" ht="15" thickBot="1" x14ac:dyDescent="0.4">
      <c r="A14" s="4" t="s">
        <v>48</v>
      </c>
      <c r="B14" s="4"/>
      <c r="C14" s="4"/>
      <c r="D14" s="24">
        <f t="shared" ref="D14:AB14" si="3">SUM(D12:D13)</f>
        <v>-294446.2391666667</v>
      </c>
      <c r="E14" s="24">
        <f t="shared" si="3"/>
        <v>-294446.2391666667</v>
      </c>
      <c r="F14" s="24">
        <f t="shared" si="3"/>
        <v>-294446.2391666667</v>
      </c>
      <c r="G14" s="24">
        <f t="shared" si="3"/>
        <v>-294446.2391666667</v>
      </c>
      <c r="H14" s="24">
        <f t="shared" si="3"/>
        <v>-294446.2391666667</v>
      </c>
      <c r="I14" s="24">
        <f t="shared" si="3"/>
        <v>-294446.2391666667</v>
      </c>
      <c r="J14" s="24">
        <f t="shared" si="3"/>
        <v>-294446.2391666667</v>
      </c>
      <c r="K14" s="24">
        <f t="shared" si="3"/>
        <v>-294446.2391666667</v>
      </c>
      <c r="L14" s="24">
        <f t="shared" si="3"/>
        <v>-294446.2391666667</v>
      </c>
      <c r="M14" s="24">
        <f t="shared" si="3"/>
        <v>-294446.2391666667</v>
      </c>
      <c r="N14" s="24">
        <f t="shared" si="3"/>
        <v>-294446.2391666667</v>
      </c>
      <c r="O14" s="24">
        <f t="shared" si="3"/>
        <v>-294446.2391666667</v>
      </c>
      <c r="P14" s="24">
        <f t="shared" si="3"/>
        <v>-294446.2391666667</v>
      </c>
      <c r="Q14" s="24">
        <f t="shared" si="3"/>
        <v>-294446.2391666667</v>
      </c>
      <c r="R14" s="24">
        <f t="shared" si="3"/>
        <v>-294446.2391666667</v>
      </c>
      <c r="S14" s="24">
        <f t="shared" si="3"/>
        <v>-294446.2391666667</v>
      </c>
      <c r="T14" s="24">
        <f t="shared" si="3"/>
        <v>-294446.2391666667</v>
      </c>
      <c r="U14" s="24">
        <f t="shared" si="3"/>
        <v>-294446.2391666667</v>
      </c>
      <c r="V14" s="24">
        <f t="shared" si="3"/>
        <v>-294446.2391666667</v>
      </c>
      <c r="W14" s="24">
        <f t="shared" si="3"/>
        <v>-294446.2391666667</v>
      </c>
      <c r="X14" s="24">
        <f t="shared" si="3"/>
        <v>-294446.2391666667</v>
      </c>
      <c r="Y14" s="24">
        <f t="shared" si="3"/>
        <v>-294446.2391666667</v>
      </c>
      <c r="Z14" s="24">
        <f t="shared" si="3"/>
        <v>-294446.2391666667</v>
      </c>
      <c r="AA14" s="24">
        <f t="shared" si="3"/>
        <v>-294446.2391666667</v>
      </c>
      <c r="AB14" s="24">
        <f t="shared" si="3"/>
        <v>-294446.2391666667</v>
      </c>
      <c r="AC14" s="19"/>
      <c r="AD14" s="24">
        <f>SUM(AD12:AD13)</f>
        <v>-7361155.9791666679</v>
      </c>
    </row>
    <row r="15" spans="1:30" ht="15" thickTop="1" x14ac:dyDescent="0.35">
      <c r="A15" s="4"/>
      <c r="B15" s="4"/>
      <c r="C15" s="4"/>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row>
    <row r="16" spans="1:30" x14ac:dyDescent="0.35">
      <c r="A16" s="16" t="s">
        <v>49</v>
      </c>
      <c r="B16" s="16"/>
      <c r="C16" s="16"/>
      <c r="D16" s="25">
        <f>D8+D14</f>
        <v>545553.76083333325</v>
      </c>
      <c r="E16" s="25">
        <f t="shared" ref="E16:AB16" si="4">E8+E14</f>
        <v>545553.76083333325</v>
      </c>
      <c r="F16" s="25">
        <f t="shared" si="4"/>
        <v>545553.76083333325</v>
      </c>
      <c r="G16" s="25">
        <f t="shared" si="4"/>
        <v>545553.76083333325</v>
      </c>
      <c r="H16" s="25">
        <f t="shared" si="4"/>
        <v>545553.76083333325</v>
      </c>
      <c r="I16" s="25">
        <f t="shared" si="4"/>
        <v>545553.76083333325</v>
      </c>
      <c r="J16" s="25">
        <f t="shared" si="4"/>
        <v>545553.76083333325</v>
      </c>
      <c r="K16" s="25">
        <f t="shared" si="4"/>
        <v>545553.76083333325</v>
      </c>
      <c r="L16" s="25">
        <f t="shared" si="4"/>
        <v>545553.76083333325</v>
      </c>
      <c r="M16" s="25">
        <f t="shared" si="4"/>
        <v>545553.76083333325</v>
      </c>
      <c r="N16" s="25">
        <f t="shared" si="4"/>
        <v>545553.76083333325</v>
      </c>
      <c r="O16" s="25">
        <f t="shared" si="4"/>
        <v>545553.76083333325</v>
      </c>
      <c r="P16" s="25">
        <f t="shared" si="4"/>
        <v>545553.76083333325</v>
      </c>
      <c r="Q16" s="25">
        <f t="shared" si="4"/>
        <v>545553.76083333325</v>
      </c>
      <c r="R16" s="25">
        <f t="shared" si="4"/>
        <v>545553.76083333325</v>
      </c>
      <c r="S16" s="25">
        <f t="shared" si="4"/>
        <v>545553.76083333325</v>
      </c>
      <c r="T16" s="25">
        <f t="shared" si="4"/>
        <v>545553.76083333325</v>
      </c>
      <c r="U16" s="25">
        <f t="shared" si="4"/>
        <v>545553.76083333325</v>
      </c>
      <c r="V16" s="25">
        <f t="shared" si="4"/>
        <v>545553.76083333325</v>
      </c>
      <c r="W16" s="25">
        <f t="shared" si="4"/>
        <v>545553.76083333325</v>
      </c>
      <c r="X16" s="25">
        <f t="shared" si="4"/>
        <v>545553.76083333325</v>
      </c>
      <c r="Y16" s="25">
        <f t="shared" si="4"/>
        <v>545553.76083333325</v>
      </c>
      <c r="Z16" s="25">
        <f t="shared" si="4"/>
        <v>545553.76083333325</v>
      </c>
      <c r="AA16" s="25">
        <f t="shared" si="4"/>
        <v>545553.76083333325</v>
      </c>
      <c r="AB16" s="25">
        <f t="shared" si="4"/>
        <v>545553.76083333325</v>
      </c>
      <c r="AC16" s="26"/>
      <c r="AD16" s="25">
        <f>AD8-AD14</f>
        <v>28361155.979166668</v>
      </c>
    </row>
    <row r="17" spans="1:30" x14ac:dyDescent="0.35">
      <c r="A17" s="14"/>
      <c r="B17" s="14"/>
      <c r="C17" s="14"/>
      <c r="D17" s="27">
        <f t="shared" ref="D17:AB17" si="5">D16/D8</f>
        <v>0.64946876289682531</v>
      </c>
      <c r="E17" s="27">
        <f t="shared" si="5"/>
        <v>0.64946876289682531</v>
      </c>
      <c r="F17" s="27">
        <f t="shared" si="5"/>
        <v>0.64946876289682531</v>
      </c>
      <c r="G17" s="27">
        <f t="shared" si="5"/>
        <v>0.64946876289682531</v>
      </c>
      <c r="H17" s="27">
        <f t="shared" si="5"/>
        <v>0.64946876289682531</v>
      </c>
      <c r="I17" s="27">
        <f t="shared" si="5"/>
        <v>0.64946876289682531</v>
      </c>
      <c r="J17" s="27">
        <f t="shared" si="5"/>
        <v>0.64946876289682531</v>
      </c>
      <c r="K17" s="27">
        <f t="shared" si="5"/>
        <v>0.64946876289682531</v>
      </c>
      <c r="L17" s="27">
        <f t="shared" si="5"/>
        <v>0.64946876289682531</v>
      </c>
      <c r="M17" s="27">
        <f t="shared" si="5"/>
        <v>0.64946876289682531</v>
      </c>
      <c r="N17" s="27">
        <f t="shared" si="5"/>
        <v>0.64946876289682531</v>
      </c>
      <c r="O17" s="27">
        <f t="shared" si="5"/>
        <v>0.64946876289682531</v>
      </c>
      <c r="P17" s="27">
        <f t="shared" si="5"/>
        <v>0.64946876289682531</v>
      </c>
      <c r="Q17" s="27">
        <f t="shared" si="5"/>
        <v>0.64946876289682531</v>
      </c>
      <c r="R17" s="27">
        <f t="shared" si="5"/>
        <v>0.64946876289682531</v>
      </c>
      <c r="S17" s="27">
        <f t="shared" si="5"/>
        <v>0.64946876289682531</v>
      </c>
      <c r="T17" s="27">
        <f t="shared" si="5"/>
        <v>0.64946876289682531</v>
      </c>
      <c r="U17" s="27">
        <f t="shared" si="5"/>
        <v>0.64946876289682531</v>
      </c>
      <c r="V17" s="27">
        <f t="shared" si="5"/>
        <v>0.64946876289682531</v>
      </c>
      <c r="W17" s="27">
        <f t="shared" si="5"/>
        <v>0.64946876289682531</v>
      </c>
      <c r="X17" s="27">
        <f t="shared" si="5"/>
        <v>0.64946876289682531</v>
      </c>
      <c r="Y17" s="27">
        <f t="shared" si="5"/>
        <v>0.64946876289682531</v>
      </c>
      <c r="Z17" s="27">
        <f t="shared" si="5"/>
        <v>0.64946876289682531</v>
      </c>
      <c r="AA17" s="27">
        <f t="shared" si="5"/>
        <v>0.64946876289682531</v>
      </c>
      <c r="AB17" s="27">
        <f t="shared" si="5"/>
        <v>0.64946876289682531</v>
      </c>
      <c r="AC17" s="27"/>
      <c r="AD17" s="27">
        <f>AD16/AD8</f>
        <v>1.3505312371031746</v>
      </c>
    </row>
    <row r="18" spans="1:30" x14ac:dyDescent="0.35">
      <c r="A18" s="4"/>
      <c r="B18" s="4"/>
      <c r="C18" s="4"/>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x14ac:dyDescent="0.35">
      <c r="A19" s="4" t="s">
        <v>63</v>
      </c>
      <c r="B19" s="4"/>
      <c r="C19" s="4"/>
      <c r="D19" s="19">
        <f>-'Mix 3 Summary'!$B$22/'Mix 3 Summary'!$R$9</f>
        <v>-200592.95666666667</v>
      </c>
      <c r="E19" s="19">
        <f>-'Mix 3 Summary'!$B$22/'Mix 3 Summary'!$R$9</f>
        <v>-200592.95666666667</v>
      </c>
      <c r="F19" s="19">
        <f>-'Mix 3 Summary'!$B$22/'Mix 3 Summary'!$R$9</f>
        <v>-200592.95666666667</v>
      </c>
      <c r="G19" s="19">
        <f>-'Mix 3 Summary'!$B$22/'Mix 3 Summary'!$R$9</f>
        <v>-200592.95666666667</v>
      </c>
      <c r="H19" s="19">
        <f>-'Mix 3 Summary'!$B$22/'Mix 3 Summary'!$R$9</f>
        <v>-200592.95666666667</v>
      </c>
      <c r="I19" s="19">
        <f>-'Mix 3 Summary'!$B$22/'Mix 3 Summary'!$R$9</f>
        <v>-200592.95666666667</v>
      </c>
      <c r="J19" s="19">
        <f>-'Mix 3 Summary'!$B$22/'Mix 3 Summary'!$R$9</f>
        <v>-200592.95666666667</v>
      </c>
      <c r="K19" s="19">
        <f>-'Mix 3 Summary'!$B$22/'Mix 3 Summary'!$R$9</f>
        <v>-200592.95666666667</v>
      </c>
      <c r="L19" s="19">
        <f>-'Mix 3 Summary'!$B$22/'Mix 3 Summary'!$R$9</f>
        <v>-200592.95666666667</v>
      </c>
      <c r="M19" s="19">
        <f>-'Mix 3 Summary'!$B$22/'Mix 3 Summary'!$R$9</f>
        <v>-200592.95666666667</v>
      </c>
      <c r="N19" s="19">
        <f>-'Mix 3 Summary'!$B$22/'Mix 3 Summary'!$R$9</f>
        <v>-200592.95666666667</v>
      </c>
      <c r="O19" s="19">
        <f>-'Mix 3 Summary'!$B$22/'Mix 3 Summary'!$R$9</f>
        <v>-200592.95666666667</v>
      </c>
      <c r="P19" s="19">
        <f>-'Mix 3 Summary'!$B$22/'Mix 3 Summary'!$R$9</f>
        <v>-200592.95666666667</v>
      </c>
      <c r="Q19" s="19">
        <f>-'Mix 3 Summary'!$B$22/'Mix 3 Summary'!$R$9</f>
        <v>-200592.95666666667</v>
      </c>
      <c r="R19" s="19">
        <f>-'Mix 3 Summary'!$B$22/'Mix 3 Summary'!$R$9</f>
        <v>-200592.95666666667</v>
      </c>
      <c r="S19" s="19">
        <f>-'Mix 3 Summary'!$B$22/'Mix 3 Summary'!$R$9</f>
        <v>-200592.95666666667</v>
      </c>
      <c r="T19" s="19">
        <f>-'Mix 3 Summary'!$B$22/'Mix 3 Summary'!$R$9</f>
        <v>-200592.95666666667</v>
      </c>
      <c r="U19" s="19">
        <f>-'Mix 3 Summary'!$B$22/'Mix 3 Summary'!$R$9</f>
        <v>-200592.95666666667</v>
      </c>
      <c r="V19" s="19">
        <f>-'Mix 3 Summary'!$B$22/'Mix 3 Summary'!$R$9</f>
        <v>-200592.95666666667</v>
      </c>
      <c r="W19" s="19">
        <f>-'Mix 3 Summary'!$B$22/'Mix 3 Summary'!$R$9</f>
        <v>-200592.95666666667</v>
      </c>
      <c r="X19" s="19">
        <f>-'Mix 3 Summary'!$B$22/'Mix 3 Summary'!$R$9</f>
        <v>-200592.95666666667</v>
      </c>
      <c r="Y19" s="19">
        <f>-'Mix 3 Summary'!$B$22/'Mix 3 Summary'!$R$9</f>
        <v>-200592.95666666667</v>
      </c>
      <c r="Z19" s="19">
        <f>-'Mix 3 Summary'!$B$22/'Mix 3 Summary'!$R$9</f>
        <v>-200592.95666666667</v>
      </c>
      <c r="AA19" s="19">
        <f>-'Mix 3 Summary'!$B$22/'Mix 3 Summary'!$R$9</f>
        <v>-200592.95666666667</v>
      </c>
      <c r="AB19" s="19">
        <f>-'Mix 3 Summary'!$B$22/'Mix 3 Summary'!$R$9</f>
        <v>-200592.95666666667</v>
      </c>
      <c r="AC19" s="19"/>
      <c r="AD19" s="19">
        <f t="shared" ref="AD19" si="6">SUM(D19:AC19)</f>
        <v>-5014823.916666667</v>
      </c>
    </row>
    <row r="20" spans="1:30" x14ac:dyDescent="0.35">
      <c r="A20" s="4"/>
      <c r="B20" s="4"/>
      <c r="C20" s="4"/>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1:30" x14ac:dyDescent="0.35">
      <c r="A21" s="16" t="s">
        <v>50</v>
      </c>
      <c r="B21" s="16"/>
      <c r="C21" s="16"/>
      <c r="D21" s="25">
        <f>+D16+D19</f>
        <v>344960.80416666658</v>
      </c>
      <c r="E21" s="25">
        <f t="shared" ref="E21:AB21" si="7">+E16+E19</f>
        <v>344960.80416666658</v>
      </c>
      <c r="F21" s="25">
        <f t="shared" si="7"/>
        <v>344960.80416666658</v>
      </c>
      <c r="G21" s="25">
        <f t="shared" si="7"/>
        <v>344960.80416666658</v>
      </c>
      <c r="H21" s="25">
        <f t="shared" si="7"/>
        <v>344960.80416666658</v>
      </c>
      <c r="I21" s="25">
        <f t="shared" si="7"/>
        <v>344960.80416666658</v>
      </c>
      <c r="J21" s="25">
        <f t="shared" si="7"/>
        <v>344960.80416666658</v>
      </c>
      <c r="K21" s="25">
        <f t="shared" si="7"/>
        <v>344960.80416666658</v>
      </c>
      <c r="L21" s="25">
        <f t="shared" si="7"/>
        <v>344960.80416666658</v>
      </c>
      <c r="M21" s="25">
        <f t="shared" si="7"/>
        <v>344960.80416666658</v>
      </c>
      <c r="N21" s="25">
        <f t="shared" si="7"/>
        <v>344960.80416666658</v>
      </c>
      <c r="O21" s="25">
        <f t="shared" si="7"/>
        <v>344960.80416666658</v>
      </c>
      <c r="P21" s="25">
        <f t="shared" si="7"/>
        <v>344960.80416666658</v>
      </c>
      <c r="Q21" s="25">
        <f t="shared" si="7"/>
        <v>344960.80416666658</v>
      </c>
      <c r="R21" s="25">
        <f t="shared" si="7"/>
        <v>344960.80416666658</v>
      </c>
      <c r="S21" s="25">
        <f t="shared" si="7"/>
        <v>344960.80416666658</v>
      </c>
      <c r="T21" s="25">
        <f t="shared" si="7"/>
        <v>344960.80416666658</v>
      </c>
      <c r="U21" s="25">
        <f t="shared" si="7"/>
        <v>344960.80416666658</v>
      </c>
      <c r="V21" s="25">
        <f t="shared" si="7"/>
        <v>344960.80416666658</v>
      </c>
      <c r="W21" s="25">
        <f t="shared" si="7"/>
        <v>344960.80416666658</v>
      </c>
      <c r="X21" s="25">
        <f t="shared" si="7"/>
        <v>344960.80416666658</v>
      </c>
      <c r="Y21" s="25">
        <f t="shared" si="7"/>
        <v>344960.80416666658</v>
      </c>
      <c r="Z21" s="25">
        <f t="shared" si="7"/>
        <v>344960.80416666658</v>
      </c>
      <c r="AA21" s="25">
        <f t="shared" si="7"/>
        <v>344960.80416666658</v>
      </c>
      <c r="AB21" s="25">
        <f t="shared" si="7"/>
        <v>344960.80416666658</v>
      </c>
      <c r="AC21" s="26"/>
      <c r="AD21" s="25">
        <f t="shared" ref="AD21" si="8">+AD16-AD19</f>
        <v>33375979.895833336</v>
      </c>
    </row>
    <row r="22" spans="1:30" x14ac:dyDescent="0.35">
      <c r="A22" s="4"/>
      <c r="B22" s="4"/>
      <c r="C22" s="4"/>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1:30" x14ac:dyDescent="0.35">
      <c r="A23" s="4" t="s">
        <v>51</v>
      </c>
      <c r="B23" s="4"/>
      <c r="C23" s="4"/>
      <c r="D23" s="19">
        <f>'Mix 3 Interest Calculations'!E14</f>
        <v>-376111.79375000001</v>
      </c>
      <c r="E23" s="19">
        <f>'Mix 3 Interest Calculations'!F14</f>
        <v>-370578.93664866034</v>
      </c>
      <c r="F23" s="19">
        <f>'Mix 3 Interest Calculations'!G14</f>
        <v>-364631.11526472023</v>
      </c>
      <c r="G23" s="19">
        <f>'Mix 3 Interest Calculations'!H14</f>
        <v>-358237.20727698453</v>
      </c>
      <c r="H23" s="19">
        <f>'Mix 3 Interest Calculations'!I14</f>
        <v>-351363.75619016873</v>
      </c>
      <c r="I23" s="19">
        <f>'Mix 3 Interest Calculations'!J14</f>
        <v>-343974.79627184174</v>
      </c>
      <c r="J23" s="19">
        <f>'Mix 3 Interest Calculations'!K14</f>
        <v>-336031.66435964021</v>
      </c>
      <c r="K23" s="19">
        <f>'Mix 3 Interest Calculations'!L14</f>
        <v>-327492.79755402356</v>
      </c>
      <c r="L23" s="19">
        <f>'Mix 3 Interest Calculations'!M14</f>
        <v>-318313.51573798567</v>
      </c>
      <c r="M23" s="19">
        <f>'Mix 3 Interest Calculations'!N14</f>
        <v>-308445.78778574488</v>
      </c>
      <c r="N23" s="19">
        <f>'Mix 3 Interest Calculations'!O14</f>
        <v>-297837.98023708613</v>
      </c>
      <c r="O23" s="19">
        <f>'Mix 3 Interest Calculations'!P14</f>
        <v>-286434.58712227794</v>
      </c>
      <c r="P23" s="19">
        <f>'Mix 3 Interest Calculations'!Q14</f>
        <v>-274175.93952385912</v>
      </c>
      <c r="Q23" s="19">
        <f>'Mix 3 Interest Calculations'!R14</f>
        <v>-260997.89335555889</v>
      </c>
      <c r="R23" s="19">
        <f>'Mix 3 Interest Calculations'!S14</f>
        <v>-246831.49372463615</v>
      </c>
      <c r="S23" s="19">
        <f>'Mix 3 Interest Calculations'!T14</f>
        <v>-231602.6141213942</v>
      </c>
      <c r="T23" s="19">
        <f>'Mix 3 Interest Calculations'!U14</f>
        <v>-215231.56854790909</v>
      </c>
      <c r="U23" s="19">
        <f>'Mix 3 Interest Calculations'!V14</f>
        <v>-197632.69455641261</v>
      </c>
      <c r="V23" s="19">
        <f>'Mix 3 Interest Calculations'!W14</f>
        <v>-178713.9050155539</v>
      </c>
      <c r="W23" s="19">
        <f>'Mix 3 Interest Calculations'!X14</f>
        <v>-158376.20625913076</v>
      </c>
      <c r="X23" s="19">
        <f>'Mix 3 Interest Calculations'!Y14</f>
        <v>-136513.1800959759</v>
      </c>
      <c r="Y23" s="19">
        <f>'Mix 3 Interest Calculations'!Z14</f>
        <v>-113010.42697058445</v>
      </c>
      <c r="Z23" s="19">
        <f>'Mix 3 Interest Calculations'!AA14</f>
        <v>-87744.967360788607</v>
      </c>
      <c r="AA23" s="19">
        <f>'Mix 3 Interest Calculations'!AB14</f>
        <v>-60584.598280258091</v>
      </c>
      <c r="AB23" s="19">
        <f>'Mix 3 Interest Calculations'!AC14</f>
        <v>-31387.201518687783</v>
      </c>
      <c r="AC23" s="19"/>
      <c r="AD23" s="19">
        <f t="shared" ref="AD23" si="9">SUM(D23:AC23)</f>
        <v>-6232256.6275298838</v>
      </c>
    </row>
    <row r="24" spans="1:30" x14ac:dyDescent="0.35">
      <c r="A24" s="4"/>
      <c r="B24" s="4"/>
      <c r="C24" s="4"/>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15" thickBot="1" x14ac:dyDescent="0.4">
      <c r="A25" s="16" t="s">
        <v>54</v>
      </c>
      <c r="B25" s="16"/>
      <c r="C25" s="16"/>
      <c r="D25" s="28">
        <f>+D21+D23</f>
        <v>-31150.98958333343</v>
      </c>
      <c r="E25" s="28">
        <f t="shared" ref="E25:AB25" si="10">+E21+E23</f>
        <v>-25618.132481993758</v>
      </c>
      <c r="F25" s="28">
        <f t="shared" si="10"/>
        <v>-19670.311098053644</v>
      </c>
      <c r="G25" s="28">
        <f t="shared" si="10"/>
        <v>-13276.403110317944</v>
      </c>
      <c r="H25" s="28">
        <f t="shared" si="10"/>
        <v>-6402.9520235021482</v>
      </c>
      <c r="I25" s="28">
        <f t="shared" si="10"/>
        <v>986.00789482484106</v>
      </c>
      <c r="J25" s="28">
        <f t="shared" si="10"/>
        <v>8929.1398070263676</v>
      </c>
      <c r="K25" s="28">
        <f t="shared" si="10"/>
        <v>17468.006612643017</v>
      </c>
      <c r="L25" s="28">
        <f t="shared" si="10"/>
        <v>26647.288428680913</v>
      </c>
      <c r="M25" s="28">
        <f t="shared" si="10"/>
        <v>36515.016380921705</v>
      </c>
      <c r="N25" s="28">
        <f t="shared" si="10"/>
        <v>47122.823929580452</v>
      </c>
      <c r="O25" s="28">
        <f t="shared" si="10"/>
        <v>58526.217044388643</v>
      </c>
      <c r="P25" s="28">
        <f t="shared" si="10"/>
        <v>70784.864642807457</v>
      </c>
      <c r="Q25" s="28">
        <f t="shared" si="10"/>
        <v>83962.910811107693</v>
      </c>
      <c r="R25" s="28">
        <f t="shared" si="10"/>
        <v>98129.31044203043</v>
      </c>
      <c r="S25" s="28">
        <f t="shared" si="10"/>
        <v>113358.19004527238</v>
      </c>
      <c r="T25" s="28">
        <f t="shared" si="10"/>
        <v>129729.23561875749</v>
      </c>
      <c r="U25" s="28">
        <f t="shared" si="10"/>
        <v>147328.10961025397</v>
      </c>
      <c r="V25" s="28">
        <f t="shared" si="10"/>
        <v>166246.89915111268</v>
      </c>
      <c r="W25" s="28">
        <f t="shared" si="10"/>
        <v>186584.59790753582</v>
      </c>
      <c r="X25" s="28">
        <f t="shared" si="10"/>
        <v>208447.62407069068</v>
      </c>
      <c r="Y25" s="28">
        <f t="shared" si="10"/>
        <v>231950.37719608215</v>
      </c>
      <c r="Z25" s="28">
        <f t="shared" si="10"/>
        <v>257215.83680587797</v>
      </c>
      <c r="AA25" s="28">
        <f t="shared" si="10"/>
        <v>284376.20588640851</v>
      </c>
      <c r="AB25" s="28">
        <f t="shared" si="10"/>
        <v>313573.60264797881</v>
      </c>
      <c r="AC25" s="19"/>
      <c r="AD25" s="25">
        <f t="shared" ref="AD25" si="11">+AD21-AD23</f>
        <v>39608236.523363218</v>
      </c>
    </row>
    <row r="26" spans="1:30" ht="15" thickTop="1" x14ac:dyDescent="0.35">
      <c r="A26" s="4"/>
      <c r="B26" s="4"/>
      <c r="C26" s="4"/>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row>
    <row r="27" spans="1:30" x14ac:dyDescent="0.35">
      <c r="D27" s="45">
        <f>D25/3000000*100</f>
        <v>-1.0383663194444477</v>
      </c>
      <c r="E27" s="45">
        <f t="shared" ref="E27:AB27" si="12">E25/3000000*100</f>
        <v>-0.85393774939979195</v>
      </c>
      <c r="F27" s="45">
        <f t="shared" si="12"/>
        <v>-0.65567703660178811</v>
      </c>
      <c r="G27" s="45">
        <f t="shared" si="12"/>
        <v>-0.44254677034393142</v>
      </c>
      <c r="H27" s="45">
        <f t="shared" si="12"/>
        <v>-0.21343173411673827</v>
      </c>
      <c r="I27" s="45">
        <f t="shared" si="12"/>
        <v>3.2866929827494701E-2</v>
      </c>
      <c r="J27" s="45">
        <f t="shared" si="12"/>
        <v>0.29763799356754561</v>
      </c>
      <c r="K27" s="45">
        <f t="shared" si="12"/>
        <v>0.58226688708810059</v>
      </c>
      <c r="L27" s="45">
        <f t="shared" si="12"/>
        <v>0.88824294762269718</v>
      </c>
      <c r="M27" s="45">
        <f t="shared" si="12"/>
        <v>1.2171672126973903</v>
      </c>
      <c r="N27" s="45">
        <f t="shared" si="12"/>
        <v>1.5707607976526816</v>
      </c>
      <c r="O27" s="45">
        <f t="shared" si="12"/>
        <v>1.9508739014796213</v>
      </c>
      <c r="P27" s="45">
        <f t="shared" si="12"/>
        <v>2.3594954880935819</v>
      </c>
      <c r="Q27" s="45">
        <f t="shared" si="12"/>
        <v>2.7987636937035898</v>
      </c>
      <c r="R27" s="45">
        <f t="shared" si="12"/>
        <v>3.2709770147343478</v>
      </c>
      <c r="S27" s="45">
        <f t="shared" si="12"/>
        <v>3.7786063348424124</v>
      </c>
      <c r="T27" s="45">
        <f t="shared" si="12"/>
        <v>4.3243078539585831</v>
      </c>
      <c r="U27" s="45">
        <f t="shared" si="12"/>
        <v>4.9109369870084656</v>
      </c>
      <c r="V27" s="45">
        <f t="shared" si="12"/>
        <v>5.5415633050370889</v>
      </c>
      <c r="W27" s="45">
        <f t="shared" si="12"/>
        <v>6.2194865969178608</v>
      </c>
      <c r="X27" s="45">
        <f t="shared" si="12"/>
        <v>6.9482541356896892</v>
      </c>
      <c r="Y27" s="45">
        <f t="shared" si="12"/>
        <v>7.7316792398694041</v>
      </c>
      <c r="Z27" s="45">
        <f t="shared" si="12"/>
        <v>8.5738612268625989</v>
      </c>
      <c r="AA27" s="45">
        <f t="shared" si="12"/>
        <v>9.4792068628802841</v>
      </c>
      <c r="AB27" s="45">
        <f t="shared" si="12"/>
        <v>10.452453421599293</v>
      </c>
    </row>
  </sheetData>
  <sheetProtection algorithmName="SHA-512" hashValue="eGYZMlr/7CraANQrMaJXMC3Mz8lfDuBTrndD1o1QZN+EH/yp/EFT0q0E1mUPVzaD4qz7Xi+ayd29beIibHOvRQ==" saltValue="qcwWHVc//WsjhR/+u0Dzbg==" spinCount="100000" sheet="1" objects="1" scenarios="1" selectLockedCells="1" selectUnlockedCell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26C98-7B56-4027-902B-E1DD564E657A}">
  <dimension ref="A1:Z65"/>
  <sheetViews>
    <sheetView workbookViewId="0">
      <selection activeCell="J19" sqref="J19"/>
    </sheetView>
  </sheetViews>
  <sheetFormatPr defaultColWidth="16.453125" defaultRowHeight="14.5" x14ac:dyDescent="0.35"/>
  <cols>
    <col min="1" max="1" width="39.54296875" style="89" customWidth="1"/>
    <col min="2" max="2" width="22.7265625" style="89" customWidth="1"/>
    <col min="3" max="3" width="10.54296875" style="90" customWidth="1"/>
    <col min="4" max="4" width="12.1796875" style="89" customWidth="1"/>
    <col min="5" max="5" width="15.453125" style="89" customWidth="1"/>
    <col min="6" max="6" width="10.81640625" style="89" customWidth="1"/>
    <col min="7" max="7" width="11.54296875" style="89" customWidth="1"/>
    <col min="8" max="9" width="14.26953125" style="89" customWidth="1"/>
    <col min="10" max="10" width="12" style="89" customWidth="1"/>
    <col min="11" max="11" width="13.7265625" style="89" customWidth="1"/>
    <col min="12" max="12" width="12.26953125" style="89" customWidth="1"/>
    <col min="13" max="13" width="10.81640625" style="89" customWidth="1"/>
    <col min="14" max="14" width="10.7265625" style="89" customWidth="1"/>
    <col min="15" max="15" width="10.81640625" style="89" customWidth="1"/>
    <col min="16" max="16" width="10.453125" style="89" customWidth="1"/>
    <col min="17" max="17" width="12.54296875" style="89" customWidth="1"/>
    <col min="18" max="18" width="11.54296875" style="89" customWidth="1"/>
    <col min="19" max="19" width="10.81640625" style="89" bestFit="1" customWidth="1"/>
    <col min="20" max="20" width="12.453125" style="89" customWidth="1"/>
    <col min="21" max="21" width="11.7265625" style="89" customWidth="1"/>
    <col min="22" max="16384" width="16.453125" style="89"/>
  </cols>
  <sheetData>
    <row r="1" spans="1:19" ht="21" x14ac:dyDescent="0.35">
      <c r="A1" s="326" t="s">
        <v>154</v>
      </c>
      <c r="B1" s="347" t="str">
        <f>'Generation &amp; Ops Scenarios'!F27</f>
        <v>Mix 4 Wind, Solar,Storage, Diesel standby</v>
      </c>
      <c r="C1" s="348"/>
      <c r="D1" s="348"/>
    </row>
    <row r="2" spans="1:19" x14ac:dyDescent="0.35">
      <c r="A2" s="327" t="s">
        <v>152</v>
      </c>
      <c r="B2" s="328">
        <f>'Generation &amp; Ops Scenarios'!F35+'Generation &amp; Ops Scenarios'!F36+'Generation &amp; Ops Scenarios'!F37</f>
        <v>1700</v>
      </c>
      <c r="C2" s="310"/>
      <c r="D2" s="310"/>
    </row>
    <row r="3" spans="1:19" ht="15" thickBot="1" x14ac:dyDescent="0.4"/>
    <row r="4" spans="1:19" ht="15" thickBot="1" x14ac:dyDescent="0.4">
      <c r="A4" s="417" t="s">
        <v>1</v>
      </c>
      <c r="B4" s="418"/>
      <c r="C4" s="89"/>
      <c r="D4" s="419" t="s">
        <v>2</v>
      </c>
      <c r="E4" s="420"/>
      <c r="F4" s="420"/>
      <c r="G4" s="420"/>
      <c r="H4" s="421"/>
      <c r="K4" s="419" t="s">
        <v>3</v>
      </c>
      <c r="L4" s="420"/>
      <c r="M4" s="421"/>
      <c r="P4" s="417" t="s">
        <v>77</v>
      </c>
      <c r="Q4" s="422"/>
      <c r="R4" s="418"/>
    </row>
    <row r="5" spans="1:19" x14ac:dyDescent="0.35">
      <c r="A5" s="89" t="s">
        <v>83</v>
      </c>
      <c r="B5" s="329">
        <f>'Generation &amp; Ops Scenarios'!F55</f>
        <v>90000</v>
      </c>
      <c r="C5" s="89"/>
      <c r="D5" s="413" t="s">
        <v>9</v>
      </c>
      <c r="E5" s="414"/>
      <c r="F5" s="161"/>
      <c r="G5" s="161"/>
      <c r="H5" s="311">
        <f>'Generation &amp; Ops Scenarios'!$D$13</f>
        <v>160000</v>
      </c>
      <c r="I5" s="244"/>
      <c r="K5" s="295" t="s">
        <v>153</v>
      </c>
      <c r="L5" s="161"/>
      <c r="M5" s="56">
        <f>H21</f>
        <v>1400000</v>
      </c>
      <c r="P5" s="399" t="s">
        <v>25</v>
      </c>
      <c r="Q5" s="400"/>
      <c r="R5" s="86">
        <f>'Generation &amp; Ops Scenarios'!$B$11</f>
        <v>1</v>
      </c>
    </row>
    <row r="6" spans="1:19" x14ac:dyDescent="0.35">
      <c r="A6" s="89" t="s">
        <v>84</v>
      </c>
      <c r="B6" s="330">
        <f>'Generation &amp; Ops Scenarios'!F56</f>
        <v>1000000</v>
      </c>
      <c r="C6" s="89"/>
      <c r="D6" s="413" t="s">
        <v>10</v>
      </c>
      <c r="E6" s="414"/>
      <c r="F6" s="161"/>
      <c r="G6" s="161"/>
      <c r="H6" s="312">
        <f>'Generation &amp; Ops Scenarios'!$D$12</f>
        <v>40000</v>
      </c>
      <c r="I6" s="244"/>
      <c r="K6" s="295" t="s">
        <v>15</v>
      </c>
      <c r="L6" s="313"/>
      <c r="M6" s="56">
        <f>'Generation &amp; Ops Scenarios'!$B$2</f>
        <v>60</v>
      </c>
      <c r="P6" s="399" t="s">
        <v>5</v>
      </c>
      <c r="Q6" s="400"/>
      <c r="R6" s="74">
        <f>'Generation &amp; Ops Scenarios'!B14</f>
        <v>7.4999999999999997E-2</v>
      </c>
    </row>
    <row r="7" spans="1:19" x14ac:dyDescent="0.35">
      <c r="A7" s="89" t="s">
        <v>85</v>
      </c>
      <c r="B7" s="330">
        <f>'Generation &amp; Ops Scenarios'!F57</f>
        <v>780000</v>
      </c>
      <c r="C7" s="89"/>
      <c r="D7" s="413" t="s">
        <v>11</v>
      </c>
      <c r="E7" s="414"/>
      <c r="F7" s="161"/>
      <c r="G7" s="161"/>
      <c r="H7" s="300">
        <f>SUM(H5:H6)</f>
        <v>200000</v>
      </c>
      <c r="I7" s="244"/>
      <c r="K7" s="295" t="s">
        <v>28</v>
      </c>
      <c r="L7" s="313"/>
      <c r="M7" s="314">
        <v>0</v>
      </c>
      <c r="P7" s="399" t="s">
        <v>26</v>
      </c>
      <c r="Q7" s="400"/>
      <c r="R7" s="87">
        <f>R5*B22</f>
        <v>5595623.916666667</v>
      </c>
    </row>
    <row r="8" spans="1:19" x14ac:dyDescent="0.35">
      <c r="A8" s="89" t="s">
        <v>86</v>
      </c>
      <c r="B8" s="330">
        <f>'Generation &amp; Ops Scenarios'!F58</f>
        <v>480000</v>
      </c>
      <c r="C8" s="89"/>
      <c r="D8" s="413"/>
      <c r="E8" s="414"/>
      <c r="F8" s="161"/>
      <c r="G8" s="161"/>
      <c r="H8" s="300"/>
      <c r="I8" s="244"/>
      <c r="K8" s="401" t="s">
        <v>72</v>
      </c>
      <c r="L8" s="402"/>
      <c r="M8" s="315">
        <f>'Generation &amp; Ops Scenarios'!$G$10</f>
        <v>0</v>
      </c>
      <c r="P8" s="399" t="s">
        <v>27</v>
      </c>
      <c r="Q8" s="400"/>
      <c r="R8" s="87">
        <f>'Generation &amp; Ops Scenarios'!$B$12</f>
        <v>25</v>
      </c>
    </row>
    <row r="9" spans="1:19" x14ac:dyDescent="0.35">
      <c r="A9" s="89" t="s">
        <v>87</v>
      </c>
      <c r="B9" s="330">
        <f>'Generation &amp; Ops Scenarios'!F59</f>
        <v>250000</v>
      </c>
      <c r="C9" s="89"/>
      <c r="D9" s="111" t="s">
        <v>103</v>
      </c>
      <c r="E9" s="161"/>
      <c r="F9" s="161"/>
      <c r="G9" s="161"/>
      <c r="H9" s="77">
        <f>B5*'Generation &amp; Ops Scenarios'!$B$20</f>
        <v>13500</v>
      </c>
      <c r="I9" s="244"/>
      <c r="K9" s="401" t="s">
        <v>73</v>
      </c>
      <c r="L9" s="402"/>
      <c r="M9" s="315">
        <f>'Generation &amp; Ops Scenarios'!$G$11</f>
        <v>0</v>
      </c>
      <c r="P9" s="399" t="s">
        <v>53</v>
      </c>
      <c r="Q9" s="400"/>
      <c r="R9" s="87">
        <f>'Generation &amp; Ops Scenarios'!B13</f>
        <v>25</v>
      </c>
    </row>
    <row r="10" spans="1:19" x14ac:dyDescent="0.35">
      <c r="A10" s="89" t="s">
        <v>88</v>
      </c>
      <c r="B10" s="330">
        <f>SUM(B5:B9)*0.1</f>
        <v>260000</v>
      </c>
      <c r="C10" s="89"/>
      <c r="D10" s="111" t="s">
        <v>105</v>
      </c>
      <c r="E10" s="161"/>
      <c r="F10" s="161"/>
      <c r="G10" s="161"/>
      <c r="H10" s="77">
        <f>B7*'Generation &amp; Ops Scenarios'!$B$21</f>
        <v>7800</v>
      </c>
      <c r="I10" s="244"/>
      <c r="K10" s="401" t="s">
        <v>74</v>
      </c>
      <c r="L10" s="402"/>
      <c r="M10" s="315">
        <f>'Generation &amp; Ops Scenarios'!$G$12</f>
        <v>0</v>
      </c>
      <c r="P10" s="399" t="s">
        <v>56</v>
      </c>
      <c r="Q10" s="400"/>
      <c r="R10" s="74">
        <f>'Generation &amp; Ops Scenarios'!$G$16</f>
        <v>0</v>
      </c>
    </row>
    <row r="11" spans="1:19" ht="15" thickBot="1" x14ac:dyDescent="0.4">
      <c r="A11" s="89" t="s">
        <v>8</v>
      </c>
      <c r="B11" s="330">
        <f>SUM(B5:B10)*0.1</f>
        <v>286000</v>
      </c>
      <c r="C11" s="89"/>
      <c r="D11" s="111" t="s">
        <v>107</v>
      </c>
      <c r="E11" s="161"/>
      <c r="F11" s="161"/>
      <c r="G11" s="161"/>
      <c r="H11" s="77">
        <f>B6*'Generation &amp; Ops Scenarios'!$B$22</f>
        <v>20000</v>
      </c>
      <c r="I11" s="244"/>
      <c r="K11" s="411" t="s">
        <v>75</v>
      </c>
      <c r="L11" s="412"/>
      <c r="M11" s="316">
        <f>'Generation &amp; Ops Scenarios'!$G$13</f>
        <v>0</v>
      </c>
      <c r="P11" s="399" t="s">
        <v>55</v>
      </c>
      <c r="Q11" s="400"/>
      <c r="R11" s="74">
        <f>'Generation &amp; Ops Scenarios'!$G$17</f>
        <v>0</v>
      </c>
    </row>
    <row r="12" spans="1:19" ht="15" thickBot="1" x14ac:dyDescent="0.4">
      <c r="A12" s="89" t="s">
        <v>89</v>
      </c>
      <c r="B12" s="331">
        <f>SUM(B5:B11)</f>
        <v>3146000</v>
      </c>
      <c r="C12" s="89"/>
      <c r="D12" s="111" t="s">
        <v>108</v>
      </c>
      <c r="E12" s="161"/>
      <c r="F12" s="161"/>
      <c r="G12" s="161"/>
      <c r="H12" s="77">
        <f>B8*'Generation &amp; Ops Scenarios'!B23</f>
        <v>9600</v>
      </c>
      <c r="I12" s="244"/>
      <c r="P12" s="403" t="s">
        <v>57</v>
      </c>
      <c r="Q12" s="404"/>
      <c r="R12" s="332">
        <f>'Generation &amp; Ops Scenarios'!$G$18</f>
        <v>0</v>
      </c>
    </row>
    <row r="13" spans="1:19" x14ac:dyDescent="0.35">
      <c r="B13" s="333"/>
      <c r="C13" s="89"/>
      <c r="D13" s="111" t="s">
        <v>109</v>
      </c>
      <c r="E13" s="161"/>
      <c r="F13" s="161"/>
      <c r="G13" s="161"/>
      <c r="H13" s="77">
        <f>B21*'Generation &amp; Ops Scenarios'!$B$24</f>
        <v>24496.23916666667</v>
      </c>
      <c r="I13" s="244"/>
      <c r="K13" s="408" t="s">
        <v>230</v>
      </c>
      <c r="L13" s="409"/>
      <c r="M13" s="410"/>
    </row>
    <row r="14" spans="1:19" ht="15" thickBot="1" x14ac:dyDescent="0.4">
      <c r="A14" s="89" t="s">
        <v>166</v>
      </c>
      <c r="B14" s="330">
        <f>'Generation &amp; Ops Scenarios'!F64</f>
        <v>542630</v>
      </c>
      <c r="C14" s="89"/>
      <c r="D14" s="111" t="s">
        <v>162</v>
      </c>
      <c r="E14" s="161"/>
      <c r="F14" s="161"/>
      <c r="G14" s="161"/>
      <c r="H14" s="77">
        <f>'Generation &amp; Ops Scenarios'!B81*M5/100</f>
        <v>14000</v>
      </c>
      <c r="I14" s="244"/>
      <c r="K14" s="405" t="s">
        <v>231</v>
      </c>
      <c r="L14" s="406"/>
      <c r="M14" s="407"/>
    </row>
    <row r="15" spans="1:19" x14ac:dyDescent="0.35">
      <c r="A15" s="89" t="s">
        <v>170</v>
      </c>
      <c r="B15" s="330">
        <f>'Generation &amp; Ops Scenarios'!F65</f>
        <v>359081.8</v>
      </c>
      <c r="C15" s="89"/>
      <c r="D15" s="111" t="s">
        <v>151</v>
      </c>
      <c r="E15" s="161"/>
      <c r="F15" s="161"/>
      <c r="G15" s="161"/>
      <c r="H15" s="56">
        <f>('Generation &amp; Ops Scenarios'!D15+('Generation &amp; Ops Scenarios'!D16*'Generation &amp; Ops Scenarios'!F37/100)+('Generation &amp; Ops Scenarios'!D17*'Generation &amp; Ops Scenarios'!F36/100))</f>
        <v>14850</v>
      </c>
      <c r="I15" s="298"/>
      <c r="K15" s="292" t="s">
        <v>229</v>
      </c>
      <c r="L15" s="293"/>
      <c r="M15" s="294">
        <f>'Generation &amp; Ops Scenarios'!F48</f>
        <v>0</v>
      </c>
    </row>
    <row r="16" spans="1:19" x14ac:dyDescent="0.35">
      <c r="A16" s="89" t="s">
        <v>175</v>
      </c>
      <c r="B16" s="330">
        <f>'Generation &amp; Ops Scenarios'!F66</f>
        <v>196652.5</v>
      </c>
      <c r="C16" s="89"/>
      <c r="D16" s="317" t="s">
        <v>14</v>
      </c>
      <c r="E16" s="318"/>
      <c r="F16" s="161"/>
      <c r="G16" s="161"/>
      <c r="H16" s="299">
        <f>SUM(H7:H15)</f>
        <v>304246.2391666667</v>
      </c>
      <c r="I16" s="244"/>
      <c r="J16" s="161"/>
      <c r="K16" s="295" t="s">
        <v>232</v>
      </c>
      <c r="L16" s="163"/>
      <c r="M16" s="87">
        <f>'Generation &amp; Ops Scenarios'!F41+'Generation &amp; Ops Scenarios'!F43</f>
        <v>657000</v>
      </c>
      <c r="N16" s="161"/>
      <c r="O16" s="161"/>
      <c r="P16" s="161"/>
      <c r="Q16" s="161"/>
      <c r="R16" s="161"/>
      <c r="S16" s="161"/>
    </row>
    <row r="17" spans="1:26" x14ac:dyDescent="0.35">
      <c r="A17" s="89" t="s">
        <v>174</v>
      </c>
      <c r="B17" s="330">
        <f>'Generation &amp; Ops Scenarios'!F67</f>
        <v>113166.53333333334</v>
      </c>
      <c r="C17" s="89"/>
      <c r="D17" s="319"/>
      <c r="E17" s="320"/>
      <c r="F17" s="161"/>
      <c r="G17" s="161"/>
      <c r="H17" s="300"/>
      <c r="I17" s="244"/>
      <c r="J17" s="161"/>
      <c r="K17" s="295" t="s">
        <v>233</v>
      </c>
      <c r="L17" s="163"/>
      <c r="M17" s="87">
        <f>'Generation &amp; Ops Scenarios'!F42+'Generation &amp; Ops Scenarios'!F44</f>
        <v>1708200</v>
      </c>
      <c r="N17" s="161"/>
      <c r="O17" s="161"/>
      <c r="P17" s="161"/>
      <c r="Q17" s="161"/>
      <c r="R17" s="161"/>
      <c r="S17" s="161"/>
    </row>
    <row r="18" spans="1:26" ht="15" thickBot="1" x14ac:dyDescent="0.4">
      <c r="A18" s="89" t="s">
        <v>182</v>
      </c>
      <c r="B18" s="330">
        <f>'Generation &amp; Ops Scenarios'!F68</f>
        <v>855400</v>
      </c>
      <c r="C18" s="89"/>
      <c r="D18" s="317" t="s">
        <v>12</v>
      </c>
      <c r="E18" s="318"/>
      <c r="F18" s="161"/>
      <c r="G18" s="161"/>
      <c r="H18" s="301">
        <f>'Generation &amp; Ops Scenarios'!B17</f>
        <v>87</v>
      </c>
      <c r="I18" s="244"/>
      <c r="J18" s="161"/>
      <c r="K18" s="296" t="s">
        <v>234</v>
      </c>
      <c r="L18" s="261"/>
      <c r="M18" s="297">
        <f>SUM(M15:M17)</f>
        <v>2365200</v>
      </c>
      <c r="N18" s="161"/>
      <c r="O18" s="161"/>
      <c r="P18" s="161"/>
      <c r="Q18" s="161"/>
      <c r="R18" s="161"/>
      <c r="S18" s="161"/>
    </row>
    <row r="19" spans="1:26" x14ac:dyDescent="0.35">
      <c r="A19" s="89" t="s">
        <v>185</v>
      </c>
      <c r="B19" s="330">
        <f>'Generation &amp; Ops Scenarios'!F69</f>
        <v>160000</v>
      </c>
      <c r="C19" s="89"/>
      <c r="D19" s="317" t="s">
        <v>155</v>
      </c>
      <c r="E19" s="318"/>
      <c r="F19" s="161"/>
      <c r="G19" s="161"/>
      <c r="H19" s="302">
        <f>'Generation &amp; Ops Scenarios'!B18</f>
        <v>3.9583333333333335</v>
      </c>
      <c r="I19" s="244"/>
      <c r="J19" s="161"/>
      <c r="K19" s="161"/>
      <c r="L19" s="161"/>
      <c r="M19" s="161"/>
      <c r="N19" s="161"/>
      <c r="O19" s="161"/>
      <c r="P19" s="161"/>
      <c r="Q19" s="161"/>
      <c r="R19" s="161"/>
      <c r="S19" s="161"/>
    </row>
    <row r="20" spans="1:26" x14ac:dyDescent="0.35">
      <c r="A20" s="89" t="s">
        <v>8</v>
      </c>
      <c r="B20" s="330">
        <f>SUM(B14:B19)*0.1</f>
        <v>222693.08333333337</v>
      </c>
      <c r="C20" s="89"/>
      <c r="D20" s="317"/>
      <c r="E20" s="318"/>
      <c r="F20" s="161"/>
      <c r="G20" s="161"/>
      <c r="H20" s="303"/>
      <c r="I20" s="244"/>
      <c r="J20" s="161"/>
      <c r="K20" s="161"/>
      <c r="L20" s="161"/>
      <c r="M20" s="161"/>
      <c r="N20" s="161"/>
      <c r="O20" s="161"/>
      <c r="P20" s="161"/>
      <c r="Q20" s="161"/>
      <c r="R20" s="161"/>
      <c r="S20" s="161"/>
    </row>
    <row r="21" spans="1:26" x14ac:dyDescent="0.35">
      <c r="A21" s="89" t="s">
        <v>90</v>
      </c>
      <c r="B21" s="331">
        <f>SUM(B14:B20)</f>
        <v>2449623.916666667</v>
      </c>
      <c r="C21" s="89"/>
      <c r="D21" s="317" t="s">
        <v>13</v>
      </c>
      <c r="E21" s="318"/>
      <c r="F21" s="161"/>
      <c r="G21" s="161"/>
      <c r="H21" s="304">
        <f>'Generation &amp; Ops Scenarios'!B3</f>
        <v>1400000</v>
      </c>
      <c r="I21" s="244"/>
      <c r="J21" s="161"/>
      <c r="K21" s="161"/>
      <c r="L21" s="161"/>
      <c r="M21" s="161"/>
      <c r="N21" s="161"/>
      <c r="O21" s="161"/>
      <c r="P21" s="161"/>
      <c r="Q21" s="161"/>
      <c r="R21" s="161"/>
      <c r="S21" s="161"/>
    </row>
    <row r="22" spans="1:26" ht="15" thickBot="1" x14ac:dyDescent="0.4">
      <c r="A22" s="108" t="s">
        <v>6</v>
      </c>
      <c r="B22" s="334">
        <f>B12+B21</f>
        <v>5595623.916666667</v>
      </c>
      <c r="C22" s="89"/>
      <c r="D22" s="317"/>
      <c r="E22" s="318"/>
      <c r="F22" s="161"/>
      <c r="G22" s="161"/>
      <c r="H22" s="305"/>
      <c r="I22" s="244"/>
      <c r="J22" s="161"/>
      <c r="K22" s="161"/>
      <c r="L22" s="161"/>
      <c r="M22" s="161"/>
      <c r="N22" s="161"/>
      <c r="O22" s="161"/>
      <c r="P22" s="161"/>
      <c r="Q22" s="161"/>
      <c r="R22" s="161"/>
      <c r="S22" s="161"/>
    </row>
    <row r="23" spans="1:26" x14ac:dyDescent="0.35">
      <c r="A23" s="161"/>
      <c r="B23" s="335"/>
      <c r="C23" s="89"/>
      <c r="D23" s="322" t="s">
        <v>157</v>
      </c>
      <c r="E23" s="323"/>
      <c r="F23" s="161"/>
      <c r="G23" s="161"/>
      <c r="H23" s="290">
        <f>H18/H19</f>
        <v>21.978947368421053</v>
      </c>
      <c r="I23" s="244"/>
      <c r="J23" s="161"/>
      <c r="K23" s="161"/>
      <c r="L23" s="161"/>
      <c r="M23" s="161"/>
      <c r="N23" s="161"/>
      <c r="O23" s="161"/>
      <c r="P23" s="161"/>
      <c r="Q23" s="161"/>
      <c r="R23" s="161"/>
      <c r="S23" s="161"/>
    </row>
    <row r="24" spans="1:26" ht="15" thickBot="1" x14ac:dyDescent="0.4">
      <c r="A24" s="161"/>
      <c r="B24" s="335"/>
      <c r="C24" s="89"/>
      <c r="D24" s="324" t="s">
        <v>156</v>
      </c>
      <c r="E24" s="325"/>
      <c r="F24" s="258"/>
      <c r="G24" s="258"/>
      <c r="H24" s="291">
        <f>-'Mix 4 Cash Flow'!D8/H21*100</f>
        <v>0</v>
      </c>
      <c r="I24" s="244"/>
      <c r="J24" s="161"/>
      <c r="K24" s="161"/>
      <c r="L24" s="161"/>
      <c r="M24" s="161"/>
      <c r="N24" s="161"/>
      <c r="O24" s="161"/>
      <c r="P24" s="161"/>
      <c r="Q24" s="161"/>
      <c r="R24" s="161"/>
      <c r="S24" s="161"/>
    </row>
    <row r="25" spans="1:26" x14ac:dyDescent="0.35">
      <c r="A25" s="161"/>
      <c r="B25" s="335"/>
      <c r="C25" s="89"/>
      <c r="D25" s="323"/>
      <c r="E25" s="336"/>
      <c r="F25" s="161"/>
      <c r="G25" s="161"/>
      <c r="H25" s="307"/>
      <c r="J25" s="161"/>
      <c r="K25" s="161"/>
      <c r="L25" s="161"/>
      <c r="M25" s="161"/>
      <c r="N25" s="161"/>
      <c r="O25" s="161"/>
      <c r="P25" s="161"/>
      <c r="Q25" s="161"/>
      <c r="R25" s="161"/>
      <c r="S25" s="161"/>
    </row>
    <row r="26" spans="1:26" ht="14.15" customHeight="1" thickBot="1" x14ac:dyDescent="0.4"/>
    <row r="27" spans="1:26" ht="15" thickBot="1" x14ac:dyDescent="0.4">
      <c r="A27" s="165"/>
      <c r="B27" s="92" t="s">
        <v>7</v>
      </c>
      <c r="C27" s="93"/>
      <c r="D27" s="93"/>
      <c r="E27" s="93"/>
      <c r="F27" s="93"/>
      <c r="G27" s="93"/>
      <c r="H27" s="93"/>
      <c r="I27" s="93"/>
      <c r="J27" s="93"/>
      <c r="K27" s="93"/>
      <c r="L27" s="93"/>
      <c r="M27" s="93"/>
      <c r="N27" s="93"/>
      <c r="O27" s="93"/>
      <c r="P27" s="93"/>
      <c r="Q27" s="93"/>
      <c r="R27" s="93"/>
      <c r="S27" s="93"/>
      <c r="T27" s="93"/>
      <c r="U27" s="93"/>
      <c r="V27" s="93"/>
      <c r="W27" s="93"/>
      <c r="X27" s="93"/>
      <c r="Y27" s="93"/>
      <c r="Z27" s="94"/>
    </row>
    <row r="28" spans="1:26" x14ac:dyDescent="0.35">
      <c r="A28" s="111"/>
      <c r="B28" s="164">
        <v>1</v>
      </c>
      <c r="C28" s="164">
        <v>2</v>
      </c>
      <c r="D28" s="164">
        <v>3</v>
      </c>
      <c r="E28" s="164">
        <v>4</v>
      </c>
      <c r="F28" s="164">
        <v>5</v>
      </c>
      <c r="G28" s="164">
        <v>6</v>
      </c>
      <c r="H28" s="164">
        <v>7</v>
      </c>
      <c r="I28" s="164">
        <v>8</v>
      </c>
      <c r="J28" s="164">
        <v>9</v>
      </c>
      <c r="K28" s="164">
        <v>10</v>
      </c>
      <c r="L28" s="164">
        <v>11</v>
      </c>
      <c r="M28" s="164">
        <v>12</v>
      </c>
      <c r="N28" s="164">
        <v>13</v>
      </c>
      <c r="O28" s="164">
        <v>14</v>
      </c>
      <c r="P28" s="164">
        <v>15</v>
      </c>
      <c r="Q28" s="164">
        <v>16</v>
      </c>
      <c r="R28" s="164">
        <v>17</v>
      </c>
      <c r="S28" s="164">
        <v>18</v>
      </c>
      <c r="T28" s="164">
        <v>19</v>
      </c>
      <c r="U28" s="164">
        <v>20</v>
      </c>
      <c r="V28" s="164">
        <v>21</v>
      </c>
      <c r="W28" s="164">
        <v>22</v>
      </c>
      <c r="X28" s="164">
        <v>23</v>
      </c>
      <c r="Y28" s="164">
        <v>24</v>
      </c>
      <c r="Z28" s="164">
        <v>25</v>
      </c>
    </row>
    <row r="29" spans="1:26" x14ac:dyDescent="0.35">
      <c r="A29" s="97" t="s">
        <v>65</v>
      </c>
      <c r="B29" s="98">
        <f>'Mix 4 Profit and Loss'!D8</f>
        <v>840000</v>
      </c>
      <c r="C29" s="98">
        <f>'Mix 4 Profit and Loss'!E8</f>
        <v>840000</v>
      </c>
      <c r="D29" s="98">
        <f>'Mix 4 Profit and Loss'!F8</f>
        <v>840000</v>
      </c>
      <c r="E29" s="98">
        <f>'Mix 4 Profit and Loss'!G8</f>
        <v>840000</v>
      </c>
      <c r="F29" s="98">
        <f>'Mix 4 Profit and Loss'!H8</f>
        <v>840000</v>
      </c>
      <c r="G29" s="98">
        <f>'Mix 4 Profit and Loss'!I8</f>
        <v>840000</v>
      </c>
      <c r="H29" s="98">
        <f>'Mix 4 Profit and Loss'!J8</f>
        <v>840000</v>
      </c>
      <c r="I29" s="98">
        <f>'Mix 4 Profit and Loss'!K8</f>
        <v>840000</v>
      </c>
      <c r="J29" s="98">
        <f>'Mix 4 Profit and Loss'!L8</f>
        <v>840000</v>
      </c>
      <c r="K29" s="98">
        <f>'Mix 4 Profit and Loss'!M8</f>
        <v>840000</v>
      </c>
      <c r="L29" s="98">
        <f>'Mix 4 Profit and Loss'!N8</f>
        <v>840000</v>
      </c>
      <c r="M29" s="98">
        <f>'Mix 4 Profit and Loss'!O8</f>
        <v>840000</v>
      </c>
      <c r="N29" s="98">
        <f>'Mix 4 Profit and Loss'!P8</f>
        <v>840000</v>
      </c>
      <c r="O29" s="98">
        <f>'Mix 4 Profit and Loss'!Q8</f>
        <v>840000</v>
      </c>
      <c r="P29" s="98">
        <f>'Mix 4 Profit and Loss'!R8</f>
        <v>840000</v>
      </c>
      <c r="Q29" s="98">
        <f>'Mix 4 Profit and Loss'!S8</f>
        <v>840000</v>
      </c>
      <c r="R29" s="98">
        <f>'Mix 4 Profit and Loss'!T8</f>
        <v>840000</v>
      </c>
      <c r="S29" s="98">
        <f>'Mix 4 Profit and Loss'!U8</f>
        <v>840000</v>
      </c>
      <c r="T29" s="98">
        <f>'Mix 4 Profit and Loss'!V8</f>
        <v>840000</v>
      </c>
      <c r="U29" s="98">
        <f>'Mix 4 Profit and Loss'!W8</f>
        <v>840000</v>
      </c>
      <c r="V29" s="98">
        <f>'Mix 4 Profit and Loss'!X8</f>
        <v>840000</v>
      </c>
      <c r="W29" s="98">
        <f>'Mix 4 Profit and Loss'!Y8</f>
        <v>840000</v>
      </c>
      <c r="X29" s="98">
        <f>'Mix 4 Profit and Loss'!Z8</f>
        <v>840000</v>
      </c>
      <c r="Y29" s="98">
        <f>'Mix 4 Profit and Loss'!AA8</f>
        <v>840000</v>
      </c>
      <c r="Z29" s="98">
        <f>'Mix 4 Profit and Loss'!AB8</f>
        <v>840000</v>
      </c>
    </row>
    <row r="30" spans="1:26" x14ac:dyDescent="0.35">
      <c r="A30" s="99" t="s">
        <v>66</v>
      </c>
      <c r="B30" s="98">
        <f>'Mix 4 Profit and Loss'!D14</f>
        <v>-304246.2391666667</v>
      </c>
      <c r="C30" s="98">
        <f>'Mix 4 Profit and Loss'!E14</f>
        <v>-304246.2391666667</v>
      </c>
      <c r="D30" s="98">
        <f>'Mix 4 Profit and Loss'!F14</f>
        <v>-304246.2391666667</v>
      </c>
      <c r="E30" s="98">
        <f>'Mix 4 Profit and Loss'!G14</f>
        <v>-304246.2391666667</v>
      </c>
      <c r="F30" s="98">
        <f>'Mix 4 Profit and Loss'!H14</f>
        <v>-304246.2391666667</v>
      </c>
      <c r="G30" s="98">
        <f>'Mix 4 Profit and Loss'!I14</f>
        <v>-304246.2391666667</v>
      </c>
      <c r="H30" s="98">
        <f>'Mix 4 Profit and Loss'!J14</f>
        <v>-304246.2391666667</v>
      </c>
      <c r="I30" s="98">
        <f>'Mix 4 Profit and Loss'!K14</f>
        <v>-304246.2391666667</v>
      </c>
      <c r="J30" s="98">
        <f>'Mix 4 Profit and Loss'!L14</f>
        <v>-304246.2391666667</v>
      </c>
      <c r="K30" s="98">
        <f>'Mix 4 Profit and Loss'!M14</f>
        <v>-304246.2391666667</v>
      </c>
      <c r="L30" s="98">
        <f>'Mix 4 Profit and Loss'!N14</f>
        <v>-304246.2391666667</v>
      </c>
      <c r="M30" s="98">
        <f>'Mix 4 Profit and Loss'!O14</f>
        <v>-304246.2391666667</v>
      </c>
      <c r="N30" s="98">
        <f>'Mix 4 Profit and Loss'!P14</f>
        <v>-304246.2391666667</v>
      </c>
      <c r="O30" s="98">
        <f>'Mix 4 Profit and Loss'!Q14</f>
        <v>-304246.2391666667</v>
      </c>
      <c r="P30" s="98">
        <f>'Mix 4 Profit and Loss'!R14</f>
        <v>-304246.2391666667</v>
      </c>
      <c r="Q30" s="98">
        <f>'Mix 4 Profit and Loss'!S14</f>
        <v>-304246.2391666667</v>
      </c>
      <c r="R30" s="98">
        <f>'Mix 4 Profit and Loss'!T14</f>
        <v>-304246.2391666667</v>
      </c>
      <c r="S30" s="98">
        <f>'Mix 4 Profit and Loss'!U14</f>
        <v>-304246.2391666667</v>
      </c>
      <c r="T30" s="98">
        <f>'Mix 4 Profit and Loss'!V14</f>
        <v>-304246.2391666667</v>
      </c>
      <c r="U30" s="98">
        <f>'Mix 4 Profit and Loss'!W14</f>
        <v>-304246.2391666667</v>
      </c>
      <c r="V30" s="98">
        <f>'Mix 4 Profit and Loss'!X14</f>
        <v>-304246.2391666667</v>
      </c>
      <c r="W30" s="98">
        <f>'Mix 4 Profit and Loss'!Y14</f>
        <v>-304246.2391666667</v>
      </c>
      <c r="X30" s="98">
        <f>'Mix 4 Profit and Loss'!Z14</f>
        <v>-304246.2391666667</v>
      </c>
      <c r="Y30" s="98">
        <f>'Mix 4 Profit and Loss'!AA14</f>
        <v>-304246.2391666667</v>
      </c>
      <c r="Z30" s="98">
        <f>'Mix 4 Profit and Loss'!AB14</f>
        <v>-304246.2391666667</v>
      </c>
    </row>
    <row r="31" spans="1:26" x14ac:dyDescent="0.35">
      <c r="A31" s="100" t="s">
        <v>67</v>
      </c>
      <c r="B31" s="101">
        <f>SUM(B29:B30)</f>
        <v>535753.76083333325</v>
      </c>
      <c r="C31" s="101">
        <f t="shared" ref="C31:U31" si="0">SUM(C29:C30)</f>
        <v>535753.76083333325</v>
      </c>
      <c r="D31" s="101">
        <f t="shared" si="0"/>
        <v>535753.76083333325</v>
      </c>
      <c r="E31" s="101">
        <f t="shared" si="0"/>
        <v>535753.76083333325</v>
      </c>
      <c r="F31" s="101">
        <f t="shared" si="0"/>
        <v>535753.76083333325</v>
      </c>
      <c r="G31" s="101">
        <f t="shared" si="0"/>
        <v>535753.76083333325</v>
      </c>
      <c r="H31" s="101">
        <f t="shared" si="0"/>
        <v>535753.76083333325</v>
      </c>
      <c r="I31" s="101">
        <f t="shared" si="0"/>
        <v>535753.76083333325</v>
      </c>
      <c r="J31" s="101">
        <f t="shared" si="0"/>
        <v>535753.76083333325</v>
      </c>
      <c r="K31" s="101">
        <f t="shared" si="0"/>
        <v>535753.76083333325</v>
      </c>
      <c r="L31" s="101">
        <f t="shared" si="0"/>
        <v>535753.76083333325</v>
      </c>
      <c r="M31" s="101">
        <f t="shared" si="0"/>
        <v>535753.76083333325</v>
      </c>
      <c r="N31" s="101">
        <f t="shared" si="0"/>
        <v>535753.76083333325</v>
      </c>
      <c r="O31" s="101">
        <f t="shared" si="0"/>
        <v>535753.76083333325</v>
      </c>
      <c r="P31" s="101">
        <f t="shared" si="0"/>
        <v>535753.76083333325</v>
      </c>
      <c r="Q31" s="101">
        <f t="shared" si="0"/>
        <v>535753.76083333325</v>
      </c>
      <c r="R31" s="101">
        <f t="shared" si="0"/>
        <v>535753.76083333325</v>
      </c>
      <c r="S31" s="101">
        <f t="shared" si="0"/>
        <v>535753.76083333325</v>
      </c>
      <c r="T31" s="101">
        <f t="shared" si="0"/>
        <v>535753.76083333325</v>
      </c>
      <c r="U31" s="101">
        <f t="shared" si="0"/>
        <v>535753.76083333325</v>
      </c>
      <c r="V31" s="101">
        <f t="shared" ref="V31:Z31" si="1">SUM(V29:V30)</f>
        <v>535753.76083333325</v>
      </c>
      <c r="W31" s="101">
        <f t="shared" si="1"/>
        <v>535753.76083333325</v>
      </c>
      <c r="X31" s="101">
        <f t="shared" si="1"/>
        <v>535753.76083333325</v>
      </c>
      <c r="Y31" s="101">
        <f t="shared" si="1"/>
        <v>535753.76083333325</v>
      </c>
      <c r="Z31" s="101">
        <f t="shared" si="1"/>
        <v>535753.76083333325</v>
      </c>
    </row>
    <row r="32" spans="1:26" x14ac:dyDescent="0.35">
      <c r="A32" s="99" t="s">
        <v>68</v>
      </c>
      <c r="B32" s="98">
        <f>'Mix 4 Profit and Loss'!D19</f>
        <v>-223824.95666666667</v>
      </c>
      <c r="C32" s="98">
        <f>'Mix 4 Profit and Loss'!E19</f>
        <v>-223824.95666666667</v>
      </c>
      <c r="D32" s="98">
        <f>'Mix 4 Profit and Loss'!F19</f>
        <v>-223824.95666666667</v>
      </c>
      <c r="E32" s="98">
        <f>'Mix 4 Profit and Loss'!G19</f>
        <v>-223824.95666666667</v>
      </c>
      <c r="F32" s="98">
        <f>'Mix 4 Profit and Loss'!H19</f>
        <v>-223824.95666666667</v>
      </c>
      <c r="G32" s="98">
        <f>'Mix 4 Profit and Loss'!I19</f>
        <v>-223824.95666666667</v>
      </c>
      <c r="H32" s="98">
        <f>'Mix 4 Profit and Loss'!J19</f>
        <v>-223824.95666666667</v>
      </c>
      <c r="I32" s="98">
        <f>'Mix 4 Profit and Loss'!K19</f>
        <v>-223824.95666666667</v>
      </c>
      <c r="J32" s="98">
        <f>'Mix 4 Profit and Loss'!L19</f>
        <v>-223824.95666666667</v>
      </c>
      <c r="K32" s="98">
        <f>'Mix 4 Profit and Loss'!M19</f>
        <v>-223824.95666666667</v>
      </c>
      <c r="L32" s="98">
        <f>'Mix 4 Profit and Loss'!N19</f>
        <v>-223824.95666666667</v>
      </c>
      <c r="M32" s="98">
        <f>'Mix 4 Profit and Loss'!O19</f>
        <v>-223824.95666666667</v>
      </c>
      <c r="N32" s="98">
        <f>'Mix 4 Profit and Loss'!P19</f>
        <v>-223824.95666666667</v>
      </c>
      <c r="O32" s="98">
        <f>'Mix 4 Profit and Loss'!Q19</f>
        <v>-223824.95666666667</v>
      </c>
      <c r="P32" s="98">
        <f>'Mix 4 Profit and Loss'!R19</f>
        <v>-223824.95666666667</v>
      </c>
      <c r="Q32" s="98">
        <f>'Mix 4 Profit and Loss'!S19</f>
        <v>-223824.95666666667</v>
      </c>
      <c r="R32" s="98">
        <f>'Mix 4 Profit and Loss'!T19</f>
        <v>-223824.95666666667</v>
      </c>
      <c r="S32" s="98">
        <f>'Mix 4 Profit and Loss'!U19</f>
        <v>-223824.95666666667</v>
      </c>
      <c r="T32" s="98">
        <f>'Mix 4 Profit and Loss'!V19</f>
        <v>-223824.95666666667</v>
      </c>
      <c r="U32" s="98">
        <f>'Mix 4 Profit and Loss'!W19</f>
        <v>-223824.95666666667</v>
      </c>
      <c r="V32" s="98">
        <f>'Mix 4 Profit and Loss'!X19</f>
        <v>-223824.95666666667</v>
      </c>
      <c r="W32" s="98">
        <f>'Mix 4 Profit and Loss'!Y19</f>
        <v>-223824.95666666667</v>
      </c>
      <c r="X32" s="98">
        <f>'Mix 4 Profit and Loss'!Z19</f>
        <v>-223824.95666666667</v>
      </c>
      <c r="Y32" s="98">
        <f>'Mix 4 Profit and Loss'!AA19</f>
        <v>-223824.95666666667</v>
      </c>
      <c r="Z32" s="98">
        <f>'Mix 4 Profit and Loss'!AB19</f>
        <v>-223824.95666666667</v>
      </c>
    </row>
    <row r="33" spans="1:26" x14ac:dyDescent="0.35">
      <c r="A33" s="100" t="s">
        <v>64</v>
      </c>
      <c r="B33" s="101">
        <f>SUM(B31:B32)</f>
        <v>311928.80416666658</v>
      </c>
      <c r="C33" s="101">
        <f t="shared" ref="C33:U33" si="2">SUM(C31:C32)</f>
        <v>311928.80416666658</v>
      </c>
      <c r="D33" s="101">
        <f t="shared" si="2"/>
        <v>311928.80416666658</v>
      </c>
      <c r="E33" s="101">
        <f t="shared" si="2"/>
        <v>311928.80416666658</v>
      </c>
      <c r="F33" s="101">
        <f t="shared" si="2"/>
        <v>311928.80416666658</v>
      </c>
      <c r="G33" s="101">
        <f t="shared" si="2"/>
        <v>311928.80416666658</v>
      </c>
      <c r="H33" s="101">
        <f t="shared" si="2"/>
        <v>311928.80416666658</v>
      </c>
      <c r="I33" s="101">
        <f t="shared" si="2"/>
        <v>311928.80416666658</v>
      </c>
      <c r="J33" s="101">
        <f t="shared" si="2"/>
        <v>311928.80416666658</v>
      </c>
      <c r="K33" s="101">
        <f t="shared" si="2"/>
        <v>311928.80416666658</v>
      </c>
      <c r="L33" s="101">
        <f t="shared" si="2"/>
        <v>311928.80416666658</v>
      </c>
      <c r="M33" s="101">
        <f t="shared" si="2"/>
        <v>311928.80416666658</v>
      </c>
      <c r="N33" s="101">
        <f t="shared" si="2"/>
        <v>311928.80416666658</v>
      </c>
      <c r="O33" s="101">
        <f t="shared" si="2"/>
        <v>311928.80416666658</v>
      </c>
      <c r="P33" s="101">
        <f t="shared" si="2"/>
        <v>311928.80416666658</v>
      </c>
      <c r="Q33" s="101">
        <f t="shared" si="2"/>
        <v>311928.80416666658</v>
      </c>
      <c r="R33" s="101">
        <f t="shared" si="2"/>
        <v>311928.80416666658</v>
      </c>
      <c r="S33" s="101">
        <f t="shared" si="2"/>
        <v>311928.80416666658</v>
      </c>
      <c r="T33" s="101">
        <f t="shared" si="2"/>
        <v>311928.80416666658</v>
      </c>
      <c r="U33" s="101">
        <f t="shared" si="2"/>
        <v>311928.80416666658</v>
      </c>
      <c r="V33" s="101">
        <f t="shared" ref="V33:Z33" si="3">SUM(V31:V32)</f>
        <v>311928.80416666658</v>
      </c>
      <c r="W33" s="101">
        <f t="shared" si="3"/>
        <v>311928.80416666658</v>
      </c>
      <c r="X33" s="101">
        <f t="shared" si="3"/>
        <v>311928.80416666658</v>
      </c>
      <c r="Y33" s="101">
        <f t="shared" si="3"/>
        <v>311928.80416666658</v>
      </c>
      <c r="Z33" s="101">
        <f t="shared" si="3"/>
        <v>311928.80416666658</v>
      </c>
    </row>
    <row r="34" spans="1:26" x14ac:dyDescent="0.35">
      <c r="A34" s="95" t="s">
        <v>69</v>
      </c>
      <c r="B34" s="102">
        <f>'Mix 4 Profit and Loss'!D23</f>
        <v>-419671.79375000001</v>
      </c>
      <c r="C34" s="102">
        <f>'Mix 4 Profit and Loss'!E23</f>
        <v>-413498.13979161059</v>
      </c>
      <c r="D34" s="102">
        <f>'Mix 4 Profit and Loss'!F23</f>
        <v>-406861.46178634191</v>
      </c>
      <c r="E34" s="102">
        <f>'Mix 4 Profit and Loss'!G23</f>
        <v>-399727.03293067811</v>
      </c>
      <c r="F34" s="102">
        <f>'Mix 4 Profit and Loss'!H23</f>
        <v>-392057.52191083954</v>
      </c>
      <c r="G34" s="102">
        <f>'Mix 4 Profit and Loss'!I23</f>
        <v>-383812.79756451305</v>
      </c>
      <c r="H34" s="102">
        <f>'Mix 4 Profit and Loss'!J23</f>
        <v>-374949.71889221208</v>
      </c>
      <c r="I34" s="102">
        <f>'Mix 4 Profit and Loss'!K23</f>
        <v>-365421.90931948851</v>
      </c>
      <c r="J34" s="102">
        <f>'Mix 4 Profit and Loss'!L23</f>
        <v>-355179.51402881072</v>
      </c>
      <c r="K34" s="102">
        <f>'Mix 4 Profit and Loss'!M23</f>
        <v>-344168.93909133208</v>
      </c>
      <c r="L34" s="102">
        <f>'Mix 4 Profit and Loss'!N23</f>
        <v>-332332.57103354251</v>
      </c>
      <c r="M34" s="102">
        <f>'Mix 4 Profit and Loss'!O23</f>
        <v>-319608.47537141881</v>
      </c>
      <c r="N34" s="102">
        <f>'Mix 4 Profit and Loss'!P23</f>
        <v>-305930.07253463578</v>
      </c>
      <c r="O34" s="102">
        <f>'Mix 4 Profit and Loss'!Q23</f>
        <v>-291225.78948509402</v>
      </c>
      <c r="P34" s="102">
        <f>'Mix 4 Profit and Loss'!R23</f>
        <v>-275418.68520683661</v>
      </c>
      <c r="Q34" s="102">
        <f>'Mix 4 Profit and Loss'!S23</f>
        <v>-258426.04810770994</v>
      </c>
      <c r="R34" s="102">
        <f>'Mix 4 Profit and Loss'!T23</f>
        <v>-240158.96322614874</v>
      </c>
      <c r="S34" s="102">
        <f>'Mix 4 Profit and Loss'!U23</f>
        <v>-220521.84697847045</v>
      </c>
      <c r="T34" s="102">
        <f>'Mix 4 Profit and Loss'!V23</f>
        <v>-199411.94701221629</v>
      </c>
      <c r="U34" s="102">
        <f>'Mix 4 Profit and Loss'!W23</f>
        <v>-176718.80454849306</v>
      </c>
      <c r="V34" s="102">
        <f>'Mix 4 Profit and Loss'!X23</f>
        <v>-152323.67639999063</v>
      </c>
      <c r="W34" s="102">
        <f>'Mix 4 Profit and Loss'!Y23</f>
        <v>-126098.91364035048</v>
      </c>
      <c r="X34" s="102">
        <f>'Mix 4 Profit and Loss'!Z23</f>
        <v>-97907.293673737338</v>
      </c>
      <c r="Y34" s="102">
        <f>'Mix 4 Profit and Loss'!AA23</f>
        <v>-67601.302209628193</v>
      </c>
      <c r="Z34" s="102">
        <f>'Mix 4 Profit and Loss'!AB23</f>
        <v>-35022.361385710865</v>
      </c>
    </row>
    <row r="35" spans="1:26" ht="15" thickBot="1" x14ac:dyDescent="0.4">
      <c r="A35" s="103" t="s">
        <v>70</v>
      </c>
      <c r="B35" s="104">
        <f>SUM(B33:B34)</f>
        <v>-107742.98958333343</v>
      </c>
      <c r="C35" s="104">
        <f t="shared" ref="C35:U35" si="4">SUM(C33:C34)</f>
        <v>-101569.33562494401</v>
      </c>
      <c r="D35" s="104">
        <f t="shared" si="4"/>
        <v>-94932.65761967533</v>
      </c>
      <c r="E35" s="104">
        <f t="shared" si="4"/>
        <v>-87798.228764011525</v>
      </c>
      <c r="F35" s="104">
        <f t="shared" si="4"/>
        <v>-80128.717744172958</v>
      </c>
      <c r="G35" s="104">
        <f t="shared" si="4"/>
        <v>-71883.993397846469</v>
      </c>
      <c r="H35" s="104">
        <f t="shared" si="4"/>
        <v>-63020.914725545503</v>
      </c>
      <c r="I35" s="104">
        <f t="shared" si="4"/>
        <v>-53493.105152821925</v>
      </c>
      <c r="J35" s="104">
        <f t="shared" si="4"/>
        <v>-43250.70986214414</v>
      </c>
      <c r="K35" s="104">
        <f t="shared" si="4"/>
        <v>-32240.134924665501</v>
      </c>
      <c r="L35" s="104">
        <f t="shared" si="4"/>
        <v>-20403.766866875929</v>
      </c>
      <c r="M35" s="104">
        <f t="shared" si="4"/>
        <v>-7679.6712047522306</v>
      </c>
      <c r="N35" s="104">
        <f t="shared" si="4"/>
        <v>5998.7316320308018</v>
      </c>
      <c r="O35" s="104">
        <f t="shared" si="4"/>
        <v>20703.01468157256</v>
      </c>
      <c r="P35" s="104">
        <f t="shared" si="4"/>
        <v>36510.118959829968</v>
      </c>
      <c r="Q35" s="104">
        <f t="shared" si="4"/>
        <v>53502.756058956642</v>
      </c>
      <c r="R35" s="104">
        <f t="shared" si="4"/>
        <v>71769.840940517839</v>
      </c>
      <c r="S35" s="104">
        <f t="shared" si="4"/>
        <v>91406.957188196131</v>
      </c>
      <c r="T35" s="104">
        <f t="shared" si="4"/>
        <v>112516.85715445029</v>
      </c>
      <c r="U35" s="104">
        <f t="shared" si="4"/>
        <v>135209.99961817352</v>
      </c>
      <c r="V35" s="104">
        <f t="shared" ref="V35:Z35" si="5">SUM(V33:V34)</f>
        <v>159605.12776667596</v>
      </c>
      <c r="W35" s="104">
        <f t="shared" si="5"/>
        <v>185829.8905263161</v>
      </c>
      <c r="X35" s="104">
        <f t="shared" si="5"/>
        <v>214021.51049292926</v>
      </c>
      <c r="Y35" s="104">
        <f t="shared" si="5"/>
        <v>244327.50195703839</v>
      </c>
      <c r="Z35" s="104">
        <f t="shared" si="5"/>
        <v>276906.44278095569</v>
      </c>
    </row>
    <row r="36" spans="1:26" ht="15" thickBot="1" x14ac:dyDescent="0.4"/>
    <row r="37" spans="1:26" ht="15" thickBot="1" x14ac:dyDescent="0.4">
      <c r="A37" s="105" t="s">
        <v>71</v>
      </c>
      <c r="B37" s="106">
        <f>'Mix 4 Cash Flow'!D26</f>
        <v>33766.580971474061</v>
      </c>
      <c r="C37" s="106">
        <f>'Mix 4 Cash Flow'!E26</f>
        <v>33766.580971474061</v>
      </c>
      <c r="D37" s="106">
        <f>'Mix 4 Cash Flow'!F26</f>
        <v>33766.580971474061</v>
      </c>
      <c r="E37" s="106">
        <f>'Mix 4 Cash Flow'!G26</f>
        <v>33766.580971474061</v>
      </c>
      <c r="F37" s="106">
        <f>'Mix 4 Cash Flow'!H26</f>
        <v>33766.580971474061</v>
      </c>
      <c r="G37" s="106">
        <f>'Mix 4 Cash Flow'!I26</f>
        <v>33766.580971474061</v>
      </c>
      <c r="H37" s="106">
        <f>'Mix 4 Cash Flow'!J26</f>
        <v>33766.580971474061</v>
      </c>
      <c r="I37" s="106">
        <f>'Mix 4 Cash Flow'!K26</f>
        <v>33766.580971474061</v>
      </c>
      <c r="J37" s="106">
        <f>'Mix 4 Cash Flow'!L26</f>
        <v>33766.580971474061</v>
      </c>
      <c r="K37" s="106">
        <f>'Mix 4 Cash Flow'!M26</f>
        <v>33766.580971474061</v>
      </c>
      <c r="L37" s="106">
        <f>'Mix 4 Cash Flow'!N26</f>
        <v>33766.580971474061</v>
      </c>
      <c r="M37" s="106">
        <f>'Mix 4 Cash Flow'!O26</f>
        <v>33766.580971474061</v>
      </c>
      <c r="N37" s="106">
        <f>'Mix 4 Cash Flow'!P26</f>
        <v>33766.580971474061</v>
      </c>
      <c r="O37" s="106">
        <f>'Mix 4 Cash Flow'!Q26</f>
        <v>33766.580971474061</v>
      </c>
      <c r="P37" s="106">
        <f>'Mix 4 Cash Flow'!R26</f>
        <v>33766.580971474061</v>
      </c>
      <c r="Q37" s="106">
        <f>'Mix 4 Cash Flow'!S26</f>
        <v>33766.580971474032</v>
      </c>
      <c r="R37" s="106">
        <f>'Mix 4 Cash Flow'!T26</f>
        <v>33766.580971474061</v>
      </c>
      <c r="S37" s="106">
        <f>'Mix 4 Cash Flow'!U26</f>
        <v>33766.580971474061</v>
      </c>
      <c r="T37" s="106">
        <f>'Mix 4 Cash Flow'!V26</f>
        <v>33766.580971474061</v>
      </c>
      <c r="U37" s="107">
        <f>'Mix 4 Cash Flow'!W26</f>
        <v>33766.580971474061</v>
      </c>
      <c r="V37" s="107">
        <f>'Mix 4 Cash Flow'!X26</f>
        <v>33766.580971474061</v>
      </c>
      <c r="W37" s="107">
        <f>'Mix 4 Cash Flow'!Y26</f>
        <v>33766.580971474061</v>
      </c>
      <c r="X37" s="107">
        <f>'Mix 4 Cash Flow'!Z26</f>
        <v>33766.580971474061</v>
      </c>
      <c r="Y37" s="107">
        <f>'Mix 4 Cash Flow'!AA26</f>
        <v>33766.580971474061</v>
      </c>
      <c r="Z37" s="107">
        <f>'Mix 4 Cash Flow'!AB26</f>
        <v>33766.580971474061</v>
      </c>
    </row>
    <row r="38" spans="1:26" ht="15" thickBot="1" x14ac:dyDescent="0.4"/>
    <row r="39" spans="1:26" ht="15" thickBot="1" x14ac:dyDescent="0.4">
      <c r="A39" s="397" t="s">
        <v>0</v>
      </c>
      <c r="B39" s="398"/>
    </row>
    <row r="40" spans="1:26" ht="15" thickBot="1" x14ac:dyDescent="0.4">
      <c r="A40" s="108" t="s">
        <v>58</v>
      </c>
      <c r="B40" s="109">
        <f>'Generation &amp; Ops Scenarios'!$G$20</f>
        <v>0.05</v>
      </c>
      <c r="E40" s="110"/>
    </row>
    <row r="41" spans="1:26" x14ac:dyDescent="0.35">
      <c r="A41" s="111" t="s">
        <v>59</v>
      </c>
      <c r="B41" s="112">
        <f>NPV(B40,'Mix 4 Cash Flow'!D26:M26)</f>
        <v>260736.58772657847</v>
      </c>
    </row>
    <row r="42" spans="1:26" x14ac:dyDescent="0.35">
      <c r="A42" s="111" t="s">
        <v>60</v>
      </c>
      <c r="B42" s="112">
        <f>NPV(B40,'Mix 4 Cash Flow'!D26:R26)</f>
        <v>350485.56360243657</v>
      </c>
    </row>
    <row r="43" spans="1:26" x14ac:dyDescent="0.35">
      <c r="A43" s="111" t="s">
        <v>62</v>
      </c>
      <c r="B43" s="112">
        <f>NPV(B40,'Mix 4 Cash Flow'!D26:W26)</f>
        <v>420806.23461491783</v>
      </c>
    </row>
    <row r="44" spans="1:26" ht="15" thickBot="1" x14ac:dyDescent="0.4">
      <c r="A44" s="108" t="s">
        <v>61</v>
      </c>
      <c r="B44" s="113">
        <f>NPV(B40,'Mix 4 Cash Flow'!D26:AB26)</f>
        <v>475904.32039681694</v>
      </c>
      <c r="D44" s="114"/>
    </row>
    <row r="46" spans="1:26" x14ac:dyDescent="0.35">
      <c r="A46" s="89" t="s">
        <v>82</v>
      </c>
      <c r="B46" s="115">
        <f>MIN('Mix 4 Cash Flow'!D39:W39)</f>
        <v>1.0672658233637884</v>
      </c>
    </row>
    <row r="47" spans="1:26" x14ac:dyDescent="0.35">
      <c r="A47" s="116" t="s">
        <v>121</v>
      </c>
      <c r="B47" s="117">
        <f>'Generation &amp; Ops Scenarios'!C41</f>
        <v>328500</v>
      </c>
      <c r="C47" s="118">
        <f t="shared" ref="C47:C53" si="6">B47</f>
        <v>328500</v>
      </c>
      <c r="D47" s="118">
        <f t="shared" ref="D47:S53" si="7">C47</f>
        <v>328500</v>
      </c>
      <c r="E47" s="118">
        <f t="shared" si="7"/>
        <v>328500</v>
      </c>
      <c r="F47" s="118">
        <f t="shared" si="7"/>
        <v>328500</v>
      </c>
      <c r="G47" s="118">
        <f t="shared" si="7"/>
        <v>328500</v>
      </c>
      <c r="H47" s="118">
        <f t="shared" si="7"/>
        <v>328500</v>
      </c>
      <c r="I47" s="118">
        <f t="shared" si="7"/>
        <v>328500</v>
      </c>
      <c r="J47" s="118">
        <f t="shared" si="7"/>
        <v>328500</v>
      </c>
      <c r="K47" s="118">
        <f t="shared" ref="K47:K53" si="8">J47</f>
        <v>328500</v>
      </c>
      <c r="L47" s="118">
        <f t="shared" si="7"/>
        <v>328500</v>
      </c>
      <c r="M47" s="118">
        <f t="shared" si="7"/>
        <v>328500</v>
      </c>
      <c r="N47" s="118">
        <f t="shared" ref="N47:N53" si="9">M47</f>
        <v>328500</v>
      </c>
      <c r="O47" s="118">
        <f t="shared" si="7"/>
        <v>328500</v>
      </c>
      <c r="P47" s="118">
        <f t="shared" si="7"/>
        <v>328500</v>
      </c>
      <c r="Q47" s="118">
        <f t="shared" si="7"/>
        <v>328500</v>
      </c>
      <c r="R47" s="118">
        <f t="shared" si="7"/>
        <v>328500</v>
      </c>
      <c r="S47" s="118">
        <f t="shared" si="7"/>
        <v>328500</v>
      </c>
      <c r="T47" s="118">
        <f t="shared" ref="S47:U53" si="10">S47</f>
        <v>328500</v>
      </c>
      <c r="U47" s="118">
        <f t="shared" si="10"/>
        <v>328500</v>
      </c>
      <c r="V47" s="118">
        <f t="shared" ref="V47:V53" si="11">U47</f>
        <v>328500</v>
      </c>
      <c r="W47" s="118">
        <f t="shared" ref="W47:W53" si="12">V47</f>
        <v>328500</v>
      </c>
      <c r="X47" s="118">
        <f t="shared" ref="X47:X53" si="13">W47</f>
        <v>328500</v>
      </c>
      <c r="Y47" s="118">
        <f t="shared" ref="Y47:Y53" si="14">X47</f>
        <v>328500</v>
      </c>
      <c r="Z47" s="118">
        <f t="shared" ref="Z47:Z53" si="15">Y47</f>
        <v>328500</v>
      </c>
    </row>
    <row r="48" spans="1:26" x14ac:dyDescent="0.35">
      <c r="A48" s="116" t="s">
        <v>122</v>
      </c>
      <c r="B48" s="117">
        <f>'Generation &amp; Ops Scenarios'!C42</f>
        <v>1024920</v>
      </c>
      <c r="C48" s="118">
        <f t="shared" si="6"/>
        <v>1024920</v>
      </c>
      <c r="D48" s="118">
        <f t="shared" si="7"/>
        <v>1024920</v>
      </c>
      <c r="E48" s="118">
        <f t="shared" si="7"/>
        <v>1024920</v>
      </c>
      <c r="F48" s="118">
        <f t="shared" si="7"/>
        <v>1024920</v>
      </c>
      <c r="G48" s="118">
        <f t="shared" si="7"/>
        <v>1024920</v>
      </c>
      <c r="H48" s="118">
        <f t="shared" si="7"/>
        <v>1024920</v>
      </c>
      <c r="I48" s="118">
        <f t="shared" si="7"/>
        <v>1024920</v>
      </c>
      <c r="J48" s="118">
        <f t="shared" si="7"/>
        <v>1024920</v>
      </c>
      <c r="K48" s="118">
        <f t="shared" si="8"/>
        <v>1024920</v>
      </c>
      <c r="L48" s="118">
        <f t="shared" si="7"/>
        <v>1024920</v>
      </c>
      <c r="M48" s="118">
        <f t="shared" si="7"/>
        <v>1024920</v>
      </c>
      <c r="N48" s="118">
        <f t="shared" si="9"/>
        <v>1024920</v>
      </c>
      <c r="O48" s="118">
        <f t="shared" si="7"/>
        <v>1024920</v>
      </c>
      <c r="P48" s="118">
        <f t="shared" si="7"/>
        <v>1024920</v>
      </c>
      <c r="Q48" s="118">
        <f t="shared" si="7"/>
        <v>1024920</v>
      </c>
      <c r="R48" s="118">
        <f t="shared" si="7"/>
        <v>1024920</v>
      </c>
      <c r="S48" s="118">
        <f t="shared" si="10"/>
        <v>1024920</v>
      </c>
      <c r="T48" s="118">
        <f t="shared" si="10"/>
        <v>1024920</v>
      </c>
      <c r="U48" s="118">
        <f t="shared" si="10"/>
        <v>1024920</v>
      </c>
      <c r="V48" s="118">
        <f t="shared" si="11"/>
        <v>1024920</v>
      </c>
      <c r="W48" s="118">
        <f t="shared" si="12"/>
        <v>1024920</v>
      </c>
      <c r="X48" s="118">
        <f t="shared" si="13"/>
        <v>1024920</v>
      </c>
      <c r="Y48" s="118">
        <f t="shared" si="14"/>
        <v>1024920</v>
      </c>
      <c r="Z48" s="118">
        <f t="shared" si="15"/>
        <v>1024920</v>
      </c>
    </row>
    <row r="49" spans="1:26" x14ac:dyDescent="0.35">
      <c r="A49" s="116" t="s">
        <v>123</v>
      </c>
      <c r="B49" s="117">
        <f>'Generation &amp; Ops Scenarios'!C43</f>
        <v>0</v>
      </c>
      <c r="C49" s="118">
        <f t="shared" si="6"/>
        <v>0</v>
      </c>
      <c r="D49" s="118">
        <f t="shared" si="7"/>
        <v>0</v>
      </c>
      <c r="E49" s="118">
        <f t="shared" si="7"/>
        <v>0</v>
      </c>
      <c r="F49" s="118">
        <f t="shared" si="7"/>
        <v>0</v>
      </c>
      <c r="G49" s="118">
        <f t="shared" si="7"/>
        <v>0</v>
      </c>
      <c r="H49" s="118">
        <f t="shared" si="7"/>
        <v>0</v>
      </c>
      <c r="I49" s="118">
        <f t="shared" si="7"/>
        <v>0</v>
      </c>
      <c r="J49" s="118">
        <f t="shared" si="7"/>
        <v>0</v>
      </c>
      <c r="K49" s="118">
        <f t="shared" si="8"/>
        <v>0</v>
      </c>
      <c r="L49" s="118">
        <f t="shared" si="7"/>
        <v>0</v>
      </c>
      <c r="M49" s="118">
        <f t="shared" si="7"/>
        <v>0</v>
      </c>
      <c r="N49" s="118">
        <f t="shared" si="9"/>
        <v>0</v>
      </c>
      <c r="O49" s="118">
        <f t="shared" si="7"/>
        <v>0</v>
      </c>
      <c r="P49" s="118">
        <f t="shared" si="7"/>
        <v>0</v>
      </c>
      <c r="Q49" s="118">
        <f t="shared" si="7"/>
        <v>0</v>
      </c>
      <c r="R49" s="118">
        <f t="shared" si="7"/>
        <v>0</v>
      </c>
      <c r="S49" s="118">
        <f t="shared" si="7"/>
        <v>0</v>
      </c>
      <c r="T49" s="118">
        <f t="shared" si="10"/>
        <v>0</v>
      </c>
      <c r="U49" s="118">
        <f t="shared" si="10"/>
        <v>0</v>
      </c>
      <c r="V49" s="118">
        <f t="shared" si="11"/>
        <v>0</v>
      </c>
      <c r="W49" s="118">
        <f t="shared" si="12"/>
        <v>0</v>
      </c>
      <c r="X49" s="118">
        <f t="shared" si="13"/>
        <v>0</v>
      </c>
      <c r="Y49" s="118">
        <f t="shared" si="14"/>
        <v>0</v>
      </c>
      <c r="Z49" s="118">
        <f t="shared" si="15"/>
        <v>0</v>
      </c>
    </row>
    <row r="50" spans="1:26" x14ac:dyDescent="0.35">
      <c r="A50" s="116" t="s">
        <v>124</v>
      </c>
      <c r="B50" s="117">
        <f>'Generation &amp; Ops Scenarios'!C44</f>
        <v>0</v>
      </c>
      <c r="C50" s="118">
        <f t="shared" si="6"/>
        <v>0</v>
      </c>
      <c r="D50" s="118">
        <f t="shared" si="7"/>
        <v>0</v>
      </c>
      <c r="E50" s="118">
        <f t="shared" si="7"/>
        <v>0</v>
      </c>
      <c r="F50" s="118">
        <f t="shared" si="7"/>
        <v>0</v>
      </c>
      <c r="G50" s="118">
        <f t="shared" si="7"/>
        <v>0</v>
      </c>
      <c r="H50" s="118">
        <f t="shared" si="7"/>
        <v>0</v>
      </c>
      <c r="I50" s="118">
        <f t="shared" si="7"/>
        <v>0</v>
      </c>
      <c r="J50" s="118">
        <f t="shared" si="7"/>
        <v>0</v>
      </c>
      <c r="K50" s="118">
        <f t="shared" si="8"/>
        <v>0</v>
      </c>
      <c r="L50" s="118">
        <f t="shared" si="7"/>
        <v>0</v>
      </c>
      <c r="M50" s="118">
        <f t="shared" si="7"/>
        <v>0</v>
      </c>
      <c r="N50" s="118">
        <f t="shared" si="9"/>
        <v>0</v>
      </c>
      <c r="O50" s="118">
        <f t="shared" si="7"/>
        <v>0</v>
      </c>
      <c r="P50" s="118">
        <f t="shared" si="7"/>
        <v>0</v>
      </c>
      <c r="Q50" s="118">
        <f t="shared" si="7"/>
        <v>0</v>
      </c>
      <c r="R50" s="118">
        <f t="shared" si="7"/>
        <v>0</v>
      </c>
      <c r="S50" s="118">
        <f t="shared" si="7"/>
        <v>0</v>
      </c>
      <c r="T50" s="118">
        <f t="shared" si="10"/>
        <v>0</v>
      </c>
      <c r="U50" s="118">
        <f t="shared" si="10"/>
        <v>0</v>
      </c>
      <c r="V50" s="118">
        <f t="shared" si="11"/>
        <v>0</v>
      </c>
      <c r="W50" s="118">
        <f t="shared" si="12"/>
        <v>0</v>
      </c>
      <c r="X50" s="118">
        <f t="shared" si="13"/>
        <v>0</v>
      </c>
      <c r="Y50" s="118">
        <f t="shared" si="14"/>
        <v>0</v>
      </c>
      <c r="Z50" s="118">
        <f t="shared" si="15"/>
        <v>0</v>
      </c>
    </row>
    <row r="51" spans="1:26" x14ac:dyDescent="0.35">
      <c r="A51" s="116" t="s">
        <v>125</v>
      </c>
      <c r="B51" s="117">
        <f>'Generation &amp; Ops Scenarios'!C45</f>
        <v>1353420</v>
      </c>
      <c r="C51" s="118">
        <f t="shared" si="6"/>
        <v>1353420</v>
      </c>
      <c r="D51" s="118">
        <f t="shared" si="7"/>
        <v>1353420</v>
      </c>
      <c r="E51" s="118">
        <f t="shared" si="7"/>
        <v>1353420</v>
      </c>
      <c r="F51" s="118">
        <f t="shared" si="7"/>
        <v>1353420</v>
      </c>
      <c r="G51" s="118">
        <f t="shared" si="7"/>
        <v>1353420</v>
      </c>
      <c r="H51" s="118">
        <f t="shared" si="7"/>
        <v>1353420</v>
      </c>
      <c r="I51" s="118">
        <f t="shared" si="7"/>
        <v>1353420</v>
      </c>
      <c r="J51" s="118">
        <f t="shared" si="7"/>
        <v>1353420</v>
      </c>
      <c r="K51" s="118">
        <f t="shared" si="8"/>
        <v>1353420</v>
      </c>
      <c r="L51" s="118">
        <f t="shared" si="7"/>
        <v>1353420</v>
      </c>
      <c r="M51" s="118">
        <f t="shared" si="7"/>
        <v>1353420</v>
      </c>
      <c r="N51" s="118">
        <f t="shared" si="9"/>
        <v>1353420</v>
      </c>
      <c r="O51" s="118">
        <f t="shared" si="7"/>
        <v>1353420</v>
      </c>
      <c r="P51" s="118">
        <f t="shared" si="7"/>
        <v>1353420</v>
      </c>
      <c r="Q51" s="118">
        <f t="shared" si="7"/>
        <v>1353420</v>
      </c>
      <c r="R51" s="118">
        <f t="shared" si="7"/>
        <v>1353420</v>
      </c>
      <c r="S51" s="118">
        <f t="shared" si="7"/>
        <v>1353420</v>
      </c>
      <c r="T51" s="118">
        <f t="shared" si="10"/>
        <v>1353420</v>
      </c>
      <c r="U51" s="118">
        <f t="shared" si="10"/>
        <v>1353420</v>
      </c>
      <c r="V51" s="118">
        <f t="shared" si="11"/>
        <v>1353420</v>
      </c>
      <c r="W51" s="118">
        <f t="shared" si="12"/>
        <v>1353420</v>
      </c>
      <c r="X51" s="118">
        <f t="shared" si="13"/>
        <v>1353420</v>
      </c>
      <c r="Y51" s="118">
        <f t="shared" si="14"/>
        <v>1353420</v>
      </c>
      <c r="Z51" s="118">
        <f t="shared" si="15"/>
        <v>1353420</v>
      </c>
    </row>
    <row r="52" spans="1:26" x14ac:dyDescent="0.35">
      <c r="A52" s="116" t="s">
        <v>126</v>
      </c>
      <c r="B52" s="117">
        <f>'Generation &amp; Ops Scenarios'!C46</f>
        <v>0</v>
      </c>
      <c r="C52" s="118">
        <f t="shared" si="6"/>
        <v>0</v>
      </c>
      <c r="D52" s="118">
        <f t="shared" si="7"/>
        <v>0</v>
      </c>
      <c r="E52" s="118">
        <f t="shared" si="7"/>
        <v>0</v>
      </c>
      <c r="F52" s="118">
        <f t="shared" si="7"/>
        <v>0</v>
      </c>
      <c r="G52" s="118">
        <f t="shared" si="7"/>
        <v>0</v>
      </c>
      <c r="H52" s="118">
        <f t="shared" si="7"/>
        <v>0</v>
      </c>
      <c r="I52" s="118">
        <f t="shared" si="7"/>
        <v>0</v>
      </c>
      <c r="J52" s="118">
        <f t="shared" si="7"/>
        <v>0</v>
      </c>
      <c r="K52" s="118">
        <f t="shared" si="8"/>
        <v>0</v>
      </c>
      <c r="L52" s="118">
        <f t="shared" si="7"/>
        <v>0</v>
      </c>
      <c r="M52" s="118">
        <f t="shared" si="7"/>
        <v>0</v>
      </c>
      <c r="N52" s="118">
        <f t="shared" si="9"/>
        <v>0</v>
      </c>
      <c r="O52" s="118">
        <f t="shared" si="7"/>
        <v>0</v>
      </c>
      <c r="P52" s="118">
        <f t="shared" si="7"/>
        <v>0</v>
      </c>
      <c r="Q52" s="118">
        <f t="shared" si="7"/>
        <v>0</v>
      </c>
      <c r="R52" s="118">
        <f t="shared" si="7"/>
        <v>0</v>
      </c>
      <c r="S52" s="118">
        <f t="shared" si="7"/>
        <v>0</v>
      </c>
      <c r="T52" s="118">
        <f t="shared" si="10"/>
        <v>0</v>
      </c>
      <c r="U52" s="118">
        <f t="shared" si="10"/>
        <v>0</v>
      </c>
      <c r="V52" s="118">
        <f t="shared" si="11"/>
        <v>0</v>
      </c>
      <c r="W52" s="118">
        <f t="shared" si="12"/>
        <v>0</v>
      </c>
      <c r="X52" s="118">
        <f t="shared" si="13"/>
        <v>0</v>
      </c>
      <c r="Y52" s="118">
        <f t="shared" si="14"/>
        <v>0</v>
      </c>
      <c r="Z52" s="118">
        <f t="shared" si="15"/>
        <v>0</v>
      </c>
    </row>
    <row r="53" spans="1:26" x14ac:dyDescent="0.35">
      <c r="A53" s="116" t="s">
        <v>127</v>
      </c>
      <c r="B53" s="117">
        <f>'Generation &amp; Ops Scenarios'!C47</f>
        <v>0</v>
      </c>
      <c r="C53" s="118">
        <f t="shared" si="6"/>
        <v>0</v>
      </c>
      <c r="D53" s="118">
        <f t="shared" si="7"/>
        <v>0</v>
      </c>
      <c r="E53" s="118">
        <f t="shared" si="7"/>
        <v>0</v>
      </c>
      <c r="F53" s="118">
        <f t="shared" si="7"/>
        <v>0</v>
      </c>
      <c r="G53" s="118">
        <f t="shared" si="7"/>
        <v>0</v>
      </c>
      <c r="H53" s="118">
        <f t="shared" si="7"/>
        <v>0</v>
      </c>
      <c r="I53" s="118">
        <f t="shared" si="7"/>
        <v>0</v>
      </c>
      <c r="J53" s="118">
        <f t="shared" si="7"/>
        <v>0</v>
      </c>
      <c r="K53" s="118">
        <f t="shared" si="8"/>
        <v>0</v>
      </c>
      <c r="L53" s="118">
        <f t="shared" si="7"/>
        <v>0</v>
      </c>
      <c r="M53" s="118">
        <f t="shared" si="7"/>
        <v>0</v>
      </c>
      <c r="N53" s="118">
        <f t="shared" si="9"/>
        <v>0</v>
      </c>
      <c r="O53" s="118">
        <f t="shared" si="7"/>
        <v>0</v>
      </c>
      <c r="P53" s="118">
        <f t="shared" si="7"/>
        <v>0</v>
      </c>
      <c r="Q53" s="118">
        <f t="shared" si="7"/>
        <v>0</v>
      </c>
      <c r="R53" s="118">
        <f t="shared" si="7"/>
        <v>0</v>
      </c>
      <c r="S53" s="118">
        <f t="shared" si="7"/>
        <v>0</v>
      </c>
      <c r="T53" s="118">
        <f t="shared" si="10"/>
        <v>0</v>
      </c>
      <c r="U53" s="118">
        <f t="shared" si="10"/>
        <v>0</v>
      </c>
      <c r="V53" s="118">
        <f t="shared" si="11"/>
        <v>0</v>
      </c>
      <c r="W53" s="118">
        <f t="shared" si="12"/>
        <v>0</v>
      </c>
      <c r="X53" s="118">
        <f t="shared" si="13"/>
        <v>0</v>
      </c>
      <c r="Y53" s="118">
        <f t="shared" si="14"/>
        <v>0</v>
      </c>
      <c r="Z53" s="118">
        <f t="shared" si="15"/>
        <v>0</v>
      </c>
    </row>
    <row r="54" spans="1:26" x14ac:dyDescent="0.35">
      <c r="A54" s="116" t="s">
        <v>128</v>
      </c>
      <c r="B54" s="117">
        <f>B57-B51</f>
        <v>46580</v>
      </c>
      <c r="C54" s="117">
        <f t="shared" ref="C54:U54" si="16">C57-C51</f>
        <v>46580</v>
      </c>
      <c r="D54" s="117">
        <f t="shared" si="16"/>
        <v>46580</v>
      </c>
      <c r="E54" s="117">
        <f t="shared" si="16"/>
        <v>46580</v>
      </c>
      <c r="F54" s="117">
        <f t="shared" si="16"/>
        <v>46580</v>
      </c>
      <c r="G54" s="117">
        <f t="shared" si="16"/>
        <v>46580</v>
      </c>
      <c r="H54" s="117">
        <f t="shared" si="16"/>
        <v>46580</v>
      </c>
      <c r="I54" s="117">
        <f t="shared" si="16"/>
        <v>46580</v>
      </c>
      <c r="J54" s="117">
        <f t="shared" si="16"/>
        <v>46580</v>
      </c>
      <c r="K54" s="117">
        <f t="shared" si="16"/>
        <v>46580</v>
      </c>
      <c r="L54" s="117">
        <f t="shared" si="16"/>
        <v>46580</v>
      </c>
      <c r="M54" s="117">
        <f>M57-M51</f>
        <v>46580</v>
      </c>
      <c r="N54" s="117">
        <f t="shared" si="16"/>
        <v>46580</v>
      </c>
      <c r="O54" s="117">
        <f t="shared" si="16"/>
        <v>46580</v>
      </c>
      <c r="P54" s="117">
        <f t="shared" si="16"/>
        <v>46580</v>
      </c>
      <c r="Q54" s="117">
        <f t="shared" si="16"/>
        <v>46580</v>
      </c>
      <c r="R54" s="117">
        <f t="shared" si="16"/>
        <v>46580</v>
      </c>
      <c r="S54" s="117">
        <f t="shared" si="16"/>
        <v>46580</v>
      </c>
      <c r="T54" s="119">
        <f t="shared" si="16"/>
        <v>46580</v>
      </c>
      <c r="U54" s="119">
        <f t="shared" si="16"/>
        <v>46580</v>
      </c>
      <c r="V54" s="119">
        <f t="shared" ref="V54:Z54" si="17">V57-V51</f>
        <v>46580</v>
      </c>
      <c r="W54" s="119">
        <f t="shared" si="17"/>
        <v>46580</v>
      </c>
      <c r="X54" s="119">
        <f t="shared" si="17"/>
        <v>46580</v>
      </c>
      <c r="Y54" s="119">
        <f t="shared" si="17"/>
        <v>46580</v>
      </c>
      <c r="Z54" s="119">
        <f t="shared" si="17"/>
        <v>46580</v>
      </c>
    </row>
    <row r="55" spans="1:26" x14ac:dyDescent="0.35">
      <c r="A55" s="116"/>
      <c r="B55" s="120"/>
      <c r="C55" s="118"/>
      <c r="D55" s="116"/>
      <c r="E55" s="116"/>
      <c r="F55" s="121"/>
      <c r="G55" s="116"/>
      <c r="H55" s="116"/>
      <c r="I55" s="116"/>
      <c r="J55" s="116"/>
      <c r="K55" s="116"/>
      <c r="L55" s="116"/>
      <c r="M55" s="116"/>
      <c r="N55" s="116"/>
      <c r="O55" s="116"/>
      <c r="P55" s="116"/>
      <c r="Q55" s="116"/>
      <c r="R55" s="116"/>
      <c r="S55" s="116"/>
      <c r="T55" s="116"/>
      <c r="U55" s="116"/>
      <c r="V55" s="116"/>
      <c r="W55" s="116"/>
      <c r="X55" s="116"/>
      <c r="Y55" s="116"/>
      <c r="Z55" s="116"/>
    </row>
    <row r="56" spans="1:26" x14ac:dyDescent="0.35">
      <c r="A56" s="116"/>
      <c r="B56" s="116"/>
      <c r="C56" s="118"/>
      <c r="D56" s="116"/>
      <c r="E56" s="116"/>
      <c r="F56" s="116"/>
      <c r="G56" s="116"/>
      <c r="H56" s="116"/>
      <c r="I56" s="116"/>
      <c r="J56" s="116"/>
      <c r="K56" s="116"/>
      <c r="L56" s="116"/>
      <c r="M56" s="116"/>
      <c r="N56" s="116"/>
      <c r="O56" s="116"/>
      <c r="P56" s="116"/>
      <c r="Q56" s="116"/>
      <c r="R56" s="116"/>
      <c r="S56" s="116"/>
      <c r="T56" s="116"/>
      <c r="U56" s="116"/>
      <c r="V56" s="116"/>
      <c r="W56" s="116"/>
      <c r="X56" s="116"/>
      <c r="Y56" s="116"/>
      <c r="Z56" s="116"/>
    </row>
    <row r="57" spans="1:26" x14ac:dyDescent="0.35">
      <c r="A57" s="116" t="s">
        <v>236</v>
      </c>
      <c r="B57" s="122">
        <f>M5</f>
        <v>1400000</v>
      </c>
      <c r="C57" s="123">
        <f>B57*(1+'Mix 4 Summary'!$M$8)</f>
        <v>1400000</v>
      </c>
      <c r="D57" s="123">
        <f>C57*(1+'Mix 4 Summary'!$M$8)</f>
        <v>1400000</v>
      </c>
      <c r="E57" s="123">
        <f>D57*(1+'Mix 4 Summary'!$M$8)</f>
        <v>1400000</v>
      </c>
      <c r="F57" s="123">
        <f>E57*(1+'Mix 4 Summary'!$M$8)</f>
        <v>1400000</v>
      </c>
      <c r="G57" s="123">
        <f>F57*(1+'Mix 4 Summary'!$M$9)</f>
        <v>1400000</v>
      </c>
      <c r="H57" s="123">
        <f>G57*(1+'Mix 4 Summary'!$M$9)</f>
        <v>1400000</v>
      </c>
      <c r="I57" s="123">
        <f>H57*(1+'Mix 4 Summary'!$M$9)</f>
        <v>1400000</v>
      </c>
      <c r="J57" s="123">
        <f>I57*(1+'Mix 4 Summary'!$M$9)</f>
        <v>1400000</v>
      </c>
      <c r="K57" s="123">
        <f>J57*(1+'Mix 4 Summary'!$M$9)</f>
        <v>1400000</v>
      </c>
      <c r="L57" s="123">
        <f>K57*(1+'Mix 4 Summary'!$M$10)</f>
        <v>1400000</v>
      </c>
      <c r="M57" s="123">
        <f>L57*(1+'Mix 4 Summary'!$M$10)</f>
        <v>1400000</v>
      </c>
      <c r="N57" s="123">
        <f>M57*(1+'Mix 4 Summary'!$M$10)</f>
        <v>1400000</v>
      </c>
      <c r="O57" s="123">
        <f>N57*(1+'Mix 4 Summary'!$M$10)</f>
        <v>1400000</v>
      </c>
      <c r="P57" s="123">
        <f>O57*(1+'Mix 4 Summary'!$M$10)</f>
        <v>1400000</v>
      </c>
      <c r="Q57" s="123">
        <f>P57*(1+'Mix 4 Summary'!$M$11)</f>
        <v>1400000</v>
      </c>
      <c r="R57" s="123">
        <f>Q57*(1+'Mix 4 Summary'!$M$11)</f>
        <v>1400000</v>
      </c>
      <c r="S57" s="123">
        <f>R57*(1+'Mix 4 Summary'!$M$11)</f>
        <v>1400000</v>
      </c>
      <c r="T57" s="123">
        <f>S57*(1+'Mix 4 Summary'!$M$11)</f>
        <v>1400000</v>
      </c>
      <c r="U57" s="123">
        <f>T57*(1+'Mix 4 Summary'!$M$11)</f>
        <v>1400000</v>
      </c>
      <c r="V57" s="123">
        <f>U57*(1+'Mix 4 Summary'!$M$11)</f>
        <v>1400000</v>
      </c>
      <c r="W57" s="123">
        <f>V57*(1+'Mix 4 Summary'!$M$11)</f>
        <v>1400000</v>
      </c>
      <c r="X57" s="123">
        <f>W57*(1+'Mix 4 Summary'!$M$11)</f>
        <v>1400000</v>
      </c>
      <c r="Y57" s="123">
        <f>X57*(1+'Mix 4 Summary'!$M$11)</f>
        <v>1400000</v>
      </c>
      <c r="Z57" s="123">
        <f>Y57*(1+'Mix 4 Summary'!$M$11)</f>
        <v>1400000</v>
      </c>
    </row>
    <row r="58" spans="1:26" x14ac:dyDescent="0.35">
      <c r="A58" s="116"/>
      <c r="B58" s="116"/>
      <c r="C58" s="118"/>
      <c r="D58" s="116"/>
      <c r="E58" s="116"/>
      <c r="F58" s="116"/>
      <c r="G58" s="116"/>
      <c r="H58" s="116"/>
      <c r="I58" s="116"/>
      <c r="J58" s="116"/>
      <c r="K58" s="116"/>
      <c r="L58" s="116"/>
      <c r="M58" s="116"/>
      <c r="N58" s="116"/>
      <c r="O58" s="116"/>
      <c r="P58" s="116"/>
      <c r="Q58" s="116"/>
      <c r="R58" s="116"/>
      <c r="S58" s="116"/>
      <c r="T58" s="116"/>
      <c r="U58" s="116"/>
      <c r="V58" s="116"/>
      <c r="W58" s="116"/>
      <c r="X58" s="116"/>
      <c r="Y58" s="116"/>
      <c r="Z58" s="116"/>
    </row>
    <row r="59" spans="1:26" x14ac:dyDescent="0.35">
      <c r="A59" s="116" t="s">
        <v>134</v>
      </c>
      <c r="B59" s="120">
        <f>-'Mix 4 Cash Flow'!D8/'Mix 4 Summary'!B57*100</f>
        <v>0</v>
      </c>
      <c r="C59" s="120">
        <f>-'Mix 4 Cash Flow'!E8/'Mix 4 Summary'!C57*100</f>
        <v>0</v>
      </c>
      <c r="D59" s="120">
        <f>-'Mix 4 Cash Flow'!F8/'Mix 4 Summary'!D57*100</f>
        <v>0</v>
      </c>
      <c r="E59" s="120">
        <f>-'Mix 4 Cash Flow'!G8/'Mix 4 Summary'!E57*100</f>
        <v>0</v>
      </c>
      <c r="F59" s="120">
        <f>-'Mix 4 Cash Flow'!H8/'Mix 4 Summary'!F57*100</f>
        <v>0</v>
      </c>
      <c r="G59" s="120">
        <f>-'Mix 4 Cash Flow'!I8/'Mix 4 Summary'!G57*100</f>
        <v>0</v>
      </c>
      <c r="H59" s="120">
        <f>-'Mix 4 Cash Flow'!J8/'Mix 4 Summary'!H57*100</f>
        <v>0</v>
      </c>
      <c r="I59" s="120">
        <f>-'Mix 4 Cash Flow'!K8/'Mix 4 Summary'!I57*100</f>
        <v>0</v>
      </c>
      <c r="J59" s="120">
        <f>-'Mix 4 Cash Flow'!L8/'Mix 4 Summary'!J57*100</f>
        <v>0</v>
      </c>
      <c r="K59" s="120">
        <f>-'Mix 4 Cash Flow'!M8/'Mix 4 Summary'!K57*100</f>
        <v>0</v>
      </c>
      <c r="L59" s="120">
        <f>-'Mix 4 Cash Flow'!N8/'Mix 4 Summary'!L57*100</f>
        <v>0</v>
      </c>
      <c r="M59" s="120">
        <f>-'Mix 4 Cash Flow'!O8/'Mix 4 Summary'!M57*100</f>
        <v>0</v>
      </c>
      <c r="N59" s="120">
        <f>-'Mix 4 Cash Flow'!P8/'Mix 4 Summary'!N57*100</f>
        <v>0</v>
      </c>
      <c r="O59" s="120">
        <f>-'Mix 4 Cash Flow'!Q8/'Mix 4 Summary'!O57*100</f>
        <v>0</v>
      </c>
      <c r="P59" s="120">
        <f>-'Mix 4 Cash Flow'!R8/'Mix 4 Summary'!P57*100</f>
        <v>0</v>
      </c>
      <c r="Q59" s="120">
        <f>-'Mix 4 Cash Flow'!S8/'Mix 4 Summary'!Q57*100</f>
        <v>0</v>
      </c>
      <c r="R59" s="120">
        <f>-'Mix 4 Cash Flow'!T8/'Mix 4 Summary'!R57*100</f>
        <v>0</v>
      </c>
      <c r="S59" s="120">
        <f>-'Mix 4 Cash Flow'!U8/'Mix 4 Summary'!S57*100</f>
        <v>0</v>
      </c>
      <c r="T59" s="120">
        <f>-'Mix 4 Cash Flow'!V8/'Mix 4 Summary'!T57*100</f>
        <v>0</v>
      </c>
      <c r="U59" s="120">
        <f>-'Mix 4 Cash Flow'!W8/'Mix 4 Summary'!U57*100</f>
        <v>0</v>
      </c>
      <c r="V59" s="120">
        <f>-'Mix 4 Cash Flow'!X8/'Mix 4 Summary'!V57*100</f>
        <v>0</v>
      </c>
      <c r="W59" s="120">
        <f>-'Mix 4 Cash Flow'!Y8/'Mix 4 Summary'!W57*100</f>
        <v>0</v>
      </c>
      <c r="X59" s="120">
        <f>-'Mix 4 Cash Flow'!Z8/'Mix 4 Summary'!X57*100</f>
        <v>0</v>
      </c>
      <c r="Y59" s="120">
        <f>-'Mix 4 Cash Flow'!AA8/'Mix 4 Summary'!Y57*100</f>
        <v>0</v>
      </c>
      <c r="Z59" s="120">
        <f>-'Mix 4 Cash Flow'!AB8/'Mix 4 Summary'!Z57*100</f>
        <v>0</v>
      </c>
    </row>
    <row r="60" spans="1:26" x14ac:dyDescent="0.35">
      <c r="A60" s="116" t="s">
        <v>159</v>
      </c>
      <c r="B60" s="120">
        <f>-'Mix 4 Interest Calcualtions'!E14/B57*100</f>
        <v>29.976556696428574</v>
      </c>
      <c r="C60" s="120">
        <f>-'Mix 4 Interest Calcualtions'!F14/C57*100</f>
        <v>29.535581413686472</v>
      </c>
      <c r="D60" s="120">
        <f>-'Mix 4 Interest Calcualtions'!G14/D57*100</f>
        <v>29.061532984738708</v>
      </c>
      <c r="E60" s="120">
        <f>-'Mix 4 Interest Calcualtions'!H14/E57*100</f>
        <v>28.551930923619867</v>
      </c>
      <c r="F60" s="120">
        <f>-'Mix 4 Interest Calcualtions'!I14/F57*100</f>
        <v>28.004108707917108</v>
      </c>
      <c r="G60" s="120">
        <f>-'Mix 4 Interest Calcualtions'!J14/G57*100</f>
        <v>27.415199826036645</v>
      </c>
      <c r="H60" s="120">
        <f>-'Mix 4 Interest Calcualtions'!K14/H57*100</f>
        <v>26.78212277801515</v>
      </c>
      <c r="I60" s="120">
        <f>-'Mix 4 Interest Calcualtions'!L14/I57*100</f>
        <v>26.101564951392035</v>
      </c>
      <c r="J60" s="120">
        <f>-'Mix 4 Interest Calcualtions'!M14/J57*100</f>
        <v>25.369965287772196</v>
      </c>
      <c r="K60" s="120">
        <f>-'Mix 4 Interest Calcualtions'!N14/K57*100</f>
        <v>24.583495649380861</v>
      </c>
      <c r="L60" s="120">
        <f>-'Mix 4 Interest Calcualtions'!O14/L57*100</f>
        <v>23.73804078811018</v>
      </c>
      <c r="M60" s="120">
        <f>-'Mix 4 Interest Calcualtions'!P14/M57*100</f>
        <v>22.829176812244199</v>
      </c>
      <c r="N60" s="120">
        <f>-'Mix 4 Interest Calcualtions'!Q14/N57*100</f>
        <v>21.852148038188272</v>
      </c>
      <c r="O60" s="120">
        <f>-'Mix 4 Interest Calcualtions'!R14/O57*100</f>
        <v>20.801842106078144</v>
      </c>
      <c r="P60" s="120">
        <f>-'Mix 4 Interest Calcualtions'!S14/P57*100</f>
        <v>19.672763229059758</v>
      </c>
      <c r="Q60" s="120">
        <f>-'Mix 4 Interest Calcualtions'!T14/Q57*100</f>
        <v>18.459003436264997</v>
      </c>
      <c r="R60" s="120">
        <f>-'Mix 4 Interest Calcualtions'!U14/R57*100</f>
        <v>17.154211659010624</v>
      </c>
      <c r="S60" s="120">
        <f>-'Mix 4 Interest Calcualtions'!V14/S57*100</f>
        <v>15.751560498462174</v>
      </c>
      <c r="T60" s="120">
        <f>-'Mix 4 Interest Calcualtions'!W14/T57*100</f>
        <v>14.243710500872591</v>
      </c>
      <c r="U60" s="120">
        <f>-'Mix 4 Interest Calcualtions'!X14/U57*100</f>
        <v>12.622771753463791</v>
      </c>
      <c r="V60" s="120">
        <f>-'Mix 4 Interest Calcualtions'!Y14/V57*100</f>
        <v>10.88026259999933</v>
      </c>
      <c r="W60" s="120">
        <f>-'Mix 4 Interest Calcualtions'!Z14/W57*100</f>
        <v>9.0070652600250352</v>
      </c>
      <c r="X60" s="120">
        <f>-'Mix 4 Interest Calcualtions'!AA14/X57*100</f>
        <v>6.9933781195526663</v>
      </c>
      <c r="Y60" s="120">
        <f>-'Mix 4 Interest Calcualtions'!AB14/Y57*100</f>
        <v>4.8286644435448709</v>
      </c>
      <c r="Z60" s="120">
        <f>-'Mix 4 Interest Calcualtions'!AC14/Z57*100</f>
        <v>2.5015972418364902</v>
      </c>
    </row>
    <row r="61" spans="1:26" x14ac:dyDescent="0.35">
      <c r="A61" s="116" t="s">
        <v>160</v>
      </c>
      <c r="B61" s="124">
        <f>-'Mix 4 Interest Calcualtions'!E13/B57*100</f>
        <v>5.8796704365613701</v>
      </c>
      <c r="C61" s="124">
        <f>-'Mix 4 Interest Calcualtions'!F13/C57*100</f>
        <v>6.3206457193034709</v>
      </c>
      <c r="D61" s="124">
        <f>-'Mix 4 Interest Calcualtions'!G13/D57*100</f>
        <v>6.7946941482512333</v>
      </c>
      <c r="E61" s="124">
        <f>-'Mix 4 Interest Calcualtions'!H13/E57*100</f>
        <v>7.3042962093700776</v>
      </c>
      <c r="F61" s="124">
        <f>-'Mix 4 Interest Calcualtions'!I13/F57*100</f>
        <v>7.852118425072832</v>
      </c>
      <c r="G61" s="124">
        <f>-'Mix 4 Interest Calcualtions'!J13/G57*100</f>
        <v>8.4410273069532948</v>
      </c>
      <c r="H61" s="124">
        <f>-'Mix 4 Interest Calcualtions'!K13/H57*100</f>
        <v>9.0741043549747928</v>
      </c>
      <c r="I61" s="124">
        <f>-'Mix 4 Interest Calcualtions'!L13/I57*100</f>
        <v>9.7546621815979062</v>
      </c>
      <c r="J61" s="124">
        <f>-'Mix 4 Interest Calcualtions'!M13/J57*100</f>
        <v>10.486261845217747</v>
      </c>
      <c r="K61" s="124">
        <f>-'Mix 4 Interest Calcualtions'!N13/K57*100</f>
        <v>11.272731483609078</v>
      </c>
      <c r="L61" s="124">
        <f>-'Mix 4 Interest Calcualtions'!O13/L57*100</f>
        <v>12.118186344879762</v>
      </c>
      <c r="M61" s="124">
        <f>-'Mix 4 Interest Calcualtions'!P13/M57*100</f>
        <v>13.027050320745742</v>
      </c>
      <c r="N61" s="124">
        <f>-'Mix 4 Interest Calcualtions'!Q13/N57*100</f>
        <v>14.004079094801671</v>
      </c>
      <c r="O61" s="124">
        <f>-'Mix 4 Interest Calcualtions'!R13/O57*100</f>
        <v>15.054385026911799</v>
      </c>
      <c r="P61" s="124">
        <f>-'Mix 4 Interest Calcualtions'!S13/P57*100</f>
        <v>16.183463903930186</v>
      </c>
      <c r="Q61" s="124">
        <f>-'Mix 4 Interest Calcualtions'!T13/Q57*100</f>
        <v>17.397223696724947</v>
      </c>
      <c r="R61" s="124">
        <f>-'Mix 4 Interest Calcualtions'!U13/R57*100</f>
        <v>18.702015473979316</v>
      </c>
      <c r="S61" s="124">
        <f>-'Mix 4 Interest Calcualtions'!V13/S57*100</f>
        <v>20.104666634527767</v>
      </c>
      <c r="T61" s="124">
        <f>-'Mix 4 Interest Calcualtions'!W13/T57*100</f>
        <v>21.612516632117348</v>
      </c>
      <c r="U61" s="124">
        <f>-'Mix 4 Interest Calcualtions'!X13/U57*100</f>
        <v>23.233455379526152</v>
      </c>
      <c r="V61" s="124">
        <f>-'Mix 4 Interest Calcualtions'!Y13/V57*100</f>
        <v>24.975964532990609</v>
      </c>
      <c r="W61" s="124">
        <f>-'Mix 4 Interest Calcualtions'!Z13/W57*100</f>
        <v>26.84916187296491</v>
      </c>
      <c r="X61" s="124">
        <f>-'Mix 4 Interest Calcualtions'!AA13/X57*100</f>
        <v>28.862849013437277</v>
      </c>
      <c r="Y61" s="124">
        <f>-'Mix 4 Interest Calcualtions'!AB13/Y57*100</f>
        <v>31.02756268944507</v>
      </c>
      <c r="Z61" s="124">
        <f>-'Mix 4 Interest Calcualtions'!AC13/Z57*100</f>
        <v>33.354629891153451</v>
      </c>
    </row>
    <row r="62" spans="1:26" x14ac:dyDescent="0.35">
      <c r="A62" s="116" t="s">
        <v>161</v>
      </c>
      <c r="B62" s="120">
        <f>-'Mix 4 Cash Flow'!D9/'Mix 3 Summary'!B57*100</f>
        <v>21.731874226190477</v>
      </c>
      <c r="C62" s="120">
        <f>-'Mix 4 Cash Flow'!E9/'Mix 3 Summary'!C57*100</f>
        <v>21.731874226190477</v>
      </c>
      <c r="D62" s="120">
        <f>-'Mix 4 Cash Flow'!F9/'Mix 3 Summary'!D57*100</f>
        <v>21.731874226190477</v>
      </c>
      <c r="E62" s="120">
        <f>-'Mix 4 Cash Flow'!G9/'Mix 3 Summary'!E57*100</f>
        <v>21.731874226190477</v>
      </c>
      <c r="F62" s="120">
        <f>-'Mix 4 Cash Flow'!H9/'Mix 3 Summary'!F57*100</f>
        <v>21.731874226190477</v>
      </c>
      <c r="G62" s="120">
        <f>-'Mix 4 Cash Flow'!I9/'Mix 3 Summary'!G57*100</f>
        <v>21.731874226190477</v>
      </c>
      <c r="H62" s="120">
        <f>-'Mix 4 Cash Flow'!J9/'Mix 3 Summary'!H57*100</f>
        <v>21.731874226190477</v>
      </c>
      <c r="I62" s="120">
        <f>-'Mix 4 Cash Flow'!K9/'Mix 3 Summary'!I57*100</f>
        <v>21.731874226190477</v>
      </c>
      <c r="J62" s="120">
        <f>-'Mix 4 Cash Flow'!L9/'Mix 3 Summary'!J57*100</f>
        <v>21.731874226190477</v>
      </c>
      <c r="K62" s="120">
        <f>-'Mix 4 Cash Flow'!M9/'Mix 3 Summary'!K57*100</f>
        <v>21.731874226190477</v>
      </c>
      <c r="L62" s="120">
        <f>-'Mix 4 Cash Flow'!N9/'Mix 3 Summary'!L57*100</f>
        <v>21.731874226190477</v>
      </c>
      <c r="M62" s="120">
        <f>-'Mix 4 Cash Flow'!O9/'Mix 3 Summary'!M57*100</f>
        <v>21.731874226190477</v>
      </c>
      <c r="N62" s="120">
        <f>-'Mix 4 Cash Flow'!P9/'Mix 3 Summary'!N57*100</f>
        <v>21.731874226190477</v>
      </c>
      <c r="O62" s="120">
        <f>-'Mix 4 Cash Flow'!Q9/'Mix 3 Summary'!O57*100</f>
        <v>21.731874226190477</v>
      </c>
      <c r="P62" s="120">
        <f>-'Mix 4 Cash Flow'!R9/'Mix 3 Summary'!P57*100</f>
        <v>21.731874226190477</v>
      </c>
      <c r="Q62" s="120">
        <f>-'Mix 4 Cash Flow'!S9/'Mix 3 Summary'!Q57*100</f>
        <v>21.731874226190477</v>
      </c>
      <c r="R62" s="120">
        <f>-'Mix 4 Cash Flow'!T9/'Mix 3 Summary'!R57*100</f>
        <v>21.731874226190477</v>
      </c>
      <c r="S62" s="120">
        <f>-'Mix 4 Cash Flow'!U9/'Mix 3 Summary'!S57*100</f>
        <v>21.731874226190477</v>
      </c>
      <c r="T62" s="120">
        <f>-'Mix 4 Cash Flow'!V9/'Mix 3 Summary'!T57*100</f>
        <v>21.731874226190477</v>
      </c>
      <c r="U62" s="120">
        <f>-'Mix 4 Cash Flow'!W9/'Mix 3 Summary'!U57*100</f>
        <v>21.731874226190477</v>
      </c>
      <c r="V62" s="120">
        <f>-'Mix 4 Cash Flow'!X9/'Mix 3 Summary'!V57*100</f>
        <v>21.731874226190477</v>
      </c>
      <c r="W62" s="120">
        <f>-'Mix 4 Cash Flow'!Y9/'Mix 3 Summary'!W57*100</f>
        <v>21.731874226190477</v>
      </c>
      <c r="X62" s="120">
        <f>-'Mix 4 Cash Flow'!Z9/'Mix 3 Summary'!X57*100</f>
        <v>21.731874226190477</v>
      </c>
      <c r="Y62" s="120">
        <f>-'Mix 4 Cash Flow'!AA9/'Mix 3 Summary'!Y57*100</f>
        <v>21.731874226190477</v>
      </c>
      <c r="Z62" s="120">
        <f>-'Mix 4 Cash Flow'!AB9/'Mix 3 Summary'!Z57*100</f>
        <v>21.731874226190477</v>
      </c>
    </row>
    <row r="63" spans="1:26" x14ac:dyDescent="0.35">
      <c r="A63" s="116"/>
      <c r="B63" s="120">
        <f>SUM(B59:B62)</f>
        <v>57.588101359180421</v>
      </c>
      <c r="C63" s="120">
        <f t="shared" ref="C63:U63" si="18">SUM(C59:C62)</f>
        <v>57.588101359180421</v>
      </c>
      <c r="D63" s="120">
        <f t="shared" si="18"/>
        <v>57.588101359180421</v>
      </c>
      <c r="E63" s="120">
        <f t="shared" si="18"/>
        <v>57.588101359180421</v>
      </c>
      <c r="F63" s="120">
        <f t="shared" si="18"/>
        <v>57.588101359180421</v>
      </c>
      <c r="G63" s="120">
        <f t="shared" si="18"/>
        <v>57.588101359180421</v>
      </c>
      <c r="H63" s="120">
        <f t="shared" si="18"/>
        <v>57.588101359180421</v>
      </c>
      <c r="I63" s="120">
        <f t="shared" si="18"/>
        <v>57.588101359180421</v>
      </c>
      <c r="J63" s="120">
        <f t="shared" si="18"/>
        <v>57.588101359180421</v>
      </c>
      <c r="K63" s="120">
        <f t="shared" si="18"/>
        <v>57.588101359180421</v>
      </c>
      <c r="L63" s="120">
        <f t="shared" si="18"/>
        <v>57.588101359180421</v>
      </c>
      <c r="M63" s="120">
        <f t="shared" si="18"/>
        <v>57.588101359180421</v>
      </c>
      <c r="N63" s="120">
        <f t="shared" si="18"/>
        <v>57.588101359180421</v>
      </c>
      <c r="O63" s="120">
        <f t="shared" si="18"/>
        <v>57.588101359180421</v>
      </c>
      <c r="P63" s="120">
        <f t="shared" si="18"/>
        <v>57.588101359180421</v>
      </c>
      <c r="Q63" s="120">
        <f t="shared" si="18"/>
        <v>57.588101359180421</v>
      </c>
      <c r="R63" s="120">
        <f t="shared" si="18"/>
        <v>57.588101359180421</v>
      </c>
      <c r="S63" s="120">
        <f t="shared" si="18"/>
        <v>57.588101359180421</v>
      </c>
      <c r="T63" s="120">
        <f t="shared" si="18"/>
        <v>57.588101359180421</v>
      </c>
      <c r="U63" s="120">
        <f t="shared" si="18"/>
        <v>57.588101359180421</v>
      </c>
      <c r="V63" s="120">
        <f t="shared" ref="V63:Z63" si="19">SUM(V59:V62)</f>
        <v>57.588101359180421</v>
      </c>
      <c r="W63" s="120">
        <f t="shared" si="19"/>
        <v>57.588101359180421</v>
      </c>
      <c r="X63" s="120">
        <f t="shared" si="19"/>
        <v>57.588101359180421</v>
      </c>
      <c r="Y63" s="120">
        <f t="shared" si="19"/>
        <v>57.588101359180421</v>
      </c>
      <c r="Z63" s="120">
        <f t="shared" si="19"/>
        <v>57.588101359180421</v>
      </c>
    </row>
    <row r="64" spans="1:26" x14ac:dyDescent="0.35">
      <c r="A64" s="116" t="s">
        <v>142</v>
      </c>
      <c r="B64" s="124">
        <f>B65-B63</f>
        <v>2.4118986408195795</v>
      </c>
      <c r="C64" s="124">
        <f t="shared" ref="C64:U64" si="20">C65-C63</f>
        <v>2.4118986408195795</v>
      </c>
      <c r="D64" s="124">
        <f t="shared" si="20"/>
        <v>2.4118986408195795</v>
      </c>
      <c r="E64" s="124">
        <f t="shared" si="20"/>
        <v>2.4118986408195795</v>
      </c>
      <c r="F64" s="124">
        <f t="shared" si="20"/>
        <v>2.4118986408195795</v>
      </c>
      <c r="G64" s="124">
        <f t="shared" si="20"/>
        <v>2.4118986408195795</v>
      </c>
      <c r="H64" s="124">
        <f t="shared" si="20"/>
        <v>2.4118986408195795</v>
      </c>
      <c r="I64" s="124">
        <f t="shared" si="20"/>
        <v>2.4118986408195795</v>
      </c>
      <c r="J64" s="124">
        <f t="shared" si="20"/>
        <v>2.4118986408195795</v>
      </c>
      <c r="K64" s="124">
        <f t="shared" si="20"/>
        <v>2.4118986408195795</v>
      </c>
      <c r="L64" s="124">
        <f t="shared" si="20"/>
        <v>2.4118986408195795</v>
      </c>
      <c r="M64" s="124">
        <f t="shared" si="20"/>
        <v>2.4118986408195795</v>
      </c>
      <c r="N64" s="124">
        <f t="shared" si="20"/>
        <v>2.4118986408195795</v>
      </c>
      <c r="O64" s="124">
        <f t="shared" si="20"/>
        <v>2.4118986408195795</v>
      </c>
      <c r="P64" s="124">
        <f t="shared" si="20"/>
        <v>2.4118986408195795</v>
      </c>
      <c r="Q64" s="124">
        <f t="shared" si="20"/>
        <v>2.4118986408195795</v>
      </c>
      <c r="R64" s="124">
        <f t="shared" si="20"/>
        <v>2.4118986408195795</v>
      </c>
      <c r="S64" s="124">
        <f t="shared" si="20"/>
        <v>2.4118986408195795</v>
      </c>
      <c r="T64" s="124">
        <f t="shared" si="20"/>
        <v>2.4118986408195795</v>
      </c>
      <c r="U64" s="124">
        <f t="shared" si="20"/>
        <v>2.4118986408195795</v>
      </c>
      <c r="V64" s="124">
        <f t="shared" ref="V64:Z64" si="21">V65-V63</f>
        <v>2.4118986408195795</v>
      </c>
      <c r="W64" s="124">
        <f t="shared" si="21"/>
        <v>2.4118986408195795</v>
      </c>
      <c r="X64" s="124">
        <f t="shared" si="21"/>
        <v>2.4118986408195795</v>
      </c>
      <c r="Y64" s="124">
        <f t="shared" si="21"/>
        <v>2.4118986408195795</v>
      </c>
      <c r="Z64" s="124">
        <f t="shared" si="21"/>
        <v>2.4118986408195795</v>
      </c>
    </row>
    <row r="65" spans="1:26" x14ac:dyDescent="0.35">
      <c r="A65" s="116" t="s">
        <v>163</v>
      </c>
      <c r="B65" s="125">
        <f t="shared" ref="B65:Z65" si="22">$M$6</f>
        <v>60</v>
      </c>
      <c r="C65" s="125">
        <f t="shared" si="22"/>
        <v>60</v>
      </c>
      <c r="D65" s="125">
        <f t="shared" si="22"/>
        <v>60</v>
      </c>
      <c r="E65" s="125">
        <f t="shared" si="22"/>
        <v>60</v>
      </c>
      <c r="F65" s="125">
        <f t="shared" si="22"/>
        <v>60</v>
      </c>
      <c r="G65" s="125">
        <f t="shared" si="22"/>
        <v>60</v>
      </c>
      <c r="H65" s="125">
        <f t="shared" si="22"/>
        <v>60</v>
      </c>
      <c r="I65" s="125">
        <f t="shared" si="22"/>
        <v>60</v>
      </c>
      <c r="J65" s="125">
        <f t="shared" si="22"/>
        <v>60</v>
      </c>
      <c r="K65" s="125">
        <f t="shared" si="22"/>
        <v>60</v>
      </c>
      <c r="L65" s="125">
        <f t="shared" si="22"/>
        <v>60</v>
      </c>
      <c r="M65" s="125">
        <f t="shared" si="22"/>
        <v>60</v>
      </c>
      <c r="N65" s="125">
        <f t="shared" si="22"/>
        <v>60</v>
      </c>
      <c r="O65" s="125">
        <f t="shared" si="22"/>
        <v>60</v>
      </c>
      <c r="P65" s="125">
        <f t="shared" si="22"/>
        <v>60</v>
      </c>
      <c r="Q65" s="125">
        <f t="shared" si="22"/>
        <v>60</v>
      </c>
      <c r="R65" s="125">
        <f t="shared" si="22"/>
        <v>60</v>
      </c>
      <c r="S65" s="125">
        <f t="shared" si="22"/>
        <v>60</v>
      </c>
      <c r="T65" s="125">
        <f t="shared" si="22"/>
        <v>60</v>
      </c>
      <c r="U65" s="125">
        <f t="shared" si="22"/>
        <v>60</v>
      </c>
      <c r="V65" s="125">
        <f t="shared" si="22"/>
        <v>60</v>
      </c>
      <c r="W65" s="125">
        <f t="shared" si="22"/>
        <v>60</v>
      </c>
      <c r="X65" s="125">
        <f t="shared" si="22"/>
        <v>60</v>
      </c>
      <c r="Y65" s="125">
        <f t="shared" si="22"/>
        <v>60</v>
      </c>
      <c r="Z65" s="125">
        <f t="shared" si="22"/>
        <v>60</v>
      </c>
    </row>
  </sheetData>
  <sheetProtection algorithmName="SHA-512" hashValue="rTSF0awIYSTiU/CK+Fd+Ysoq622g4wnSoHwDQDR8rWwKkUvVjOonjttEryzEfM6wAqoS34YA9V4l9WS14uuaVw==" saltValue="uxbXb0rsILdzbnZRsyJqRw==" spinCount="100000" sheet="1" objects="1" scenarios="1" selectLockedCells="1" selectUnlockedCells="1"/>
  <mergeCells count="23">
    <mergeCell ref="K10:L10"/>
    <mergeCell ref="K11:L11"/>
    <mergeCell ref="A39:B39"/>
    <mergeCell ref="P9:Q9"/>
    <mergeCell ref="P10:Q10"/>
    <mergeCell ref="P11:Q11"/>
    <mergeCell ref="K9:L9"/>
    <mergeCell ref="P12:Q12"/>
    <mergeCell ref="K13:M13"/>
    <mergeCell ref="K14:M14"/>
    <mergeCell ref="D6:E6"/>
    <mergeCell ref="P6:Q6"/>
    <mergeCell ref="D7:E7"/>
    <mergeCell ref="P7:Q7"/>
    <mergeCell ref="D8:E8"/>
    <mergeCell ref="P8:Q8"/>
    <mergeCell ref="K8:L8"/>
    <mergeCell ref="A4:B4"/>
    <mergeCell ref="D4:H4"/>
    <mergeCell ref="K4:M4"/>
    <mergeCell ref="P4:R4"/>
    <mergeCell ref="D5:E5"/>
    <mergeCell ref="P5:Q5"/>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greaterThan" id="{D6A0A58E-2131-40B3-98CC-2806429DCB4C}">
            <xm:f>'Generation &amp; Ops Scenarios'!$C$35*8760*0.3</xm:f>
            <x14:dxf>
              <font>
                <color rgb="FFFF0000"/>
              </font>
              <fill>
                <patternFill>
                  <bgColor theme="5" tint="0.79998168889431442"/>
                </patternFill>
              </fill>
            </x14:dxf>
          </x14:cfRule>
          <xm:sqref>B54:Z54</xm:sqref>
        </x14:conditionalFormatting>
        <x14:conditionalFormatting xmlns:xm="http://schemas.microsoft.com/office/excel/2006/main">
          <x14:cfRule type="cellIs" priority="2" operator="greaterThan" id="{FF4CA31C-971B-4414-801A-016B9C2CAC60}">
            <xm:f>'Generation &amp; Ops Scenarios'!$C$35*8760*0.3+$B$51</xm:f>
            <x14:dxf>
              <font>
                <color rgb="FFFF0000"/>
              </font>
              <fill>
                <patternFill>
                  <bgColor theme="5" tint="0.79998168889431442"/>
                </patternFill>
              </fill>
            </x14:dxf>
          </x14:cfRule>
          <xm:sqref>B57:Z57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E7785-F650-4C9B-A16B-75A53F509B44}">
  <sheetPr>
    <pageSetUpPr fitToPage="1"/>
  </sheetPr>
  <dimension ref="A1:N114"/>
  <sheetViews>
    <sheetView tabSelected="1" topLeftCell="A63" zoomScale="112" zoomScaleNormal="112" workbookViewId="0">
      <selection activeCell="B17" sqref="B17"/>
    </sheetView>
  </sheetViews>
  <sheetFormatPr defaultColWidth="9.1796875" defaultRowHeight="14.5" x14ac:dyDescent="0.35"/>
  <cols>
    <col min="1" max="1" width="65.26953125" style="89" customWidth="1"/>
    <col min="2" max="2" width="12.81640625" style="232" customWidth="1"/>
    <col min="3" max="3" width="16" style="89" customWidth="1"/>
    <col min="4" max="4" width="13.453125" style="89" customWidth="1"/>
    <col min="5" max="5" width="13.7265625" style="89" customWidth="1"/>
    <col min="6" max="6" width="16.1796875" style="233" customWidth="1"/>
    <col min="7" max="7" width="14.453125" style="233" customWidth="1"/>
    <col min="8" max="8" width="12.81640625" style="233" customWidth="1"/>
    <col min="9" max="9" width="13.54296875" style="89" customWidth="1"/>
    <col min="10" max="10" width="38.26953125" style="89" customWidth="1"/>
    <col min="11" max="11" width="10.54296875" style="89" bestFit="1" customWidth="1"/>
    <col min="12" max="12" width="11.26953125" style="89" customWidth="1"/>
    <col min="13" max="13" width="11.81640625" style="89" customWidth="1"/>
    <col min="14" max="14" width="12.1796875" style="89" customWidth="1"/>
    <col min="15" max="15" width="11.54296875" style="89" customWidth="1"/>
    <col min="16" max="16" width="11.81640625" style="89" customWidth="1"/>
    <col min="17" max="16384" width="9.1796875" style="89"/>
  </cols>
  <sheetData>
    <row r="1" spans="1:14" ht="15" thickBot="1" x14ac:dyDescent="0.4">
      <c r="J1" s="234" t="s">
        <v>204</v>
      </c>
    </row>
    <row r="2" spans="1:14" s="229" customFormat="1" ht="31.5" customHeight="1" thickBot="1" x14ac:dyDescent="0.4">
      <c r="A2" s="372" t="s">
        <v>91</v>
      </c>
      <c r="B2" s="373">
        <v>60</v>
      </c>
      <c r="C2" s="390" t="s">
        <v>195</v>
      </c>
      <c r="D2" s="391"/>
      <c r="E2" s="235"/>
      <c r="F2" s="392" t="s">
        <v>92</v>
      </c>
      <c r="G2" s="393"/>
      <c r="H2" s="236"/>
      <c r="I2" s="237"/>
      <c r="J2" s="395" t="s">
        <v>267</v>
      </c>
      <c r="K2" s="395"/>
      <c r="L2" s="395"/>
      <c r="M2" s="395"/>
      <c r="N2" s="238"/>
    </row>
    <row r="3" spans="1:14" ht="15" thickBot="1" x14ac:dyDescent="0.4">
      <c r="A3" s="111" t="s">
        <v>196</v>
      </c>
      <c r="B3" s="357">
        <v>1400000</v>
      </c>
      <c r="C3" s="111" t="s">
        <v>93</v>
      </c>
      <c r="D3" s="360">
        <v>15000</v>
      </c>
      <c r="E3" s="161"/>
      <c r="F3" s="240" t="s">
        <v>94</v>
      </c>
      <c r="G3" s="362">
        <v>0.39</v>
      </c>
      <c r="H3" s="241"/>
      <c r="I3" s="163"/>
      <c r="J3" s="395"/>
      <c r="K3" s="395"/>
      <c r="L3" s="395"/>
      <c r="M3" s="395"/>
      <c r="N3" s="238"/>
    </row>
    <row r="4" spans="1:14" ht="15" thickBot="1" x14ac:dyDescent="0.4">
      <c r="A4" s="111" t="s">
        <v>278</v>
      </c>
      <c r="B4" s="375">
        <v>5.0000000000000001E-3</v>
      </c>
      <c r="C4" s="111" t="s">
        <v>94</v>
      </c>
      <c r="D4" s="360">
        <v>200000</v>
      </c>
      <c r="E4" s="161"/>
      <c r="F4" s="240" t="s">
        <v>95</v>
      </c>
      <c r="G4" s="363">
        <v>0.125</v>
      </c>
      <c r="H4" s="241"/>
      <c r="I4" s="163"/>
      <c r="J4" s="238"/>
      <c r="K4" s="238"/>
      <c r="L4" s="238"/>
      <c r="M4" s="238"/>
      <c r="N4" s="238"/>
    </row>
    <row r="5" spans="1:14" ht="15" thickBot="1" x14ac:dyDescent="0.4">
      <c r="A5" s="111" t="s">
        <v>279</v>
      </c>
      <c r="B5" s="359">
        <v>0.02</v>
      </c>
      <c r="C5" s="111" t="s">
        <v>95</v>
      </c>
      <c r="D5" s="360">
        <v>130000</v>
      </c>
      <c r="E5" s="161"/>
      <c r="F5" s="240"/>
      <c r="G5" s="242"/>
      <c r="H5" s="243"/>
      <c r="I5" s="163"/>
      <c r="J5" s="234" t="s">
        <v>210</v>
      </c>
      <c r="L5" s="244"/>
    </row>
    <row r="6" spans="1:14" ht="15" thickBot="1" x14ac:dyDescent="0.4">
      <c r="A6" s="111" t="s">
        <v>228</v>
      </c>
      <c r="B6" s="358">
        <v>0.04</v>
      </c>
      <c r="C6" s="108" t="s">
        <v>96</v>
      </c>
      <c r="D6" s="361">
        <v>240000</v>
      </c>
      <c r="E6" s="161"/>
      <c r="F6" s="245"/>
      <c r="G6" s="246"/>
      <c r="H6" s="243"/>
      <c r="I6" s="163"/>
      <c r="J6" s="247" t="s">
        <v>206</v>
      </c>
    </row>
    <row r="7" spans="1:14" x14ac:dyDescent="0.35">
      <c r="A7" s="111"/>
      <c r="B7" s="239">
        <f>B3*1/(1-B4-B5-B6)</f>
        <v>1497326.2032085562</v>
      </c>
      <c r="C7" s="161"/>
      <c r="D7" s="248"/>
      <c r="E7" s="161"/>
      <c r="F7" s="243"/>
      <c r="G7" s="243"/>
      <c r="H7" s="243"/>
      <c r="I7" s="163"/>
      <c r="J7" s="247" t="s">
        <v>205</v>
      </c>
    </row>
    <row r="8" spans="1:14" x14ac:dyDescent="0.35">
      <c r="A8" s="111" t="s">
        <v>211</v>
      </c>
      <c r="B8" s="239">
        <f>B7*0.45</f>
        <v>673796.79144385026</v>
      </c>
      <c r="C8" s="161"/>
      <c r="D8" s="161"/>
      <c r="E8" s="161"/>
      <c r="F8" s="243"/>
      <c r="G8" s="243"/>
      <c r="H8" s="243"/>
      <c r="I8" s="163"/>
    </row>
    <row r="9" spans="1:14" x14ac:dyDescent="0.35">
      <c r="A9" s="111" t="s">
        <v>212</v>
      </c>
      <c r="B9" s="239">
        <f>B7*0.55</f>
        <v>823529.4117647059</v>
      </c>
      <c r="C9" s="161"/>
      <c r="D9" s="161"/>
      <c r="E9" s="161"/>
      <c r="F9" s="378"/>
      <c r="G9" s="243"/>
      <c r="H9" s="161"/>
      <c r="I9" s="249"/>
    </row>
    <row r="10" spans="1:14" ht="15" thickBot="1" x14ac:dyDescent="0.4">
      <c r="A10" s="111"/>
      <c r="B10" s="250"/>
      <c r="C10" s="161"/>
      <c r="D10" s="161"/>
      <c r="E10" s="161"/>
      <c r="F10" s="243"/>
      <c r="G10" s="379"/>
      <c r="H10" s="243"/>
      <c r="I10" s="163"/>
      <c r="J10" s="234" t="s">
        <v>4</v>
      </c>
    </row>
    <row r="11" spans="1:14" ht="15" thickBot="1" x14ac:dyDescent="0.4">
      <c r="A11" s="111" t="s">
        <v>190</v>
      </c>
      <c r="B11" s="359">
        <v>1</v>
      </c>
      <c r="C11" s="236" t="s">
        <v>98</v>
      </c>
      <c r="D11" s="251"/>
      <c r="E11" s="161"/>
      <c r="F11" s="243"/>
      <c r="G11" s="379"/>
      <c r="H11" s="243"/>
      <c r="I11" s="163"/>
      <c r="J11" s="234" t="s">
        <v>213</v>
      </c>
    </row>
    <row r="12" spans="1:14" ht="15" thickBot="1" x14ac:dyDescent="0.4">
      <c r="A12" s="111" t="s">
        <v>191</v>
      </c>
      <c r="B12" s="376">
        <v>25</v>
      </c>
      <c r="C12" s="161" t="s">
        <v>99</v>
      </c>
      <c r="D12" s="366">
        <v>40000</v>
      </c>
      <c r="E12" s="161"/>
      <c r="F12" s="243"/>
      <c r="G12" s="379"/>
      <c r="H12" s="243"/>
      <c r="I12" s="163"/>
      <c r="J12" s="234" t="s">
        <v>214</v>
      </c>
    </row>
    <row r="13" spans="1:14" ht="15" thickBot="1" x14ac:dyDescent="0.4">
      <c r="A13" s="111" t="s">
        <v>198</v>
      </c>
      <c r="B13" s="376">
        <v>25</v>
      </c>
      <c r="C13" s="161" t="s">
        <v>100</v>
      </c>
      <c r="D13" s="366">
        <v>160000</v>
      </c>
      <c r="E13" s="161"/>
      <c r="F13" s="243"/>
      <c r="G13" s="379"/>
      <c r="H13" s="243"/>
      <c r="I13" s="163"/>
    </row>
    <row r="14" spans="1:14" ht="15" thickBot="1" x14ac:dyDescent="0.4">
      <c r="A14" s="111" t="s">
        <v>97</v>
      </c>
      <c r="B14" s="377">
        <v>7.4999999999999997E-2</v>
      </c>
      <c r="C14" s="241" t="s">
        <v>102</v>
      </c>
      <c r="D14" s="374"/>
      <c r="E14" s="161"/>
      <c r="F14" s="243"/>
      <c r="G14" s="243"/>
      <c r="H14" s="243"/>
      <c r="I14" s="163"/>
      <c r="J14" s="234" t="s">
        <v>208</v>
      </c>
    </row>
    <row r="15" spans="1:14" ht="15" thickBot="1" x14ac:dyDescent="0.4">
      <c r="A15" s="111"/>
      <c r="B15" s="250"/>
      <c r="C15" s="111" t="s">
        <v>104</v>
      </c>
      <c r="D15" s="366">
        <v>14000</v>
      </c>
      <c r="E15" s="161"/>
      <c r="F15" s="378"/>
      <c r="G15" s="255"/>
      <c r="H15" s="243"/>
      <c r="I15" s="163"/>
      <c r="J15" s="234" t="s">
        <v>209</v>
      </c>
    </row>
    <row r="16" spans="1:14" ht="15" thickBot="1" x14ac:dyDescent="0.4">
      <c r="A16" s="252" t="s">
        <v>2</v>
      </c>
      <c r="B16" s="250"/>
      <c r="C16" s="111" t="s">
        <v>106</v>
      </c>
      <c r="D16" s="366">
        <v>100</v>
      </c>
      <c r="E16" s="161"/>
      <c r="F16" s="243"/>
      <c r="G16" s="380"/>
      <c r="H16" s="243"/>
      <c r="I16" s="163"/>
      <c r="J16" s="234" t="s">
        <v>270</v>
      </c>
    </row>
    <row r="17" spans="1:10" ht="15" thickBot="1" x14ac:dyDescent="0.4">
      <c r="A17" s="111" t="s">
        <v>197</v>
      </c>
      <c r="B17" s="364">
        <v>87</v>
      </c>
      <c r="C17" s="108" t="s">
        <v>164</v>
      </c>
      <c r="D17" s="366">
        <v>50</v>
      </c>
      <c r="E17" s="161"/>
      <c r="F17" s="243"/>
      <c r="G17" s="380"/>
      <c r="H17" s="243"/>
      <c r="I17" s="163"/>
    </row>
    <row r="18" spans="1:10" x14ac:dyDescent="0.35">
      <c r="A18" s="111" t="s">
        <v>269</v>
      </c>
      <c r="B18" s="253">
        <f>100/24*0.95</f>
        <v>3.9583333333333335</v>
      </c>
      <c r="C18" s="161"/>
      <c r="D18" s="250"/>
      <c r="E18" s="161"/>
      <c r="F18" s="243"/>
      <c r="G18" s="380"/>
      <c r="H18" s="243"/>
      <c r="I18" s="163"/>
      <c r="J18" s="234" t="s">
        <v>277</v>
      </c>
    </row>
    <row r="19" spans="1:10" ht="15" thickBot="1" x14ac:dyDescent="0.4">
      <c r="A19" s="252" t="s">
        <v>101</v>
      </c>
      <c r="B19" s="250"/>
      <c r="C19" s="161"/>
      <c r="D19" s="254"/>
      <c r="E19" s="161"/>
      <c r="F19" s="243"/>
      <c r="G19" s="255"/>
      <c r="H19" s="243"/>
      <c r="I19" s="163"/>
    </row>
    <row r="20" spans="1:10" ht="14.25" customHeight="1" thickBot="1" x14ac:dyDescent="0.4">
      <c r="A20" s="111" t="s">
        <v>103</v>
      </c>
      <c r="B20" s="359">
        <v>0.15</v>
      </c>
      <c r="C20" s="161"/>
      <c r="D20" s="250"/>
      <c r="E20" s="161"/>
      <c r="F20" s="256" t="s">
        <v>58</v>
      </c>
      <c r="G20" s="365">
        <v>0.05</v>
      </c>
      <c r="H20" s="243"/>
      <c r="I20" s="163"/>
    </row>
    <row r="21" spans="1:10" ht="14.25" customHeight="1" thickBot="1" x14ac:dyDescent="0.4">
      <c r="A21" s="111" t="s">
        <v>105</v>
      </c>
      <c r="B21" s="359">
        <v>0.01</v>
      </c>
      <c r="C21" s="161"/>
      <c r="D21" s="250"/>
      <c r="E21" s="161"/>
      <c r="F21" s="243"/>
      <c r="G21" s="243"/>
      <c r="H21" s="243"/>
      <c r="I21" s="163"/>
    </row>
    <row r="22" spans="1:10" ht="14.25" customHeight="1" thickBot="1" x14ac:dyDescent="0.4">
      <c r="A22" s="111" t="s">
        <v>107</v>
      </c>
      <c r="B22" s="359">
        <v>0.02</v>
      </c>
      <c r="C22" s="161"/>
      <c r="D22" s="250"/>
      <c r="E22" s="161"/>
      <c r="F22" s="243"/>
      <c r="G22" s="243"/>
      <c r="H22" s="243"/>
      <c r="I22" s="163"/>
    </row>
    <row r="23" spans="1:10" ht="14.25" customHeight="1" thickBot="1" x14ac:dyDescent="0.4">
      <c r="A23" s="111" t="s">
        <v>108</v>
      </c>
      <c r="B23" s="359">
        <v>0.02</v>
      </c>
      <c r="C23" s="161"/>
      <c r="D23" s="250"/>
      <c r="E23" s="161"/>
      <c r="F23" s="243"/>
      <c r="G23" s="243"/>
      <c r="H23" s="243"/>
      <c r="I23" s="163"/>
    </row>
    <row r="24" spans="1:10" ht="14.25" customHeight="1" thickBot="1" x14ac:dyDescent="0.4">
      <c r="A24" s="111" t="s">
        <v>109</v>
      </c>
      <c r="B24" s="359">
        <v>0.01</v>
      </c>
      <c r="C24" s="161"/>
      <c r="D24" s="250"/>
      <c r="E24" s="161"/>
      <c r="F24" s="243"/>
      <c r="G24" s="243"/>
      <c r="H24" s="243"/>
      <c r="I24" s="163"/>
    </row>
    <row r="25" spans="1:10" ht="15" thickBot="1" x14ac:dyDescent="0.4">
      <c r="A25" s="108"/>
      <c r="B25" s="257"/>
      <c r="C25" s="258"/>
      <c r="D25" s="259"/>
      <c r="E25" s="258"/>
      <c r="F25" s="260"/>
      <c r="G25" s="260"/>
      <c r="H25" s="260"/>
      <c r="I25" s="261"/>
    </row>
    <row r="26" spans="1:10" x14ac:dyDescent="0.35">
      <c r="J26" s="229"/>
    </row>
    <row r="27" spans="1:10" ht="72.5" x14ac:dyDescent="0.35">
      <c r="A27" s="229"/>
      <c r="B27" s="262" t="s">
        <v>110</v>
      </c>
      <c r="C27" s="263" t="s">
        <v>111</v>
      </c>
      <c r="D27" s="263" t="s">
        <v>112</v>
      </c>
      <c r="E27" s="263" t="s">
        <v>113</v>
      </c>
      <c r="F27" s="263" t="s">
        <v>114</v>
      </c>
      <c r="G27" s="263" t="s">
        <v>215</v>
      </c>
      <c r="H27" s="263" t="s">
        <v>115</v>
      </c>
      <c r="I27" s="263" t="s">
        <v>116</v>
      </c>
      <c r="J27" s="229"/>
    </row>
    <row r="28" spans="1:10" x14ac:dyDescent="0.35">
      <c r="A28" s="229"/>
      <c r="B28" s="229"/>
      <c r="C28" s="229"/>
      <c r="D28" s="229"/>
      <c r="E28" s="229"/>
      <c r="F28" s="229"/>
      <c r="G28" s="229"/>
      <c r="H28" s="229"/>
      <c r="I28" s="229"/>
    </row>
    <row r="29" spans="1:10" x14ac:dyDescent="0.35">
      <c r="A29" s="229" t="s">
        <v>246</v>
      </c>
      <c r="B29" s="230">
        <f>SUM(B30:B33)</f>
        <v>1492946.5240641711</v>
      </c>
      <c r="C29" s="230">
        <f t="shared" ref="C29:I29" si="0">SUM(C30:C33)</f>
        <v>1465878.1240641712</v>
      </c>
      <c r="D29" s="230">
        <f t="shared" si="0"/>
        <v>1463000</v>
      </c>
      <c r="E29" s="230">
        <f t="shared" si="0"/>
        <v>1463000</v>
      </c>
      <c r="F29" s="230">
        <f t="shared" si="0"/>
        <v>1463000</v>
      </c>
      <c r="G29" s="230">
        <f t="shared" si="0"/>
        <v>1456000</v>
      </c>
      <c r="H29" s="230">
        <f t="shared" si="0"/>
        <v>1456000</v>
      </c>
      <c r="I29" s="230">
        <f t="shared" si="0"/>
        <v>1456000</v>
      </c>
      <c r="J29" s="234" t="s">
        <v>275</v>
      </c>
    </row>
    <row r="30" spans="1:10" x14ac:dyDescent="0.35">
      <c r="A30" s="229" t="s">
        <v>280</v>
      </c>
      <c r="B30" s="230">
        <f>$B$4*B33</f>
        <v>7000</v>
      </c>
      <c r="C30" s="230">
        <f>$B$4*C33</f>
        <v>7000</v>
      </c>
      <c r="D30" s="230">
        <f t="shared" ref="D30:F30" si="1">$B$4*D33</f>
        <v>7000</v>
      </c>
      <c r="E30" s="230">
        <f t="shared" si="1"/>
        <v>7000</v>
      </c>
      <c r="F30" s="230">
        <f t="shared" si="1"/>
        <v>7000</v>
      </c>
      <c r="G30" s="230">
        <v>0</v>
      </c>
      <c r="H30" s="230">
        <v>0</v>
      </c>
      <c r="I30" s="230">
        <v>0</v>
      </c>
      <c r="J30" s="396" t="s">
        <v>282</v>
      </c>
    </row>
    <row r="31" spans="1:10" x14ac:dyDescent="0.35">
      <c r="A31" s="229" t="s">
        <v>281</v>
      </c>
      <c r="B31" s="230">
        <f>IF(( $B$7-8760*((B36*$G$3)+(B37*$G$4)))*$B$5&gt;0,( $B$7-8760*((B36*$G$3)+(B37*$G$4)))*$B$5,0)</f>
        <v>29946.524064171124</v>
      </c>
      <c r="C31" s="230">
        <f t="shared" ref="C31:I31" si="2">IF(( $B$7-8760*((C36*$G$3)+(C37*$G$4)))*$B$5&gt;0,( $B$7-8760*((C36*$G$3)+(C37*$G$4)))*$B$5,0)</f>
        <v>2878.1240641711233</v>
      </c>
      <c r="D31" s="230">
        <f t="shared" si="2"/>
        <v>0</v>
      </c>
      <c r="E31" s="230">
        <f t="shared" si="2"/>
        <v>0</v>
      </c>
      <c r="F31" s="230">
        <f t="shared" si="2"/>
        <v>0</v>
      </c>
      <c r="G31" s="230">
        <f t="shared" si="2"/>
        <v>0</v>
      </c>
      <c r="H31" s="230">
        <f t="shared" si="2"/>
        <v>0</v>
      </c>
      <c r="I31" s="230">
        <f t="shared" si="2"/>
        <v>0</v>
      </c>
      <c r="J31" s="396"/>
    </row>
    <row r="32" spans="1:10" x14ac:dyDescent="0.35">
      <c r="A32" s="229" t="s">
        <v>245</v>
      </c>
      <c r="B32" s="230">
        <f>B33*$B$6</f>
        <v>56000</v>
      </c>
      <c r="C32" s="230">
        <f t="shared" ref="C32:I32" si="3">C33*$B$6</f>
        <v>56000</v>
      </c>
      <c r="D32" s="230">
        <f t="shared" si="3"/>
        <v>56000</v>
      </c>
      <c r="E32" s="230">
        <f t="shared" si="3"/>
        <v>56000</v>
      </c>
      <c r="F32" s="230">
        <f t="shared" si="3"/>
        <v>56000</v>
      </c>
      <c r="G32" s="230">
        <f t="shared" si="3"/>
        <v>56000</v>
      </c>
      <c r="H32" s="230">
        <f t="shared" si="3"/>
        <v>56000</v>
      </c>
      <c r="I32" s="230">
        <f t="shared" si="3"/>
        <v>56000</v>
      </c>
      <c r="J32" s="396"/>
    </row>
    <row r="33" spans="1:10" x14ac:dyDescent="0.35">
      <c r="A33" s="229" t="s">
        <v>244</v>
      </c>
      <c r="B33" s="231">
        <f>$B$3</f>
        <v>1400000</v>
      </c>
      <c r="C33" s="231">
        <f>$B$3</f>
        <v>1400000</v>
      </c>
      <c r="D33" s="231">
        <f t="shared" ref="D33:I33" si="4">$B$3</f>
        <v>1400000</v>
      </c>
      <c r="E33" s="231">
        <f t="shared" si="4"/>
        <v>1400000</v>
      </c>
      <c r="F33" s="231">
        <f t="shared" si="4"/>
        <v>1400000</v>
      </c>
      <c r="G33" s="231">
        <f t="shared" si="4"/>
        <v>1400000</v>
      </c>
      <c r="H33" s="231">
        <f t="shared" si="4"/>
        <v>1400000</v>
      </c>
      <c r="I33" s="231">
        <f t="shared" si="4"/>
        <v>1400000</v>
      </c>
      <c r="J33" s="396"/>
    </row>
    <row r="34" spans="1:10" ht="15" thickBot="1" x14ac:dyDescent="0.4">
      <c r="J34" s="229"/>
    </row>
    <row r="35" spans="1:10" ht="15" thickBot="1" x14ac:dyDescent="0.4">
      <c r="A35" s="89" t="s">
        <v>117</v>
      </c>
      <c r="B35" s="367">
        <v>600</v>
      </c>
      <c r="C35" s="367">
        <v>600</v>
      </c>
      <c r="D35" s="367">
        <v>600</v>
      </c>
      <c r="E35" s="367">
        <v>600</v>
      </c>
      <c r="F35" s="367">
        <v>600</v>
      </c>
      <c r="G35" s="367">
        <v>0</v>
      </c>
      <c r="H35" s="367">
        <v>0</v>
      </c>
      <c r="I35" s="367">
        <v>0</v>
      </c>
      <c r="J35" s="229"/>
    </row>
    <row r="36" spans="1:10" ht="15" thickBot="1" x14ac:dyDescent="0.4">
      <c r="A36" s="89" t="s">
        <v>118</v>
      </c>
      <c r="B36" s="367">
        <v>0</v>
      </c>
      <c r="C36" s="368">
        <v>300</v>
      </c>
      <c r="D36" s="368">
        <v>500</v>
      </c>
      <c r="E36" s="368">
        <v>500</v>
      </c>
      <c r="F36" s="368">
        <v>500</v>
      </c>
      <c r="G36" s="368">
        <v>500</v>
      </c>
      <c r="H36" s="368">
        <v>500</v>
      </c>
      <c r="I36" s="368">
        <v>0</v>
      </c>
      <c r="J36" s="229"/>
    </row>
    <row r="37" spans="1:10" ht="15" thickBot="1" x14ac:dyDescent="0.4">
      <c r="A37" s="89" t="s">
        <v>119</v>
      </c>
      <c r="B37" s="367">
        <v>0</v>
      </c>
      <c r="C37" s="368">
        <v>300</v>
      </c>
      <c r="D37" s="368">
        <v>400</v>
      </c>
      <c r="E37" s="368">
        <v>600</v>
      </c>
      <c r="F37" s="368">
        <v>600</v>
      </c>
      <c r="G37" s="368">
        <v>3000</v>
      </c>
      <c r="H37" s="368">
        <v>0</v>
      </c>
      <c r="I37" s="368">
        <v>1500</v>
      </c>
      <c r="J37" s="229"/>
    </row>
    <row r="38" spans="1:10" ht="15" thickBot="1" x14ac:dyDescent="0.4">
      <c r="A38" s="89" t="s">
        <v>216</v>
      </c>
      <c r="B38" s="367">
        <v>0</v>
      </c>
      <c r="C38" s="367">
        <v>0</v>
      </c>
      <c r="D38" s="367">
        <v>0</v>
      </c>
      <c r="E38" s="367">
        <v>0</v>
      </c>
      <c r="F38" s="367">
        <v>0</v>
      </c>
      <c r="G38" s="368">
        <v>250</v>
      </c>
      <c r="H38" s="368">
        <v>250</v>
      </c>
      <c r="I38" s="368">
        <v>250</v>
      </c>
      <c r="J38" s="229"/>
    </row>
    <row r="39" spans="1:10" ht="15" thickBot="1" x14ac:dyDescent="0.4">
      <c r="A39" s="89" t="s">
        <v>120</v>
      </c>
      <c r="B39" s="369">
        <v>0</v>
      </c>
      <c r="C39" s="369">
        <v>0</v>
      </c>
      <c r="D39" s="369">
        <v>0</v>
      </c>
      <c r="E39" s="368">
        <v>0</v>
      </c>
      <c r="F39" s="368">
        <v>200</v>
      </c>
      <c r="G39" s="368">
        <v>7500</v>
      </c>
      <c r="H39" s="370">
        <v>2110</v>
      </c>
      <c r="I39" s="370">
        <v>2110</v>
      </c>
    </row>
    <row r="40" spans="1:10" x14ac:dyDescent="0.35">
      <c r="J40" s="266"/>
    </row>
    <row r="41" spans="1:10" x14ac:dyDescent="0.35">
      <c r="A41" s="89" t="s">
        <v>121</v>
      </c>
      <c r="B41" s="266">
        <f>B37*8760*$G$4</f>
        <v>0</v>
      </c>
      <c r="C41" s="266">
        <f t="shared" ref="C41:I41" si="5">IF(C37*8760*$G$4&lt;$B$8,C37*8760*$G$4,$B$8)</f>
        <v>328500</v>
      </c>
      <c r="D41" s="266">
        <f t="shared" si="5"/>
        <v>438000</v>
      </c>
      <c r="E41" s="266">
        <f t="shared" si="5"/>
        <v>657000</v>
      </c>
      <c r="F41" s="266">
        <f t="shared" si="5"/>
        <v>657000</v>
      </c>
      <c r="G41" s="266">
        <f t="shared" si="5"/>
        <v>673796.79144385026</v>
      </c>
      <c r="H41" s="266">
        <f t="shared" si="5"/>
        <v>0</v>
      </c>
      <c r="I41" s="266">
        <f t="shared" si="5"/>
        <v>673796.79144385026</v>
      </c>
    </row>
    <row r="42" spans="1:10" x14ac:dyDescent="0.35">
      <c r="A42" s="89" t="s">
        <v>122</v>
      </c>
      <c r="B42" s="266">
        <f>IF(B36*8760*$G$3&gt;(B29-B41),B29-B41,B36*8760*$G$3)</f>
        <v>0</v>
      </c>
      <c r="C42" s="266">
        <f>IF(C36*8760*$G$3&gt;(C29-C41),C29-C41,C36*8760*$G$3)</f>
        <v>1024920</v>
      </c>
      <c r="D42" s="266">
        <f t="shared" ref="D42:I42" si="6">IF(D36*8760*$G$3&gt;(D29-D41),D29-D41,D36*8760*$G$3)</f>
        <v>1025000</v>
      </c>
      <c r="E42" s="266">
        <f t="shared" si="6"/>
        <v>806000</v>
      </c>
      <c r="F42" s="266">
        <f t="shared" si="6"/>
        <v>806000</v>
      </c>
      <c r="G42" s="266">
        <f t="shared" si="6"/>
        <v>782203.20855614974</v>
      </c>
      <c r="H42" s="266">
        <f t="shared" si="6"/>
        <v>1456000</v>
      </c>
      <c r="I42" s="266">
        <f t="shared" si="6"/>
        <v>0</v>
      </c>
    </row>
    <row r="43" spans="1:10" x14ac:dyDescent="0.35">
      <c r="A43" s="89" t="s">
        <v>123</v>
      </c>
      <c r="B43" s="166">
        <f t="shared" ref="B43:I43" si="7">IF(B39=0,0,IF(B37*8760*$G$4&gt;$B$8, B37*8760*$G$4-$B$8,0))</f>
        <v>0</v>
      </c>
      <c r="C43" s="166">
        <f t="shared" si="7"/>
        <v>0</v>
      </c>
      <c r="D43" s="166">
        <f t="shared" si="7"/>
        <v>0</v>
      </c>
      <c r="E43" s="166">
        <f t="shared" si="7"/>
        <v>0</v>
      </c>
      <c r="F43" s="166">
        <f t="shared" si="7"/>
        <v>0</v>
      </c>
      <c r="G43" s="166">
        <f t="shared" si="7"/>
        <v>2611203.2085561496</v>
      </c>
      <c r="H43" s="166">
        <f t="shared" si="7"/>
        <v>0</v>
      </c>
      <c r="I43" s="166">
        <f t="shared" si="7"/>
        <v>968703.20855614974</v>
      </c>
    </row>
    <row r="44" spans="1:10" x14ac:dyDescent="0.35">
      <c r="A44" s="89" t="s">
        <v>124</v>
      </c>
      <c r="B44" s="166">
        <f>IF(B39&lt;=0,0,IF(B36*8760*$G$3&gt;B42,B36*8760*$G$3-B42,0))</f>
        <v>0</v>
      </c>
      <c r="C44" s="166">
        <f t="shared" ref="C44:I44" si="8">IF(C39&lt;=0,0,IF(C36*8760*$G$3&gt;C42,C36*8760*$G$3-C42,0))</f>
        <v>0</v>
      </c>
      <c r="D44" s="166">
        <f t="shared" si="8"/>
        <v>0</v>
      </c>
      <c r="E44" s="166">
        <f t="shared" si="8"/>
        <v>0</v>
      </c>
      <c r="F44" s="166">
        <f t="shared" si="8"/>
        <v>902200</v>
      </c>
      <c r="G44" s="166">
        <f t="shared" si="8"/>
        <v>925996.79144385026</v>
      </c>
      <c r="H44" s="166">
        <f t="shared" si="8"/>
        <v>252200</v>
      </c>
      <c r="I44" s="166">
        <f t="shared" si="8"/>
        <v>0</v>
      </c>
    </row>
    <row r="45" spans="1:10" x14ac:dyDescent="0.35">
      <c r="A45" s="89" t="s">
        <v>226</v>
      </c>
      <c r="B45" s="166">
        <f>SUM(B41:B44)</f>
        <v>0</v>
      </c>
      <c r="C45" s="166">
        <f>SUM(C41:C44)</f>
        <v>1353420</v>
      </c>
      <c r="D45" s="166">
        <f t="shared" ref="D45:I45" si="9">SUM(D41:D44)</f>
        <v>1463000</v>
      </c>
      <c r="E45" s="166">
        <f t="shared" si="9"/>
        <v>1463000</v>
      </c>
      <c r="F45" s="166">
        <f t="shared" si="9"/>
        <v>2365200</v>
      </c>
      <c r="G45" s="166">
        <f t="shared" si="9"/>
        <v>4993200</v>
      </c>
      <c r="H45" s="166">
        <f t="shared" si="9"/>
        <v>1708200</v>
      </c>
      <c r="I45" s="166">
        <f t="shared" si="9"/>
        <v>1642500</v>
      </c>
    </row>
    <row r="46" spans="1:10" x14ac:dyDescent="0.35">
      <c r="A46" s="89" t="s">
        <v>207</v>
      </c>
      <c r="B46" s="166">
        <f>IF((B43+B44)&gt;0,IF((B43+B44)&gt;($B$3-B41-B42-B43),($B$3-B41-B42-B43),0),0)</f>
        <v>0</v>
      </c>
      <c r="C46" s="166">
        <f>IF((C43+C44)&gt;0,IF((C43+C44)&gt;($B$3-C41-C42),($B$3-C41-C42),0),0)</f>
        <v>0</v>
      </c>
      <c r="D46" s="166">
        <f t="shared" ref="D46:I46" si="10">IF((D43+D44)&gt;0,IF((D43+D44)&gt;($B$3-D41-D42),($B$3-D41-D42),0),0)</f>
        <v>0</v>
      </c>
      <c r="E46" s="166">
        <f t="shared" si="10"/>
        <v>0</v>
      </c>
      <c r="F46" s="166">
        <f t="shared" si="10"/>
        <v>-63000</v>
      </c>
      <c r="G46" s="166">
        <f t="shared" si="10"/>
        <v>-56000</v>
      </c>
      <c r="H46" s="166">
        <f t="shared" si="10"/>
        <v>-56000</v>
      </c>
      <c r="I46" s="166">
        <f t="shared" si="10"/>
        <v>726203.20855614974</v>
      </c>
      <c r="J46" s="267"/>
    </row>
    <row r="47" spans="1:10" x14ac:dyDescent="0.35">
      <c r="B47" s="89"/>
      <c r="F47" s="89"/>
      <c r="G47" s="89"/>
      <c r="H47" s="89"/>
      <c r="J47" s="267"/>
    </row>
    <row r="48" spans="1:10" x14ac:dyDescent="0.35">
      <c r="A48" s="89" t="s">
        <v>128</v>
      </c>
      <c r="B48" s="266">
        <f>IF(B35&gt;0,IF(B29&gt;B45,B29-B45,0),0)</f>
        <v>1492946.5240641711</v>
      </c>
      <c r="C48" s="266">
        <f t="shared" ref="C48:I48" si="11">IF(C35&gt;0,IF(C29&gt;C45,C29-C45,0),0)</f>
        <v>112458.12406417122</v>
      </c>
      <c r="D48" s="266">
        <f t="shared" si="11"/>
        <v>0</v>
      </c>
      <c r="E48" s="266">
        <f t="shared" si="11"/>
        <v>0</v>
      </c>
      <c r="F48" s="266">
        <f t="shared" si="11"/>
        <v>0</v>
      </c>
      <c r="G48" s="266">
        <f t="shared" si="11"/>
        <v>0</v>
      </c>
      <c r="H48" s="266">
        <f t="shared" si="11"/>
        <v>0</v>
      </c>
      <c r="I48" s="266">
        <f t="shared" si="11"/>
        <v>0</v>
      </c>
      <c r="J48" s="267"/>
    </row>
    <row r="49" spans="1:10" x14ac:dyDescent="0.35">
      <c r="A49" s="89" t="s">
        <v>227</v>
      </c>
      <c r="B49" s="268">
        <f t="shared" ref="B49:G49" si="12">IF((B48+B45)&gt;=$B$3,0,$B$3-(B48+B45))</f>
        <v>0</v>
      </c>
      <c r="C49" s="268">
        <f t="shared" si="12"/>
        <v>0</v>
      </c>
      <c r="D49" s="268">
        <f t="shared" si="12"/>
        <v>0</v>
      </c>
      <c r="E49" s="268">
        <f t="shared" si="12"/>
        <v>0</v>
      </c>
      <c r="F49" s="268">
        <f>IF((F48+F45)&gt;=$B$3,0,$B$3-(F48+F45))</f>
        <v>0</v>
      </c>
      <c r="G49" s="268">
        <f t="shared" si="12"/>
        <v>0</v>
      </c>
      <c r="H49" s="268">
        <f>IF((H48+H45)&gt;=$B$3,0,$B$3-(H48+H45))</f>
        <v>0</v>
      </c>
      <c r="I49" s="268">
        <f>IF((I48+I45)&gt;=$B$3,0,$B$3-(I48+I45))</f>
        <v>0</v>
      </c>
      <c r="J49" s="267"/>
    </row>
    <row r="50" spans="1:10" x14ac:dyDescent="0.35">
      <c r="A50" s="89" t="s">
        <v>129</v>
      </c>
      <c r="B50" s="166">
        <f t="shared" ref="B50:I50" si="13">(B35*2/3+B36*$G$3+B37*$G$4)*8760</f>
        <v>3504000</v>
      </c>
      <c r="C50" s="166">
        <f t="shared" si="13"/>
        <v>4857420</v>
      </c>
      <c r="D50" s="166">
        <f t="shared" si="13"/>
        <v>5650200</v>
      </c>
      <c r="E50" s="166">
        <f t="shared" si="13"/>
        <v>5869200</v>
      </c>
      <c r="F50" s="166">
        <f t="shared" si="13"/>
        <v>5869200</v>
      </c>
      <c r="G50" s="166">
        <f t="shared" si="13"/>
        <v>4993200</v>
      </c>
      <c r="H50" s="166">
        <f t="shared" si="13"/>
        <v>1708200</v>
      </c>
      <c r="I50" s="166">
        <f t="shared" si="13"/>
        <v>1642500</v>
      </c>
    </row>
    <row r="51" spans="1:10" x14ac:dyDescent="0.35">
      <c r="A51" s="89" t="s">
        <v>130</v>
      </c>
      <c r="B51" s="269">
        <f t="shared" ref="B51:I51" si="14">B35*2/3+B36+B37+B38</f>
        <v>400</v>
      </c>
      <c r="C51" s="269">
        <f t="shared" si="14"/>
        <v>1000</v>
      </c>
      <c r="D51" s="269">
        <f t="shared" si="14"/>
        <v>1300</v>
      </c>
      <c r="E51" s="269">
        <f t="shared" si="14"/>
        <v>1500</v>
      </c>
      <c r="F51" s="269">
        <f t="shared" si="14"/>
        <v>1500</v>
      </c>
      <c r="G51" s="269">
        <f t="shared" si="14"/>
        <v>3750</v>
      </c>
      <c r="H51" s="269">
        <f t="shared" si="14"/>
        <v>750</v>
      </c>
      <c r="I51" s="269">
        <f t="shared" si="14"/>
        <v>1750</v>
      </c>
      <c r="J51" s="234"/>
    </row>
    <row r="52" spans="1:10" x14ac:dyDescent="0.35">
      <c r="A52" s="89" t="s">
        <v>131</v>
      </c>
      <c r="B52" s="270">
        <f t="shared" ref="B52:I52" si="15">B35*2/3+B36+B38</f>
        <v>400</v>
      </c>
      <c r="C52" s="270">
        <f t="shared" si="15"/>
        <v>700</v>
      </c>
      <c r="D52" s="270">
        <f t="shared" si="15"/>
        <v>900</v>
      </c>
      <c r="E52" s="270">
        <f t="shared" si="15"/>
        <v>900</v>
      </c>
      <c r="F52" s="270">
        <f t="shared" si="15"/>
        <v>900</v>
      </c>
      <c r="G52" s="270">
        <f t="shared" si="15"/>
        <v>750</v>
      </c>
      <c r="H52" s="270">
        <f t="shared" si="15"/>
        <v>750</v>
      </c>
      <c r="I52" s="270">
        <f t="shared" si="15"/>
        <v>250</v>
      </c>
      <c r="J52" s="234"/>
    </row>
    <row r="53" spans="1:10" x14ac:dyDescent="0.35">
      <c r="A53" s="89" t="s">
        <v>132</v>
      </c>
      <c r="B53" s="266">
        <f t="shared" ref="B53:I53" si="16">IF(B35=0,"N/A",B48/B35/8760*100)</f>
        <v>28.404614232575558</v>
      </c>
      <c r="C53" s="266">
        <f t="shared" si="16"/>
        <v>2.1396142325755556</v>
      </c>
      <c r="D53" s="266">
        <f t="shared" si="16"/>
        <v>0</v>
      </c>
      <c r="E53" s="266">
        <f t="shared" si="16"/>
        <v>0</v>
      </c>
      <c r="F53" s="266">
        <f t="shared" si="16"/>
        <v>0</v>
      </c>
      <c r="G53" s="266" t="str">
        <f t="shared" si="16"/>
        <v>N/A</v>
      </c>
      <c r="H53" s="266" t="str">
        <f t="shared" si="16"/>
        <v>N/A</v>
      </c>
      <c r="I53" s="266" t="str">
        <f t="shared" si="16"/>
        <v>N/A</v>
      </c>
      <c r="J53" s="234"/>
    </row>
    <row r="54" spans="1:10" x14ac:dyDescent="0.35">
      <c r="B54" s="265"/>
      <c r="C54" s="264"/>
      <c r="D54" s="264"/>
      <c r="E54" s="264"/>
      <c r="F54" s="264"/>
      <c r="G54" s="264"/>
      <c r="H54" s="264"/>
      <c r="I54" s="264"/>
      <c r="J54" s="234"/>
    </row>
    <row r="55" spans="1:10" x14ac:dyDescent="0.35">
      <c r="A55" s="89" t="s">
        <v>199</v>
      </c>
      <c r="B55" s="271">
        <f t="shared" ref="B55:I55" si="17">B35/100*$D$3</f>
        <v>90000</v>
      </c>
      <c r="C55" s="271">
        <f t="shared" si="17"/>
        <v>90000</v>
      </c>
      <c r="D55" s="271">
        <f t="shared" si="17"/>
        <v>90000</v>
      </c>
      <c r="E55" s="271">
        <f t="shared" si="17"/>
        <v>90000</v>
      </c>
      <c r="F55" s="271">
        <f t="shared" si="17"/>
        <v>90000</v>
      </c>
      <c r="G55" s="271">
        <f t="shared" si="17"/>
        <v>0</v>
      </c>
      <c r="H55" s="271">
        <f t="shared" si="17"/>
        <v>0</v>
      </c>
      <c r="I55" s="271">
        <f t="shared" si="17"/>
        <v>0</v>
      </c>
      <c r="J55" s="234"/>
    </row>
    <row r="56" spans="1:10" x14ac:dyDescent="0.35">
      <c r="A56" s="89" t="s">
        <v>200</v>
      </c>
      <c r="B56" s="266">
        <f t="shared" ref="B56:I56" si="18">B36/100*$D$4</f>
        <v>0</v>
      </c>
      <c r="C56" s="266">
        <f t="shared" si="18"/>
        <v>600000</v>
      </c>
      <c r="D56" s="266">
        <f t="shared" si="18"/>
        <v>1000000</v>
      </c>
      <c r="E56" s="266">
        <f t="shared" si="18"/>
        <v>1000000</v>
      </c>
      <c r="F56" s="266">
        <f t="shared" si="18"/>
        <v>1000000</v>
      </c>
      <c r="G56" s="266">
        <f t="shared" si="18"/>
        <v>1000000</v>
      </c>
      <c r="H56" s="266">
        <f t="shared" si="18"/>
        <v>1000000</v>
      </c>
      <c r="I56" s="266">
        <f t="shared" si="18"/>
        <v>0</v>
      </c>
      <c r="J56" s="234"/>
    </row>
    <row r="57" spans="1:10" x14ac:dyDescent="0.35">
      <c r="A57" s="89" t="s">
        <v>201</v>
      </c>
      <c r="B57" s="266">
        <f t="shared" ref="B57:I57" si="19">B37/100*$D$5</f>
        <v>0</v>
      </c>
      <c r="C57" s="266">
        <f t="shared" si="19"/>
        <v>390000</v>
      </c>
      <c r="D57" s="266">
        <f t="shared" si="19"/>
        <v>520000</v>
      </c>
      <c r="E57" s="266">
        <f t="shared" si="19"/>
        <v>780000</v>
      </c>
      <c r="F57" s="266">
        <f t="shared" si="19"/>
        <v>780000</v>
      </c>
      <c r="G57" s="266">
        <f t="shared" si="19"/>
        <v>3900000</v>
      </c>
      <c r="H57" s="266">
        <f t="shared" si="19"/>
        <v>0</v>
      </c>
      <c r="I57" s="266">
        <f t="shared" si="19"/>
        <v>1950000</v>
      </c>
      <c r="J57" s="234"/>
    </row>
    <row r="58" spans="1:10" ht="15" thickBot="1" x14ac:dyDescent="0.4">
      <c r="A58" s="89" t="s">
        <v>202</v>
      </c>
      <c r="B58" s="266">
        <f t="shared" ref="B58:I58" si="20">B39/100*$D$6</f>
        <v>0</v>
      </c>
      <c r="C58" s="266">
        <f t="shared" si="20"/>
        <v>0</v>
      </c>
      <c r="D58" s="266">
        <f t="shared" si="20"/>
        <v>0</v>
      </c>
      <c r="E58" s="266">
        <f t="shared" si="20"/>
        <v>0</v>
      </c>
      <c r="F58" s="266">
        <f t="shared" si="20"/>
        <v>480000</v>
      </c>
      <c r="G58" s="266">
        <f t="shared" si="20"/>
        <v>18000000</v>
      </c>
      <c r="H58" s="266">
        <f t="shared" si="20"/>
        <v>5064000</v>
      </c>
      <c r="I58" s="266">
        <f t="shared" si="20"/>
        <v>5064000</v>
      </c>
    </row>
    <row r="59" spans="1:10" ht="15" thickBot="1" x14ac:dyDescent="0.4">
      <c r="A59" s="89" t="s">
        <v>203</v>
      </c>
      <c r="B59" s="371">
        <v>250000</v>
      </c>
      <c r="C59" s="371">
        <v>250000</v>
      </c>
      <c r="D59" s="371">
        <v>250000</v>
      </c>
      <c r="E59" s="371">
        <v>250000</v>
      </c>
      <c r="F59" s="371">
        <v>250000</v>
      </c>
      <c r="G59" s="371">
        <v>100000</v>
      </c>
      <c r="H59" s="371">
        <v>100000</v>
      </c>
      <c r="I59" s="371">
        <v>100000</v>
      </c>
    </row>
    <row r="60" spans="1:10" x14ac:dyDescent="0.35">
      <c r="A60" s="89" t="s">
        <v>88</v>
      </c>
      <c r="B60" s="266">
        <f>SUM(B55:B59)*0.1</f>
        <v>34000</v>
      </c>
      <c r="C60" s="266">
        <f t="shared" ref="C60:I60" si="21">SUM(C55:C59)*0.1</f>
        <v>133000</v>
      </c>
      <c r="D60" s="266">
        <f t="shared" si="21"/>
        <v>186000</v>
      </c>
      <c r="E60" s="266">
        <f t="shared" si="21"/>
        <v>212000</v>
      </c>
      <c r="F60" s="266">
        <f t="shared" si="21"/>
        <v>260000</v>
      </c>
      <c r="G60" s="266">
        <f t="shared" si="21"/>
        <v>2300000</v>
      </c>
      <c r="H60" s="266">
        <f t="shared" si="21"/>
        <v>616400</v>
      </c>
      <c r="I60" s="266">
        <f t="shared" si="21"/>
        <v>711400</v>
      </c>
      <c r="J60" s="394"/>
    </row>
    <row r="61" spans="1:10" x14ac:dyDescent="0.35">
      <c r="A61" s="89" t="s">
        <v>8</v>
      </c>
      <c r="B61" s="266">
        <f>SUM(B55:B60)*0.1</f>
        <v>37400</v>
      </c>
      <c r="C61" s="266">
        <f t="shared" ref="C61:I61" si="22">SUM(C55:C60)*0.1</f>
        <v>146300</v>
      </c>
      <c r="D61" s="266">
        <f t="shared" si="22"/>
        <v>204600</v>
      </c>
      <c r="E61" s="266">
        <f t="shared" si="22"/>
        <v>233200</v>
      </c>
      <c r="F61" s="266">
        <f t="shared" si="22"/>
        <v>286000</v>
      </c>
      <c r="G61" s="266">
        <f t="shared" si="22"/>
        <v>2530000</v>
      </c>
      <c r="H61" s="266">
        <f t="shared" si="22"/>
        <v>678040</v>
      </c>
      <c r="I61" s="266">
        <f t="shared" si="22"/>
        <v>782540</v>
      </c>
      <c r="J61" s="394"/>
    </row>
    <row r="62" spans="1:10" x14ac:dyDescent="0.35">
      <c r="A62" s="89" t="s">
        <v>89</v>
      </c>
      <c r="B62" s="272">
        <f>SUM(B55:B61)</f>
        <v>411400</v>
      </c>
      <c r="C62" s="272">
        <f t="shared" ref="C62:I62" si="23">SUM(C55:C61)</f>
        <v>1609300</v>
      </c>
      <c r="D62" s="272">
        <f t="shared" si="23"/>
        <v>2250600</v>
      </c>
      <c r="E62" s="272">
        <f t="shared" si="23"/>
        <v>2565200</v>
      </c>
      <c r="F62" s="272">
        <f t="shared" si="23"/>
        <v>3146000</v>
      </c>
      <c r="G62" s="272">
        <f t="shared" si="23"/>
        <v>27830000</v>
      </c>
      <c r="H62" s="272">
        <f t="shared" si="23"/>
        <v>7458440</v>
      </c>
      <c r="I62" s="272">
        <f t="shared" si="23"/>
        <v>8607940</v>
      </c>
      <c r="J62" s="394"/>
    </row>
    <row r="63" spans="1:10" x14ac:dyDescent="0.35">
      <c r="B63" s="273"/>
      <c r="C63" s="233"/>
      <c r="D63" s="233"/>
      <c r="E63" s="233"/>
      <c r="F63" s="89"/>
      <c r="G63" s="89"/>
      <c r="H63" s="89"/>
      <c r="J63" s="394"/>
    </row>
    <row r="64" spans="1:10" x14ac:dyDescent="0.35">
      <c r="A64" s="89" t="str">
        <f>'Distribution Scenario BoQs'!B4</f>
        <v>Underground Cable</v>
      </c>
      <c r="B64" s="266">
        <f>'Distribution Scenario BoQs'!$L$12</f>
        <v>542630</v>
      </c>
      <c r="C64" s="266">
        <f>'Distribution Scenario BoQs'!$L$12</f>
        <v>542630</v>
      </c>
      <c r="D64" s="266">
        <f>'Distribution Scenario BoQs'!$L$12</f>
        <v>542630</v>
      </c>
      <c r="E64" s="266">
        <f>'Distribution Scenario BoQs'!$L$12</f>
        <v>542630</v>
      </c>
      <c r="F64" s="266">
        <f>'Distribution Scenario BoQs'!$L$12</f>
        <v>542630</v>
      </c>
      <c r="G64" s="266">
        <f>'Distribution Scenario BoQs'!$L$12</f>
        <v>542630</v>
      </c>
      <c r="H64" s="266">
        <f>'Distribution Scenario BoQs'!$L$12</f>
        <v>542630</v>
      </c>
      <c r="I64" s="266">
        <f>'Distribution Scenario BoQs'!$L$12</f>
        <v>542630</v>
      </c>
      <c r="J64" s="234"/>
    </row>
    <row r="65" spans="1:10" x14ac:dyDescent="0.35">
      <c r="A65" s="89" t="str">
        <f>'Distribution Scenario BoQs'!B14</f>
        <v>Substations</v>
      </c>
      <c r="B65" s="266">
        <f>'Distribution Scenario BoQs'!$L$20</f>
        <v>359081.8</v>
      </c>
      <c r="C65" s="266">
        <f>'Distribution Scenario BoQs'!$L$20</f>
        <v>359081.8</v>
      </c>
      <c r="D65" s="266">
        <f>'Distribution Scenario BoQs'!$L$20</f>
        <v>359081.8</v>
      </c>
      <c r="E65" s="266">
        <f>'Distribution Scenario BoQs'!$L$20</f>
        <v>359081.8</v>
      </c>
      <c r="F65" s="266">
        <f>'Distribution Scenario BoQs'!$L$20</f>
        <v>359081.8</v>
      </c>
      <c r="G65" s="266">
        <f>'Distribution Scenario BoQs'!$L$20</f>
        <v>359081.8</v>
      </c>
      <c r="H65" s="266">
        <f>'Distribution Scenario BoQs'!$L$20</f>
        <v>359081.8</v>
      </c>
      <c r="I65" s="266">
        <f>'Distribution Scenario BoQs'!$L$20</f>
        <v>359081.8</v>
      </c>
      <c r="J65" s="234"/>
    </row>
    <row r="66" spans="1:10" x14ac:dyDescent="0.35">
      <c r="A66" s="89" t="str">
        <f>'Distribution Scenario BoQs'!B22</f>
        <v>Service Terminations</v>
      </c>
      <c r="B66" s="266">
        <f>'Distribution Scenario BoQs'!$F$30</f>
        <v>196652.5</v>
      </c>
      <c r="C66" s="266">
        <f>'Distribution Scenario BoQs'!$F$30</f>
        <v>196652.5</v>
      </c>
      <c r="D66" s="266">
        <f>'Distribution Scenario BoQs'!$F$30</f>
        <v>196652.5</v>
      </c>
      <c r="E66" s="266">
        <f>'Distribution Scenario BoQs'!$F$30</f>
        <v>196652.5</v>
      </c>
      <c r="F66" s="266">
        <f>'Distribution Scenario BoQs'!$F$30</f>
        <v>196652.5</v>
      </c>
      <c r="G66" s="266">
        <f>'Distribution Scenario BoQs'!$F$30</f>
        <v>196652.5</v>
      </c>
      <c r="H66" s="266">
        <f>'Distribution Scenario BoQs'!$F$30</f>
        <v>196652.5</v>
      </c>
      <c r="I66" s="266">
        <f>'Distribution Scenario BoQs'!$F$30</f>
        <v>196652.5</v>
      </c>
      <c r="J66" s="234"/>
    </row>
    <row r="67" spans="1:10" x14ac:dyDescent="0.35">
      <c r="A67" s="89" t="str">
        <f>'Distribution Scenario BoQs'!B32</f>
        <v>Misc</v>
      </c>
      <c r="B67" s="266">
        <f>'Distribution Scenario BoQs'!$L$42</f>
        <v>113166.53333333334</v>
      </c>
      <c r="C67" s="266">
        <f>'Distribution Scenario BoQs'!$L$42</f>
        <v>113166.53333333334</v>
      </c>
      <c r="D67" s="266">
        <f>'Distribution Scenario BoQs'!$L$42</f>
        <v>113166.53333333334</v>
      </c>
      <c r="E67" s="266">
        <f>'Distribution Scenario BoQs'!$L$42</f>
        <v>113166.53333333334</v>
      </c>
      <c r="F67" s="266">
        <f>'Distribution Scenario BoQs'!$L$42</f>
        <v>113166.53333333334</v>
      </c>
      <c r="G67" s="266">
        <f>'Distribution Scenario BoQs'!$L$42</f>
        <v>113166.53333333334</v>
      </c>
      <c r="H67" s="266">
        <f>'Distribution Scenario BoQs'!$L$42</f>
        <v>113166.53333333334</v>
      </c>
      <c r="I67" s="266">
        <f>'Distribution Scenario BoQs'!$L$42</f>
        <v>113166.53333333334</v>
      </c>
    </row>
    <row r="68" spans="1:10" x14ac:dyDescent="0.35">
      <c r="A68" s="89" t="str">
        <f>'Distribution Scenario BoQs'!B44</f>
        <v>Civil Works</v>
      </c>
      <c r="B68" s="266">
        <f>'Distribution Scenario BoQs'!$L$53</f>
        <v>855400</v>
      </c>
      <c r="C68" s="266">
        <f>'Distribution Scenario BoQs'!$L$53</f>
        <v>855400</v>
      </c>
      <c r="D68" s="266">
        <f>'Distribution Scenario BoQs'!$L$53</f>
        <v>855400</v>
      </c>
      <c r="E68" s="266">
        <f>'Distribution Scenario BoQs'!$L$53</f>
        <v>855400</v>
      </c>
      <c r="F68" s="266">
        <f>'Distribution Scenario BoQs'!$L$53</f>
        <v>855400</v>
      </c>
      <c r="G68" s="266">
        <f>'Distribution Scenario BoQs'!$L$53</f>
        <v>855400</v>
      </c>
      <c r="H68" s="266">
        <f>'Distribution Scenario BoQs'!$L$53</f>
        <v>855400</v>
      </c>
      <c r="I68" s="266">
        <f>'Distribution Scenario BoQs'!$L$53</f>
        <v>855400</v>
      </c>
    </row>
    <row r="69" spans="1:10" x14ac:dyDescent="0.35">
      <c r="A69" s="89" t="str">
        <f>'Distribution Scenario BoQs'!B54</f>
        <v>Project Management</v>
      </c>
      <c r="B69" s="266">
        <f>'Distribution Scenario BoQs'!$F$54</f>
        <v>160000</v>
      </c>
      <c r="C69" s="266">
        <f>'Distribution Scenario BoQs'!$F$54</f>
        <v>160000</v>
      </c>
      <c r="D69" s="266">
        <f>'Distribution Scenario BoQs'!$F$54</f>
        <v>160000</v>
      </c>
      <c r="E69" s="266">
        <f>'Distribution Scenario BoQs'!$F$54</f>
        <v>160000</v>
      </c>
      <c r="F69" s="266">
        <f>'Distribution Scenario BoQs'!$F$54</f>
        <v>160000</v>
      </c>
      <c r="G69" s="266">
        <f>'Distribution Scenario BoQs'!$F$54</f>
        <v>160000</v>
      </c>
      <c r="H69" s="266">
        <f>'Distribution Scenario BoQs'!$F$54</f>
        <v>160000</v>
      </c>
      <c r="I69" s="266">
        <f>'Distribution Scenario BoQs'!$F$54</f>
        <v>160000</v>
      </c>
    </row>
    <row r="70" spans="1:10" x14ac:dyDescent="0.35">
      <c r="A70" s="89" t="s">
        <v>8</v>
      </c>
      <c r="B70" s="266">
        <f>SUM(B64:B69)*0.1</f>
        <v>222693.08333333337</v>
      </c>
      <c r="C70" s="266">
        <f t="shared" ref="C70:I70" si="24">SUM(C64:C69)*0.1</f>
        <v>222693.08333333337</v>
      </c>
      <c r="D70" s="266">
        <f t="shared" si="24"/>
        <v>222693.08333333337</v>
      </c>
      <c r="E70" s="266">
        <f t="shared" si="24"/>
        <v>222693.08333333337</v>
      </c>
      <c r="F70" s="266">
        <f t="shared" si="24"/>
        <v>222693.08333333337</v>
      </c>
      <c r="G70" s="266">
        <f t="shared" si="24"/>
        <v>222693.08333333337</v>
      </c>
      <c r="H70" s="266">
        <f t="shared" si="24"/>
        <v>222693.08333333337</v>
      </c>
      <c r="I70" s="266">
        <f t="shared" si="24"/>
        <v>222693.08333333337</v>
      </c>
    </row>
    <row r="71" spans="1:10" x14ac:dyDescent="0.35">
      <c r="A71" s="89" t="s">
        <v>90</v>
      </c>
      <c r="B71" s="272">
        <f t="shared" ref="B71" si="25">SUM(B64:B70)</f>
        <v>2449623.916666667</v>
      </c>
      <c r="C71" s="272">
        <f t="shared" ref="C71:I71" si="26">SUM(C64:C70)</f>
        <v>2449623.916666667</v>
      </c>
      <c r="D71" s="272">
        <f t="shared" si="26"/>
        <v>2449623.916666667</v>
      </c>
      <c r="E71" s="272">
        <f t="shared" si="26"/>
        <v>2449623.916666667</v>
      </c>
      <c r="F71" s="272">
        <f t="shared" si="26"/>
        <v>2449623.916666667</v>
      </c>
      <c r="G71" s="272">
        <f t="shared" si="26"/>
        <v>2449623.916666667</v>
      </c>
      <c r="H71" s="272">
        <f t="shared" si="26"/>
        <v>2449623.916666667</v>
      </c>
      <c r="I71" s="272">
        <f t="shared" si="26"/>
        <v>2449623.916666667</v>
      </c>
      <c r="J71" s="234"/>
    </row>
    <row r="72" spans="1:10" x14ac:dyDescent="0.35">
      <c r="B72" s="274"/>
      <c r="C72" s="266">
        <f>'Distribution Scenario BoQs'!M36</f>
        <v>0</v>
      </c>
      <c r="D72" s="266">
        <f>'Distribution Scenario BoQs'!N36</f>
        <v>52</v>
      </c>
      <c r="E72" s="266">
        <f>'Distribution Scenario BoQs'!O36</f>
        <v>15600</v>
      </c>
      <c r="F72" s="266">
        <f>'Distribution Scenario BoQs'!P36</f>
        <v>0</v>
      </c>
      <c r="G72" s="266">
        <f>'Distribution Scenario BoQs'!Q36</f>
        <v>0</v>
      </c>
      <c r="H72" s="266">
        <f>'Distribution Scenario BoQs'!R36</f>
        <v>0</v>
      </c>
      <c r="I72" s="266">
        <f>'Distribution Scenario BoQs'!S36</f>
        <v>0</v>
      </c>
      <c r="J72" s="234"/>
    </row>
    <row r="73" spans="1:10" x14ac:dyDescent="0.35">
      <c r="A73" s="275" t="s">
        <v>3</v>
      </c>
      <c r="B73" s="266">
        <f t="shared" ref="B73:I73" si="27">$B$3*$B$2/100</f>
        <v>840000</v>
      </c>
      <c r="C73" s="266">
        <f t="shared" si="27"/>
        <v>840000</v>
      </c>
      <c r="D73" s="266">
        <f t="shared" si="27"/>
        <v>840000</v>
      </c>
      <c r="E73" s="266">
        <f t="shared" si="27"/>
        <v>840000</v>
      </c>
      <c r="F73" s="266">
        <f t="shared" si="27"/>
        <v>840000</v>
      </c>
      <c r="G73" s="266">
        <f t="shared" si="27"/>
        <v>840000</v>
      </c>
      <c r="H73" s="266">
        <f t="shared" si="27"/>
        <v>840000</v>
      </c>
      <c r="I73" s="266">
        <f t="shared" si="27"/>
        <v>840000</v>
      </c>
      <c r="J73" s="234"/>
    </row>
    <row r="74" spans="1:10" x14ac:dyDescent="0.35">
      <c r="A74" s="275" t="s">
        <v>133</v>
      </c>
      <c r="E74" s="233"/>
      <c r="G74" s="89"/>
      <c r="H74" s="89"/>
      <c r="J74" s="234"/>
    </row>
    <row r="75" spans="1:10" x14ac:dyDescent="0.35">
      <c r="A75" s="89" t="s">
        <v>134</v>
      </c>
      <c r="B75" s="276">
        <f t="shared" ref="B75:I75" si="28">$B$17/$B$18*B48/$B$3</f>
        <v>23.438137911623979</v>
      </c>
      <c r="C75" s="276">
        <f t="shared" si="28"/>
        <v>1.765507992826989</v>
      </c>
      <c r="D75" s="276">
        <f t="shared" si="28"/>
        <v>0</v>
      </c>
      <c r="E75" s="276">
        <f t="shared" si="28"/>
        <v>0</v>
      </c>
      <c r="F75" s="276">
        <f t="shared" si="28"/>
        <v>0</v>
      </c>
      <c r="G75" s="276">
        <f t="shared" si="28"/>
        <v>0</v>
      </c>
      <c r="H75" s="276">
        <f t="shared" si="28"/>
        <v>0</v>
      </c>
      <c r="I75" s="276">
        <f t="shared" si="28"/>
        <v>0</v>
      </c>
    </row>
    <row r="76" spans="1:10" x14ac:dyDescent="0.35">
      <c r="A76" s="89" t="s">
        <v>135</v>
      </c>
      <c r="B76" s="276">
        <f t="shared" ref="B76:I76" si="29">-PMT($B$14,$B$13,B62)/$B$3*100</f>
        <v>2.6362121654700905</v>
      </c>
      <c r="C76" s="276">
        <f t="shared" si="29"/>
        <v>10.31224170610359</v>
      </c>
      <c r="D76" s="276">
        <f t="shared" si="29"/>
        <v>14.421631258159906</v>
      </c>
      <c r="E76" s="276">
        <f t="shared" si="29"/>
        <v>16.437558208225269</v>
      </c>
      <c r="F76" s="276">
        <f t="shared" si="29"/>
        <v>20.159269500653629</v>
      </c>
      <c r="G76" s="276">
        <f t="shared" si="29"/>
        <v>178.33199942885904</v>
      </c>
      <c r="H76" s="276">
        <f t="shared" si="29"/>
        <v>47.792975846934233</v>
      </c>
      <c r="I76" s="276">
        <f t="shared" si="29"/>
        <v>55.158862779865359</v>
      </c>
    </row>
    <row r="77" spans="1:10" x14ac:dyDescent="0.35">
      <c r="A77" s="89" t="s">
        <v>136</v>
      </c>
      <c r="B77" s="276">
        <f t="shared" ref="B77:I77" si="30">-PMT($B$14,$B$13,B71)/$B$3*100</f>
        <v>15.696957632336311</v>
      </c>
      <c r="C77" s="276">
        <f t="shared" si="30"/>
        <v>15.696957632336311</v>
      </c>
      <c r="D77" s="276">
        <f t="shared" si="30"/>
        <v>15.696957632336311</v>
      </c>
      <c r="E77" s="276">
        <f t="shared" si="30"/>
        <v>15.696957632336311</v>
      </c>
      <c r="F77" s="276">
        <f t="shared" si="30"/>
        <v>15.696957632336311</v>
      </c>
      <c r="G77" s="276">
        <f t="shared" si="30"/>
        <v>15.696957632336311</v>
      </c>
      <c r="H77" s="276">
        <f t="shared" si="30"/>
        <v>15.696957632336311</v>
      </c>
      <c r="I77" s="276">
        <f t="shared" si="30"/>
        <v>15.696957632336311</v>
      </c>
    </row>
    <row r="78" spans="1:10" x14ac:dyDescent="0.35">
      <c r="A78" s="89" t="s">
        <v>137</v>
      </c>
      <c r="B78" s="276">
        <f t="shared" ref="B78:I78" si="31">(B55*$B$20+B56*$B$22+B57*$B$21)/$B$3*100</f>
        <v>0.96428571428571419</v>
      </c>
      <c r="C78" s="276">
        <f t="shared" si="31"/>
        <v>2.1</v>
      </c>
      <c r="D78" s="276">
        <f t="shared" si="31"/>
        <v>2.7642857142857142</v>
      </c>
      <c r="E78" s="276">
        <f t="shared" si="31"/>
        <v>2.9499999999999997</v>
      </c>
      <c r="F78" s="276">
        <f t="shared" si="31"/>
        <v>2.9499999999999997</v>
      </c>
      <c r="G78" s="276">
        <f t="shared" si="31"/>
        <v>4.2142857142857144</v>
      </c>
      <c r="H78" s="276">
        <f t="shared" si="31"/>
        <v>1.4285714285714286</v>
      </c>
      <c r="I78" s="276">
        <f t="shared" si="31"/>
        <v>1.3928571428571428</v>
      </c>
    </row>
    <row r="79" spans="1:10" ht="15.75" customHeight="1" x14ac:dyDescent="0.35">
      <c r="A79" s="89" t="s">
        <v>109</v>
      </c>
      <c r="B79" s="276">
        <f t="shared" ref="B79:I79" si="32">$B$24*B71/$B$3*100</f>
        <v>1.7497313690476195</v>
      </c>
      <c r="C79" s="276">
        <f t="shared" si="32"/>
        <v>1.7497313690476195</v>
      </c>
      <c r="D79" s="276">
        <f t="shared" si="32"/>
        <v>1.7497313690476195</v>
      </c>
      <c r="E79" s="276">
        <f t="shared" si="32"/>
        <v>1.7497313690476195</v>
      </c>
      <c r="F79" s="276">
        <f t="shared" si="32"/>
        <v>1.7497313690476195</v>
      </c>
      <c r="G79" s="276">
        <f t="shared" si="32"/>
        <v>1.7497313690476195</v>
      </c>
      <c r="H79" s="276">
        <f t="shared" si="32"/>
        <v>1.7497313690476195</v>
      </c>
      <c r="I79" s="276">
        <f t="shared" si="32"/>
        <v>1.7497313690476195</v>
      </c>
    </row>
    <row r="80" spans="1:10" x14ac:dyDescent="0.35">
      <c r="A80" s="89" t="s">
        <v>194</v>
      </c>
      <c r="B80" s="276">
        <f t="shared" ref="B80:I80" si="33">$B$23*B58/$B$3*100</f>
        <v>0</v>
      </c>
      <c r="C80" s="276">
        <f t="shared" si="33"/>
        <v>0</v>
      </c>
      <c r="D80" s="276">
        <f t="shared" si="33"/>
        <v>0</v>
      </c>
      <c r="E80" s="276">
        <f t="shared" si="33"/>
        <v>0</v>
      </c>
      <c r="F80" s="276">
        <f t="shared" si="33"/>
        <v>0.68571428571428572</v>
      </c>
      <c r="G80" s="276">
        <f t="shared" si="33"/>
        <v>25.714285714285712</v>
      </c>
      <c r="H80" s="276">
        <f t="shared" si="33"/>
        <v>7.234285714285714</v>
      </c>
      <c r="I80" s="276">
        <f t="shared" si="33"/>
        <v>7.234285714285714</v>
      </c>
    </row>
    <row r="81" spans="1:11" x14ac:dyDescent="0.35">
      <c r="A81" s="89" t="s">
        <v>138</v>
      </c>
      <c r="B81" s="277">
        <v>1</v>
      </c>
      <c r="C81" s="277">
        <v>1</v>
      </c>
      <c r="D81" s="277">
        <v>1</v>
      </c>
      <c r="E81" s="277">
        <v>1</v>
      </c>
      <c r="F81" s="277">
        <v>1</v>
      </c>
      <c r="G81" s="277">
        <v>1</v>
      </c>
      <c r="H81" s="277">
        <v>1</v>
      </c>
      <c r="I81" s="277">
        <v>1</v>
      </c>
    </row>
    <row r="82" spans="1:11" x14ac:dyDescent="0.35">
      <c r="A82" s="89" t="s">
        <v>139</v>
      </c>
      <c r="B82" s="78">
        <f t="shared" ref="B82:I82" si="34">($D$15+B36*$D$17/100+B37*$D$16/100)*100/$B$3</f>
        <v>1</v>
      </c>
      <c r="C82" s="78">
        <f t="shared" si="34"/>
        <v>1.0321428571428573</v>
      </c>
      <c r="D82" s="78">
        <f t="shared" si="34"/>
        <v>1.0464285714285715</v>
      </c>
      <c r="E82" s="78">
        <f t="shared" si="34"/>
        <v>1.0607142857142857</v>
      </c>
      <c r="F82" s="78">
        <f t="shared" si="34"/>
        <v>1.0607142857142857</v>
      </c>
      <c r="G82" s="78">
        <f t="shared" si="34"/>
        <v>1.2321428571428572</v>
      </c>
      <c r="H82" s="78">
        <f t="shared" si="34"/>
        <v>1.0178571428571428</v>
      </c>
      <c r="I82" s="78">
        <f t="shared" si="34"/>
        <v>1.1071428571428572</v>
      </c>
    </row>
    <row r="83" spans="1:11" x14ac:dyDescent="0.35">
      <c r="A83" s="89" t="s">
        <v>140</v>
      </c>
      <c r="B83" s="276">
        <f t="shared" ref="B83:I83" si="35">$D$12/$B$3*100</f>
        <v>2.8571428571428572</v>
      </c>
      <c r="C83" s="276">
        <f t="shared" si="35"/>
        <v>2.8571428571428572</v>
      </c>
      <c r="D83" s="276">
        <f t="shared" si="35"/>
        <v>2.8571428571428572</v>
      </c>
      <c r="E83" s="276">
        <f t="shared" si="35"/>
        <v>2.8571428571428572</v>
      </c>
      <c r="F83" s="276">
        <f t="shared" si="35"/>
        <v>2.8571428571428572</v>
      </c>
      <c r="G83" s="276">
        <f t="shared" si="35"/>
        <v>2.8571428571428572</v>
      </c>
      <c r="H83" s="276">
        <f t="shared" si="35"/>
        <v>2.8571428571428572</v>
      </c>
      <c r="I83" s="276">
        <f t="shared" si="35"/>
        <v>2.8571428571428572</v>
      </c>
    </row>
    <row r="84" spans="1:11" x14ac:dyDescent="0.35">
      <c r="A84" s="89" t="s">
        <v>141</v>
      </c>
      <c r="B84" s="276">
        <f t="shared" ref="B84:I84" si="36">$D$13/$B$3*100</f>
        <v>11.428571428571429</v>
      </c>
      <c r="C84" s="276">
        <f t="shared" si="36"/>
        <v>11.428571428571429</v>
      </c>
      <c r="D84" s="276">
        <f t="shared" si="36"/>
        <v>11.428571428571429</v>
      </c>
      <c r="E84" s="276">
        <f t="shared" si="36"/>
        <v>11.428571428571429</v>
      </c>
      <c r="F84" s="276">
        <f t="shared" si="36"/>
        <v>11.428571428571429</v>
      </c>
      <c r="G84" s="276">
        <f t="shared" si="36"/>
        <v>11.428571428571429</v>
      </c>
      <c r="H84" s="276">
        <f t="shared" si="36"/>
        <v>11.428571428571429</v>
      </c>
      <c r="I84" s="276">
        <f t="shared" si="36"/>
        <v>11.428571428571429</v>
      </c>
    </row>
    <row r="85" spans="1:11" x14ac:dyDescent="0.35">
      <c r="B85" s="265"/>
      <c r="C85" s="265"/>
      <c r="D85" s="265"/>
      <c r="E85" s="265"/>
      <c r="F85" s="265"/>
      <c r="G85" s="265"/>
      <c r="H85" s="265"/>
      <c r="I85" s="265"/>
    </row>
    <row r="86" spans="1:11" ht="19" customHeight="1" x14ac:dyDescent="0.35">
      <c r="A86" s="89" t="s">
        <v>142</v>
      </c>
      <c r="B86" s="278">
        <f>$B$2-B75-B76-B77-B78-B79-B81-B82-B83-B84-B80</f>
        <v>-0.77103907847800635</v>
      </c>
      <c r="C86" s="278">
        <f t="shared" ref="C86:I86" si="37">$B$2-C75-C76-C77-C78-C79-C81-C82-C83-C84-C80</f>
        <v>12.057704156828338</v>
      </c>
      <c r="D86" s="278">
        <f t="shared" si="37"/>
        <v>9.0352511690275907</v>
      </c>
      <c r="E86" s="278">
        <f t="shared" si="37"/>
        <v>6.8193242189622278</v>
      </c>
      <c r="F86" s="278">
        <f t="shared" si="37"/>
        <v>2.4118986408195822</v>
      </c>
      <c r="G86" s="278">
        <f t="shared" si="37"/>
        <v>-182.22511700167155</v>
      </c>
      <c r="H86" s="278">
        <f t="shared" si="37"/>
        <v>-30.206093419746736</v>
      </c>
      <c r="I86" s="278">
        <f t="shared" si="37"/>
        <v>-37.625551781249285</v>
      </c>
    </row>
    <row r="87" spans="1:11" x14ac:dyDescent="0.35">
      <c r="B87" s="265"/>
      <c r="C87" s="264"/>
      <c r="D87" s="264"/>
      <c r="E87" s="264"/>
      <c r="F87" s="264"/>
      <c r="G87" s="90"/>
      <c r="H87" s="90"/>
      <c r="I87" s="90"/>
    </row>
    <row r="88" spans="1:11" x14ac:dyDescent="0.35">
      <c r="A88" s="89" t="s">
        <v>143</v>
      </c>
      <c r="B88" s="279">
        <f t="shared" ref="B88:I88" si="38">B86*$B$3/100</f>
        <v>-10794.54709869209</v>
      </c>
      <c r="C88" s="279">
        <f t="shared" si="38"/>
        <v>168807.85819559675</v>
      </c>
      <c r="D88" s="279">
        <f t="shared" si="38"/>
        <v>126493.51636638626</v>
      </c>
      <c r="E88" s="279">
        <f t="shared" si="38"/>
        <v>95470.539065471195</v>
      </c>
      <c r="F88" s="279">
        <f t="shared" si="38"/>
        <v>33766.580971474148</v>
      </c>
      <c r="G88" s="279">
        <f t="shared" si="38"/>
        <v>-2551151.6380234016</v>
      </c>
      <c r="H88" s="279">
        <f t="shared" si="38"/>
        <v>-422885.30787645432</v>
      </c>
      <c r="I88" s="279">
        <f t="shared" si="38"/>
        <v>-526757.72493748995</v>
      </c>
    </row>
    <row r="89" spans="1:11" x14ac:dyDescent="0.35">
      <c r="B89" s="280"/>
      <c r="C89" s="280"/>
      <c r="D89" s="280"/>
      <c r="E89" s="280"/>
      <c r="F89" s="280"/>
      <c r="G89" s="280"/>
      <c r="H89" s="280"/>
      <c r="I89" s="280"/>
    </row>
    <row r="90" spans="1:11" s="233" customFormat="1" ht="130.5" x14ac:dyDescent="0.35">
      <c r="A90" s="89"/>
      <c r="B90" s="281" t="s">
        <v>144</v>
      </c>
      <c r="C90" s="281" t="s">
        <v>145</v>
      </c>
      <c r="D90" s="281" t="s">
        <v>146</v>
      </c>
      <c r="E90" s="281" t="s">
        <v>147</v>
      </c>
      <c r="F90" s="281" t="s">
        <v>147</v>
      </c>
      <c r="G90" s="281" t="s">
        <v>148</v>
      </c>
      <c r="H90" s="281" t="s">
        <v>149</v>
      </c>
      <c r="I90" s="281" t="s">
        <v>150</v>
      </c>
      <c r="J90" s="89"/>
      <c r="K90" s="89"/>
    </row>
    <row r="91" spans="1:11" x14ac:dyDescent="0.35">
      <c r="B91" s="282"/>
      <c r="C91" s="233"/>
      <c r="D91" s="233"/>
      <c r="E91" s="283"/>
      <c r="F91" s="89"/>
    </row>
    <row r="95" spans="1:11" x14ac:dyDescent="0.35">
      <c r="B95" s="284"/>
      <c r="C95" s="284"/>
      <c r="D95" s="284"/>
      <c r="E95" s="284"/>
      <c r="F95" s="284"/>
      <c r="G95" s="284"/>
      <c r="H95" s="284"/>
      <c r="I95" s="284"/>
    </row>
    <row r="96" spans="1:11" x14ac:dyDescent="0.35">
      <c r="B96" s="284"/>
      <c r="C96" s="284"/>
      <c r="D96" s="284"/>
      <c r="E96" s="284"/>
      <c r="F96" s="284"/>
      <c r="G96" s="284"/>
      <c r="H96" s="284"/>
      <c r="I96" s="284"/>
    </row>
    <row r="97" spans="2:9" x14ac:dyDescent="0.35">
      <c r="C97" s="285"/>
      <c r="D97" s="285"/>
      <c r="E97" s="285"/>
      <c r="F97" s="286"/>
      <c r="G97" s="286"/>
      <c r="H97" s="286"/>
      <c r="I97" s="285"/>
    </row>
    <row r="98" spans="2:9" x14ac:dyDescent="0.35">
      <c r="B98" s="287"/>
      <c r="C98" s="287"/>
      <c r="D98" s="287"/>
      <c r="E98" s="287"/>
      <c r="F98" s="288"/>
      <c r="G98" s="288"/>
      <c r="H98" s="288"/>
      <c r="I98" s="288"/>
    </row>
    <row r="99" spans="2:9" x14ac:dyDescent="0.35">
      <c r="B99" s="287"/>
      <c r="C99" s="287"/>
      <c r="D99" s="287"/>
      <c r="E99" s="287"/>
      <c r="F99" s="287"/>
      <c r="G99" s="287"/>
      <c r="H99" s="287"/>
      <c r="I99" s="287"/>
    </row>
    <row r="106" spans="2:9" x14ac:dyDescent="0.35">
      <c r="B106" s="271"/>
    </row>
    <row r="107" spans="2:9" x14ac:dyDescent="0.35">
      <c r="B107" s="271"/>
    </row>
    <row r="108" spans="2:9" x14ac:dyDescent="0.35">
      <c r="B108" s="271"/>
    </row>
    <row r="109" spans="2:9" x14ac:dyDescent="0.35">
      <c r="B109" s="271"/>
    </row>
    <row r="110" spans="2:9" x14ac:dyDescent="0.35">
      <c r="B110" s="289"/>
    </row>
    <row r="111" spans="2:9" x14ac:dyDescent="0.35">
      <c r="B111" s="289"/>
    </row>
    <row r="112" spans="2:9" x14ac:dyDescent="0.35">
      <c r="B112" s="289"/>
    </row>
    <row r="113" spans="2:2" x14ac:dyDescent="0.35">
      <c r="B113" s="289"/>
    </row>
    <row r="114" spans="2:2" x14ac:dyDescent="0.35">
      <c r="B114" s="289"/>
    </row>
  </sheetData>
  <sheetProtection algorithmName="SHA-512" hashValue="IbPAS0ivm3OB0vbY3ryOPwNdIEuOi90MoTKfC/Rt882sIz+oz9Jcws2gHrHJ6gc0483qv4a1npqzQAy2DoYoWQ==" saltValue="12ZjjR7HExD9mIc9TXz+7Q==" spinCount="100000" sheet="1" objects="1" scenarios="1" selectLockedCells="1"/>
  <mergeCells count="5">
    <mergeCell ref="C2:D2"/>
    <mergeCell ref="F2:G2"/>
    <mergeCell ref="J60:J63"/>
    <mergeCell ref="J2:M3"/>
    <mergeCell ref="J30:J33"/>
  </mergeCells>
  <conditionalFormatting sqref="B53:I53">
    <cfRule type="cellIs" dxfId="17" priority="3" operator="greaterThan">
      <formula>49</formula>
    </cfRule>
  </conditionalFormatting>
  <conditionalFormatting sqref="B88:I88">
    <cfRule type="colorScale" priority="2">
      <colorScale>
        <cfvo type="min"/>
        <cfvo type="percentile" val="50"/>
        <cfvo type="max"/>
        <color rgb="FFF8696B"/>
        <color rgb="FFFCFCFF"/>
        <color rgb="FF63BE7B"/>
      </colorScale>
    </cfRule>
  </conditionalFormatting>
  <conditionalFormatting sqref="B49:I49">
    <cfRule type="cellIs" dxfId="16" priority="1" operator="greaterThan">
      <formula>0</formula>
    </cfRule>
  </conditionalFormatting>
  <pageMargins left="0.7" right="0.7" top="0.75" bottom="0.75" header="0.3" footer="0.3"/>
  <pageSetup paperSize="8" scale="4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9EA12-49BF-4343-A92B-06518F637A24}">
  <dimension ref="A1:AC18"/>
  <sheetViews>
    <sheetView workbookViewId="0">
      <selection activeCell="D1" sqref="D1"/>
    </sheetView>
  </sheetViews>
  <sheetFormatPr defaultRowHeight="14.5" x14ac:dyDescent="0.35"/>
  <cols>
    <col min="2" max="2" width="5.453125" customWidth="1"/>
    <col min="3" max="3" width="14.54296875" customWidth="1"/>
    <col min="4" max="4" width="9.26953125" customWidth="1"/>
    <col min="5" max="5" width="12.54296875" customWidth="1"/>
    <col min="6" max="6" width="12.1796875" customWidth="1"/>
    <col min="7" max="7" width="10.26953125" customWidth="1"/>
    <col min="8" max="8" width="10.1796875" customWidth="1"/>
    <col min="9" max="9" width="10.453125" customWidth="1"/>
    <col min="10" max="10" width="10" customWidth="1"/>
    <col min="11" max="11" width="9.81640625" customWidth="1"/>
    <col min="12" max="12" width="10" customWidth="1"/>
    <col min="13" max="13" width="9.54296875" customWidth="1"/>
    <col min="14" max="14" width="9.81640625" customWidth="1"/>
    <col min="15" max="15" width="10" customWidth="1"/>
    <col min="16" max="17" width="10.7265625" customWidth="1"/>
    <col min="18" max="18" width="11.1796875" customWidth="1"/>
    <col min="19" max="19" width="11" customWidth="1"/>
    <col min="20" max="20" width="10.26953125" customWidth="1"/>
    <col min="21" max="21" width="10.1796875" customWidth="1"/>
    <col min="22" max="22" width="10.26953125" customWidth="1"/>
    <col min="23" max="23" width="10" customWidth="1"/>
    <col min="24" max="26" width="10.1796875" customWidth="1"/>
    <col min="27" max="28" width="9.54296875" customWidth="1"/>
    <col min="29" max="29" width="9.453125" customWidth="1"/>
  </cols>
  <sheetData>
    <row r="1" spans="1:29" x14ac:dyDescent="0.35">
      <c r="A1" s="5" t="s">
        <v>29</v>
      </c>
      <c r="B1" s="5"/>
      <c r="D1" s="5" t="str">
        <f>'Generation &amp; Ops Scenarios'!F27</f>
        <v>Mix 4 Wind, Solar,Storage, Diesel standby</v>
      </c>
    </row>
    <row r="3" spans="1:29" x14ac:dyDescent="0.35">
      <c r="D3" t="s">
        <v>30</v>
      </c>
      <c r="E3" s="79">
        <v>1</v>
      </c>
      <c r="F3" s="79">
        <v>2</v>
      </c>
      <c r="G3" s="79">
        <v>3</v>
      </c>
      <c r="H3" s="79">
        <v>4</v>
      </c>
      <c r="I3" s="79">
        <v>5</v>
      </c>
      <c r="J3" s="79">
        <v>6</v>
      </c>
      <c r="K3" s="79">
        <v>7</v>
      </c>
      <c r="L3" s="79">
        <v>8</v>
      </c>
      <c r="M3" s="79">
        <v>9</v>
      </c>
      <c r="N3" s="79">
        <v>10</v>
      </c>
      <c r="O3" s="79">
        <v>11</v>
      </c>
      <c r="P3" s="79">
        <v>12</v>
      </c>
      <c r="Q3" s="79">
        <v>13</v>
      </c>
      <c r="R3" s="79">
        <v>14</v>
      </c>
      <c r="S3" s="79">
        <v>15</v>
      </c>
      <c r="T3" s="79">
        <v>16</v>
      </c>
      <c r="U3" s="79">
        <v>17</v>
      </c>
      <c r="V3" s="79">
        <v>18</v>
      </c>
      <c r="W3" s="79">
        <v>19</v>
      </c>
      <c r="X3" s="79">
        <v>20</v>
      </c>
      <c r="Y3" s="79">
        <v>21</v>
      </c>
      <c r="Z3" s="79">
        <v>22</v>
      </c>
      <c r="AA3" s="79">
        <v>23</v>
      </c>
      <c r="AB3" s="79">
        <v>24</v>
      </c>
      <c r="AC3" s="79">
        <v>25</v>
      </c>
    </row>
    <row r="4" spans="1:29" x14ac:dyDescent="0.35">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x14ac:dyDescent="0.35">
      <c r="A5" t="s">
        <v>31</v>
      </c>
      <c r="C5" s="19"/>
      <c r="D5" s="19">
        <f>'Mix 4 Summary'!B22</f>
        <v>5595623.916666667</v>
      </c>
      <c r="E5" s="19"/>
      <c r="F5" s="19"/>
      <c r="G5" s="19"/>
      <c r="H5" s="19"/>
      <c r="I5" s="19"/>
      <c r="J5" s="19"/>
      <c r="K5" s="19"/>
      <c r="L5" s="19"/>
      <c r="M5" s="19"/>
      <c r="N5" s="19"/>
      <c r="O5" s="19"/>
      <c r="P5" s="19"/>
      <c r="Q5" s="19"/>
      <c r="R5" s="19"/>
      <c r="S5" s="19"/>
      <c r="T5" s="19"/>
      <c r="U5" s="19"/>
      <c r="V5" s="19"/>
      <c r="W5" s="19"/>
      <c r="X5" s="19"/>
      <c r="Y5" s="19"/>
      <c r="Z5" s="19"/>
      <c r="AA5" s="19"/>
      <c r="AB5" s="19"/>
      <c r="AC5" s="19"/>
    </row>
    <row r="6" spans="1:29" x14ac:dyDescent="0.35">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x14ac:dyDescent="0.35">
      <c r="A7" t="s">
        <v>38</v>
      </c>
      <c r="C7" s="19"/>
      <c r="D7" s="21">
        <f>'Mix 4 Summary'!R5</f>
        <v>1</v>
      </c>
      <c r="E7" s="19"/>
      <c r="F7" s="19"/>
      <c r="G7" s="19"/>
      <c r="H7" s="19"/>
      <c r="I7" s="19"/>
      <c r="J7" s="19"/>
      <c r="K7" s="19"/>
      <c r="L7" s="19"/>
      <c r="M7" s="19"/>
      <c r="N7" s="19"/>
      <c r="O7" s="19"/>
      <c r="P7" s="19"/>
      <c r="Q7" s="19"/>
      <c r="R7" s="19"/>
      <c r="S7" s="19"/>
      <c r="T7" s="19"/>
      <c r="U7" s="19"/>
      <c r="V7" s="19"/>
      <c r="W7" s="19"/>
      <c r="X7" s="19"/>
      <c r="Y7" s="19"/>
      <c r="Z7" s="19"/>
      <c r="AA7" s="19"/>
      <c r="AB7" s="19"/>
      <c r="AC7" s="19"/>
    </row>
    <row r="8" spans="1:29" x14ac:dyDescent="0.35">
      <c r="C8" s="19"/>
      <c r="D8" s="19"/>
      <c r="E8" s="19"/>
      <c r="F8" s="19"/>
      <c r="G8" s="19"/>
      <c r="H8" s="19"/>
      <c r="I8" s="19"/>
      <c r="J8" s="19"/>
      <c r="K8" s="19"/>
      <c r="L8" s="19"/>
      <c r="M8" s="19"/>
      <c r="N8" s="19"/>
      <c r="O8" s="19"/>
      <c r="P8" s="19"/>
      <c r="Q8" s="19"/>
      <c r="R8" s="19"/>
      <c r="S8" s="19"/>
      <c r="T8" s="19"/>
      <c r="U8" s="19"/>
      <c r="V8" s="19"/>
      <c r="W8" s="19"/>
      <c r="X8" s="19"/>
      <c r="Y8" s="19"/>
      <c r="Z8" s="19"/>
      <c r="AA8" s="19"/>
      <c r="AB8" s="19"/>
      <c r="AC8" s="19"/>
    </row>
    <row r="9" spans="1:29" x14ac:dyDescent="0.35">
      <c r="C9" t="s">
        <v>32</v>
      </c>
      <c r="D9" s="19">
        <f>D5*D7</f>
        <v>5595623.916666667</v>
      </c>
      <c r="E9" s="19"/>
      <c r="F9" s="19"/>
      <c r="G9" s="19"/>
      <c r="H9" s="19"/>
      <c r="I9" s="19"/>
      <c r="J9" s="19"/>
      <c r="K9" s="19"/>
      <c r="L9" s="19"/>
      <c r="M9" s="19"/>
      <c r="N9" s="19"/>
      <c r="O9" s="19"/>
      <c r="P9" s="19"/>
      <c r="Q9" s="19"/>
      <c r="R9" s="19"/>
      <c r="S9" s="19"/>
      <c r="T9" s="19"/>
      <c r="U9" s="19"/>
      <c r="V9" s="19"/>
      <c r="W9" s="19"/>
      <c r="X9" s="19"/>
      <c r="Y9" s="19"/>
      <c r="Z9" s="19"/>
      <c r="AA9" s="19"/>
      <c r="AB9" s="19"/>
      <c r="AC9" s="19"/>
    </row>
    <row r="10" spans="1:29" x14ac:dyDescent="0.35">
      <c r="C10" t="s">
        <v>33</v>
      </c>
      <c r="D10" s="21">
        <f>'Mix 4 Summary'!R6</f>
        <v>7.4999999999999997E-2</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x14ac:dyDescent="0.35">
      <c r="C11" s="19" t="s">
        <v>34</v>
      </c>
      <c r="D11" s="19">
        <f>'Mix 4 Summary'!R8</f>
        <v>25</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x14ac:dyDescent="0.35">
      <c r="C12" s="19" t="s">
        <v>35</v>
      </c>
      <c r="D12" s="19"/>
      <c r="E12" s="19">
        <f>+D9</f>
        <v>5595623.916666667</v>
      </c>
      <c r="F12" s="19">
        <f t="shared" ref="F12:AC12" si="0">E15</f>
        <v>5513308.5305548077</v>
      </c>
      <c r="G12" s="19">
        <f t="shared" si="0"/>
        <v>5424819.490484559</v>
      </c>
      <c r="H12" s="19">
        <f t="shared" si="0"/>
        <v>5329693.7724090414</v>
      </c>
      <c r="I12" s="19">
        <f t="shared" si="0"/>
        <v>5227433.6254778607</v>
      </c>
      <c r="J12" s="19">
        <f t="shared" si="0"/>
        <v>5117503.967526841</v>
      </c>
      <c r="K12" s="19">
        <f t="shared" si="0"/>
        <v>4999329.5852294946</v>
      </c>
      <c r="L12" s="19">
        <f t="shared" si="0"/>
        <v>4872292.1242598472</v>
      </c>
      <c r="M12" s="19">
        <f t="shared" si="0"/>
        <v>4735726.8537174761</v>
      </c>
      <c r="N12" s="19">
        <f t="shared" si="0"/>
        <v>4588919.1878844276</v>
      </c>
      <c r="O12" s="19">
        <f t="shared" si="0"/>
        <v>4431100.9471139004</v>
      </c>
      <c r="P12" s="19">
        <f t="shared" si="0"/>
        <v>4261446.338285584</v>
      </c>
      <c r="Q12" s="19">
        <f t="shared" si="0"/>
        <v>4079067.6337951436</v>
      </c>
      <c r="R12" s="19">
        <f t="shared" si="0"/>
        <v>3883010.5264679203</v>
      </c>
      <c r="S12" s="19">
        <f t="shared" si="0"/>
        <v>3672249.136091155</v>
      </c>
      <c r="T12" s="19">
        <f t="shared" si="0"/>
        <v>3445680.6414361326</v>
      </c>
      <c r="U12" s="19">
        <f t="shared" si="0"/>
        <v>3202119.5096819834</v>
      </c>
      <c r="V12" s="19">
        <f t="shared" si="0"/>
        <v>2940291.2930462728</v>
      </c>
      <c r="W12" s="19">
        <f t="shared" si="0"/>
        <v>2658825.9601628841</v>
      </c>
      <c r="X12" s="19">
        <f t="shared" si="0"/>
        <v>2356250.727313241</v>
      </c>
      <c r="Y12" s="19">
        <f t="shared" si="0"/>
        <v>2030982.3519998749</v>
      </c>
      <c r="Z12" s="19">
        <f t="shared" si="0"/>
        <v>1681318.8485380064</v>
      </c>
      <c r="AA12" s="19">
        <f t="shared" si="0"/>
        <v>1305430.5823164978</v>
      </c>
      <c r="AB12" s="19">
        <f t="shared" si="0"/>
        <v>901350.69612837594</v>
      </c>
      <c r="AC12" s="19">
        <f t="shared" si="0"/>
        <v>466964.81847614492</v>
      </c>
    </row>
    <row r="13" spans="1:29" x14ac:dyDescent="0.35">
      <c r="C13" s="19" t="s">
        <v>36</v>
      </c>
      <c r="D13" s="19"/>
      <c r="E13" s="46">
        <f>E16-E14</f>
        <v>-82315.386111859174</v>
      </c>
      <c r="F13" s="19">
        <f>F16-F14</f>
        <v>-88489.040070248593</v>
      </c>
      <c r="G13" s="19">
        <f t="shared" ref="G13:AC13" si="1">G16-G14</f>
        <v>-95125.718075517274</v>
      </c>
      <c r="H13" s="19">
        <f t="shared" si="1"/>
        <v>-102260.14693118108</v>
      </c>
      <c r="I13" s="19">
        <f t="shared" si="1"/>
        <v>-109929.65795101965</v>
      </c>
      <c r="J13" s="19">
        <f t="shared" si="1"/>
        <v>-118174.38229734614</v>
      </c>
      <c r="K13" s="19">
        <f t="shared" si="1"/>
        <v>-127037.4609696471</v>
      </c>
      <c r="L13" s="19">
        <f t="shared" si="1"/>
        <v>-136565.27054237068</v>
      </c>
      <c r="M13" s="19">
        <f t="shared" si="1"/>
        <v>-146807.66583304846</v>
      </c>
      <c r="N13" s="19">
        <f t="shared" si="1"/>
        <v>-157818.2407705271</v>
      </c>
      <c r="O13" s="19">
        <f t="shared" si="1"/>
        <v>-169654.60882831668</v>
      </c>
      <c r="P13" s="19">
        <f t="shared" si="1"/>
        <v>-182378.70449044037</v>
      </c>
      <c r="Q13" s="19">
        <f t="shared" si="1"/>
        <v>-196057.10732722341</v>
      </c>
      <c r="R13" s="19">
        <f t="shared" si="1"/>
        <v>-210761.39037676516</v>
      </c>
      <c r="S13" s="19">
        <f t="shared" si="1"/>
        <v>-226568.49465502257</v>
      </c>
      <c r="T13" s="19">
        <f t="shared" si="1"/>
        <v>-243561.13175414925</v>
      </c>
      <c r="U13" s="19">
        <f t="shared" si="1"/>
        <v>-261828.21663571044</v>
      </c>
      <c r="V13" s="19">
        <f t="shared" si="1"/>
        <v>-281465.33288338874</v>
      </c>
      <c r="W13" s="19">
        <f t="shared" si="1"/>
        <v>-302575.23284964287</v>
      </c>
      <c r="X13" s="19">
        <f t="shared" si="1"/>
        <v>-325268.37531336612</v>
      </c>
      <c r="Y13" s="19">
        <f t="shared" si="1"/>
        <v>-349663.50346186856</v>
      </c>
      <c r="Z13" s="19">
        <f t="shared" si="1"/>
        <v>-375888.26622150873</v>
      </c>
      <c r="AA13" s="19">
        <f t="shared" si="1"/>
        <v>-404079.88618812186</v>
      </c>
      <c r="AB13" s="19">
        <f t="shared" si="1"/>
        <v>-434385.87765223102</v>
      </c>
      <c r="AC13" s="19">
        <f t="shared" si="1"/>
        <v>-466964.8184761483</v>
      </c>
    </row>
    <row r="14" spans="1:29" x14ac:dyDescent="0.35">
      <c r="C14" s="19" t="s">
        <v>39</v>
      </c>
      <c r="D14" s="19"/>
      <c r="E14" s="19">
        <f>-E12*$D$10</f>
        <v>-419671.79375000001</v>
      </c>
      <c r="F14" s="19">
        <f t="shared" ref="F14:AC14" si="2">-F12*$D$10</f>
        <v>-413498.13979161059</v>
      </c>
      <c r="G14" s="19">
        <f t="shared" si="2"/>
        <v>-406861.46178634191</v>
      </c>
      <c r="H14" s="19">
        <f t="shared" si="2"/>
        <v>-399727.03293067811</v>
      </c>
      <c r="I14" s="19">
        <f t="shared" si="2"/>
        <v>-392057.52191083954</v>
      </c>
      <c r="J14" s="19">
        <f t="shared" si="2"/>
        <v>-383812.79756451305</v>
      </c>
      <c r="K14" s="19">
        <f t="shared" si="2"/>
        <v>-374949.71889221208</v>
      </c>
      <c r="L14" s="19">
        <f t="shared" si="2"/>
        <v>-365421.90931948851</v>
      </c>
      <c r="M14" s="19">
        <f t="shared" si="2"/>
        <v>-355179.51402881072</v>
      </c>
      <c r="N14" s="19">
        <f t="shared" si="2"/>
        <v>-344168.93909133208</v>
      </c>
      <c r="O14" s="19">
        <f t="shared" si="2"/>
        <v>-332332.57103354251</v>
      </c>
      <c r="P14" s="19">
        <f t="shared" si="2"/>
        <v>-319608.47537141881</v>
      </c>
      <c r="Q14" s="19">
        <f t="shared" si="2"/>
        <v>-305930.07253463578</v>
      </c>
      <c r="R14" s="19">
        <f t="shared" si="2"/>
        <v>-291225.78948509402</v>
      </c>
      <c r="S14" s="19">
        <f t="shared" si="2"/>
        <v>-275418.68520683661</v>
      </c>
      <c r="T14" s="19">
        <f t="shared" si="2"/>
        <v>-258426.04810770994</v>
      </c>
      <c r="U14" s="19">
        <f t="shared" si="2"/>
        <v>-240158.96322614874</v>
      </c>
      <c r="V14" s="19">
        <f t="shared" si="2"/>
        <v>-220521.84697847045</v>
      </c>
      <c r="W14" s="19">
        <f t="shared" si="2"/>
        <v>-199411.94701221629</v>
      </c>
      <c r="X14" s="19">
        <f t="shared" si="2"/>
        <v>-176718.80454849306</v>
      </c>
      <c r="Y14" s="19">
        <f t="shared" si="2"/>
        <v>-152323.67639999063</v>
      </c>
      <c r="Z14" s="19">
        <f t="shared" si="2"/>
        <v>-126098.91364035048</v>
      </c>
      <c r="AA14" s="19">
        <f t="shared" si="2"/>
        <v>-97907.293673737338</v>
      </c>
      <c r="AB14" s="19">
        <f t="shared" si="2"/>
        <v>-67601.302209628193</v>
      </c>
      <c r="AC14" s="19">
        <f t="shared" si="2"/>
        <v>-35022.361385710865</v>
      </c>
    </row>
    <row r="15" spans="1:29" x14ac:dyDescent="0.35">
      <c r="C15" s="19" t="s">
        <v>37</v>
      </c>
      <c r="D15" s="19"/>
      <c r="E15" s="20">
        <f>E12+E13</f>
        <v>5513308.5305548077</v>
      </c>
      <c r="F15" s="20">
        <f t="shared" ref="F15:AC15" si="3">F12+F13</f>
        <v>5424819.490484559</v>
      </c>
      <c r="G15" s="20">
        <f t="shared" si="3"/>
        <v>5329693.7724090414</v>
      </c>
      <c r="H15" s="20">
        <f t="shared" si="3"/>
        <v>5227433.6254778607</v>
      </c>
      <c r="I15" s="20">
        <f t="shared" si="3"/>
        <v>5117503.967526841</v>
      </c>
      <c r="J15" s="20">
        <f t="shared" si="3"/>
        <v>4999329.5852294946</v>
      </c>
      <c r="K15" s="20">
        <f t="shared" si="3"/>
        <v>4872292.1242598472</v>
      </c>
      <c r="L15" s="20">
        <f t="shared" si="3"/>
        <v>4735726.8537174761</v>
      </c>
      <c r="M15" s="20">
        <f t="shared" si="3"/>
        <v>4588919.1878844276</v>
      </c>
      <c r="N15" s="20">
        <f t="shared" si="3"/>
        <v>4431100.9471139004</v>
      </c>
      <c r="O15" s="20">
        <f t="shared" si="3"/>
        <v>4261446.338285584</v>
      </c>
      <c r="P15" s="20">
        <f t="shared" si="3"/>
        <v>4079067.6337951436</v>
      </c>
      <c r="Q15" s="20">
        <f t="shared" si="3"/>
        <v>3883010.5264679203</v>
      </c>
      <c r="R15" s="20">
        <f t="shared" si="3"/>
        <v>3672249.136091155</v>
      </c>
      <c r="S15" s="20">
        <f t="shared" si="3"/>
        <v>3445680.6414361326</v>
      </c>
      <c r="T15" s="20">
        <f t="shared" si="3"/>
        <v>3202119.5096819834</v>
      </c>
      <c r="U15" s="20">
        <f t="shared" si="3"/>
        <v>2940291.2930462728</v>
      </c>
      <c r="V15" s="20">
        <f t="shared" si="3"/>
        <v>2658825.9601628841</v>
      </c>
      <c r="W15" s="20">
        <f t="shared" si="3"/>
        <v>2356250.727313241</v>
      </c>
      <c r="X15" s="20">
        <f t="shared" si="3"/>
        <v>2030982.3519998749</v>
      </c>
      <c r="Y15" s="20">
        <f t="shared" si="3"/>
        <v>1681318.8485380064</v>
      </c>
      <c r="Z15" s="20">
        <f t="shared" si="3"/>
        <v>1305430.5823164978</v>
      </c>
      <c r="AA15" s="20">
        <f t="shared" si="3"/>
        <v>901350.69612837594</v>
      </c>
      <c r="AB15" s="20">
        <f t="shared" si="3"/>
        <v>466964.81847614492</v>
      </c>
      <c r="AC15" s="20">
        <f t="shared" si="3"/>
        <v>-3.3760443329811096E-9</v>
      </c>
    </row>
    <row r="16" spans="1:29" x14ac:dyDescent="0.35">
      <c r="C16" s="19"/>
      <c r="D16" s="19"/>
      <c r="E16" s="19">
        <f>PMT(D10,25,D9)</f>
        <v>-501987.17986185919</v>
      </c>
      <c r="F16" s="19">
        <f>E16</f>
        <v>-501987.17986185919</v>
      </c>
      <c r="G16" s="19">
        <f t="shared" ref="G16:AC16" si="4">F16</f>
        <v>-501987.17986185919</v>
      </c>
      <c r="H16" s="19">
        <f t="shared" si="4"/>
        <v>-501987.17986185919</v>
      </c>
      <c r="I16" s="19">
        <f t="shared" si="4"/>
        <v>-501987.17986185919</v>
      </c>
      <c r="J16" s="19">
        <f t="shared" si="4"/>
        <v>-501987.17986185919</v>
      </c>
      <c r="K16" s="19">
        <f t="shared" si="4"/>
        <v>-501987.17986185919</v>
      </c>
      <c r="L16" s="19">
        <f t="shared" si="4"/>
        <v>-501987.17986185919</v>
      </c>
      <c r="M16" s="19">
        <f t="shared" si="4"/>
        <v>-501987.17986185919</v>
      </c>
      <c r="N16" s="19">
        <f t="shared" si="4"/>
        <v>-501987.17986185919</v>
      </c>
      <c r="O16" s="19">
        <f t="shared" si="4"/>
        <v>-501987.17986185919</v>
      </c>
      <c r="P16" s="19">
        <f t="shared" si="4"/>
        <v>-501987.17986185919</v>
      </c>
      <c r="Q16" s="19">
        <f t="shared" si="4"/>
        <v>-501987.17986185919</v>
      </c>
      <c r="R16" s="19">
        <f t="shared" si="4"/>
        <v>-501987.17986185919</v>
      </c>
      <c r="S16" s="19">
        <f t="shared" si="4"/>
        <v>-501987.17986185919</v>
      </c>
      <c r="T16" s="19">
        <f t="shared" si="4"/>
        <v>-501987.17986185919</v>
      </c>
      <c r="U16" s="19">
        <f t="shared" si="4"/>
        <v>-501987.17986185919</v>
      </c>
      <c r="V16" s="19">
        <f t="shared" si="4"/>
        <v>-501987.17986185919</v>
      </c>
      <c r="W16" s="19">
        <f t="shared" si="4"/>
        <v>-501987.17986185919</v>
      </c>
      <c r="X16" s="19">
        <f t="shared" si="4"/>
        <v>-501987.17986185919</v>
      </c>
      <c r="Y16" s="19">
        <f t="shared" si="4"/>
        <v>-501987.17986185919</v>
      </c>
      <c r="Z16" s="19">
        <f t="shared" si="4"/>
        <v>-501987.17986185919</v>
      </c>
      <c r="AA16" s="19">
        <f t="shared" si="4"/>
        <v>-501987.17986185919</v>
      </c>
      <c r="AB16" s="19">
        <f t="shared" si="4"/>
        <v>-501987.17986185919</v>
      </c>
      <c r="AC16" s="19">
        <f t="shared" si="4"/>
        <v>-501987.17986185919</v>
      </c>
    </row>
    <row r="17" spans="3:29" x14ac:dyDescent="0.35">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row>
    <row r="18" spans="3:29" x14ac:dyDescent="0.35">
      <c r="E18" s="4">
        <f>E16-E14</f>
        <v>-82315.386111859174</v>
      </c>
      <c r="F18" s="4">
        <f t="shared" ref="F18:P18" si="5">F13+-F16</f>
        <v>413498.13979161059</v>
      </c>
      <c r="G18" s="4">
        <f t="shared" si="5"/>
        <v>406861.46178634191</v>
      </c>
      <c r="H18" s="4">
        <f t="shared" si="5"/>
        <v>399727.03293067811</v>
      </c>
      <c r="I18" s="4">
        <f t="shared" si="5"/>
        <v>392057.52191083954</v>
      </c>
      <c r="J18" s="4">
        <f t="shared" si="5"/>
        <v>383812.79756451305</v>
      </c>
      <c r="K18" s="4">
        <f t="shared" si="5"/>
        <v>374949.71889221208</v>
      </c>
      <c r="L18" s="4">
        <f t="shared" si="5"/>
        <v>365421.90931948851</v>
      </c>
      <c r="M18" s="4">
        <f t="shared" si="5"/>
        <v>355179.51402881072</v>
      </c>
      <c r="N18" s="4">
        <f t="shared" si="5"/>
        <v>344168.93909133208</v>
      </c>
      <c r="O18" s="4">
        <f t="shared" si="5"/>
        <v>332332.57103354251</v>
      </c>
      <c r="P18" s="4">
        <f t="shared" si="5"/>
        <v>319608.47537141881</v>
      </c>
    </row>
  </sheetData>
  <sheetProtection algorithmName="SHA-512" hashValue="Zfc/j4rwax6l7gCp4nQWHOX3Bv8gtRiE/SlSKqOXRZWJtrAxJPvELhMQC0M1imHDhyQjvJc2fNCX5lxmnu3q7w==" saltValue="g8TAODeOrqphlL9GOb1RqA==" spinCount="100000" sheet="1" objects="1" scenarios="1" selectLockedCells="1" selectUnlockedCell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F530B-C947-4450-9E54-218F4014FAE4}">
  <dimension ref="A1:AD46"/>
  <sheetViews>
    <sheetView workbookViewId="0">
      <selection activeCell="I4" sqref="I4"/>
    </sheetView>
  </sheetViews>
  <sheetFormatPr defaultColWidth="9.1796875" defaultRowHeight="13" x14ac:dyDescent="0.3"/>
  <cols>
    <col min="1" max="2" width="9.1796875" style="35"/>
    <col min="3" max="4" width="10.7265625" style="35" customWidth="1"/>
    <col min="5" max="5" width="9" style="35" customWidth="1"/>
    <col min="6" max="6" width="10.7265625" style="35" customWidth="1"/>
    <col min="7" max="7" width="10" style="35" customWidth="1"/>
    <col min="8" max="8" width="9.81640625" style="35" customWidth="1"/>
    <col min="9" max="9" width="9.7265625" style="35" customWidth="1"/>
    <col min="10" max="11" width="10.26953125" style="35" customWidth="1"/>
    <col min="12" max="13" width="10" style="35" customWidth="1"/>
    <col min="14" max="14" width="10.1796875" style="35" customWidth="1"/>
    <col min="15" max="15" width="9.81640625" style="35" customWidth="1"/>
    <col min="16" max="16" width="10.26953125" style="35" customWidth="1"/>
    <col min="17" max="18" width="9.81640625" style="35" customWidth="1"/>
    <col min="19" max="19" width="10.453125" style="35" customWidth="1"/>
    <col min="20" max="21" width="10.1796875" style="35" customWidth="1"/>
    <col min="22" max="22" width="9.81640625" style="35" customWidth="1"/>
    <col min="23" max="23" width="9.7265625" style="35" customWidth="1"/>
    <col min="24" max="24" width="10" style="35" customWidth="1"/>
    <col min="25" max="28" width="10.453125" style="35" customWidth="1"/>
    <col min="29" max="29" width="9.1796875" style="35"/>
    <col min="30" max="30" width="11.1796875" style="35" bestFit="1" customWidth="1"/>
    <col min="31" max="16384" width="9.1796875" style="35"/>
  </cols>
  <sheetData>
    <row r="1" spans="1:30" x14ac:dyDescent="0.3">
      <c r="A1" s="33" t="s">
        <v>16</v>
      </c>
      <c r="B1" s="34"/>
      <c r="C1" s="33" t="str">
        <f>'Generation &amp; Ops Scenarios'!F27</f>
        <v>Mix 4 Wind, Solar,Storage, Diesel standby</v>
      </c>
      <c r="D1" s="34"/>
      <c r="E1" s="34"/>
      <c r="F1" s="34"/>
      <c r="G1" s="34"/>
      <c r="H1" s="34"/>
      <c r="I1" s="34"/>
      <c r="J1" s="34"/>
      <c r="K1" s="34"/>
      <c r="L1" s="34"/>
      <c r="M1" s="34"/>
      <c r="N1" s="34"/>
      <c r="O1" s="34"/>
      <c r="P1" s="34"/>
      <c r="Q1" s="34"/>
      <c r="R1" s="34"/>
      <c r="S1" s="34"/>
      <c r="T1" s="34"/>
      <c r="U1" s="34"/>
      <c r="V1" s="34"/>
      <c r="W1" s="34"/>
      <c r="X1" s="34"/>
      <c r="Y1" s="34"/>
      <c r="Z1" s="34"/>
      <c r="AA1" s="34"/>
      <c r="AB1" s="34"/>
      <c r="AC1" s="34"/>
      <c r="AD1" s="34"/>
    </row>
    <row r="2" spans="1:30" x14ac:dyDescent="0.3">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x14ac:dyDescent="0.3">
      <c r="A3" s="34"/>
      <c r="B3" s="34"/>
      <c r="C3" s="34"/>
      <c r="D3" s="423" t="s">
        <v>7</v>
      </c>
      <c r="E3" s="423"/>
      <c r="F3" s="423"/>
      <c r="G3" s="423"/>
      <c r="H3" s="423"/>
      <c r="I3" s="423"/>
      <c r="J3" s="423"/>
      <c r="K3" s="423"/>
      <c r="L3" s="423"/>
      <c r="M3" s="423"/>
      <c r="N3" s="423"/>
      <c r="O3" s="423"/>
      <c r="P3" s="423"/>
      <c r="Q3" s="423"/>
      <c r="R3" s="423"/>
      <c r="S3" s="423"/>
      <c r="T3" s="423"/>
      <c r="U3" s="423"/>
      <c r="V3" s="423"/>
      <c r="W3" s="423"/>
      <c r="X3" s="423"/>
      <c r="Y3" s="423"/>
      <c r="Z3" s="423"/>
      <c r="AA3" s="423"/>
      <c r="AB3" s="423"/>
      <c r="AC3" s="84"/>
      <c r="AD3" s="34"/>
    </row>
    <row r="4" spans="1:30" x14ac:dyDescent="0.3">
      <c r="A4" s="34"/>
      <c r="B4" s="34"/>
      <c r="C4" s="34" t="s">
        <v>7</v>
      </c>
      <c r="D4" s="37">
        <v>1</v>
      </c>
      <c r="E4" s="37">
        <v>2</v>
      </c>
      <c r="F4" s="37">
        <v>3</v>
      </c>
      <c r="G4" s="37">
        <v>4</v>
      </c>
      <c r="H4" s="37">
        <v>5</v>
      </c>
      <c r="I4" s="37">
        <v>6</v>
      </c>
      <c r="J4" s="37">
        <v>7</v>
      </c>
      <c r="K4" s="37">
        <v>8</v>
      </c>
      <c r="L4" s="37">
        <v>9</v>
      </c>
      <c r="M4" s="37">
        <v>10</v>
      </c>
      <c r="N4" s="37">
        <v>11</v>
      </c>
      <c r="O4" s="37">
        <v>12</v>
      </c>
      <c r="P4" s="37">
        <v>13</v>
      </c>
      <c r="Q4" s="37">
        <v>14</v>
      </c>
      <c r="R4" s="37">
        <v>15</v>
      </c>
      <c r="S4" s="37">
        <v>16</v>
      </c>
      <c r="T4" s="37">
        <v>17</v>
      </c>
      <c r="U4" s="37">
        <v>18</v>
      </c>
      <c r="V4" s="37">
        <v>19</v>
      </c>
      <c r="W4" s="37">
        <v>20</v>
      </c>
      <c r="X4" s="37">
        <v>21</v>
      </c>
      <c r="Y4" s="37">
        <v>22</v>
      </c>
      <c r="Z4" s="37">
        <v>23</v>
      </c>
      <c r="AA4" s="37">
        <v>24</v>
      </c>
      <c r="AB4" s="37">
        <v>25</v>
      </c>
      <c r="AC4" s="84"/>
      <c r="AD4" s="37" t="s">
        <v>46</v>
      </c>
    </row>
    <row r="5" spans="1:30" x14ac:dyDescent="0.3">
      <c r="A5" s="38"/>
      <c r="B5" s="38"/>
      <c r="C5" s="38"/>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3">
      <c r="A6" s="39" t="s">
        <v>17</v>
      </c>
      <c r="B6" s="34"/>
      <c r="C6" s="34"/>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x14ac:dyDescent="0.3">
      <c r="A7" s="34" t="s">
        <v>3</v>
      </c>
      <c r="B7" s="34"/>
      <c r="C7" s="34"/>
      <c r="D7" s="40">
        <f>'Mix 4 Summary'!M5*'Mix 4 Summary'!M6/100</f>
        <v>840000</v>
      </c>
      <c r="E7" s="40">
        <f>D7*(1+'Mix 4 Summary'!$M$8)*E44</f>
        <v>840000</v>
      </c>
      <c r="F7" s="40">
        <f>E7*(1+'Mix 4 Summary'!$M$8)*F44</f>
        <v>840000</v>
      </c>
      <c r="G7" s="40">
        <f>F7*(1+'Mix 4 Summary'!$M$8)*G44</f>
        <v>840000</v>
      </c>
      <c r="H7" s="40">
        <f>G7*(1+'Mix 4 Summary'!$M$8)*H44</f>
        <v>840000</v>
      </c>
      <c r="I7" s="40">
        <f>H7*(1+'Mix 4 Summary'!$M$8)*I44</f>
        <v>840000</v>
      </c>
      <c r="J7" s="40">
        <f>I7*(1+'Mix 4 Summary'!$M$8)*J44</f>
        <v>840000</v>
      </c>
      <c r="K7" s="40">
        <f>J7*(1+'Mix 4 Summary'!$M$8)*K44</f>
        <v>840000</v>
      </c>
      <c r="L7" s="40">
        <f>K7*(1+'Mix 4 Summary'!$M$8)*L44</f>
        <v>840000</v>
      </c>
      <c r="M7" s="40">
        <f>L7*(1+'Mix 4 Summary'!$M$8)*M44</f>
        <v>840000</v>
      </c>
      <c r="N7" s="40">
        <f>M7*(1+'Mix 4 Summary'!$M$8)*N44</f>
        <v>840000</v>
      </c>
      <c r="O7" s="40">
        <f>N7*(1+'Mix 4 Summary'!$M$8)*O44</f>
        <v>840000</v>
      </c>
      <c r="P7" s="40">
        <f>O7*(1+'Mix 4 Summary'!$M$8)*P44</f>
        <v>840000</v>
      </c>
      <c r="Q7" s="40">
        <f>P7*(1+'Mix 4 Summary'!$M$8)*Q44</f>
        <v>840000</v>
      </c>
      <c r="R7" s="40">
        <f>Q7*(1+'Mix 4 Summary'!$M$8)*R44</f>
        <v>840000</v>
      </c>
      <c r="S7" s="40">
        <f>R7*(1+'Mix 4 Summary'!$M$8)*S44</f>
        <v>840000</v>
      </c>
      <c r="T7" s="40">
        <f>S7*(1+'Mix 4 Summary'!$M$8)*T44</f>
        <v>840000</v>
      </c>
      <c r="U7" s="40">
        <f>T7*(1+'Mix 4 Summary'!$M$8)*U44</f>
        <v>840000</v>
      </c>
      <c r="V7" s="40">
        <f>U7*(1+'Mix 4 Summary'!$M$8)*V44</f>
        <v>840000</v>
      </c>
      <c r="W7" s="40">
        <f>V7*(1+'Mix 4 Summary'!$M$8)*W44</f>
        <v>840000</v>
      </c>
      <c r="X7" s="40">
        <f>W7*(1+'Mix 4 Summary'!$M$8)*X44</f>
        <v>840000</v>
      </c>
      <c r="Y7" s="40">
        <f>X7*(1+'Mix 4 Summary'!$M$8)*Y44</f>
        <v>840000</v>
      </c>
      <c r="Z7" s="40">
        <f>Y7*(1+'Mix 4 Summary'!$M$8)*Z44</f>
        <v>840000</v>
      </c>
      <c r="AA7" s="40">
        <f>Z7*(1+'Mix 4 Summary'!$M$8)*AA44</f>
        <v>840000</v>
      </c>
      <c r="AB7" s="40">
        <f>AA7*(1+'Mix 4 Summary'!$M$8)*AB44</f>
        <v>840000</v>
      </c>
      <c r="AC7" s="40"/>
      <c r="AD7" s="40">
        <f>SUM(D7:AC7)</f>
        <v>21000000</v>
      </c>
    </row>
    <row r="8" spans="1:30" s="309" customFormat="1" x14ac:dyDescent="0.3">
      <c r="A8" s="308" t="s">
        <v>23</v>
      </c>
      <c r="B8" s="308"/>
      <c r="C8" s="308"/>
      <c r="D8" s="47">
        <f>-IF('Mix 4 Summary'!$M$18&gt;'Generation &amp; Ops Scenarios'!$F$45, ('Mix 4 Summary'!$M$18-'Generation &amp; Ops Scenarios'!$F$45)*'Mix 4 Summary'!$H$23/100, 0)</f>
        <v>0</v>
      </c>
      <c r="E8" s="47">
        <f>-IF('Mix 4 Summary'!$M$18&gt;'Generation &amp; Ops Scenarios'!$F$45, ('Mix 4 Summary'!$M$18-'Generation &amp; Ops Scenarios'!$F$45)*'Mix 4 Summary'!$H$23/100, 0)</f>
        <v>0</v>
      </c>
      <c r="F8" s="47">
        <f>-IF('Mix 4 Summary'!$M$18&gt;'Generation &amp; Ops Scenarios'!$F$45, ('Mix 4 Summary'!$M$18-'Generation &amp; Ops Scenarios'!$F$45)*'Mix 4 Summary'!$H$23/100, 0)</f>
        <v>0</v>
      </c>
      <c r="G8" s="47">
        <f>-IF('Mix 4 Summary'!$M$18&gt;'Generation &amp; Ops Scenarios'!$F$45, ('Mix 4 Summary'!$M$18-'Generation &amp; Ops Scenarios'!$F$45)*'Mix 4 Summary'!$H$23/100, 0)</f>
        <v>0</v>
      </c>
      <c r="H8" s="47">
        <f>-IF('Mix 4 Summary'!$M$18&gt;'Generation &amp; Ops Scenarios'!$F$45, ('Mix 4 Summary'!$M$18-'Generation &amp; Ops Scenarios'!$F$45)*'Mix 4 Summary'!$H$23/100, 0)</f>
        <v>0</v>
      </c>
      <c r="I8" s="47">
        <f>-IF('Mix 4 Summary'!$M$18&gt;'Generation &amp; Ops Scenarios'!$F$45, ('Mix 4 Summary'!$M$18-'Generation &amp; Ops Scenarios'!$F$45)*'Mix 4 Summary'!$H$23/100, 0)</f>
        <v>0</v>
      </c>
      <c r="J8" s="47">
        <f>-IF('Mix 4 Summary'!$M$18&gt;'Generation &amp; Ops Scenarios'!$F$45, ('Mix 4 Summary'!$M$18-'Generation &amp; Ops Scenarios'!$F$45)*'Mix 4 Summary'!$H$23/100, 0)</f>
        <v>0</v>
      </c>
      <c r="K8" s="47">
        <f>-IF('Mix 4 Summary'!$M$18&gt;'Generation &amp; Ops Scenarios'!$F$45, ('Mix 4 Summary'!$M$18-'Generation &amp; Ops Scenarios'!$F$45)*'Mix 4 Summary'!$H$23/100, 0)</f>
        <v>0</v>
      </c>
      <c r="L8" s="47">
        <f>-IF('Mix 4 Summary'!$M$18&gt;'Generation &amp; Ops Scenarios'!$F$45, ('Mix 4 Summary'!$M$18-'Generation &amp; Ops Scenarios'!$F$45)*'Mix 4 Summary'!$H$23/100, 0)</f>
        <v>0</v>
      </c>
      <c r="M8" s="47">
        <f>-IF('Mix 4 Summary'!$M$18&gt;'Generation &amp; Ops Scenarios'!$F$45, ('Mix 4 Summary'!$M$18-'Generation &amp; Ops Scenarios'!$F$45)*'Mix 4 Summary'!$H$23/100, 0)</f>
        <v>0</v>
      </c>
      <c r="N8" s="47">
        <f>-IF('Mix 4 Summary'!$M$18&gt;'Generation &amp; Ops Scenarios'!$F$45, ('Mix 4 Summary'!$M$18-'Generation &amp; Ops Scenarios'!$F$45)*'Mix 4 Summary'!$H$23/100, 0)</f>
        <v>0</v>
      </c>
      <c r="O8" s="47">
        <f>-IF('Mix 4 Summary'!$M$18&gt;'Generation &amp; Ops Scenarios'!$F$45, ('Mix 4 Summary'!$M$18-'Generation &amp; Ops Scenarios'!$F$45)*'Mix 4 Summary'!$H$23/100, 0)</f>
        <v>0</v>
      </c>
      <c r="P8" s="47">
        <f>-IF('Mix 4 Summary'!$M$18&gt;'Generation &amp; Ops Scenarios'!$F$45, ('Mix 4 Summary'!$M$18-'Generation &amp; Ops Scenarios'!$F$45)*'Mix 4 Summary'!$H$23/100, 0)</f>
        <v>0</v>
      </c>
      <c r="Q8" s="47">
        <f>-IF('Mix 4 Summary'!$M$18&gt;'Generation &amp; Ops Scenarios'!$F$45, ('Mix 4 Summary'!$M$18-'Generation &amp; Ops Scenarios'!$F$45)*'Mix 4 Summary'!$H$23/100, 0)</f>
        <v>0</v>
      </c>
      <c r="R8" s="47">
        <f>-IF('Mix 4 Summary'!$M$18&gt;'Generation &amp; Ops Scenarios'!$F$45, ('Mix 4 Summary'!$M$18-'Generation &amp; Ops Scenarios'!$F$45)*'Mix 4 Summary'!$H$23/100, 0)</f>
        <v>0</v>
      </c>
      <c r="S8" s="47">
        <f>-IF('Mix 4 Summary'!$M$18&gt;'Generation &amp; Ops Scenarios'!$F$45, ('Mix 4 Summary'!$M$18-'Generation &amp; Ops Scenarios'!$F$45)*'Mix 4 Summary'!$H$23/100, 0)</f>
        <v>0</v>
      </c>
      <c r="T8" s="47">
        <f>-IF('Mix 4 Summary'!$M$18&gt;'Generation &amp; Ops Scenarios'!$F$45, ('Mix 4 Summary'!$M$18-'Generation &amp; Ops Scenarios'!$F$45)*'Mix 4 Summary'!$H$23/100, 0)</f>
        <v>0</v>
      </c>
      <c r="U8" s="47">
        <f>-IF('Mix 4 Summary'!$M$18&gt;'Generation &amp; Ops Scenarios'!$F$45, ('Mix 4 Summary'!$M$18-'Generation &amp; Ops Scenarios'!$F$45)*'Mix 4 Summary'!$H$23/100, 0)</f>
        <v>0</v>
      </c>
      <c r="V8" s="47">
        <f>-IF('Mix 4 Summary'!$M$18&gt;'Generation &amp; Ops Scenarios'!$F$45, ('Mix 4 Summary'!$M$18-'Generation &amp; Ops Scenarios'!$F$45)*'Mix 4 Summary'!$H$23/100, 0)</f>
        <v>0</v>
      </c>
      <c r="W8" s="47">
        <f>-IF('Mix 4 Summary'!$M$18&gt;'Generation &amp; Ops Scenarios'!$F$45, ('Mix 4 Summary'!$M$18-'Generation &amp; Ops Scenarios'!$F$45)*'Mix 4 Summary'!$H$23/100, 0)</f>
        <v>0</v>
      </c>
      <c r="X8" s="47">
        <f>-IF('Mix 4 Summary'!$M$18&gt;'Generation &amp; Ops Scenarios'!$F$45, ('Mix 4 Summary'!$M$18-'Generation &amp; Ops Scenarios'!$F$45)*'Mix 4 Summary'!$H$23/100, 0)</f>
        <v>0</v>
      </c>
      <c r="Y8" s="47">
        <f>-IF('Mix 4 Summary'!$M$18&gt;'Generation &amp; Ops Scenarios'!$F$45, ('Mix 4 Summary'!$M$18-'Generation &amp; Ops Scenarios'!$F$45)*'Mix 4 Summary'!$H$23/100, 0)</f>
        <v>0</v>
      </c>
      <c r="Z8" s="47">
        <f>-IF('Mix 4 Summary'!$M$18&gt;'Generation &amp; Ops Scenarios'!$F$45, ('Mix 4 Summary'!$M$18-'Generation &amp; Ops Scenarios'!$F$45)*'Mix 4 Summary'!$H$23/100, 0)</f>
        <v>0</v>
      </c>
      <c r="AA8" s="47">
        <f>-IF('Mix 4 Summary'!$M$18&gt;'Generation &amp; Ops Scenarios'!$F$45, ('Mix 4 Summary'!$M$18-'Generation &amp; Ops Scenarios'!$F$45)*'Mix 4 Summary'!$H$23/100, 0)</f>
        <v>0</v>
      </c>
      <c r="AB8" s="47">
        <f>-IF('Mix 4 Summary'!$M$18&gt;'Generation &amp; Ops Scenarios'!$F$45, ('Mix 4 Summary'!$M$18-'Generation &amp; Ops Scenarios'!$F$45)*'Mix 4 Summary'!$H$23/100, 0)</f>
        <v>0</v>
      </c>
      <c r="AC8" s="47"/>
      <c r="AD8" s="47">
        <f>SUM(D8:AC8)</f>
        <v>0</v>
      </c>
    </row>
    <row r="9" spans="1:30" x14ac:dyDescent="0.3">
      <c r="A9" s="34" t="s">
        <v>24</v>
      </c>
      <c r="B9" s="34"/>
      <c r="C9" s="34"/>
      <c r="D9" s="40">
        <f>-'Mix 4 Summary'!H16</f>
        <v>-304246.2391666667</v>
      </c>
      <c r="E9" s="40">
        <f>D9*E44</f>
        <v>-304246.2391666667</v>
      </c>
      <c r="F9" s="40">
        <f t="shared" ref="F9:AB9" si="0">E9*F44</f>
        <v>-304246.2391666667</v>
      </c>
      <c r="G9" s="40">
        <f t="shared" si="0"/>
        <v>-304246.2391666667</v>
      </c>
      <c r="H9" s="40">
        <f t="shared" si="0"/>
        <v>-304246.2391666667</v>
      </c>
      <c r="I9" s="40">
        <f t="shared" si="0"/>
        <v>-304246.2391666667</v>
      </c>
      <c r="J9" s="40">
        <f t="shared" si="0"/>
        <v>-304246.2391666667</v>
      </c>
      <c r="K9" s="40">
        <f t="shared" si="0"/>
        <v>-304246.2391666667</v>
      </c>
      <c r="L9" s="40">
        <f t="shared" si="0"/>
        <v>-304246.2391666667</v>
      </c>
      <c r="M9" s="40">
        <f t="shared" si="0"/>
        <v>-304246.2391666667</v>
      </c>
      <c r="N9" s="40">
        <f t="shared" si="0"/>
        <v>-304246.2391666667</v>
      </c>
      <c r="O9" s="40">
        <f t="shared" si="0"/>
        <v>-304246.2391666667</v>
      </c>
      <c r="P9" s="40">
        <f t="shared" si="0"/>
        <v>-304246.2391666667</v>
      </c>
      <c r="Q9" s="40">
        <f t="shared" si="0"/>
        <v>-304246.2391666667</v>
      </c>
      <c r="R9" s="40">
        <f t="shared" si="0"/>
        <v>-304246.2391666667</v>
      </c>
      <c r="S9" s="40">
        <f t="shared" si="0"/>
        <v>-304246.2391666667</v>
      </c>
      <c r="T9" s="40">
        <f t="shared" si="0"/>
        <v>-304246.2391666667</v>
      </c>
      <c r="U9" s="40">
        <f t="shared" si="0"/>
        <v>-304246.2391666667</v>
      </c>
      <c r="V9" s="40">
        <f t="shared" si="0"/>
        <v>-304246.2391666667</v>
      </c>
      <c r="W9" s="40">
        <f t="shared" si="0"/>
        <v>-304246.2391666667</v>
      </c>
      <c r="X9" s="40">
        <f t="shared" si="0"/>
        <v>-304246.2391666667</v>
      </c>
      <c r="Y9" s="40">
        <f t="shared" si="0"/>
        <v>-304246.2391666667</v>
      </c>
      <c r="Z9" s="40">
        <f t="shared" si="0"/>
        <v>-304246.2391666667</v>
      </c>
      <c r="AA9" s="40">
        <f t="shared" si="0"/>
        <v>-304246.2391666667</v>
      </c>
      <c r="AB9" s="40">
        <f t="shared" si="0"/>
        <v>-304246.2391666667</v>
      </c>
      <c r="AC9" s="40"/>
      <c r="AD9" s="40"/>
    </row>
    <row r="10" spans="1:30" x14ac:dyDescent="0.3">
      <c r="A10" s="34"/>
      <c r="B10" s="34"/>
      <c r="C10" s="34"/>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0" x14ac:dyDescent="0.3">
      <c r="A11" s="34" t="s">
        <v>18</v>
      </c>
      <c r="B11" s="34"/>
      <c r="C11" s="34"/>
      <c r="D11" s="41">
        <f>SUM(D7:D10)</f>
        <v>535753.76083333325</v>
      </c>
      <c r="E11" s="41">
        <f>SUM(E7:E10)</f>
        <v>535753.76083333325</v>
      </c>
      <c r="F11" s="41">
        <f t="shared" ref="F11:AD11" si="1">SUM(F7:F10)</f>
        <v>535753.76083333325</v>
      </c>
      <c r="G11" s="41">
        <f t="shared" si="1"/>
        <v>535753.76083333325</v>
      </c>
      <c r="H11" s="41">
        <f t="shared" si="1"/>
        <v>535753.76083333325</v>
      </c>
      <c r="I11" s="41">
        <f t="shared" si="1"/>
        <v>535753.76083333325</v>
      </c>
      <c r="J11" s="41">
        <f t="shared" si="1"/>
        <v>535753.76083333325</v>
      </c>
      <c r="K11" s="41">
        <f t="shared" si="1"/>
        <v>535753.76083333325</v>
      </c>
      <c r="L11" s="41">
        <f t="shared" si="1"/>
        <v>535753.76083333325</v>
      </c>
      <c r="M11" s="41">
        <f t="shared" si="1"/>
        <v>535753.76083333325</v>
      </c>
      <c r="N11" s="41">
        <f t="shared" si="1"/>
        <v>535753.76083333325</v>
      </c>
      <c r="O11" s="41">
        <f t="shared" si="1"/>
        <v>535753.76083333325</v>
      </c>
      <c r="P11" s="41">
        <f t="shared" si="1"/>
        <v>535753.76083333325</v>
      </c>
      <c r="Q11" s="41">
        <f t="shared" si="1"/>
        <v>535753.76083333325</v>
      </c>
      <c r="R11" s="41">
        <f t="shared" si="1"/>
        <v>535753.76083333325</v>
      </c>
      <c r="S11" s="41">
        <f t="shared" si="1"/>
        <v>535753.76083333325</v>
      </c>
      <c r="T11" s="41">
        <f t="shared" si="1"/>
        <v>535753.76083333325</v>
      </c>
      <c r="U11" s="41">
        <f t="shared" si="1"/>
        <v>535753.76083333325</v>
      </c>
      <c r="V11" s="41">
        <f t="shared" si="1"/>
        <v>535753.76083333325</v>
      </c>
      <c r="W11" s="41">
        <f t="shared" si="1"/>
        <v>535753.76083333325</v>
      </c>
      <c r="X11" s="41">
        <f t="shared" si="1"/>
        <v>535753.76083333325</v>
      </c>
      <c r="Y11" s="41">
        <f t="shared" si="1"/>
        <v>535753.76083333325</v>
      </c>
      <c r="Z11" s="41">
        <f t="shared" si="1"/>
        <v>535753.76083333325</v>
      </c>
      <c r="AA11" s="41">
        <f t="shared" si="1"/>
        <v>535753.76083333325</v>
      </c>
      <c r="AB11" s="41">
        <f t="shared" si="1"/>
        <v>535753.76083333325</v>
      </c>
      <c r="AC11" s="40"/>
      <c r="AD11" s="41">
        <f t="shared" si="1"/>
        <v>21000000</v>
      </c>
    </row>
    <row r="12" spans="1:30" x14ac:dyDescent="0.3">
      <c r="A12" s="34"/>
      <c r="B12" s="34"/>
      <c r="C12" s="34"/>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row>
    <row r="13" spans="1:30" x14ac:dyDescent="0.3">
      <c r="A13" s="34" t="s">
        <v>19</v>
      </c>
      <c r="B13" s="34"/>
      <c r="C13" s="34"/>
      <c r="D13" s="40">
        <f>'Mix 4 Interest Calcualtions'!E14</f>
        <v>-419671.79375000001</v>
      </c>
      <c r="E13" s="40">
        <f>'Mix 4 Interest Calcualtions'!F14</f>
        <v>-413498.13979161059</v>
      </c>
      <c r="F13" s="40">
        <f>'Mix 4 Interest Calcualtions'!G14</f>
        <v>-406861.46178634191</v>
      </c>
      <c r="G13" s="40">
        <f>'Mix 4 Interest Calcualtions'!H14</f>
        <v>-399727.03293067811</v>
      </c>
      <c r="H13" s="40">
        <f>'Mix 4 Interest Calcualtions'!I14</f>
        <v>-392057.52191083954</v>
      </c>
      <c r="I13" s="40">
        <f>'Mix 4 Interest Calcualtions'!J14</f>
        <v>-383812.79756451305</v>
      </c>
      <c r="J13" s="40">
        <f>'Mix 4 Interest Calcualtions'!K14</f>
        <v>-374949.71889221208</v>
      </c>
      <c r="K13" s="40">
        <f>'Mix 4 Interest Calcualtions'!L14</f>
        <v>-365421.90931948851</v>
      </c>
      <c r="L13" s="40">
        <f>'Mix 4 Interest Calcualtions'!M14</f>
        <v>-355179.51402881072</v>
      </c>
      <c r="M13" s="40">
        <f>'Mix 4 Interest Calcualtions'!N14</f>
        <v>-344168.93909133208</v>
      </c>
      <c r="N13" s="40">
        <f>'Mix 4 Interest Calcualtions'!O14</f>
        <v>-332332.57103354251</v>
      </c>
      <c r="O13" s="40">
        <f>'Mix 4 Interest Calcualtions'!P14</f>
        <v>-319608.47537141881</v>
      </c>
      <c r="P13" s="40">
        <f>'Mix 4 Interest Calcualtions'!Q14</f>
        <v>-305930.07253463578</v>
      </c>
      <c r="Q13" s="40">
        <f>'Mix 4 Interest Calcualtions'!R14</f>
        <v>-291225.78948509402</v>
      </c>
      <c r="R13" s="40">
        <f>'Mix 4 Interest Calcualtions'!S14</f>
        <v>-275418.68520683661</v>
      </c>
      <c r="S13" s="40">
        <f>'Mix 4 Interest Calcualtions'!T14</f>
        <v>-258426.04810770994</v>
      </c>
      <c r="T13" s="40">
        <f>'Mix 4 Interest Calcualtions'!U14</f>
        <v>-240158.96322614874</v>
      </c>
      <c r="U13" s="40">
        <f>'Mix 4 Interest Calcualtions'!V14</f>
        <v>-220521.84697847045</v>
      </c>
      <c r="V13" s="40">
        <f>'Mix 4 Interest Calcualtions'!W14</f>
        <v>-199411.94701221629</v>
      </c>
      <c r="W13" s="40">
        <f>'Mix 4 Interest Calcualtions'!X14</f>
        <v>-176718.80454849306</v>
      </c>
      <c r="X13" s="40">
        <f>'Mix 4 Interest Calcualtions'!Y14</f>
        <v>-152323.67639999063</v>
      </c>
      <c r="Y13" s="40">
        <f>'Mix 4 Interest Calcualtions'!Z14</f>
        <v>-126098.91364035048</v>
      </c>
      <c r="Z13" s="40">
        <f>'Mix 4 Interest Calcualtions'!AA14</f>
        <v>-97907.293673737338</v>
      </c>
      <c r="AA13" s="40">
        <f>'Mix 4 Interest Calcualtions'!AB14</f>
        <v>-67601.302209628193</v>
      </c>
      <c r="AB13" s="40">
        <f>'Mix 4 Interest Calcualtions'!AC14</f>
        <v>-35022.361385710865</v>
      </c>
      <c r="AC13" s="40"/>
      <c r="AD13" s="40">
        <f t="shared" ref="AD13" si="2">SUM(D13:AC13)</f>
        <v>-6954055.5798798092</v>
      </c>
    </row>
    <row r="14" spans="1:30" x14ac:dyDescent="0.3">
      <c r="A14" s="34"/>
      <c r="B14" s="34"/>
      <c r="C14" s="34"/>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5" spans="1:30" x14ac:dyDescent="0.3">
      <c r="A15" s="34" t="s">
        <v>41</v>
      </c>
      <c r="B15" s="34"/>
      <c r="C15" s="34"/>
      <c r="D15" s="42">
        <f t="shared" ref="D15:AB15" si="3">SUM(D11:D14)</f>
        <v>116081.96708333323</v>
      </c>
      <c r="E15" s="42">
        <f t="shared" si="3"/>
        <v>122255.62104172265</v>
      </c>
      <c r="F15" s="42">
        <f t="shared" si="3"/>
        <v>128892.29904699133</v>
      </c>
      <c r="G15" s="42">
        <f t="shared" si="3"/>
        <v>136026.72790265514</v>
      </c>
      <c r="H15" s="42">
        <f t="shared" si="3"/>
        <v>143696.23892249371</v>
      </c>
      <c r="I15" s="42">
        <f t="shared" si="3"/>
        <v>151940.9632688202</v>
      </c>
      <c r="J15" s="42">
        <f t="shared" si="3"/>
        <v>160804.04194112116</v>
      </c>
      <c r="K15" s="42">
        <f t="shared" si="3"/>
        <v>170331.85151384474</v>
      </c>
      <c r="L15" s="42">
        <f t="shared" si="3"/>
        <v>180574.24680452253</v>
      </c>
      <c r="M15" s="42">
        <f t="shared" si="3"/>
        <v>191584.82174200116</v>
      </c>
      <c r="N15" s="42">
        <f t="shared" si="3"/>
        <v>203421.18979979074</v>
      </c>
      <c r="O15" s="42">
        <f t="shared" si="3"/>
        <v>216145.28546191443</v>
      </c>
      <c r="P15" s="42">
        <f t="shared" si="3"/>
        <v>229823.68829869747</v>
      </c>
      <c r="Q15" s="42">
        <f t="shared" si="3"/>
        <v>244527.97134823923</v>
      </c>
      <c r="R15" s="42">
        <f t="shared" si="3"/>
        <v>260335.07562649663</v>
      </c>
      <c r="S15" s="42">
        <f t="shared" si="3"/>
        <v>277327.71272562328</v>
      </c>
      <c r="T15" s="42">
        <f t="shared" si="3"/>
        <v>295594.7976071845</v>
      </c>
      <c r="U15" s="42">
        <f t="shared" si="3"/>
        <v>315231.9138548628</v>
      </c>
      <c r="V15" s="42">
        <f t="shared" si="3"/>
        <v>336341.81382111693</v>
      </c>
      <c r="W15" s="42">
        <f t="shared" si="3"/>
        <v>359034.95628484018</v>
      </c>
      <c r="X15" s="42">
        <f t="shared" si="3"/>
        <v>383430.08443334262</v>
      </c>
      <c r="Y15" s="42">
        <f t="shared" si="3"/>
        <v>409654.84719298279</v>
      </c>
      <c r="Z15" s="42">
        <f t="shared" si="3"/>
        <v>437846.46715959592</v>
      </c>
      <c r="AA15" s="42">
        <f t="shared" si="3"/>
        <v>468152.45862370508</v>
      </c>
      <c r="AB15" s="42">
        <f t="shared" si="3"/>
        <v>500731.39944762236</v>
      </c>
      <c r="AC15" s="40"/>
      <c r="AD15" s="42">
        <f>SUM(AD11:AD14)</f>
        <v>14045944.420120191</v>
      </c>
    </row>
    <row r="16" spans="1:30" x14ac:dyDescent="0.3">
      <c r="A16" s="34"/>
      <c r="B16" s="34"/>
      <c r="C16" s="34"/>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x14ac:dyDescent="0.3">
      <c r="A17" s="39" t="s">
        <v>20</v>
      </c>
      <c r="B17" s="34"/>
      <c r="C17" s="34"/>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row>
    <row r="18" spans="1:30" x14ac:dyDescent="0.3">
      <c r="A18" s="34" t="s">
        <v>21</v>
      </c>
      <c r="B18" s="34"/>
      <c r="C18" s="34"/>
      <c r="D18" s="40">
        <f>-'Mix 4 Summary'!B22</f>
        <v>-5595623.916666667</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f t="shared" ref="AD18:AD19" si="4">SUM(D18:AC18)</f>
        <v>-5595623.916666667</v>
      </c>
    </row>
    <row r="19" spans="1:30" x14ac:dyDescent="0.3">
      <c r="A19" s="34" t="s">
        <v>40</v>
      </c>
      <c r="B19" s="34"/>
      <c r="C19" s="34"/>
      <c r="D19" s="40">
        <f>'Mix 4 Interest Calcualtions'!D9</f>
        <v>5595623.916666667</v>
      </c>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f t="shared" si="4"/>
        <v>5595623.916666667</v>
      </c>
    </row>
    <row r="20" spans="1:30" x14ac:dyDescent="0.3">
      <c r="A20" s="34"/>
      <c r="B20" s="34"/>
      <c r="C20" s="34"/>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3">
      <c r="A21" s="34"/>
      <c r="B21" s="34"/>
      <c r="C21" s="34"/>
      <c r="D21" s="41">
        <f t="shared" ref="D21:AB21" si="5">SUM(D18:D20)</f>
        <v>0</v>
      </c>
      <c r="E21" s="41">
        <f t="shared" si="5"/>
        <v>0</v>
      </c>
      <c r="F21" s="41">
        <f t="shared" si="5"/>
        <v>0</v>
      </c>
      <c r="G21" s="41">
        <f t="shared" si="5"/>
        <v>0</v>
      </c>
      <c r="H21" s="41">
        <f t="shared" si="5"/>
        <v>0</v>
      </c>
      <c r="I21" s="41">
        <f t="shared" si="5"/>
        <v>0</v>
      </c>
      <c r="J21" s="41">
        <f t="shared" si="5"/>
        <v>0</v>
      </c>
      <c r="K21" s="41">
        <f t="shared" si="5"/>
        <v>0</v>
      </c>
      <c r="L21" s="41">
        <f t="shared" si="5"/>
        <v>0</v>
      </c>
      <c r="M21" s="41">
        <f t="shared" si="5"/>
        <v>0</v>
      </c>
      <c r="N21" s="41">
        <f t="shared" si="5"/>
        <v>0</v>
      </c>
      <c r="O21" s="41">
        <f t="shared" si="5"/>
        <v>0</v>
      </c>
      <c r="P21" s="41">
        <f t="shared" si="5"/>
        <v>0</v>
      </c>
      <c r="Q21" s="41">
        <f t="shared" si="5"/>
        <v>0</v>
      </c>
      <c r="R21" s="41">
        <f t="shared" si="5"/>
        <v>0</v>
      </c>
      <c r="S21" s="41">
        <f t="shared" si="5"/>
        <v>0</v>
      </c>
      <c r="T21" s="41">
        <f t="shared" si="5"/>
        <v>0</v>
      </c>
      <c r="U21" s="41">
        <f t="shared" si="5"/>
        <v>0</v>
      </c>
      <c r="V21" s="41">
        <f t="shared" si="5"/>
        <v>0</v>
      </c>
      <c r="W21" s="41">
        <f t="shared" si="5"/>
        <v>0</v>
      </c>
      <c r="X21" s="41">
        <f t="shared" si="5"/>
        <v>0</v>
      </c>
      <c r="Y21" s="41">
        <f t="shared" si="5"/>
        <v>0</v>
      </c>
      <c r="Z21" s="41">
        <f t="shared" si="5"/>
        <v>0</v>
      </c>
      <c r="AA21" s="41">
        <f t="shared" si="5"/>
        <v>0</v>
      </c>
      <c r="AB21" s="41">
        <f t="shared" si="5"/>
        <v>0</v>
      </c>
      <c r="AC21" s="40"/>
      <c r="AD21" s="41">
        <f>SUM(AD18:AD20)</f>
        <v>0</v>
      </c>
    </row>
    <row r="22" spans="1:30" x14ac:dyDescent="0.3">
      <c r="A22" s="34"/>
      <c r="B22" s="34"/>
      <c r="C22" s="34"/>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30" x14ac:dyDescent="0.3">
      <c r="A23" s="34" t="s">
        <v>22</v>
      </c>
      <c r="B23" s="34"/>
      <c r="C23" s="34"/>
      <c r="D23" s="40">
        <f>'Mix 4 Interest Calcualtions'!E13</f>
        <v>-82315.386111859174</v>
      </c>
      <c r="E23" s="40">
        <f>'Mix 4 Interest Calcualtions'!F13</f>
        <v>-88489.040070248593</v>
      </c>
      <c r="F23" s="40">
        <f>'Mix 4 Interest Calcualtions'!G13</f>
        <v>-95125.718075517274</v>
      </c>
      <c r="G23" s="40">
        <f>'Mix 4 Interest Calcualtions'!H13</f>
        <v>-102260.14693118108</v>
      </c>
      <c r="H23" s="40">
        <f>'Mix 4 Interest Calcualtions'!I13</f>
        <v>-109929.65795101965</v>
      </c>
      <c r="I23" s="40">
        <f>'Mix 4 Interest Calcualtions'!J13</f>
        <v>-118174.38229734614</v>
      </c>
      <c r="J23" s="40">
        <f>'Mix 4 Interest Calcualtions'!K13</f>
        <v>-127037.4609696471</v>
      </c>
      <c r="K23" s="40">
        <f>'Mix 4 Interest Calcualtions'!L13</f>
        <v>-136565.27054237068</v>
      </c>
      <c r="L23" s="40">
        <f>'Mix 4 Interest Calcualtions'!M13</f>
        <v>-146807.66583304846</v>
      </c>
      <c r="M23" s="40">
        <f>'Mix 4 Interest Calcualtions'!N13</f>
        <v>-157818.2407705271</v>
      </c>
      <c r="N23" s="40">
        <f>'Mix 4 Interest Calcualtions'!O13</f>
        <v>-169654.60882831668</v>
      </c>
      <c r="O23" s="40">
        <f>'Mix 4 Interest Calcualtions'!P13</f>
        <v>-182378.70449044037</v>
      </c>
      <c r="P23" s="40">
        <f>'Mix 4 Interest Calcualtions'!Q13</f>
        <v>-196057.10732722341</v>
      </c>
      <c r="Q23" s="40">
        <f>'Mix 4 Interest Calcualtions'!R13</f>
        <v>-210761.39037676516</v>
      </c>
      <c r="R23" s="40">
        <f>'Mix 4 Interest Calcualtions'!S13</f>
        <v>-226568.49465502257</v>
      </c>
      <c r="S23" s="40">
        <f>'Mix 4 Interest Calcualtions'!T13</f>
        <v>-243561.13175414925</v>
      </c>
      <c r="T23" s="40">
        <f>'Mix 4 Interest Calcualtions'!U13</f>
        <v>-261828.21663571044</v>
      </c>
      <c r="U23" s="40">
        <f>'Mix 4 Interest Calcualtions'!V13</f>
        <v>-281465.33288338874</v>
      </c>
      <c r="V23" s="40">
        <f>'Mix 4 Interest Calcualtions'!W13</f>
        <v>-302575.23284964287</v>
      </c>
      <c r="W23" s="40">
        <f>'Mix 4 Interest Calcualtions'!X13</f>
        <v>-325268.37531336612</v>
      </c>
      <c r="X23" s="40">
        <f>'Mix 4 Interest Calcualtions'!Y13</f>
        <v>-349663.50346186856</v>
      </c>
      <c r="Y23" s="40">
        <f>'Mix 4 Interest Calcualtions'!Z13</f>
        <v>-375888.26622150873</v>
      </c>
      <c r="Z23" s="40">
        <f>'Mix 4 Interest Calcualtions'!AA13</f>
        <v>-404079.88618812186</v>
      </c>
      <c r="AA23" s="40">
        <f>'Mix 4 Interest Calcualtions'!AB13</f>
        <v>-434385.87765223102</v>
      </c>
      <c r="AB23" s="40">
        <f>'Mix 4 Interest Calcualtions'!AC13</f>
        <v>-466964.8184761483</v>
      </c>
      <c r="AC23" s="40"/>
      <c r="AD23" s="40">
        <f>SUM(D23:AC23)</f>
        <v>-5595623.9166666688</v>
      </c>
    </row>
    <row r="24" spans="1:30" x14ac:dyDescent="0.3">
      <c r="A24" s="34"/>
      <c r="B24" s="34"/>
      <c r="C24" s="34"/>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3">
      <c r="A25" s="34"/>
      <c r="B25" s="34"/>
      <c r="C25" s="34"/>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x14ac:dyDescent="0.3">
      <c r="A26" s="34" t="s">
        <v>42</v>
      </c>
      <c r="B26" s="34"/>
      <c r="C26" s="34"/>
      <c r="D26" s="41">
        <f t="shared" ref="D26:AB26" si="6">D15+D21+D23</f>
        <v>33766.580971474061</v>
      </c>
      <c r="E26" s="41">
        <f t="shared" si="6"/>
        <v>33766.580971474061</v>
      </c>
      <c r="F26" s="41">
        <f t="shared" si="6"/>
        <v>33766.580971474061</v>
      </c>
      <c r="G26" s="41">
        <f t="shared" si="6"/>
        <v>33766.580971474061</v>
      </c>
      <c r="H26" s="41">
        <f t="shared" si="6"/>
        <v>33766.580971474061</v>
      </c>
      <c r="I26" s="41">
        <f t="shared" si="6"/>
        <v>33766.580971474061</v>
      </c>
      <c r="J26" s="41">
        <f t="shared" si="6"/>
        <v>33766.580971474061</v>
      </c>
      <c r="K26" s="41">
        <f t="shared" si="6"/>
        <v>33766.580971474061</v>
      </c>
      <c r="L26" s="41">
        <f t="shared" si="6"/>
        <v>33766.580971474061</v>
      </c>
      <c r="M26" s="41">
        <f t="shared" si="6"/>
        <v>33766.580971474061</v>
      </c>
      <c r="N26" s="41">
        <f t="shared" si="6"/>
        <v>33766.580971474061</v>
      </c>
      <c r="O26" s="41">
        <f t="shared" si="6"/>
        <v>33766.580971474061</v>
      </c>
      <c r="P26" s="41">
        <f t="shared" si="6"/>
        <v>33766.580971474061</v>
      </c>
      <c r="Q26" s="41">
        <f t="shared" si="6"/>
        <v>33766.580971474061</v>
      </c>
      <c r="R26" s="41">
        <f t="shared" si="6"/>
        <v>33766.580971474061</v>
      </c>
      <c r="S26" s="41">
        <f t="shared" si="6"/>
        <v>33766.580971474032</v>
      </c>
      <c r="T26" s="41">
        <f t="shared" si="6"/>
        <v>33766.580971474061</v>
      </c>
      <c r="U26" s="41">
        <f t="shared" si="6"/>
        <v>33766.580971474061</v>
      </c>
      <c r="V26" s="41">
        <f t="shared" si="6"/>
        <v>33766.580971474061</v>
      </c>
      <c r="W26" s="41">
        <f t="shared" si="6"/>
        <v>33766.580971474061</v>
      </c>
      <c r="X26" s="41">
        <f t="shared" si="6"/>
        <v>33766.580971474061</v>
      </c>
      <c r="Y26" s="41">
        <f t="shared" si="6"/>
        <v>33766.580971474061</v>
      </c>
      <c r="Z26" s="41">
        <f t="shared" si="6"/>
        <v>33766.580971474061</v>
      </c>
      <c r="AA26" s="41">
        <f t="shared" si="6"/>
        <v>33766.580971474061</v>
      </c>
      <c r="AB26" s="41">
        <f t="shared" si="6"/>
        <v>33766.580971474061</v>
      </c>
      <c r="AC26" s="40"/>
      <c r="AD26" s="41">
        <f>AD23+AD15</f>
        <v>8450320.5034535229</v>
      </c>
    </row>
    <row r="27" spans="1:30" x14ac:dyDescent="0.3">
      <c r="A27" s="34"/>
      <c r="B27" s="34"/>
      <c r="C27" s="34"/>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3">
      <c r="A28" s="34" t="s">
        <v>43</v>
      </c>
      <c r="B28" s="34"/>
      <c r="C28" s="34"/>
      <c r="D28" s="40"/>
      <c r="E28" s="40">
        <f>D30</f>
        <v>33766.580971474061</v>
      </c>
      <c r="F28" s="40">
        <f t="shared" ref="F28:AB28" si="7">E30</f>
        <v>67533.161942948122</v>
      </c>
      <c r="G28" s="40">
        <f t="shared" si="7"/>
        <v>101299.74291442218</v>
      </c>
      <c r="H28" s="40">
        <f t="shared" si="7"/>
        <v>135066.32388589624</v>
      </c>
      <c r="I28" s="40">
        <f t="shared" si="7"/>
        <v>168832.9048573703</v>
      </c>
      <c r="J28" s="40">
        <f t="shared" si="7"/>
        <v>202599.48582884436</v>
      </c>
      <c r="K28" s="40">
        <f t="shared" si="7"/>
        <v>236366.06680031843</v>
      </c>
      <c r="L28" s="40">
        <f t="shared" si="7"/>
        <v>270132.64777179249</v>
      </c>
      <c r="M28" s="40">
        <f t="shared" si="7"/>
        <v>303899.22874326655</v>
      </c>
      <c r="N28" s="40">
        <f t="shared" si="7"/>
        <v>337665.80971474061</v>
      </c>
      <c r="O28" s="40">
        <f t="shared" si="7"/>
        <v>371432.39068621467</v>
      </c>
      <c r="P28" s="40">
        <f t="shared" si="7"/>
        <v>405198.97165768873</v>
      </c>
      <c r="Q28" s="40">
        <f t="shared" si="7"/>
        <v>438965.55262916279</v>
      </c>
      <c r="R28" s="40">
        <f t="shared" si="7"/>
        <v>472732.13360063685</v>
      </c>
      <c r="S28" s="40">
        <f t="shared" si="7"/>
        <v>506498.71457211091</v>
      </c>
      <c r="T28" s="40">
        <f t="shared" si="7"/>
        <v>540265.29554358497</v>
      </c>
      <c r="U28" s="40">
        <f t="shared" si="7"/>
        <v>574031.87651505903</v>
      </c>
      <c r="V28" s="40">
        <f t="shared" si="7"/>
        <v>607798.45748653309</v>
      </c>
      <c r="W28" s="40">
        <f t="shared" si="7"/>
        <v>641565.03845800715</v>
      </c>
      <c r="X28" s="40">
        <f t="shared" si="7"/>
        <v>675331.61942948122</v>
      </c>
      <c r="Y28" s="40">
        <f t="shared" si="7"/>
        <v>709098.20040095528</v>
      </c>
      <c r="Z28" s="40">
        <f t="shared" si="7"/>
        <v>742864.78137242934</v>
      </c>
      <c r="AA28" s="40">
        <f t="shared" si="7"/>
        <v>776631.3623439034</v>
      </c>
      <c r="AB28" s="40">
        <f t="shared" si="7"/>
        <v>810397.94331537746</v>
      </c>
      <c r="AC28" s="40"/>
      <c r="AD28" s="40">
        <f>D28</f>
        <v>0</v>
      </c>
    </row>
    <row r="29" spans="1:30" x14ac:dyDescent="0.3">
      <c r="A29" s="34"/>
      <c r="B29" s="34"/>
      <c r="C29" s="34"/>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ht="13.5" thickBot="1" x14ac:dyDescent="0.35">
      <c r="A30" s="34" t="s">
        <v>44</v>
      </c>
      <c r="B30" s="34"/>
      <c r="C30" s="34"/>
      <c r="D30" s="43">
        <f>SUM(D26:D29)</f>
        <v>33766.580971474061</v>
      </c>
      <c r="E30" s="43">
        <f>SUM(E26:E29)</f>
        <v>67533.161942948122</v>
      </c>
      <c r="F30" s="43">
        <f t="shared" ref="F30:AD30" si="8">SUM(F26:F29)</f>
        <v>101299.74291442218</v>
      </c>
      <c r="G30" s="43">
        <f t="shared" si="8"/>
        <v>135066.32388589624</v>
      </c>
      <c r="H30" s="43">
        <f t="shared" si="8"/>
        <v>168832.9048573703</v>
      </c>
      <c r="I30" s="43">
        <f t="shared" si="8"/>
        <v>202599.48582884436</v>
      </c>
      <c r="J30" s="43">
        <f t="shared" si="8"/>
        <v>236366.06680031843</v>
      </c>
      <c r="K30" s="43">
        <f t="shared" si="8"/>
        <v>270132.64777179249</v>
      </c>
      <c r="L30" s="43">
        <f t="shared" si="8"/>
        <v>303899.22874326655</v>
      </c>
      <c r="M30" s="43">
        <f t="shared" si="8"/>
        <v>337665.80971474061</v>
      </c>
      <c r="N30" s="43">
        <f t="shared" si="8"/>
        <v>371432.39068621467</v>
      </c>
      <c r="O30" s="43">
        <f t="shared" si="8"/>
        <v>405198.97165768873</v>
      </c>
      <c r="P30" s="43">
        <f t="shared" si="8"/>
        <v>438965.55262916279</v>
      </c>
      <c r="Q30" s="43">
        <f t="shared" si="8"/>
        <v>472732.13360063685</v>
      </c>
      <c r="R30" s="43">
        <f t="shared" si="8"/>
        <v>506498.71457211091</v>
      </c>
      <c r="S30" s="43">
        <f t="shared" si="8"/>
        <v>540265.29554358497</v>
      </c>
      <c r="T30" s="43">
        <f t="shared" si="8"/>
        <v>574031.87651505903</v>
      </c>
      <c r="U30" s="43">
        <f t="shared" si="8"/>
        <v>607798.45748653309</v>
      </c>
      <c r="V30" s="43">
        <f t="shared" si="8"/>
        <v>641565.03845800715</v>
      </c>
      <c r="W30" s="43">
        <f t="shared" si="8"/>
        <v>675331.61942948122</v>
      </c>
      <c r="X30" s="43">
        <f t="shared" si="8"/>
        <v>709098.20040095528</v>
      </c>
      <c r="Y30" s="43">
        <f t="shared" si="8"/>
        <v>742864.78137242934</v>
      </c>
      <c r="Z30" s="43">
        <f t="shared" si="8"/>
        <v>776631.3623439034</v>
      </c>
      <c r="AA30" s="43">
        <f t="shared" si="8"/>
        <v>810397.94331537746</v>
      </c>
      <c r="AB30" s="43">
        <f t="shared" si="8"/>
        <v>844164.52428685152</v>
      </c>
      <c r="AC30" s="40"/>
      <c r="AD30" s="43">
        <f t="shared" si="8"/>
        <v>8450320.5034535229</v>
      </c>
    </row>
    <row r="34" spans="1:28" x14ac:dyDescent="0.3">
      <c r="A34" s="35" t="s">
        <v>78</v>
      </c>
    </row>
    <row r="36" spans="1:28" x14ac:dyDescent="0.3">
      <c r="A36" s="35" t="s">
        <v>79</v>
      </c>
      <c r="D36" s="34">
        <f>D11</f>
        <v>535753.76083333325</v>
      </c>
      <c r="E36" s="34">
        <f t="shared" ref="E36:AB36" si="9">E11</f>
        <v>535753.76083333325</v>
      </c>
      <c r="F36" s="34">
        <f t="shared" si="9"/>
        <v>535753.76083333325</v>
      </c>
      <c r="G36" s="34">
        <f t="shared" si="9"/>
        <v>535753.76083333325</v>
      </c>
      <c r="H36" s="34">
        <f t="shared" si="9"/>
        <v>535753.76083333325</v>
      </c>
      <c r="I36" s="34">
        <f t="shared" si="9"/>
        <v>535753.76083333325</v>
      </c>
      <c r="J36" s="34">
        <f t="shared" si="9"/>
        <v>535753.76083333325</v>
      </c>
      <c r="K36" s="34">
        <f t="shared" si="9"/>
        <v>535753.76083333325</v>
      </c>
      <c r="L36" s="34">
        <f t="shared" si="9"/>
        <v>535753.76083333325</v>
      </c>
      <c r="M36" s="34">
        <f t="shared" si="9"/>
        <v>535753.76083333325</v>
      </c>
      <c r="N36" s="34">
        <f t="shared" si="9"/>
        <v>535753.76083333325</v>
      </c>
      <c r="O36" s="34">
        <f t="shared" si="9"/>
        <v>535753.76083333325</v>
      </c>
      <c r="P36" s="34">
        <f t="shared" si="9"/>
        <v>535753.76083333325</v>
      </c>
      <c r="Q36" s="34">
        <f t="shared" si="9"/>
        <v>535753.76083333325</v>
      </c>
      <c r="R36" s="34">
        <f t="shared" si="9"/>
        <v>535753.76083333325</v>
      </c>
      <c r="S36" s="34">
        <f t="shared" si="9"/>
        <v>535753.76083333325</v>
      </c>
      <c r="T36" s="34">
        <f t="shared" si="9"/>
        <v>535753.76083333325</v>
      </c>
      <c r="U36" s="34">
        <f t="shared" si="9"/>
        <v>535753.76083333325</v>
      </c>
      <c r="V36" s="34">
        <f t="shared" si="9"/>
        <v>535753.76083333325</v>
      </c>
      <c r="W36" s="34">
        <f t="shared" si="9"/>
        <v>535753.76083333325</v>
      </c>
      <c r="X36" s="34">
        <f t="shared" si="9"/>
        <v>535753.76083333325</v>
      </c>
      <c r="Y36" s="34">
        <f t="shared" si="9"/>
        <v>535753.76083333325</v>
      </c>
      <c r="Z36" s="34">
        <f t="shared" si="9"/>
        <v>535753.76083333325</v>
      </c>
      <c r="AA36" s="34">
        <f t="shared" si="9"/>
        <v>535753.76083333325</v>
      </c>
      <c r="AB36" s="34">
        <f t="shared" si="9"/>
        <v>535753.76083333325</v>
      </c>
    </row>
    <row r="37" spans="1:28" x14ac:dyDescent="0.3">
      <c r="A37" s="35" t="s">
        <v>80</v>
      </c>
      <c r="D37" s="34">
        <f>-D23-D13</f>
        <v>501987.17986185919</v>
      </c>
      <c r="E37" s="34">
        <f t="shared" ref="E37:AB37" si="10">-E23-E13</f>
        <v>501987.17986185919</v>
      </c>
      <c r="F37" s="34">
        <f t="shared" si="10"/>
        <v>501987.17986185919</v>
      </c>
      <c r="G37" s="34">
        <f t="shared" si="10"/>
        <v>501987.17986185919</v>
      </c>
      <c r="H37" s="34">
        <f t="shared" si="10"/>
        <v>501987.17986185919</v>
      </c>
      <c r="I37" s="34">
        <f t="shared" si="10"/>
        <v>501987.17986185919</v>
      </c>
      <c r="J37" s="34">
        <f t="shared" si="10"/>
        <v>501987.17986185919</v>
      </c>
      <c r="K37" s="34">
        <f t="shared" si="10"/>
        <v>501987.17986185919</v>
      </c>
      <c r="L37" s="34">
        <f t="shared" si="10"/>
        <v>501987.17986185919</v>
      </c>
      <c r="M37" s="34">
        <f t="shared" si="10"/>
        <v>501987.17986185919</v>
      </c>
      <c r="N37" s="34">
        <f t="shared" si="10"/>
        <v>501987.17986185919</v>
      </c>
      <c r="O37" s="34">
        <f t="shared" si="10"/>
        <v>501987.17986185919</v>
      </c>
      <c r="P37" s="34">
        <f t="shared" si="10"/>
        <v>501987.17986185919</v>
      </c>
      <c r="Q37" s="34">
        <f t="shared" si="10"/>
        <v>501987.17986185919</v>
      </c>
      <c r="R37" s="34">
        <f t="shared" si="10"/>
        <v>501987.17986185919</v>
      </c>
      <c r="S37" s="34">
        <f t="shared" si="10"/>
        <v>501987.17986185919</v>
      </c>
      <c r="T37" s="34">
        <f t="shared" si="10"/>
        <v>501987.17986185919</v>
      </c>
      <c r="U37" s="34">
        <f t="shared" si="10"/>
        <v>501987.17986185919</v>
      </c>
      <c r="V37" s="34">
        <f t="shared" si="10"/>
        <v>501987.17986185919</v>
      </c>
      <c r="W37" s="34">
        <f t="shared" si="10"/>
        <v>501987.17986185919</v>
      </c>
      <c r="X37" s="34">
        <f t="shared" si="10"/>
        <v>501987.17986185919</v>
      </c>
      <c r="Y37" s="34">
        <f t="shared" si="10"/>
        <v>501987.17986185919</v>
      </c>
      <c r="Z37" s="34">
        <f t="shared" si="10"/>
        <v>501987.17986185919</v>
      </c>
      <c r="AA37" s="34">
        <f t="shared" si="10"/>
        <v>501987.17986185919</v>
      </c>
      <c r="AB37" s="34">
        <f t="shared" si="10"/>
        <v>501987.17986185919</v>
      </c>
    </row>
    <row r="39" spans="1:28" x14ac:dyDescent="0.3">
      <c r="A39" s="35" t="s">
        <v>81</v>
      </c>
      <c r="D39" s="44">
        <f>D36/D37</f>
        <v>1.0672658233637884</v>
      </c>
      <c r="E39" s="44">
        <f t="shared" ref="E39:W39" si="11">E36/E37</f>
        <v>1.0672658233637884</v>
      </c>
      <c r="F39" s="44">
        <f t="shared" si="11"/>
        <v>1.0672658233637884</v>
      </c>
      <c r="G39" s="44">
        <f t="shared" si="11"/>
        <v>1.0672658233637884</v>
      </c>
      <c r="H39" s="44">
        <f t="shared" si="11"/>
        <v>1.0672658233637884</v>
      </c>
      <c r="I39" s="44">
        <f t="shared" si="11"/>
        <v>1.0672658233637884</v>
      </c>
      <c r="J39" s="44">
        <f t="shared" si="11"/>
        <v>1.0672658233637884</v>
      </c>
      <c r="K39" s="44">
        <f t="shared" si="11"/>
        <v>1.0672658233637884</v>
      </c>
      <c r="L39" s="44">
        <f t="shared" si="11"/>
        <v>1.0672658233637884</v>
      </c>
      <c r="M39" s="44">
        <f t="shared" si="11"/>
        <v>1.0672658233637884</v>
      </c>
      <c r="N39" s="44">
        <f t="shared" si="11"/>
        <v>1.0672658233637884</v>
      </c>
      <c r="O39" s="44">
        <f t="shared" si="11"/>
        <v>1.0672658233637884</v>
      </c>
      <c r="P39" s="44">
        <f t="shared" si="11"/>
        <v>1.0672658233637884</v>
      </c>
      <c r="Q39" s="44">
        <f t="shared" si="11"/>
        <v>1.0672658233637884</v>
      </c>
      <c r="R39" s="44">
        <f t="shared" si="11"/>
        <v>1.0672658233637884</v>
      </c>
      <c r="S39" s="44">
        <f t="shared" si="11"/>
        <v>1.0672658233637884</v>
      </c>
      <c r="T39" s="44">
        <f t="shared" si="11"/>
        <v>1.0672658233637884</v>
      </c>
      <c r="U39" s="44">
        <f t="shared" si="11"/>
        <v>1.0672658233637884</v>
      </c>
      <c r="V39" s="44">
        <f t="shared" si="11"/>
        <v>1.0672658233637884</v>
      </c>
      <c r="W39" s="44">
        <f t="shared" si="11"/>
        <v>1.0672658233637884</v>
      </c>
      <c r="X39" s="44"/>
      <c r="Y39" s="44"/>
      <c r="Z39" s="44"/>
      <c r="AA39" s="44"/>
      <c r="AB39" s="44"/>
    </row>
    <row r="43" spans="1:28" x14ac:dyDescent="0.3">
      <c r="A43" s="35" t="s">
        <v>192</v>
      </c>
    </row>
    <row r="44" spans="1:28" x14ac:dyDescent="0.3">
      <c r="A44" s="35" t="s">
        <v>193</v>
      </c>
      <c r="D44" s="85">
        <v>1</v>
      </c>
      <c r="E44" s="85">
        <f>D44+'Mix 4 Summary'!$R$10</f>
        <v>1</v>
      </c>
      <c r="F44" s="85">
        <f>E44+'Mix 4 Summary'!$R$10</f>
        <v>1</v>
      </c>
      <c r="G44" s="85">
        <f>F44+'Mix 4 Summary'!$R$10</f>
        <v>1</v>
      </c>
      <c r="H44" s="85">
        <f>G44+'Mix 4 Summary'!$R$10</f>
        <v>1</v>
      </c>
      <c r="I44" s="85">
        <f>H44+'Mix 4 Summary'!$R$10</f>
        <v>1</v>
      </c>
      <c r="J44" s="85">
        <f>I44+'Mix 4 Summary'!$R$10</f>
        <v>1</v>
      </c>
      <c r="K44" s="85">
        <f>J44+'Mix 4 Summary'!$R$10</f>
        <v>1</v>
      </c>
      <c r="L44" s="85">
        <f>K44+'Mix 4 Summary'!$R$10</f>
        <v>1</v>
      </c>
      <c r="M44" s="85">
        <f>L44+'Mix 4 Summary'!$R$10</f>
        <v>1</v>
      </c>
      <c r="N44" s="85">
        <f>M44+'Mix 4 Summary'!$R$10</f>
        <v>1</v>
      </c>
      <c r="O44" s="85">
        <f>N44+'Mix 4 Summary'!$R$10</f>
        <v>1</v>
      </c>
      <c r="P44" s="85">
        <f>O44+'Mix 4 Summary'!$R$10</f>
        <v>1</v>
      </c>
      <c r="Q44" s="85">
        <f>P44+'Mix 4 Summary'!$R$10</f>
        <v>1</v>
      </c>
      <c r="R44" s="85">
        <f>Q44+'Mix 4 Summary'!$R$10</f>
        <v>1</v>
      </c>
      <c r="S44" s="85">
        <f>R44+'Mix 4 Summary'!$R$10</f>
        <v>1</v>
      </c>
      <c r="T44" s="85">
        <f>S44+'Mix 4 Summary'!$R$10</f>
        <v>1</v>
      </c>
      <c r="U44" s="85">
        <f>T44+'Mix 4 Summary'!$R$10</f>
        <v>1</v>
      </c>
      <c r="V44" s="85">
        <f>U44+'Mix 4 Summary'!$R$10</f>
        <v>1</v>
      </c>
      <c r="W44" s="85">
        <f>V44+'Mix 4 Summary'!$R$10</f>
        <v>1</v>
      </c>
      <c r="X44" s="85">
        <f>W44+'Mix 4 Summary'!$R$10</f>
        <v>1</v>
      </c>
      <c r="Y44" s="85">
        <f>X44+'Mix 4 Summary'!$R$10</f>
        <v>1</v>
      </c>
      <c r="Z44" s="85">
        <f>Y44+'Mix 4 Summary'!$R$10</f>
        <v>1</v>
      </c>
      <c r="AA44" s="85">
        <f>Z44+'Mix 4 Summary'!$R$10</f>
        <v>1</v>
      </c>
      <c r="AB44" s="85">
        <f>AA44+'Mix 4 Summary'!$R$10</f>
        <v>1</v>
      </c>
    </row>
    <row r="45" spans="1:28" x14ac:dyDescent="0.3">
      <c r="A45" s="35" t="s">
        <v>4</v>
      </c>
      <c r="D45" s="85">
        <v>1</v>
      </c>
      <c r="E45" s="85">
        <f>D45+'Mix 4 Summary'!$R$11</f>
        <v>1</v>
      </c>
      <c r="F45" s="85">
        <f>E45+'Mix 4 Summary'!$R$11</f>
        <v>1</v>
      </c>
      <c r="G45" s="85">
        <f>F45+'Mix 4 Summary'!$R$11</f>
        <v>1</v>
      </c>
      <c r="H45" s="85">
        <f>G45+'Mix 4 Summary'!$R$11</f>
        <v>1</v>
      </c>
      <c r="I45" s="85">
        <f>H45+'Mix 4 Summary'!$R$11</f>
        <v>1</v>
      </c>
      <c r="J45" s="85">
        <f>I45+'Mix 4 Summary'!$R$11</f>
        <v>1</v>
      </c>
      <c r="K45" s="85">
        <f>J45+'Mix 4 Summary'!$R$11</f>
        <v>1</v>
      </c>
      <c r="L45" s="85">
        <f>K45+'Mix 4 Summary'!$R$11</f>
        <v>1</v>
      </c>
      <c r="M45" s="85">
        <f>L45+'Mix 4 Summary'!$R$11</f>
        <v>1</v>
      </c>
      <c r="N45" s="85">
        <f>M45+'Mix 4 Summary'!$R$11</f>
        <v>1</v>
      </c>
      <c r="O45" s="85">
        <f>N45+'Mix 4 Summary'!$R$11</f>
        <v>1</v>
      </c>
      <c r="P45" s="85">
        <f>O45+'Mix 4 Summary'!$R$11</f>
        <v>1</v>
      </c>
      <c r="Q45" s="85">
        <f>P45+'Mix 4 Summary'!$R$11</f>
        <v>1</v>
      </c>
      <c r="R45" s="85">
        <f>Q45+'Mix 4 Summary'!$R$11</f>
        <v>1</v>
      </c>
      <c r="S45" s="85">
        <f>R45+'Mix 4 Summary'!$R$11</f>
        <v>1</v>
      </c>
      <c r="T45" s="85">
        <f>S45+'Mix 4 Summary'!$R$11</f>
        <v>1</v>
      </c>
      <c r="U45" s="85">
        <f>T45+'Mix 4 Summary'!$R$11</f>
        <v>1</v>
      </c>
      <c r="V45" s="85">
        <f>U45+'Mix 4 Summary'!$R$11</f>
        <v>1</v>
      </c>
      <c r="W45" s="85">
        <f>V45+'Mix 4 Summary'!$R$11</f>
        <v>1</v>
      </c>
      <c r="X45" s="85">
        <f>W45+'Mix 4 Summary'!$R$11</f>
        <v>1</v>
      </c>
      <c r="Y45" s="85">
        <f>X45+'Mix 4 Summary'!$R$11</f>
        <v>1</v>
      </c>
      <c r="Z45" s="85">
        <f>Y45+'Mix 4 Summary'!$R$11</f>
        <v>1</v>
      </c>
      <c r="AA45" s="85">
        <f>Z45+'Mix 4 Summary'!$R$11</f>
        <v>1</v>
      </c>
      <c r="AB45" s="85">
        <f>AA45+'Mix 4 Summary'!$R$11</f>
        <v>1</v>
      </c>
    </row>
    <row r="46" spans="1:28" x14ac:dyDescent="0.3">
      <c r="A46" s="35" t="s">
        <v>163</v>
      </c>
      <c r="D46" s="85">
        <v>1</v>
      </c>
      <c r="E46" s="85">
        <f>D46+'Mix 4 Summary'!$R$12</f>
        <v>1</v>
      </c>
      <c r="F46" s="85">
        <f>E46+'Mix 4 Summary'!$R$12</f>
        <v>1</v>
      </c>
      <c r="G46" s="85">
        <f>F46+'Mix 4 Summary'!$R$12</f>
        <v>1</v>
      </c>
      <c r="H46" s="85">
        <f>G46+'Mix 4 Summary'!$R$12</f>
        <v>1</v>
      </c>
      <c r="I46" s="85">
        <f>H46+'Mix 4 Summary'!$R$12</f>
        <v>1</v>
      </c>
      <c r="J46" s="85">
        <f>I46+'Mix 4 Summary'!$R$12</f>
        <v>1</v>
      </c>
      <c r="K46" s="85">
        <f>J46+'Mix 4 Summary'!$R$12</f>
        <v>1</v>
      </c>
      <c r="L46" s="85">
        <f>K46+'Mix 4 Summary'!$R$12</f>
        <v>1</v>
      </c>
      <c r="M46" s="85">
        <f>L46+'Mix 4 Summary'!$R$12</f>
        <v>1</v>
      </c>
      <c r="N46" s="85">
        <f>M46+'Mix 4 Summary'!$R$12</f>
        <v>1</v>
      </c>
      <c r="O46" s="85">
        <f>N46+'Mix 4 Summary'!$R$12</f>
        <v>1</v>
      </c>
      <c r="P46" s="85">
        <f>O46+'Mix 4 Summary'!$R$12</f>
        <v>1</v>
      </c>
      <c r="Q46" s="85">
        <f>P46+'Mix 4 Summary'!$R$12</f>
        <v>1</v>
      </c>
      <c r="R46" s="85">
        <f>Q46+'Mix 4 Summary'!$R$12</f>
        <v>1</v>
      </c>
      <c r="S46" s="85">
        <f>R46+'Mix 4 Summary'!$R$12</f>
        <v>1</v>
      </c>
      <c r="T46" s="85">
        <f>S46+'Mix 4 Summary'!$R$12</f>
        <v>1</v>
      </c>
      <c r="U46" s="85">
        <f>T46+'Mix 4 Summary'!$R$12</f>
        <v>1</v>
      </c>
      <c r="V46" s="85">
        <f>U46+'Mix 4 Summary'!$R$12</f>
        <v>1</v>
      </c>
      <c r="W46" s="85">
        <f>V46+'Mix 4 Summary'!$R$12</f>
        <v>1</v>
      </c>
      <c r="X46" s="85">
        <f>W46+'Mix 4 Summary'!$R$12</f>
        <v>1</v>
      </c>
      <c r="Y46" s="85">
        <f>X46+'Mix 4 Summary'!$R$12</f>
        <v>1</v>
      </c>
      <c r="Z46" s="85">
        <f>Y46+'Mix 4 Summary'!$R$12</f>
        <v>1</v>
      </c>
      <c r="AA46" s="85">
        <f>Z46+'Mix 4 Summary'!$R$12</f>
        <v>1</v>
      </c>
      <c r="AB46" s="85">
        <f>AA46+'Mix 4 Summary'!$R$12</f>
        <v>1</v>
      </c>
    </row>
  </sheetData>
  <sheetProtection algorithmName="SHA-512" hashValue="BAxqQK38p3DNwIww0wOte6vGm9hCoXpBZhZ/ehCh0LJ2tYY7kZbTZwfCAcR0HLJgPhnBMfn5kbj8wEk7SX/ykQ==" saltValue="NOsZOtK6QS7BW9586U20Mg==" spinCount="100000" sheet="1" objects="1" scenarios="1" selectLockedCells="1" selectUnlockedCells="1"/>
  <mergeCells count="1">
    <mergeCell ref="D3:AB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E9F5-015F-4585-9B21-F5D9FC615C4A}">
  <dimension ref="A1:AD27"/>
  <sheetViews>
    <sheetView workbookViewId="0">
      <selection activeCell="D1" sqref="D1"/>
    </sheetView>
  </sheetViews>
  <sheetFormatPr defaultRowHeight="14.5" x14ac:dyDescent="0.35"/>
  <cols>
    <col min="3" max="3" width="5.453125" customWidth="1"/>
    <col min="4" max="28" width="9.453125" bestFit="1" customWidth="1"/>
    <col min="30" max="30" width="11.54296875" customWidth="1"/>
  </cols>
  <sheetData>
    <row r="1" spans="1:30" x14ac:dyDescent="0.35">
      <c r="A1" s="16" t="s">
        <v>45</v>
      </c>
      <c r="B1" s="4"/>
      <c r="C1" s="4"/>
      <c r="D1" s="16" t="str">
        <f>'Generation &amp; Ops Scenarios'!F27</f>
        <v>Mix 4 Wind, Solar,Storage, Diesel standby</v>
      </c>
      <c r="E1" s="4"/>
      <c r="F1" s="4"/>
      <c r="G1" s="4"/>
      <c r="H1" s="4"/>
      <c r="I1" s="4"/>
      <c r="J1" s="4"/>
      <c r="K1" s="4"/>
      <c r="L1" s="4"/>
      <c r="M1" s="4"/>
      <c r="N1" s="4"/>
      <c r="O1" s="4"/>
      <c r="P1" s="4"/>
      <c r="Q1" s="4"/>
      <c r="R1" s="4"/>
      <c r="S1" s="4"/>
      <c r="T1" s="4"/>
      <c r="U1" s="4"/>
      <c r="V1" s="4"/>
      <c r="W1" s="4"/>
      <c r="X1" s="4"/>
      <c r="Y1" s="4"/>
      <c r="Z1" s="4"/>
      <c r="AA1" s="4"/>
      <c r="AB1" s="4"/>
      <c r="AC1" s="4"/>
      <c r="AD1" s="4"/>
    </row>
    <row r="2" spans="1:30" x14ac:dyDescent="0.35">
      <c r="A2" s="4"/>
      <c r="B2" s="4"/>
      <c r="C2" s="4"/>
      <c r="D2" s="17"/>
      <c r="E2" s="17"/>
      <c r="F2" s="17"/>
      <c r="G2" s="17"/>
      <c r="H2" s="17"/>
      <c r="I2" s="17"/>
      <c r="J2" s="17"/>
      <c r="K2" s="17"/>
      <c r="L2" s="17"/>
      <c r="M2" s="17"/>
      <c r="N2" s="17"/>
      <c r="O2" s="17"/>
      <c r="P2" s="17"/>
      <c r="Q2" s="17"/>
      <c r="R2" s="17"/>
      <c r="S2" s="17"/>
      <c r="T2" s="17"/>
      <c r="U2" s="17"/>
      <c r="V2" s="17"/>
      <c r="W2" s="17"/>
      <c r="X2" s="17"/>
      <c r="Y2" s="17"/>
      <c r="Z2" s="17"/>
      <c r="AA2" s="17"/>
      <c r="AB2" s="17"/>
      <c r="AC2" s="17"/>
      <c r="AD2" s="4"/>
    </row>
    <row r="3" spans="1:30" x14ac:dyDescent="0.35">
      <c r="A3" s="4"/>
      <c r="B3" s="4"/>
      <c r="C3" s="4"/>
      <c r="D3" s="17">
        <v>1</v>
      </c>
      <c r="E3" s="17">
        <v>2</v>
      </c>
      <c r="F3" s="17">
        <v>3</v>
      </c>
      <c r="G3" s="17">
        <v>4</v>
      </c>
      <c r="H3" s="17">
        <v>5</v>
      </c>
      <c r="I3" s="17">
        <v>6</v>
      </c>
      <c r="J3" s="17">
        <v>7</v>
      </c>
      <c r="K3" s="17">
        <v>8</v>
      </c>
      <c r="L3" s="17">
        <v>9</v>
      </c>
      <c r="M3" s="17">
        <v>10</v>
      </c>
      <c r="N3" s="17">
        <v>11</v>
      </c>
      <c r="O3" s="17">
        <v>12</v>
      </c>
      <c r="P3" s="17">
        <v>13</v>
      </c>
      <c r="Q3" s="17">
        <v>14</v>
      </c>
      <c r="R3" s="17">
        <v>15</v>
      </c>
      <c r="S3" s="17">
        <v>16</v>
      </c>
      <c r="T3" s="17">
        <v>17</v>
      </c>
      <c r="U3" s="17">
        <v>18</v>
      </c>
      <c r="V3" s="17">
        <v>19</v>
      </c>
      <c r="W3" s="17">
        <v>20</v>
      </c>
      <c r="X3" s="17">
        <v>21</v>
      </c>
      <c r="Y3" s="17">
        <v>22</v>
      </c>
      <c r="Z3" s="17">
        <v>23</v>
      </c>
      <c r="AA3" s="17">
        <v>24</v>
      </c>
      <c r="AB3" s="17">
        <v>25</v>
      </c>
      <c r="AC3" s="17"/>
      <c r="AD3" s="17" t="s">
        <v>46</v>
      </c>
    </row>
    <row r="4" spans="1:30" ht="15.5" x14ac:dyDescent="0.35">
      <c r="A4" s="18" t="s">
        <v>3</v>
      </c>
      <c r="B4" s="18"/>
      <c r="C4" s="18"/>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5">
      <c r="A5" s="4" t="s">
        <v>76</v>
      </c>
      <c r="B5" s="4"/>
      <c r="C5" s="4"/>
      <c r="D5" s="19">
        <f>'Mix 4 Cash Flow'!D7</f>
        <v>840000</v>
      </c>
      <c r="E5" s="19">
        <f>'Mix 4 Cash Flow'!E7</f>
        <v>840000</v>
      </c>
      <c r="F5" s="19">
        <f>'Mix 4 Cash Flow'!F7</f>
        <v>840000</v>
      </c>
      <c r="G5" s="19">
        <f>'Mix 4 Cash Flow'!G7</f>
        <v>840000</v>
      </c>
      <c r="H5" s="19">
        <f>'Mix 4 Cash Flow'!H7</f>
        <v>840000</v>
      </c>
      <c r="I5" s="19">
        <f>'Mix 4 Cash Flow'!I7</f>
        <v>840000</v>
      </c>
      <c r="J5" s="19">
        <f>'Mix 4 Cash Flow'!J7</f>
        <v>840000</v>
      </c>
      <c r="K5" s="19">
        <f>'Mix 4 Cash Flow'!K7</f>
        <v>840000</v>
      </c>
      <c r="L5" s="19">
        <f>'Mix 4 Cash Flow'!L7</f>
        <v>840000</v>
      </c>
      <c r="M5" s="19">
        <f>'Mix 4 Cash Flow'!M7</f>
        <v>840000</v>
      </c>
      <c r="N5" s="19">
        <f>'Mix 4 Cash Flow'!N7</f>
        <v>840000</v>
      </c>
      <c r="O5" s="19">
        <f>'Mix 4 Cash Flow'!O7</f>
        <v>840000</v>
      </c>
      <c r="P5" s="19">
        <f>'Mix 4 Cash Flow'!P7</f>
        <v>840000</v>
      </c>
      <c r="Q5" s="19">
        <f>'Mix 4 Cash Flow'!Q7</f>
        <v>840000</v>
      </c>
      <c r="R5" s="19">
        <f>'Mix 4 Cash Flow'!R7</f>
        <v>840000</v>
      </c>
      <c r="S5" s="19">
        <f>'Mix 4 Cash Flow'!S7</f>
        <v>840000</v>
      </c>
      <c r="T5" s="19">
        <f>'Mix 4 Cash Flow'!T7</f>
        <v>840000</v>
      </c>
      <c r="U5" s="19">
        <f>'Mix 4 Cash Flow'!U7</f>
        <v>840000</v>
      </c>
      <c r="V5" s="19">
        <f>'Mix 4 Cash Flow'!V7</f>
        <v>840000</v>
      </c>
      <c r="W5" s="19">
        <f>'Mix 4 Cash Flow'!W7</f>
        <v>840000</v>
      </c>
      <c r="X5" s="19">
        <f>'Mix 4 Cash Flow'!X7</f>
        <v>840000</v>
      </c>
      <c r="Y5" s="19">
        <f>'Mix 4 Cash Flow'!Y7</f>
        <v>840000</v>
      </c>
      <c r="Z5" s="19">
        <f>'Mix 4 Cash Flow'!Z7</f>
        <v>840000</v>
      </c>
      <c r="AA5" s="19">
        <f>'Mix 4 Cash Flow'!AA7</f>
        <v>840000</v>
      </c>
      <c r="AB5" s="19">
        <f>'Mix 4 Cash Flow'!AB7</f>
        <v>840000</v>
      </c>
      <c r="AC5" s="19"/>
      <c r="AD5" s="19">
        <f>SUM(D5:AC5)</f>
        <v>21000000</v>
      </c>
    </row>
    <row r="6" spans="1:30" x14ac:dyDescent="0.35">
      <c r="A6" s="4" t="s">
        <v>52</v>
      </c>
      <c r="B6" s="4"/>
      <c r="C6" s="4"/>
      <c r="D6" s="19">
        <v>0</v>
      </c>
      <c r="E6" s="19">
        <v>0</v>
      </c>
      <c r="F6" s="19">
        <v>0</v>
      </c>
      <c r="G6" s="19">
        <v>0</v>
      </c>
      <c r="H6" s="19">
        <v>0</v>
      </c>
      <c r="I6" s="19">
        <v>0</v>
      </c>
      <c r="J6" s="19">
        <v>0</v>
      </c>
      <c r="K6" s="19">
        <v>0</v>
      </c>
      <c r="L6" s="19">
        <v>0</v>
      </c>
      <c r="M6" s="19">
        <v>0</v>
      </c>
      <c r="N6" s="19">
        <v>0</v>
      </c>
      <c r="O6" s="19">
        <v>0</v>
      </c>
      <c r="P6" s="19">
        <v>0</v>
      </c>
      <c r="Q6" s="19">
        <v>0</v>
      </c>
      <c r="R6" s="19">
        <v>0</v>
      </c>
      <c r="S6" s="19">
        <v>0</v>
      </c>
      <c r="T6" s="19">
        <v>0</v>
      </c>
      <c r="U6" s="19">
        <v>0</v>
      </c>
      <c r="V6" s="19">
        <v>0</v>
      </c>
      <c r="W6" s="19">
        <v>0</v>
      </c>
      <c r="X6" s="19">
        <v>0</v>
      </c>
      <c r="Y6" s="19">
        <v>0</v>
      </c>
      <c r="Z6" s="19">
        <v>0</v>
      </c>
      <c r="AA6" s="19">
        <v>0</v>
      </c>
      <c r="AB6" s="19">
        <v>0</v>
      </c>
      <c r="AC6" s="19"/>
      <c r="AD6" s="19">
        <f t="shared" ref="AD6" si="0">SUM(D6:AC6)</f>
        <v>0</v>
      </c>
    </row>
    <row r="7" spans="1:30" x14ac:dyDescent="0.35">
      <c r="A7" s="4"/>
      <c r="B7" s="4"/>
      <c r="C7" s="4"/>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ht="15" thickBot="1" x14ac:dyDescent="0.4">
      <c r="A8" s="4" t="s">
        <v>47</v>
      </c>
      <c r="B8" s="4"/>
      <c r="C8" s="4"/>
      <c r="D8" s="24">
        <f t="shared" ref="D8:AB8" si="1">SUM(D5:D7)</f>
        <v>840000</v>
      </c>
      <c r="E8" s="24">
        <f t="shared" si="1"/>
        <v>840000</v>
      </c>
      <c r="F8" s="24">
        <f t="shared" si="1"/>
        <v>840000</v>
      </c>
      <c r="G8" s="24">
        <f t="shared" si="1"/>
        <v>840000</v>
      </c>
      <c r="H8" s="24">
        <f t="shared" si="1"/>
        <v>840000</v>
      </c>
      <c r="I8" s="24">
        <f t="shared" si="1"/>
        <v>840000</v>
      </c>
      <c r="J8" s="24">
        <f t="shared" si="1"/>
        <v>840000</v>
      </c>
      <c r="K8" s="24">
        <f t="shared" si="1"/>
        <v>840000</v>
      </c>
      <c r="L8" s="24">
        <f t="shared" si="1"/>
        <v>840000</v>
      </c>
      <c r="M8" s="24">
        <f t="shared" si="1"/>
        <v>840000</v>
      </c>
      <c r="N8" s="24">
        <f t="shared" si="1"/>
        <v>840000</v>
      </c>
      <c r="O8" s="24">
        <f t="shared" si="1"/>
        <v>840000</v>
      </c>
      <c r="P8" s="24">
        <f t="shared" si="1"/>
        <v>840000</v>
      </c>
      <c r="Q8" s="24">
        <f t="shared" si="1"/>
        <v>840000</v>
      </c>
      <c r="R8" s="24">
        <f t="shared" si="1"/>
        <v>840000</v>
      </c>
      <c r="S8" s="24">
        <f t="shared" si="1"/>
        <v>840000</v>
      </c>
      <c r="T8" s="24">
        <f t="shared" si="1"/>
        <v>840000</v>
      </c>
      <c r="U8" s="24">
        <f t="shared" si="1"/>
        <v>840000</v>
      </c>
      <c r="V8" s="24">
        <f t="shared" si="1"/>
        <v>840000</v>
      </c>
      <c r="W8" s="24">
        <f t="shared" si="1"/>
        <v>840000</v>
      </c>
      <c r="X8" s="24">
        <f t="shared" si="1"/>
        <v>840000</v>
      </c>
      <c r="Y8" s="24">
        <f t="shared" si="1"/>
        <v>840000</v>
      </c>
      <c r="Z8" s="24">
        <f t="shared" si="1"/>
        <v>840000</v>
      </c>
      <c r="AA8" s="24">
        <f t="shared" si="1"/>
        <v>840000</v>
      </c>
      <c r="AB8" s="24">
        <f t="shared" si="1"/>
        <v>840000</v>
      </c>
      <c r="AC8" s="19"/>
      <c r="AD8" s="24">
        <f>SUM(AD5:AD7)</f>
        <v>21000000</v>
      </c>
    </row>
    <row r="9" spans="1:30" ht="15" thickTop="1" x14ac:dyDescent="0.35">
      <c r="A9" s="4"/>
      <c r="B9" s="4"/>
      <c r="C9" s="4"/>
      <c r="D9" s="19"/>
      <c r="E9" s="19"/>
      <c r="F9" s="19"/>
      <c r="G9" s="19"/>
      <c r="H9" s="19"/>
      <c r="I9" s="19"/>
      <c r="J9" s="19"/>
      <c r="K9" s="19"/>
      <c r="L9" s="19"/>
      <c r="M9" s="19"/>
      <c r="N9" s="19"/>
      <c r="O9" s="19"/>
      <c r="P9" s="19"/>
      <c r="Q9" s="19"/>
      <c r="R9" s="19"/>
      <c r="S9" s="19"/>
      <c r="T9" s="19"/>
      <c r="U9" s="19"/>
      <c r="V9" s="19"/>
      <c r="W9" s="19"/>
      <c r="X9" s="19"/>
      <c r="Y9" s="19"/>
      <c r="Z9" s="19"/>
      <c r="AA9" s="19"/>
      <c r="AB9" s="19"/>
      <c r="AC9" s="19"/>
      <c r="AD9" s="19"/>
    </row>
    <row r="10" spans="1:30" x14ac:dyDescent="0.35">
      <c r="A10" s="4"/>
      <c r="B10" s="4"/>
      <c r="C10" s="4"/>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0" ht="15.5" x14ac:dyDescent="0.35">
      <c r="A11" s="18" t="s">
        <v>2</v>
      </c>
      <c r="B11" s="18"/>
      <c r="C11" s="18"/>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row>
    <row r="12" spans="1:30" x14ac:dyDescent="0.35">
      <c r="A12" s="4" t="s">
        <v>4</v>
      </c>
      <c r="B12" s="4"/>
      <c r="C12" s="4"/>
      <c r="D12" s="19">
        <f>'Mix 4 Cash Flow'!D8</f>
        <v>0</v>
      </c>
      <c r="E12" s="19">
        <f>'Mix 4 Cash Flow'!E8</f>
        <v>0</v>
      </c>
      <c r="F12" s="19">
        <f>'Mix 4 Cash Flow'!F8</f>
        <v>0</v>
      </c>
      <c r="G12" s="19">
        <f>'Mix 4 Cash Flow'!G8</f>
        <v>0</v>
      </c>
      <c r="H12" s="19">
        <f>'Mix 4 Cash Flow'!H8</f>
        <v>0</v>
      </c>
      <c r="I12" s="19">
        <f>'Mix 4 Cash Flow'!I8</f>
        <v>0</v>
      </c>
      <c r="J12" s="19">
        <f>'Mix 4 Cash Flow'!J8</f>
        <v>0</v>
      </c>
      <c r="K12" s="19">
        <f>'Mix 4 Cash Flow'!K8</f>
        <v>0</v>
      </c>
      <c r="L12" s="19">
        <f>'Mix 4 Cash Flow'!L8</f>
        <v>0</v>
      </c>
      <c r="M12" s="19">
        <f>'Mix 4 Cash Flow'!M8</f>
        <v>0</v>
      </c>
      <c r="N12" s="19">
        <f>'Mix 4 Cash Flow'!N8</f>
        <v>0</v>
      </c>
      <c r="O12" s="19">
        <f>'Mix 4 Cash Flow'!O8</f>
        <v>0</v>
      </c>
      <c r="P12" s="19">
        <f>'Mix 4 Cash Flow'!P8</f>
        <v>0</v>
      </c>
      <c r="Q12" s="19">
        <f>'Mix 4 Cash Flow'!Q8</f>
        <v>0</v>
      </c>
      <c r="R12" s="19">
        <f>'Mix 4 Cash Flow'!R8</f>
        <v>0</v>
      </c>
      <c r="S12" s="19">
        <f>'Mix 4 Cash Flow'!S8</f>
        <v>0</v>
      </c>
      <c r="T12" s="19">
        <f>'Mix 4 Cash Flow'!T8</f>
        <v>0</v>
      </c>
      <c r="U12" s="19">
        <f>'Mix 4 Cash Flow'!U8</f>
        <v>0</v>
      </c>
      <c r="V12" s="19">
        <f>'Mix 4 Cash Flow'!V8</f>
        <v>0</v>
      </c>
      <c r="W12" s="19">
        <f>'Mix 4 Cash Flow'!W8</f>
        <v>0</v>
      </c>
      <c r="X12" s="19">
        <f>'Mix 4 Cash Flow'!X8</f>
        <v>0</v>
      </c>
      <c r="Y12" s="19">
        <f>'Mix 4 Cash Flow'!Y8</f>
        <v>0</v>
      </c>
      <c r="Z12" s="19">
        <f>'Mix 4 Cash Flow'!Z8</f>
        <v>0</v>
      </c>
      <c r="AA12" s="19">
        <f>'Mix 4 Cash Flow'!AA8</f>
        <v>0</v>
      </c>
      <c r="AB12" s="19">
        <f>'Mix 4 Cash Flow'!AB8</f>
        <v>0</v>
      </c>
      <c r="AC12" s="19"/>
      <c r="AD12" s="19">
        <f t="shared" ref="AD12:AD13" si="2">SUM(D12:AC12)</f>
        <v>0</v>
      </c>
    </row>
    <row r="13" spans="1:30" x14ac:dyDescent="0.35">
      <c r="A13" s="4" t="s">
        <v>2</v>
      </c>
      <c r="B13" s="4"/>
      <c r="C13" s="4"/>
      <c r="D13" s="19">
        <f>'Mix 4 Cash Flow'!D9</f>
        <v>-304246.2391666667</v>
      </c>
      <c r="E13" s="19">
        <f>'Mix 4 Cash Flow'!E9</f>
        <v>-304246.2391666667</v>
      </c>
      <c r="F13" s="19">
        <f>'Mix 4 Cash Flow'!F9</f>
        <v>-304246.2391666667</v>
      </c>
      <c r="G13" s="19">
        <f>'Mix 4 Cash Flow'!G9</f>
        <v>-304246.2391666667</v>
      </c>
      <c r="H13" s="19">
        <f>'Mix 4 Cash Flow'!H9</f>
        <v>-304246.2391666667</v>
      </c>
      <c r="I13" s="19">
        <f>'Mix 4 Cash Flow'!I9</f>
        <v>-304246.2391666667</v>
      </c>
      <c r="J13" s="19">
        <f>'Mix 4 Cash Flow'!J9</f>
        <v>-304246.2391666667</v>
      </c>
      <c r="K13" s="19">
        <f>'Mix 4 Cash Flow'!K9</f>
        <v>-304246.2391666667</v>
      </c>
      <c r="L13" s="19">
        <f>'Mix 4 Cash Flow'!L9</f>
        <v>-304246.2391666667</v>
      </c>
      <c r="M13" s="19">
        <f>'Mix 4 Cash Flow'!M9</f>
        <v>-304246.2391666667</v>
      </c>
      <c r="N13" s="19">
        <f>'Mix 4 Cash Flow'!N9</f>
        <v>-304246.2391666667</v>
      </c>
      <c r="O13" s="19">
        <f>'Mix 4 Cash Flow'!O9</f>
        <v>-304246.2391666667</v>
      </c>
      <c r="P13" s="19">
        <f>'Mix 4 Cash Flow'!P9</f>
        <v>-304246.2391666667</v>
      </c>
      <c r="Q13" s="19">
        <f>'Mix 4 Cash Flow'!Q9</f>
        <v>-304246.2391666667</v>
      </c>
      <c r="R13" s="19">
        <f>'Mix 4 Cash Flow'!R9</f>
        <v>-304246.2391666667</v>
      </c>
      <c r="S13" s="19">
        <f>'Mix 4 Cash Flow'!S9</f>
        <v>-304246.2391666667</v>
      </c>
      <c r="T13" s="19">
        <f>'Mix 4 Cash Flow'!T9</f>
        <v>-304246.2391666667</v>
      </c>
      <c r="U13" s="19">
        <f>'Mix 4 Cash Flow'!U9</f>
        <v>-304246.2391666667</v>
      </c>
      <c r="V13" s="19">
        <f>'Mix 4 Cash Flow'!V9</f>
        <v>-304246.2391666667</v>
      </c>
      <c r="W13" s="19">
        <f>'Mix 4 Cash Flow'!W9</f>
        <v>-304246.2391666667</v>
      </c>
      <c r="X13" s="19">
        <f>'Mix 4 Cash Flow'!X9</f>
        <v>-304246.2391666667</v>
      </c>
      <c r="Y13" s="19">
        <f>'Mix 4 Cash Flow'!Y9</f>
        <v>-304246.2391666667</v>
      </c>
      <c r="Z13" s="19">
        <f>'Mix 4 Cash Flow'!Z9</f>
        <v>-304246.2391666667</v>
      </c>
      <c r="AA13" s="19">
        <f>'Mix 4 Cash Flow'!AA9</f>
        <v>-304246.2391666667</v>
      </c>
      <c r="AB13" s="19">
        <f>'Mix 4 Cash Flow'!AB9</f>
        <v>-304246.2391666667</v>
      </c>
      <c r="AC13" s="19"/>
      <c r="AD13" s="19">
        <f t="shared" si="2"/>
        <v>-7606155.9791666679</v>
      </c>
    </row>
    <row r="14" spans="1:30" ht="15" thickBot="1" x14ac:dyDescent="0.4">
      <c r="A14" s="4" t="s">
        <v>48</v>
      </c>
      <c r="B14" s="4"/>
      <c r="C14" s="4"/>
      <c r="D14" s="24">
        <f t="shared" ref="D14:AB14" si="3">SUM(D12:D13)</f>
        <v>-304246.2391666667</v>
      </c>
      <c r="E14" s="24">
        <f t="shared" si="3"/>
        <v>-304246.2391666667</v>
      </c>
      <c r="F14" s="24">
        <f t="shared" si="3"/>
        <v>-304246.2391666667</v>
      </c>
      <c r="G14" s="24">
        <f t="shared" si="3"/>
        <v>-304246.2391666667</v>
      </c>
      <c r="H14" s="24">
        <f t="shared" si="3"/>
        <v>-304246.2391666667</v>
      </c>
      <c r="I14" s="24">
        <f t="shared" si="3"/>
        <v>-304246.2391666667</v>
      </c>
      <c r="J14" s="24">
        <f t="shared" si="3"/>
        <v>-304246.2391666667</v>
      </c>
      <c r="K14" s="24">
        <f t="shared" si="3"/>
        <v>-304246.2391666667</v>
      </c>
      <c r="L14" s="24">
        <f t="shared" si="3"/>
        <v>-304246.2391666667</v>
      </c>
      <c r="M14" s="24">
        <f t="shared" si="3"/>
        <v>-304246.2391666667</v>
      </c>
      <c r="N14" s="24">
        <f t="shared" si="3"/>
        <v>-304246.2391666667</v>
      </c>
      <c r="O14" s="24">
        <f t="shared" si="3"/>
        <v>-304246.2391666667</v>
      </c>
      <c r="P14" s="24">
        <f t="shared" si="3"/>
        <v>-304246.2391666667</v>
      </c>
      <c r="Q14" s="24">
        <f t="shared" si="3"/>
        <v>-304246.2391666667</v>
      </c>
      <c r="R14" s="24">
        <f t="shared" si="3"/>
        <v>-304246.2391666667</v>
      </c>
      <c r="S14" s="24">
        <f t="shared" si="3"/>
        <v>-304246.2391666667</v>
      </c>
      <c r="T14" s="24">
        <f t="shared" si="3"/>
        <v>-304246.2391666667</v>
      </c>
      <c r="U14" s="24">
        <f t="shared" si="3"/>
        <v>-304246.2391666667</v>
      </c>
      <c r="V14" s="24">
        <f t="shared" si="3"/>
        <v>-304246.2391666667</v>
      </c>
      <c r="W14" s="24">
        <f t="shared" si="3"/>
        <v>-304246.2391666667</v>
      </c>
      <c r="X14" s="24">
        <f t="shared" si="3"/>
        <v>-304246.2391666667</v>
      </c>
      <c r="Y14" s="24">
        <f t="shared" si="3"/>
        <v>-304246.2391666667</v>
      </c>
      <c r="Z14" s="24">
        <f t="shared" si="3"/>
        <v>-304246.2391666667</v>
      </c>
      <c r="AA14" s="24">
        <f t="shared" si="3"/>
        <v>-304246.2391666667</v>
      </c>
      <c r="AB14" s="24">
        <f t="shared" si="3"/>
        <v>-304246.2391666667</v>
      </c>
      <c r="AC14" s="19"/>
      <c r="AD14" s="24">
        <f>SUM(AD12:AD13)</f>
        <v>-7606155.9791666679</v>
      </c>
    </row>
    <row r="15" spans="1:30" ht="15" thickTop="1" x14ac:dyDescent="0.35">
      <c r="A15" s="4"/>
      <c r="B15" s="4"/>
      <c r="C15" s="4"/>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row>
    <row r="16" spans="1:30" x14ac:dyDescent="0.35">
      <c r="A16" s="16" t="s">
        <v>49</v>
      </c>
      <c r="B16" s="16"/>
      <c r="C16" s="16"/>
      <c r="D16" s="25">
        <f>D8+D14</f>
        <v>535753.76083333325</v>
      </c>
      <c r="E16" s="25">
        <f t="shared" ref="E16:AB16" si="4">E8+E14</f>
        <v>535753.76083333325</v>
      </c>
      <c r="F16" s="25">
        <f t="shared" si="4"/>
        <v>535753.76083333325</v>
      </c>
      <c r="G16" s="25">
        <f t="shared" si="4"/>
        <v>535753.76083333325</v>
      </c>
      <c r="H16" s="25">
        <f t="shared" si="4"/>
        <v>535753.76083333325</v>
      </c>
      <c r="I16" s="25">
        <f t="shared" si="4"/>
        <v>535753.76083333325</v>
      </c>
      <c r="J16" s="25">
        <f t="shared" si="4"/>
        <v>535753.76083333325</v>
      </c>
      <c r="K16" s="25">
        <f t="shared" si="4"/>
        <v>535753.76083333325</v>
      </c>
      <c r="L16" s="25">
        <f t="shared" si="4"/>
        <v>535753.76083333325</v>
      </c>
      <c r="M16" s="25">
        <f t="shared" si="4"/>
        <v>535753.76083333325</v>
      </c>
      <c r="N16" s="25">
        <f t="shared" si="4"/>
        <v>535753.76083333325</v>
      </c>
      <c r="O16" s="25">
        <f t="shared" si="4"/>
        <v>535753.76083333325</v>
      </c>
      <c r="P16" s="25">
        <f t="shared" si="4"/>
        <v>535753.76083333325</v>
      </c>
      <c r="Q16" s="25">
        <f t="shared" si="4"/>
        <v>535753.76083333325</v>
      </c>
      <c r="R16" s="25">
        <f t="shared" si="4"/>
        <v>535753.76083333325</v>
      </c>
      <c r="S16" s="25">
        <f t="shared" si="4"/>
        <v>535753.76083333325</v>
      </c>
      <c r="T16" s="25">
        <f t="shared" si="4"/>
        <v>535753.76083333325</v>
      </c>
      <c r="U16" s="25">
        <f t="shared" si="4"/>
        <v>535753.76083333325</v>
      </c>
      <c r="V16" s="25">
        <f t="shared" si="4"/>
        <v>535753.76083333325</v>
      </c>
      <c r="W16" s="25">
        <f t="shared" si="4"/>
        <v>535753.76083333325</v>
      </c>
      <c r="X16" s="25">
        <f t="shared" si="4"/>
        <v>535753.76083333325</v>
      </c>
      <c r="Y16" s="25">
        <f t="shared" si="4"/>
        <v>535753.76083333325</v>
      </c>
      <c r="Z16" s="25">
        <f t="shared" si="4"/>
        <v>535753.76083333325</v>
      </c>
      <c r="AA16" s="25">
        <f t="shared" si="4"/>
        <v>535753.76083333325</v>
      </c>
      <c r="AB16" s="25">
        <f t="shared" si="4"/>
        <v>535753.76083333325</v>
      </c>
      <c r="AC16" s="26"/>
      <c r="AD16" s="25">
        <f>AD8-AD14</f>
        <v>28606155.979166668</v>
      </c>
    </row>
    <row r="17" spans="1:30" x14ac:dyDescent="0.35">
      <c r="A17" s="14"/>
      <c r="B17" s="14"/>
      <c r="C17" s="14"/>
      <c r="D17" s="27">
        <f t="shared" ref="D17:AB17" si="5">D16/D8</f>
        <v>0.6378020962301586</v>
      </c>
      <c r="E17" s="27">
        <f t="shared" si="5"/>
        <v>0.6378020962301586</v>
      </c>
      <c r="F17" s="27">
        <f t="shared" si="5"/>
        <v>0.6378020962301586</v>
      </c>
      <c r="G17" s="27">
        <f t="shared" si="5"/>
        <v>0.6378020962301586</v>
      </c>
      <c r="H17" s="27">
        <f t="shared" si="5"/>
        <v>0.6378020962301586</v>
      </c>
      <c r="I17" s="27">
        <f t="shared" si="5"/>
        <v>0.6378020962301586</v>
      </c>
      <c r="J17" s="27">
        <f t="shared" si="5"/>
        <v>0.6378020962301586</v>
      </c>
      <c r="K17" s="27">
        <f t="shared" si="5"/>
        <v>0.6378020962301586</v>
      </c>
      <c r="L17" s="27">
        <f t="shared" si="5"/>
        <v>0.6378020962301586</v>
      </c>
      <c r="M17" s="27">
        <f t="shared" si="5"/>
        <v>0.6378020962301586</v>
      </c>
      <c r="N17" s="27">
        <f t="shared" si="5"/>
        <v>0.6378020962301586</v>
      </c>
      <c r="O17" s="27">
        <f t="shared" si="5"/>
        <v>0.6378020962301586</v>
      </c>
      <c r="P17" s="27">
        <f t="shared" si="5"/>
        <v>0.6378020962301586</v>
      </c>
      <c r="Q17" s="27">
        <f t="shared" si="5"/>
        <v>0.6378020962301586</v>
      </c>
      <c r="R17" s="27">
        <f t="shared" si="5"/>
        <v>0.6378020962301586</v>
      </c>
      <c r="S17" s="27">
        <f t="shared" si="5"/>
        <v>0.6378020962301586</v>
      </c>
      <c r="T17" s="27">
        <f t="shared" si="5"/>
        <v>0.6378020962301586</v>
      </c>
      <c r="U17" s="27">
        <f t="shared" si="5"/>
        <v>0.6378020962301586</v>
      </c>
      <c r="V17" s="27">
        <f t="shared" si="5"/>
        <v>0.6378020962301586</v>
      </c>
      <c r="W17" s="27">
        <f t="shared" si="5"/>
        <v>0.6378020962301586</v>
      </c>
      <c r="X17" s="27">
        <f t="shared" si="5"/>
        <v>0.6378020962301586</v>
      </c>
      <c r="Y17" s="27">
        <f t="shared" si="5"/>
        <v>0.6378020962301586</v>
      </c>
      <c r="Z17" s="27">
        <f t="shared" si="5"/>
        <v>0.6378020962301586</v>
      </c>
      <c r="AA17" s="27">
        <f t="shared" si="5"/>
        <v>0.6378020962301586</v>
      </c>
      <c r="AB17" s="27">
        <f t="shared" si="5"/>
        <v>0.6378020962301586</v>
      </c>
      <c r="AC17" s="27"/>
      <c r="AD17" s="27">
        <f>AD16/AD8</f>
        <v>1.3621979037698413</v>
      </c>
    </row>
    <row r="18" spans="1:30" x14ac:dyDescent="0.35">
      <c r="A18" s="4"/>
      <c r="B18" s="4"/>
      <c r="C18" s="4"/>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x14ac:dyDescent="0.35">
      <c r="A19" s="4" t="s">
        <v>63</v>
      </c>
      <c r="B19" s="4"/>
      <c r="C19" s="4"/>
      <c r="D19" s="19">
        <f>-IF(D3&gt;'Mix 4 Summary'!$R$9,0,'Mix 4 Summary'!$B$22/'Mix 4 Summary'!$R$9)</f>
        <v>-223824.95666666667</v>
      </c>
      <c r="E19" s="19">
        <f>-IF(E3&gt;'Mix 4 Summary'!$R$9,0,'Mix 4 Summary'!$B$22/'Mix 4 Summary'!$R$9)</f>
        <v>-223824.95666666667</v>
      </c>
      <c r="F19" s="19">
        <f>-IF(F3&gt;'Mix 4 Summary'!$R$9,0,'Mix 4 Summary'!$B$22/'Mix 4 Summary'!$R$9)</f>
        <v>-223824.95666666667</v>
      </c>
      <c r="G19" s="19">
        <f>-IF(G3&gt;'Mix 4 Summary'!$R$9,0,'Mix 4 Summary'!$B$22/'Mix 4 Summary'!$R$9)</f>
        <v>-223824.95666666667</v>
      </c>
      <c r="H19" s="19">
        <f>-IF(H3&gt;'Mix 4 Summary'!$R$9,0,'Mix 4 Summary'!$B$22/'Mix 4 Summary'!$R$9)</f>
        <v>-223824.95666666667</v>
      </c>
      <c r="I19" s="19">
        <f>-IF(I3&gt;'Mix 4 Summary'!$R$9,0,'Mix 4 Summary'!$B$22/'Mix 4 Summary'!$R$9)</f>
        <v>-223824.95666666667</v>
      </c>
      <c r="J19" s="19">
        <f>-IF(J3&gt;'Mix 4 Summary'!$R$9,0,'Mix 4 Summary'!$B$22/'Mix 4 Summary'!$R$9)</f>
        <v>-223824.95666666667</v>
      </c>
      <c r="K19" s="19">
        <f>-IF(K3&gt;'Mix 4 Summary'!$R$9,0,'Mix 4 Summary'!$B$22/'Mix 4 Summary'!$R$9)</f>
        <v>-223824.95666666667</v>
      </c>
      <c r="L19" s="19">
        <f>-IF(L3&gt;'Mix 4 Summary'!$R$9,0,'Mix 4 Summary'!$B$22/'Mix 4 Summary'!$R$9)</f>
        <v>-223824.95666666667</v>
      </c>
      <c r="M19" s="19">
        <f>-IF(M3&gt;'Mix 4 Summary'!$R$9,0,'Mix 4 Summary'!$B$22/'Mix 4 Summary'!$R$9)</f>
        <v>-223824.95666666667</v>
      </c>
      <c r="N19" s="19">
        <f>-IF(N3&gt;'Mix 4 Summary'!$R$9,0,'Mix 4 Summary'!$B$22/'Mix 4 Summary'!$R$9)</f>
        <v>-223824.95666666667</v>
      </c>
      <c r="O19" s="19">
        <f>-IF(O3&gt;'Mix 4 Summary'!$R$9,0,'Mix 4 Summary'!$B$22/'Mix 4 Summary'!$R$9)</f>
        <v>-223824.95666666667</v>
      </c>
      <c r="P19" s="19">
        <f>-IF(P3&gt;'Mix 4 Summary'!$R$9,0,'Mix 4 Summary'!$B$22/'Mix 4 Summary'!$R$9)</f>
        <v>-223824.95666666667</v>
      </c>
      <c r="Q19" s="19">
        <f>-IF(Q3&gt;'Mix 4 Summary'!$R$9,0,'Mix 4 Summary'!$B$22/'Mix 4 Summary'!$R$9)</f>
        <v>-223824.95666666667</v>
      </c>
      <c r="R19" s="19">
        <f>-IF(R3&gt;'Mix 4 Summary'!$R$9,0,'Mix 4 Summary'!$B$22/'Mix 4 Summary'!$R$9)</f>
        <v>-223824.95666666667</v>
      </c>
      <c r="S19" s="19">
        <f>-IF(S3&gt;'Mix 4 Summary'!$R$9,0,'Mix 4 Summary'!$B$22/'Mix 4 Summary'!$R$9)</f>
        <v>-223824.95666666667</v>
      </c>
      <c r="T19" s="19">
        <f>-IF(T3&gt;'Mix 4 Summary'!$R$9,0,'Mix 4 Summary'!$B$22/'Mix 4 Summary'!$R$9)</f>
        <v>-223824.95666666667</v>
      </c>
      <c r="U19" s="19">
        <f>-IF(U3&gt;'Mix 4 Summary'!$R$9,0,'Mix 4 Summary'!$B$22/'Mix 4 Summary'!$R$9)</f>
        <v>-223824.95666666667</v>
      </c>
      <c r="V19" s="19">
        <f>-IF(V3&gt;'Mix 4 Summary'!$R$9,0,'Mix 4 Summary'!$B$22/'Mix 4 Summary'!$R$9)</f>
        <v>-223824.95666666667</v>
      </c>
      <c r="W19" s="19">
        <f>-IF(W3&gt;'Mix 4 Summary'!$R$9,0,'Mix 4 Summary'!$B$22/'Mix 4 Summary'!$R$9)</f>
        <v>-223824.95666666667</v>
      </c>
      <c r="X19" s="19">
        <f>-IF(X3&gt;'Mix 4 Summary'!$R$9,0,'Mix 4 Summary'!$B$22/'Mix 4 Summary'!$R$9)</f>
        <v>-223824.95666666667</v>
      </c>
      <c r="Y19" s="19">
        <f>-IF(Y3&gt;'Mix 4 Summary'!$R$9,0,'Mix 4 Summary'!$B$22/'Mix 4 Summary'!$R$9)</f>
        <v>-223824.95666666667</v>
      </c>
      <c r="Z19" s="19">
        <f>-IF(Z3&gt;'Mix 4 Summary'!$R$9,0,'Mix 4 Summary'!$B$22/'Mix 4 Summary'!$R$9)</f>
        <v>-223824.95666666667</v>
      </c>
      <c r="AA19" s="19">
        <f>-IF(AA3&gt;'Mix 4 Summary'!$R$9,0,'Mix 4 Summary'!$B$22/'Mix 4 Summary'!$R$9)</f>
        <v>-223824.95666666667</v>
      </c>
      <c r="AB19" s="19">
        <f>-IF(AB3&gt;'Mix 4 Summary'!$R$9,0,'Mix 4 Summary'!$B$22/'Mix 4 Summary'!$R$9)</f>
        <v>-223824.95666666667</v>
      </c>
      <c r="AC19" s="19"/>
      <c r="AD19" s="19">
        <f t="shared" ref="AD19" si="6">SUM(D19:AC19)</f>
        <v>-5595623.916666667</v>
      </c>
    </row>
    <row r="20" spans="1:30" x14ac:dyDescent="0.35">
      <c r="A20" s="4"/>
      <c r="B20" s="4"/>
      <c r="C20" s="4"/>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1:30" x14ac:dyDescent="0.35">
      <c r="A21" s="16" t="s">
        <v>50</v>
      </c>
      <c r="B21" s="16"/>
      <c r="C21" s="16"/>
      <c r="D21" s="25">
        <f>+D16+D19</f>
        <v>311928.80416666658</v>
      </c>
      <c r="E21" s="25">
        <f t="shared" ref="E21:AB21" si="7">+E16+E19</f>
        <v>311928.80416666658</v>
      </c>
      <c r="F21" s="25">
        <f t="shared" si="7"/>
        <v>311928.80416666658</v>
      </c>
      <c r="G21" s="25">
        <f t="shared" si="7"/>
        <v>311928.80416666658</v>
      </c>
      <c r="H21" s="25">
        <f t="shared" si="7"/>
        <v>311928.80416666658</v>
      </c>
      <c r="I21" s="25">
        <f t="shared" si="7"/>
        <v>311928.80416666658</v>
      </c>
      <c r="J21" s="25">
        <f t="shared" si="7"/>
        <v>311928.80416666658</v>
      </c>
      <c r="K21" s="25">
        <f t="shared" si="7"/>
        <v>311928.80416666658</v>
      </c>
      <c r="L21" s="25">
        <f t="shared" si="7"/>
        <v>311928.80416666658</v>
      </c>
      <c r="M21" s="25">
        <f t="shared" si="7"/>
        <v>311928.80416666658</v>
      </c>
      <c r="N21" s="25">
        <f t="shared" si="7"/>
        <v>311928.80416666658</v>
      </c>
      <c r="O21" s="25">
        <f t="shared" si="7"/>
        <v>311928.80416666658</v>
      </c>
      <c r="P21" s="25">
        <f t="shared" si="7"/>
        <v>311928.80416666658</v>
      </c>
      <c r="Q21" s="25">
        <f t="shared" si="7"/>
        <v>311928.80416666658</v>
      </c>
      <c r="R21" s="25">
        <f t="shared" si="7"/>
        <v>311928.80416666658</v>
      </c>
      <c r="S21" s="25">
        <f t="shared" si="7"/>
        <v>311928.80416666658</v>
      </c>
      <c r="T21" s="25">
        <f t="shared" si="7"/>
        <v>311928.80416666658</v>
      </c>
      <c r="U21" s="25">
        <f t="shared" si="7"/>
        <v>311928.80416666658</v>
      </c>
      <c r="V21" s="25">
        <f t="shared" si="7"/>
        <v>311928.80416666658</v>
      </c>
      <c r="W21" s="25">
        <f t="shared" si="7"/>
        <v>311928.80416666658</v>
      </c>
      <c r="X21" s="25">
        <f t="shared" si="7"/>
        <v>311928.80416666658</v>
      </c>
      <c r="Y21" s="25">
        <f t="shared" si="7"/>
        <v>311928.80416666658</v>
      </c>
      <c r="Z21" s="25">
        <f t="shared" si="7"/>
        <v>311928.80416666658</v>
      </c>
      <c r="AA21" s="25">
        <f t="shared" si="7"/>
        <v>311928.80416666658</v>
      </c>
      <c r="AB21" s="25">
        <f t="shared" si="7"/>
        <v>311928.80416666658</v>
      </c>
      <c r="AC21" s="26"/>
      <c r="AD21" s="25">
        <f t="shared" ref="AD21" si="8">+AD16-AD19</f>
        <v>34201779.895833336</v>
      </c>
    </row>
    <row r="22" spans="1:30" x14ac:dyDescent="0.35">
      <c r="A22" s="4"/>
      <c r="B22" s="4"/>
      <c r="C22" s="4"/>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1:30" x14ac:dyDescent="0.35">
      <c r="A23" s="4" t="s">
        <v>51</v>
      </c>
      <c r="B23" s="4"/>
      <c r="C23" s="4"/>
      <c r="D23" s="19">
        <f>'Mix 4 Interest Calcualtions'!E14</f>
        <v>-419671.79375000001</v>
      </c>
      <c r="E23" s="19">
        <f>'Mix 4 Interest Calcualtions'!F14</f>
        <v>-413498.13979161059</v>
      </c>
      <c r="F23" s="19">
        <f>'Mix 4 Interest Calcualtions'!G14</f>
        <v>-406861.46178634191</v>
      </c>
      <c r="G23" s="19">
        <f>'Mix 4 Interest Calcualtions'!H14</f>
        <v>-399727.03293067811</v>
      </c>
      <c r="H23" s="19">
        <f>'Mix 4 Interest Calcualtions'!I14</f>
        <v>-392057.52191083954</v>
      </c>
      <c r="I23" s="19">
        <f>'Mix 4 Interest Calcualtions'!J14</f>
        <v>-383812.79756451305</v>
      </c>
      <c r="J23" s="19">
        <f>'Mix 4 Interest Calcualtions'!K14</f>
        <v>-374949.71889221208</v>
      </c>
      <c r="K23" s="19">
        <f>'Mix 4 Interest Calcualtions'!L14</f>
        <v>-365421.90931948851</v>
      </c>
      <c r="L23" s="19">
        <f>'Mix 4 Interest Calcualtions'!M14</f>
        <v>-355179.51402881072</v>
      </c>
      <c r="M23" s="19">
        <f>'Mix 4 Interest Calcualtions'!N14</f>
        <v>-344168.93909133208</v>
      </c>
      <c r="N23" s="19">
        <f>'Mix 4 Interest Calcualtions'!O14</f>
        <v>-332332.57103354251</v>
      </c>
      <c r="O23" s="19">
        <f>'Mix 4 Interest Calcualtions'!P14</f>
        <v>-319608.47537141881</v>
      </c>
      <c r="P23" s="19">
        <f>'Mix 4 Interest Calcualtions'!Q14</f>
        <v>-305930.07253463578</v>
      </c>
      <c r="Q23" s="19">
        <f>'Mix 4 Interest Calcualtions'!R14</f>
        <v>-291225.78948509402</v>
      </c>
      <c r="R23" s="19">
        <f>'Mix 4 Interest Calcualtions'!S14</f>
        <v>-275418.68520683661</v>
      </c>
      <c r="S23" s="19">
        <f>'Mix 4 Interest Calcualtions'!T14</f>
        <v>-258426.04810770994</v>
      </c>
      <c r="T23" s="19">
        <f>'Mix 4 Interest Calcualtions'!U14</f>
        <v>-240158.96322614874</v>
      </c>
      <c r="U23" s="19">
        <f>'Mix 4 Interest Calcualtions'!V14</f>
        <v>-220521.84697847045</v>
      </c>
      <c r="V23" s="19">
        <f>'Mix 4 Interest Calcualtions'!W14</f>
        <v>-199411.94701221629</v>
      </c>
      <c r="W23" s="19">
        <f>'Mix 4 Interest Calcualtions'!X14</f>
        <v>-176718.80454849306</v>
      </c>
      <c r="X23" s="19">
        <f>'Mix 4 Interest Calcualtions'!Y14</f>
        <v>-152323.67639999063</v>
      </c>
      <c r="Y23" s="19">
        <f>'Mix 4 Interest Calcualtions'!Z14</f>
        <v>-126098.91364035048</v>
      </c>
      <c r="Z23" s="19">
        <f>'Mix 4 Interest Calcualtions'!AA14</f>
        <v>-97907.293673737338</v>
      </c>
      <c r="AA23" s="19">
        <f>'Mix 4 Interest Calcualtions'!AB14</f>
        <v>-67601.302209628193</v>
      </c>
      <c r="AB23" s="19">
        <f>'Mix 4 Interest Calcualtions'!AC14</f>
        <v>-35022.361385710865</v>
      </c>
      <c r="AC23" s="19"/>
      <c r="AD23" s="19">
        <f t="shared" ref="AD23" si="9">SUM(D23:AC23)</f>
        <v>-6954055.5798798092</v>
      </c>
    </row>
    <row r="24" spans="1:30" x14ac:dyDescent="0.35">
      <c r="A24" s="4"/>
      <c r="B24" s="4"/>
      <c r="C24" s="4"/>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15" thickBot="1" x14ac:dyDescent="0.4">
      <c r="A25" s="16" t="s">
        <v>54</v>
      </c>
      <c r="B25" s="16"/>
      <c r="C25" s="16"/>
      <c r="D25" s="28">
        <f>+D21+D23</f>
        <v>-107742.98958333343</v>
      </c>
      <c r="E25" s="28">
        <f t="shared" ref="E25:AB25" si="10">+E21+E23</f>
        <v>-101569.33562494401</v>
      </c>
      <c r="F25" s="28">
        <f t="shared" si="10"/>
        <v>-94932.65761967533</v>
      </c>
      <c r="G25" s="28">
        <f t="shared" si="10"/>
        <v>-87798.228764011525</v>
      </c>
      <c r="H25" s="28">
        <f t="shared" si="10"/>
        <v>-80128.717744172958</v>
      </c>
      <c r="I25" s="28">
        <f t="shared" si="10"/>
        <v>-71883.993397846469</v>
      </c>
      <c r="J25" s="28">
        <f t="shared" si="10"/>
        <v>-63020.914725545503</v>
      </c>
      <c r="K25" s="28">
        <f t="shared" si="10"/>
        <v>-53493.105152821925</v>
      </c>
      <c r="L25" s="28">
        <f t="shared" si="10"/>
        <v>-43250.70986214414</v>
      </c>
      <c r="M25" s="28">
        <f t="shared" si="10"/>
        <v>-32240.134924665501</v>
      </c>
      <c r="N25" s="28">
        <f t="shared" si="10"/>
        <v>-20403.766866875929</v>
      </c>
      <c r="O25" s="28">
        <f t="shared" si="10"/>
        <v>-7679.6712047522306</v>
      </c>
      <c r="P25" s="28">
        <f t="shared" si="10"/>
        <v>5998.7316320308018</v>
      </c>
      <c r="Q25" s="28">
        <f t="shared" si="10"/>
        <v>20703.01468157256</v>
      </c>
      <c r="R25" s="28">
        <f t="shared" si="10"/>
        <v>36510.118959829968</v>
      </c>
      <c r="S25" s="28">
        <f t="shared" si="10"/>
        <v>53502.756058956642</v>
      </c>
      <c r="T25" s="28">
        <f t="shared" si="10"/>
        <v>71769.840940517839</v>
      </c>
      <c r="U25" s="28">
        <f t="shared" si="10"/>
        <v>91406.957188196131</v>
      </c>
      <c r="V25" s="28">
        <f t="shared" si="10"/>
        <v>112516.85715445029</v>
      </c>
      <c r="W25" s="28">
        <f t="shared" si="10"/>
        <v>135209.99961817352</v>
      </c>
      <c r="X25" s="28">
        <f t="shared" si="10"/>
        <v>159605.12776667596</v>
      </c>
      <c r="Y25" s="28">
        <f t="shared" si="10"/>
        <v>185829.8905263161</v>
      </c>
      <c r="Z25" s="28">
        <f t="shared" si="10"/>
        <v>214021.51049292926</v>
      </c>
      <c r="AA25" s="28">
        <f t="shared" si="10"/>
        <v>244327.50195703839</v>
      </c>
      <c r="AB25" s="28">
        <f t="shared" si="10"/>
        <v>276906.44278095569</v>
      </c>
      <c r="AC25" s="19"/>
      <c r="AD25" s="25">
        <f t="shared" ref="AD25" si="11">+AD21-AD23</f>
        <v>41155835.475713149</v>
      </c>
    </row>
    <row r="26" spans="1:30" ht="15" thickTop="1" x14ac:dyDescent="0.35">
      <c r="A26" s="4"/>
      <c r="B26" s="4"/>
      <c r="C26" s="4"/>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row>
    <row r="27" spans="1:30" x14ac:dyDescent="0.35">
      <c r="D27" s="45">
        <f>D25/3000000*100</f>
        <v>-3.5914329861111143</v>
      </c>
      <c r="E27" s="45">
        <f t="shared" ref="E27:AB27" si="12">E25/3000000*100</f>
        <v>-3.3856445208314669</v>
      </c>
      <c r="F27" s="45">
        <f t="shared" si="12"/>
        <v>-3.1644219206558444</v>
      </c>
      <c r="G27" s="45">
        <f t="shared" si="12"/>
        <v>-2.9266076254670508</v>
      </c>
      <c r="H27" s="45">
        <f t="shared" si="12"/>
        <v>-2.6709572581390986</v>
      </c>
      <c r="I27" s="45">
        <f t="shared" si="12"/>
        <v>-2.3961331132615489</v>
      </c>
      <c r="J27" s="45">
        <f t="shared" si="12"/>
        <v>-2.1006971575181836</v>
      </c>
      <c r="K27" s="45">
        <f t="shared" si="12"/>
        <v>-1.7831035050940642</v>
      </c>
      <c r="L27" s="45">
        <f t="shared" si="12"/>
        <v>-1.4416903287381382</v>
      </c>
      <c r="M27" s="45">
        <f t="shared" si="12"/>
        <v>-1.0746711641555167</v>
      </c>
      <c r="N27" s="45">
        <f t="shared" si="12"/>
        <v>-0.68012556222919762</v>
      </c>
      <c r="O27" s="45">
        <f t="shared" si="12"/>
        <v>-0.25598904015840768</v>
      </c>
      <c r="P27" s="45">
        <f t="shared" si="12"/>
        <v>0.19995772106769341</v>
      </c>
      <c r="Q27" s="45">
        <f t="shared" si="12"/>
        <v>0.69010048938575197</v>
      </c>
      <c r="R27" s="45">
        <f t="shared" si="12"/>
        <v>1.2170039653276656</v>
      </c>
      <c r="S27" s="45">
        <f t="shared" si="12"/>
        <v>1.7834252019652215</v>
      </c>
      <c r="T27" s="45">
        <f t="shared" si="12"/>
        <v>2.3923280313505946</v>
      </c>
      <c r="U27" s="45">
        <f t="shared" si="12"/>
        <v>3.0468985729398708</v>
      </c>
      <c r="V27" s="45">
        <f t="shared" si="12"/>
        <v>3.7505619051483432</v>
      </c>
      <c r="W27" s="45">
        <f t="shared" si="12"/>
        <v>4.50699998727245</v>
      </c>
      <c r="X27" s="45">
        <f t="shared" si="12"/>
        <v>5.3201709255558649</v>
      </c>
      <c r="Y27" s="45">
        <f t="shared" si="12"/>
        <v>6.1943296842105369</v>
      </c>
      <c r="Z27" s="45">
        <f t="shared" si="12"/>
        <v>7.1340503497643075</v>
      </c>
      <c r="AA27" s="45">
        <f t="shared" si="12"/>
        <v>8.1442500652346119</v>
      </c>
      <c r="AB27" s="45">
        <f t="shared" si="12"/>
        <v>9.2302147593651895</v>
      </c>
    </row>
  </sheetData>
  <sheetProtection algorithmName="SHA-512" hashValue="n9zxh5N/ng4Xfd5MCueAjXbUxic40CtnHH2YqtMf04Nn3aHC93OQvLa7/kyTieDCfpiAmbAE5DBVVt9Kq0jg0A==" saltValue="Luq9fNWCqpRCiwJh0A7Ktw==" spinCount="100000" sheet="1" objects="1" scenarios="1" selectLockedCells="1" selectUnlockedCells="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A72E4-C3BD-4928-9A54-A4CDF0161BE6}">
  <dimension ref="A1:Z70"/>
  <sheetViews>
    <sheetView topLeftCell="E1" zoomScale="90" zoomScaleNormal="90" workbookViewId="0">
      <selection activeCell="W57" sqref="W57:Z57"/>
    </sheetView>
  </sheetViews>
  <sheetFormatPr defaultColWidth="16.453125" defaultRowHeight="14.5" x14ac:dyDescent="0.35"/>
  <cols>
    <col min="1" max="1" width="39.54296875" customWidth="1"/>
    <col min="2" max="2" width="22.7265625" customWidth="1"/>
    <col min="3" max="3" width="11.7265625" style="1" customWidth="1"/>
    <col min="4" max="4" width="12.1796875" customWidth="1"/>
    <col min="5" max="5" width="15.453125" customWidth="1"/>
    <col min="6" max="6" width="10.81640625" customWidth="1"/>
    <col min="7" max="7" width="11.54296875" customWidth="1"/>
    <col min="8" max="9" width="14.26953125" customWidth="1"/>
    <col min="10" max="10" width="12" customWidth="1"/>
    <col min="11" max="11" width="13.7265625" customWidth="1"/>
    <col min="12" max="12" width="12.26953125" customWidth="1"/>
    <col min="13" max="13" width="10.81640625" customWidth="1"/>
    <col min="14" max="14" width="10.7265625" customWidth="1"/>
    <col min="15" max="15" width="10.81640625" customWidth="1"/>
    <col min="16" max="16" width="11.54296875" customWidth="1"/>
    <col min="17" max="17" width="12.54296875" customWidth="1"/>
    <col min="18" max="18" width="11.54296875" customWidth="1"/>
    <col min="19" max="19" width="10.81640625" bestFit="1" customWidth="1"/>
    <col min="20" max="20" width="12.453125" customWidth="1"/>
    <col min="21" max="21" width="11.7265625" customWidth="1"/>
    <col min="22" max="22" width="12.54296875" customWidth="1"/>
    <col min="23" max="26" width="14.54296875" customWidth="1"/>
  </cols>
  <sheetData>
    <row r="1" spans="1:19" ht="21" x14ac:dyDescent="0.35">
      <c r="A1" s="58" t="s">
        <v>154</v>
      </c>
      <c r="B1" s="126" t="str">
        <f>'Generation &amp; Ops Scenarios'!G27</f>
        <v>100% renewable, Wind,Solar, Storage (updated Narec)</v>
      </c>
      <c r="C1" s="127"/>
      <c r="D1" s="127"/>
    </row>
    <row r="2" spans="1:19" ht="15" thickBot="1" x14ac:dyDescent="0.4">
      <c r="A2" s="29" t="s">
        <v>152</v>
      </c>
      <c r="B2" s="30">
        <f>'Generation &amp; Ops Scenarios'!G35+'Generation &amp; Ops Scenarios'!G36+'Generation &amp; Ops Scenarios'!G37</f>
        <v>3500</v>
      </c>
      <c r="C2" s="8"/>
      <c r="D2" s="8"/>
    </row>
    <row r="3" spans="1:19" ht="15" thickBot="1" x14ac:dyDescent="0.4">
      <c r="K3" s="170"/>
      <c r="L3" s="167"/>
      <c r="M3" s="168"/>
    </row>
    <row r="4" spans="1:19" ht="15" thickBot="1" x14ac:dyDescent="0.4">
      <c r="A4" s="426" t="s">
        <v>1</v>
      </c>
      <c r="B4" s="427"/>
      <c r="C4"/>
      <c r="D4" s="428" t="s">
        <v>2</v>
      </c>
      <c r="E4" s="429"/>
      <c r="F4" s="429"/>
      <c r="G4" s="429"/>
      <c r="H4" s="430"/>
      <c r="K4" s="428" t="s">
        <v>3</v>
      </c>
      <c r="L4" s="429"/>
      <c r="M4" s="430"/>
      <c r="P4" s="426" t="s">
        <v>77</v>
      </c>
      <c r="Q4" s="431"/>
      <c r="R4" s="427"/>
    </row>
    <row r="5" spans="1:19" x14ac:dyDescent="0.35">
      <c r="A5" t="s">
        <v>83</v>
      </c>
      <c r="B5" s="63">
        <f>'Generation &amp; Ops Scenarios'!G55</f>
        <v>0</v>
      </c>
      <c r="C5"/>
      <c r="D5" s="432" t="s">
        <v>9</v>
      </c>
      <c r="E5" s="433"/>
      <c r="F5" s="52"/>
      <c r="G5" s="52"/>
      <c r="H5" s="75">
        <f>'Generation &amp; Ops Scenarios'!$D$13</f>
        <v>160000</v>
      </c>
      <c r="K5" s="9" t="s">
        <v>153</v>
      </c>
      <c r="L5" s="52"/>
      <c r="M5" s="7">
        <f>H21</f>
        <v>1400000</v>
      </c>
      <c r="P5" s="434" t="s">
        <v>25</v>
      </c>
      <c r="Q5" s="435"/>
      <c r="R5" s="86">
        <f>'Generation &amp; Ops Scenarios'!$B$11</f>
        <v>1</v>
      </c>
    </row>
    <row r="6" spans="1:19" x14ac:dyDescent="0.35">
      <c r="A6" t="s">
        <v>84</v>
      </c>
      <c r="B6" s="64">
        <f>'Generation &amp; Ops Scenarios'!G56</f>
        <v>1000000</v>
      </c>
      <c r="C6"/>
      <c r="D6" s="432" t="s">
        <v>10</v>
      </c>
      <c r="E6" s="433"/>
      <c r="F6" s="52"/>
      <c r="G6" s="52"/>
      <c r="H6" s="76">
        <f>'Generation &amp; Ops Scenarios'!$D$12</f>
        <v>40000</v>
      </c>
      <c r="K6" s="9" t="s">
        <v>15</v>
      </c>
      <c r="L6" s="60"/>
      <c r="M6" s="56">
        <f>'Generation &amp; Ops Scenarios'!$B$2</f>
        <v>60</v>
      </c>
      <c r="P6" s="434" t="s">
        <v>5</v>
      </c>
      <c r="Q6" s="435"/>
      <c r="R6" s="74">
        <f>'Generation &amp; Ops Scenarios'!B14</f>
        <v>7.4999999999999997E-2</v>
      </c>
    </row>
    <row r="7" spans="1:19" x14ac:dyDescent="0.35">
      <c r="A7" t="s">
        <v>85</v>
      </c>
      <c r="B7" s="64">
        <f>'Generation &amp; Ops Scenarios'!G57</f>
        <v>3900000</v>
      </c>
      <c r="C7"/>
      <c r="D7" s="432" t="s">
        <v>11</v>
      </c>
      <c r="E7" s="433"/>
      <c r="F7" s="52"/>
      <c r="G7" s="52"/>
      <c r="H7" s="10">
        <f>SUM(H5:H6)</f>
        <v>200000</v>
      </c>
      <c r="K7" s="9" t="s">
        <v>28</v>
      </c>
      <c r="L7" s="60"/>
      <c r="M7" s="11">
        <v>0</v>
      </c>
      <c r="P7" s="434" t="s">
        <v>26</v>
      </c>
      <c r="Q7" s="435"/>
      <c r="R7" s="6">
        <f>R5*B22</f>
        <v>30279623.916666668</v>
      </c>
    </row>
    <row r="8" spans="1:19" x14ac:dyDescent="0.35">
      <c r="A8" t="s">
        <v>86</v>
      </c>
      <c r="B8" s="64">
        <f>'Generation &amp; Ops Scenarios'!G58</f>
        <v>18000000</v>
      </c>
      <c r="C8"/>
      <c r="D8" s="432"/>
      <c r="E8" s="433"/>
      <c r="F8" s="52"/>
      <c r="G8" s="52"/>
      <c r="H8" s="10"/>
      <c r="K8" s="436" t="s">
        <v>72</v>
      </c>
      <c r="L8" s="437"/>
      <c r="M8" s="32">
        <f>'Generation &amp; Ops Scenarios'!$G$10</f>
        <v>0</v>
      </c>
      <c r="P8" s="434" t="s">
        <v>27</v>
      </c>
      <c r="Q8" s="435"/>
      <c r="R8" s="88">
        <f>'Generation &amp; Ops Scenarios'!$B$12</f>
        <v>25</v>
      </c>
    </row>
    <row r="9" spans="1:19" x14ac:dyDescent="0.35">
      <c r="A9" t="s">
        <v>87</v>
      </c>
      <c r="B9" s="64">
        <f>'Generation &amp; Ops Scenarios'!G59</f>
        <v>100000</v>
      </c>
      <c r="C9"/>
      <c r="D9" s="49" t="s">
        <v>103</v>
      </c>
      <c r="E9" s="52"/>
      <c r="F9" s="52"/>
      <c r="G9" s="52"/>
      <c r="H9" s="54">
        <f>B5*'Generation &amp; Ops Scenarios'!$B$20</f>
        <v>0</v>
      </c>
      <c r="K9" s="436" t="s">
        <v>73</v>
      </c>
      <c r="L9" s="437"/>
      <c r="M9" s="32">
        <f>'Generation &amp; Ops Scenarios'!$G$11</f>
        <v>0</v>
      </c>
      <c r="P9" s="434" t="s">
        <v>53</v>
      </c>
      <c r="Q9" s="435"/>
      <c r="R9" s="6">
        <f>'Generation &amp; Ops Scenarios'!B13</f>
        <v>25</v>
      </c>
    </row>
    <row r="10" spans="1:19" x14ac:dyDescent="0.35">
      <c r="A10" t="s">
        <v>88</v>
      </c>
      <c r="B10" s="64">
        <f>SUM(B5:B9)*0.1</f>
        <v>2300000</v>
      </c>
      <c r="C10"/>
      <c r="D10" s="49" t="s">
        <v>105</v>
      </c>
      <c r="E10" s="52"/>
      <c r="F10" s="52"/>
      <c r="G10" s="52"/>
      <c r="H10" s="54">
        <f>B7*'Generation &amp; Ops Scenarios'!$B$21</f>
        <v>39000</v>
      </c>
      <c r="K10" s="436" t="s">
        <v>74</v>
      </c>
      <c r="L10" s="437"/>
      <c r="M10" s="32">
        <f>'Generation &amp; Ops Scenarios'!$G$12</f>
        <v>0</v>
      </c>
      <c r="P10" s="434" t="s">
        <v>56</v>
      </c>
      <c r="Q10" s="435"/>
      <c r="R10" s="15">
        <f>'Generation &amp; Ops Scenarios'!$G$16</f>
        <v>0</v>
      </c>
    </row>
    <row r="11" spans="1:19" ht="15" thickBot="1" x14ac:dyDescent="0.4">
      <c r="A11" t="s">
        <v>8</v>
      </c>
      <c r="B11" s="64">
        <f>SUM(B5:B10)*0.1</f>
        <v>2530000</v>
      </c>
      <c r="C11"/>
      <c r="D11" s="49" t="s">
        <v>107</v>
      </c>
      <c r="E11" s="52"/>
      <c r="F11" s="52"/>
      <c r="G11" s="52"/>
      <c r="H11" s="54">
        <f>B6*'Generation &amp; Ops Scenarios'!$B$22</f>
        <v>20000</v>
      </c>
      <c r="K11" s="438" t="s">
        <v>75</v>
      </c>
      <c r="L11" s="439"/>
      <c r="M11" s="61">
        <f>'Generation &amp; Ops Scenarios'!$G$13</f>
        <v>0</v>
      </c>
      <c r="P11" s="434" t="s">
        <v>55</v>
      </c>
      <c r="Q11" s="435"/>
      <c r="R11" s="15">
        <f>'Generation &amp; Ops Scenarios'!$G$17</f>
        <v>0</v>
      </c>
    </row>
    <row r="12" spans="1:19" ht="15" thickBot="1" x14ac:dyDescent="0.4">
      <c r="A12" t="s">
        <v>89</v>
      </c>
      <c r="B12" s="65">
        <f>SUM(B5:B11)</f>
        <v>27830000</v>
      </c>
      <c r="C12"/>
      <c r="D12" s="49" t="s">
        <v>108</v>
      </c>
      <c r="E12" s="52"/>
      <c r="F12" s="52"/>
      <c r="G12" s="52"/>
      <c r="H12" s="54">
        <f>B8*'Generation &amp; Ops Scenarios'!B23</f>
        <v>360000</v>
      </c>
      <c r="P12" s="440" t="s">
        <v>57</v>
      </c>
      <c r="Q12" s="441"/>
      <c r="R12" s="62">
        <f>'Generation &amp; Ops Scenarios'!$G$18</f>
        <v>0</v>
      </c>
    </row>
    <row r="13" spans="1:19" x14ac:dyDescent="0.35">
      <c r="B13" s="66"/>
      <c r="C13"/>
      <c r="D13" s="49" t="s">
        <v>109</v>
      </c>
      <c r="E13" s="52"/>
      <c r="F13" s="52"/>
      <c r="G13" s="52"/>
      <c r="H13" s="77">
        <f>B21*'Generation &amp; Ops Scenarios'!$B$24</f>
        <v>24496.23916666667</v>
      </c>
      <c r="K13" s="408" t="s">
        <v>230</v>
      </c>
      <c r="L13" s="409"/>
      <c r="M13" s="410"/>
    </row>
    <row r="14" spans="1:19" ht="15" thickBot="1" x14ac:dyDescent="0.4">
      <c r="A14" t="s">
        <v>166</v>
      </c>
      <c r="B14" s="64">
        <f>'Generation &amp; Ops Scenarios'!G64</f>
        <v>542630</v>
      </c>
      <c r="C14"/>
      <c r="D14" s="49" t="s">
        <v>162</v>
      </c>
      <c r="E14" s="52"/>
      <c r="F14" s="52"/>
      <c r="G14" s="52"/>
      <c r="H14" s="77">
        <f>'Generation &amp; Ops Scenarios'!B81*M5/100</f>
        <v>14000</v>
      </c>
      <c r="K14" s="405" t="s">
        <v>231</v>
      </c>
      <c r="L14" s="406"/>
      <c r="M14" s="407"/>
    </row>
    <row r="15" spans="1:19" x14ac:dyDescent="0.35">
      <c r="A15" t="s">
        <v>170</v>
      </c>
      <c r="B15" s="64">
        <f>'Generation &amp; Ops Scenarios'!G65</f>
        <v>359081.8</v>
      </c>
      <c r="C15"/>
      <c r="D15" s="49" t="s">
        <v>151</v>
      </c>
      <c r="E15" s="52"/>
      <c r="F15" s="52"/>
      <c r="G15" s="52"/>
      <c r="H15" s="56">
        <f>('Generation &amp; Ops Scenarios'!D15+('Generation &amp; Ops Scenarios'!D16*'Generation &amp; Ops Scenarios'!G37/100)+('Generation &amp; Ops Scenarios'!D17*'Generation &amp; Ops Scenarios'!G36/100))</f>
        <v>17250</v>
      </c>
      <c r="K15" s="292" t="s">
        <v>229</v>
      </c>
      <c r="L15" s="293"/>
      <c r="M15" s="294">
        <f>'Generation &amp; Ops Scenarios'!G48</f>
        <v>0</v>
      </c>
    </row>
    <row r="16" spans="1:19" x14ac:dyDescent="0.35">
      <c r="A16" t="s">
        <v>175</v>
      </c>
      <c r="B16" s="64">
        <f>'Generation &amp; Ops Scenarios'!G66</f>
        <v>196652.5</v>
      </c>
      <c r="C16"/>
      <c r="D16" s="80" t="s">
        <v>14</v>
      </c>
      <c r="E16" s="81"/>
      <c r="F16" s="52"/>
      <c r="G16" s="52"/>
      <c r="H16" s="31">
        <f>SUM(H7:H15)</f>
        <v>674746.23916666664</v>
      </c>
      <c r="J16" s="52"/>
      <c r="K16" s="295" t="s">
        <v>232</v>
      </c>
      <c r="L16" s="163"/>
      <c r="M16" s="87">
        <f>'Generation &amp; Ops Scenarios'!G41</f>
        <v>673796.79144385026</v>
      </c>
      <c r="N16" s="52"/>
      <c r="O16" s="52"/>
      <c r="P16" s="52"/>
      <c r="Q16" s="52"/>
      <c r="R16" s="52"/>
      <c r="S16" s="52"/>
    </row>
    <row r="17" spans="1:26" x14ac:dyDescent="0.35">
      <c r="A17" t="s">
        <v>174</v>
      </c>
      <c r="B17" s="64">
        <f>'Generation &amp; Ops Scenarios'!G67</f>
        <v>113166.53333333334</v>
      </c>
      <c r="C17"/>
      <c r="D17" s="82"/>
      <c r="E17" s="83"/>
      <c r="F17" s="52"/>
      <c r="G17" s="52"/>
      <c r="H17" s="10"/>
      <c r="J17" s="52"/>
      <c r="K17" s="295" t="s">
        <v>233</v>
      </c>
      <c r="L17" s="163"/>
      <c r="M17" s="87">
        <f>'Generation &amp; Ops Scenarios'!G42</f>
        <v>782203.20855614974</v>
      </c>
      <c r="N17" s="52"/>
      <c r="O17" s="52"/>
      <c r="P17" s="52"/>
      <c r="Q17" s="52"/>
      <c r="R17" s="52"/>
      <c r="S17" s="52"/>
    </row>
    <row r="18" spans="1:26" ht="15" thickBot="1" x14ac:dyDescent="0.4">
      <c r="A18" t="s">
        <v>182</v>
      </c>
      <c r="B18" s="64">
        <f>'Generation &amp; Ops Scenarios'!G68</f>
        <v>855400</v>
      </c>
      <c r="C18"/>
      <c r="D18" s="80" t="s">
        <v>12</v>
      </c>
      <c r="E18" s="81"/>
      <c r="F18" s="52"/>
      <c r="G18" s="52"/>
      <c r="H18" s="59">
        <f>'Generation &amp; Ops Scenarios'!B17</f>
        <v>87</v>
      </c>
      <c r="J18" s="52"/>
      <c r="K18" s="296" t="s">
        <v>234</v>
      </c>
      <c r="L18" s="261"/>
      <c r="M18" s="297">
        <f>SUM(M15:M17)</f>
        <v>1456000</v>
      </c>
      <c r="N18" s="52"/>
      <c r="O18" s="52"/>
      <c r="P18" s="52"/>
      <c r="Q18" s="52"/>
      <c r="R18" s="52"/>
      <c r="S18" s="52"/>
    </row>
    <row r="19" spans="1:26" x14ac:dyDescent="0.35">
      <c r="A19" t="s">
        <v>185</v>
      </c>
      <c r="B19" s="64">
        <f>'Generation &amp; Ops Scenarios'!G69</f>
        <v>160000</v>
      </c>
      <c r="C19"/>
      <c r="D19" s="80" t="s">
        <v>155</v>
      </c>
      <c r="E19" s="81"/>
      <c r="F19" s="52"/>
      <c r="G19" s="52"/>
      <c r="H19" s="67">
        <f>'Generation &amp; Ops Scenarios'!B18</f>
        <v>3.9583333333333335</v>
      </c>
      <c r="J19" s="52"/>
      <c r="K19" s="52"/>
      <c r="L19" s="52"/>
      <c r="M19" s="52"/>
      <c r="N19" s="52"/>
      <c r="O19" s="52"/>
      <c r="P19" s="52"/>
      <c r="Q19" s="52"/>
      <c r="R19" s="52"/>
      <c r="S19" s="52"/>
    </row>
    <row r="20" spans="1:26" x14ac:dyDescent="0.35">
      <c r="A20" t="s">
        <v>8</v>
      </c>
      <c r="B20" s="64">
        <f>SUM(B14:B19)*0.1</f>
        <v>222693.08333333337</v>
      </c>
      <c r="C20"/>
      <c r="D20" s="80"/>
      <c r="E20" s="81"/>
      <c r="F20" s="52"/>
      <c r="G20" s="52"/>
      <c r="H20" s="53"/>
      <c r="J20" s="52"/>
      <c r="K20" s="52"/>
      <c r="L20" s="52"/>
      <c r="M20" s="52"/>
      <c r="N20" s="52"/>
      <c r="O20" s="52"/>
      <c r="P20" s="52"/>
      <c r="Q20" s="52"/>
      <c r="R20" s="52"/>
      <c r="S20" s="52"/>
    </row>
    <row r="21" spans="1:26" x14ac:dyDescent="0.35">
      <c r="A21" t="s">
        <v>90</v>
      </c>
      <c r="B21" s="65">
        <f>SUM(B14:B20)</f>
        <v>2449623.916666667</v>
      </c>
      <c r="C21"/>
      <c r="D21" s="80" t="s">
        <v>13</v>
      </c>
      <c r="E21" s="81"/>
      <c r="F21" s="52"/>
      <c r="G21" s="52"/>
      <c r="H21" s="12">
        <f>'Generation &amp; Ops Scenarios'!B3</f>
        <v>1400000</v>
      </c>
      <c r="J21" s="52"/>
      <c r="K21" s="52"/>
      <c r="L21" s="52"/>
      <c r="M21" s="52"/>
      <c r="N21" s="52"/>
      <c r="O21" s="52"/>
      <c r="P21" s="52"/>
      <c r="Q21" s="52"/>
      <c r="R21" s="52"/>
      <c r="S21" s="52"/>
    </row>
    <row r="22" spans="1:26" ht="15" thickBot="1" x14ac:dyDescent="0.4">
      <c r="A22" s="2" t="s">
        <v>6</v>
      </c>
      <c r="B22" s="23">
        <f>B12+B21</f>
        <v>30279623.916666668</v>
      </c>
      <c r="C22"/>
      <c r="D22" s="80"/>
      <c r="E22" s="81"/>
      <c r="F22" s="52"/>
      <c r="G22" s="52"/>
      <c r="H22" s="13"/>
      <c r="J22" s="52"/>
      <c r="K22" s="52"/>
      <c r="L22" s="52"/>
      <c r="M22" s="52"/>
      <c r="N22" s="52"/>
      <c r="O22" s="52"/>
      <c r="P22" s="52"/>
      <c r="Q22" s="52"/>
      <c r="R22" s="52"/>
      <c r="S22" s="52"/>
    </row>
    <row r="23" spans="1:26" x14ac:dyDescent="0.35">
      <c r="A23" s="52"/>
      <c r="B23" s="57"/>
      <c r="C23"/>
      <c r="D23" s="72" t="s">
        <v>157</v>
      </c>
      <c r="E23" s="69"/>
      <c r="F23" s="52"/>
      <c r="G23" s="52"/>
      <c r="H23" s="290">
        <f>H18/H19</f>
        <v>21.978947368421053</v>
      </c>
      <c r="J23" s="52"/>
      <c r="K23" s="52"/>
      <c r="L23" s="52"/>
      <c r="M23" s="52"/>
      <c r="N23" s="52"/>
      <c r="O23" s="52"/>
      <c r="P23" s="52"/>
      <c r="Q23" s="52"/>
      <c r="R23" s="52"/>
      <c r="S23" s="52"/>
    </row>
    <row r="24" spans="1:26" ht="15" thickBot="1" x14ac:dyDescent="0.4">
      <c r="A24" s="52"/>
      <c r="B24" s="57"/>
      <c r="C24"/>
      <c r="D24" s="71" t="s">
        <v>156</v>
      </c>
      <c r="E24" s="73"/>
      <c r="F24" s="3"/>
      <c r="G24" s="3"/>
      <c r="H24" s="291">
        <f>-'100% Renewable Cash Flow'!D8/H21*100</f>
        <v>0</v>
      </c>
      <c r="J24" s="52"/>
      <c r="K24" s="52"/>
      <c r="L24" s="52"/>
      <c r="M24" s="52"/>
      <c r="N24" s="52"/>
      <c r="O24" s="52"/>
      <c r="P24" s="52"/>
      <c r="Q24" s="52"/>
      <c r="R24" s="52"/>
      <c r="S24" s="52"/>
    </row>
    <row r="25" spans="1:26" x14ac:dyDescent="0.35">
      <c r="A25" s="52"/>
      <c r="B25" s="57"/>
      <c r="C25"/>
      <c r="D25" s="69"/>
      <c r="E25" s="70"/>
      <c r="F25" s="52"/>
      <c r="G25" s="52"/>
      <c r="H25" s="68"/>
      <c r="J25" s="52"/>
      <c r="K25" s="52"/>
      <c r="L25" s="52"/>
      <c r="M25" s="52"/>
      <c r="N25" s="52"/>
      <c r="O25" s="52"/>
      <c r="P25" s="52"/>
      <c r="Q25" s="52"/>
      <c r="R25" s="52"/>
      <c r="S25" s="52"/>
    </row>
    <row r="26" spans="1:26" s="89" customFormat="1" ht="14.15" customHeight="1" thickBot="1" x14ac:dyDescent="0.4">
      <c r="C26" s="90"/>
    </row>
    <row r="27" spans="1:26" s="89" customFormat="1" ht="15" thickBot="1" x14ac:dyDescent="0.4">
      <c r="A27" s="165"/>
      <c r="B27" s="92" t="s">
        <v>7</v>
      </c>
      <c r="C27" s="93"/>
      <c r="D27" s="93"/>
      <c r="E27" s="93"/>
      <c r="F27" s="93"/>
      <c r="G27" s="93"/>
      <c r="H27" s="93"/>
      <c r="I27" s="93"/>
      <c r="J27" s="93"/>
      <c r="K27" s="93"/>
      <c r="L27" s="93"/>
      <c r="M27" s="93"/>
      <c r="N27" s="93"/>
      <c r="O27" s="93"/>
      <c r="P27" s="93"/>
      <c r="Q27" s="93"/>
      <c r="R27" s="93"/>
      <c r="S27" s="93"/>
      <c r="T27" s="93"/>
      <c r="U27" s="93"/>
      <c r="V27" s="93"/>
      <c r="W27" s="93"/>
      <c r="X27" s="93"/>
      <c r="Y27" s="93"/>
      <c r="Z27" s="94"/>
    </row>
    <row r="28" spans="1:26" s="89" customFormat="1" x14ac:dyDescent="0.35">
      <c r="A28" s="111"/>
      <c r="B28" s="164">
        <v>1</v>
      </c>
      <c r="C28" s="164">
        <v>2</v>
      </c>
      <c r="D28" s="164">
        <v>3</v>
      </c>
      <c r="E28" s="164">
        <v>4</v>
      </c>
      <c r="F28" s="164">
        <v>5</v>
      </c>
      <c r="G28" s="164">
        <v>6</v>
      </c>
      <c r="H28" s="164">
        <v>7</v>
      </c>
      <c r="I28" s="164">
        <v>8</v>
      </c>
      <c r="J28" s="164">
        <v>9</v>
      </c>
      <c r="K28" s="164">
        <v>10</v>
      </c>
      <c r="L28" s="164">
        <v>11</v>
      </c>
      <c r="M28" s="164">
        <v>12</v>
      </c>
      <c r="N28" s="164">
        <v>13</v>
      </c>
      <c r="O28" s="164">
        <v>14</v>
      </c>
      <c r="P28" s="164">
        <v>15</v>
      </c>
      <c r="Q28" s="164">
        <v>16</v>
      </c>
      <c r="R28" s="164">
        <v>17</v>
      </c>
      <c r="S28" s="164">
        <v>18</v>
      </c>
      <c r="T28" s="164">
        <v>19</v>
      </c>
      <c r="U28" s="164">
        <v>20</v>
      </c>
      <c r="V28" s="164">
        <v>21</v>
      </c>
      <c r="W28" s="164">
        <v>22</v>
      </c>
      <c r="X28" s="164">
        <v>23</v>
      </c>
      <c r="Y28" s="164">
        <v>24</v>
      </c>
      <c r="Z28" s="164">
        <v>25</v>
      </c>
    </row>
    <row r="29" spans="1:26" s="89" customFormat="1" x14ac:dyDescent="0.35">
      <c r="A29" s="97" t="s">
        <v>65</v>
      </c>
      <c r="B29" s="98">
        <f>'100% Renewable Profit and Loss'!D8</f>
        <v>840000</v>
      </c>
      <c r="C29" s="98">
        <f>'100% Renewable Profit and Loss'!E8</f>
        <v>840000</v>
      </c>
      <c r="D29" s="98">
        <f>'100% Renewable Profit and Loss'!F8</f>
        <v>840000</v>
      </c>
      <c r="E29" s="98">
        <f>'100% Renewable Profit and Loss'!G8</f>
        <v>840000</v>
      </c>
      <c r="F29" s="98">
        <f>'100% Renewable Profit and Loss'!H8</f>
        <v>840000</v>
      </c>
      <c r="G29" s="98">
        <f>'100% Renewable Profit and Loss'!I8</f>
        <v>840000</v>
      </c>
      <c r="H29" s="98">
        <f>'100% Renewable Profit and Loss'!J8</f>
        <v>840000</v>
      </c>
      <c r="I29" s="98">
        <f>'100% Renewable Profit and Loss'!K8</f>
        <v>840000</v>
      </c>
      <c r="J29" s="98">
        <f>'100% Renewable Profit and Loss'!L8</f>
        <v>840000</v>
      </c>
      <c r="K29" s="98">
        <f>'100% Renewable Profit and Loss'!M8</f>
        <v>840000</v>
      </c>
      <c r="L29" s="98">
        <f>'100% Renewable Profit and Loss'!N8</f>
        <v>840000</v>
      </c>
      <c r="M29" s="98">
        <f>'100% Renewable Profit and Loss'!O8</f>
        <v>840000</v>
      </c>
      <c r="N29" s="98">
        <f>'100% Renewable Profit and Loss'!P8</f>
        <v>840000</v>
      </c>
      <c r="O29" s="98">
        <f>'100% Renewable Profit and Loss'!Q8</f>
        <v>840000</v>
      </c>
      <c r="P29" s="98">
        <f>'100% Renewable Profit and Loss'!R8</f>
        <v>840000</v>
      </c>
      <c r="Q29" s="98">
        <f>'100% Renewable Profit and Loss'!S8</f>
        <v>840000</v>
      </c>
      <c r="R29" s="98">
        <f>'100% Renewable Profit and Loss'!T8</f>
        <v>840000</v>
      </c>
      <c r="S29" s="98">
        <f>'100% Renewable Profit and Loss'!U8</f>
        <v>840000</v>
      </c>
      <c r="T29" s="98">
        <f>'100% Renewable Profit and Loss'!V8</f>
        <v>840000</v>
      </c>
      <c r="U29" s="98">
        <f>'100% Renewable Profit and Loss'!W8</f>
        <v>840000</v>
      </c>
      <c r="V29" s="98">
        <f>'100% Renewable Profit and Loss'!X8</f>
        <v>840000</v>
      </c>
      <c r="W29" s="98">
        <f>'100% Renewable Profit and Loss'!Y8</f>
        <v>840000</v>
      </c>
      <c r="X29" s="98">
        <f>'100% Renewable Profit and Loss'!Z8</f>
        <v>840000</v>
      </c>
      <c r="Y29" s="98">
        <f>'100% Renewable Profit and Loss'!AA8</f>
        <v>840000</v>
      </c>
      <c r="Z29" s="98">
        <f>'100% Renewable Profit and Loss'!AB8</f>
        <v>840000</v>
      </c>
    </row>
    <row r="30" spans="1:26" s="89" customFormat="1" x14ac:dyDescent="0.35">
      <c r="A30" s="99" t="s">
        <v>66</v>
      </c>
      <c r="B30" s="98">
        <f>'100% Renewable Profit and Loss'!D14</f>
        <v>-674746.23916666664</v>
      </c>
      <c r="C30" s="98">
        <f>'100% Renewable Profit and Loss'!E14</f>
        <v>-674746.23916666664</v>
      </c>
      <c r="D30" s="98">
        <f>'100% Renewable Profit and Loss'!F14</f>
        <v>-674746.23916666664</v>
      </c>
      <c r="E30" s="98">
        <f>'100% Renewable Profit and Loss'!G14</f>
        <v>-674746.23916666664</v>
      </c>
      <c r="F30" s="98">
        <f>'100% Renewable Profit and Loss'!H14</f>
        <v>-674746.23916666664</v>
      </c>
      <c r="G30" s="98">
        <f>'100% Renewable Profit and Loss'!I14</f>
        <v>-674746.23916666664</v>
      </c>
      <c r="H30" s="98">
        <f>'100% Renewable Profit and Loss'!J14</f>
        <v>-674746.23916666664</v>
      </c>
      <c r="I30" s="98">
        <f>'100% Renewable Profit and Loss'!K14</f>
        <v>-674746.23916666664</v>
      </c>
      <c r="J30" s="98">
        <f>'100% Renewable Profit and Loss'!L14</f>
        <v>-674746.23916666664</v>
      </c>
      <c r="K30" s="98">
        <f>'100% Renewable Profit and Loss'!M14</f>
        <v>-674746.23916666664</v>
      </c>
      <c r="L30" s="98">
        <f>'100% Renewable Profit and Loss'!N14</f>
        <v>-674746.23916666664</v>
      </c>
      <c r="M30" s="98">
        <f>'100% Renewable Profit and Loss'!O14</f>
        <v>-674746.23916666664</v>
      </c>
      <c r="N30" s="98">
        <f>'100% Renewable Profit and Loss'!P14</f>
        <v>-674746.23916666664</v>
      </c>
      <c r="O30" s="98">
        <f>'100% Renewable Profit and Loss'!Q14</f>
        <v>-674746.23916666664</v>
      </c>
      <c r="P30" s="98">
        <f>'100% Renewable Profit and Loss'!R14</f>
        <v>-674746.23916666664</v>
      </c>
      <c r="Q30" s="98">
        <f>'100% Renewable Profit and Loss'!S14</f>
        <v>-674746.23916666664</v>
      </c>
      <c r="R30" s="98">
        <f>'100% Renewable Profit and Loss'!T14</f>
        <v>-674746.23916666664</v>
      </c>
      <c r="S30" s="98">
        <f>'100% Renewable Profit and Loss'!U14</f>
        <v>-674746.23916666664</v>
      </c>
      <c r="T30" s="98">
        <f>'100% Renewable Profit and Loss'!V14</f>
        <v>-674746.23916666664</v>
      </c>
      <c r="U30" s="98">
        <f>'100% Renewable Profit and Loss'!W14</f>
        <v>-674746.23916666664</v>
      </c>
      <c r="V30" s="98">
        <f>'100% Renewable Profit and Loss'!X14</f>
        <v>-674746.23916666664</v>
      </c>
      <c r="W30" s="98">
        <f>'100% Renewable Profit and Loss'!Y14</f>
        <v>-674746.23916666664</v>
      </c>
      <c r="X30" s="98">
        <f>'100% Renewable Profit and Loss'!Z14</f>
        <v>-674746.23916666664</v>
      </c>
      <c r="Y30" s="98">
        <f>'100% Renewable Profit and Loss'!AA14</f>
        <v>-674746.23916666664</v>
      </c>
      <c r="Z30" s="98">
        <f>'100% Renewable Profit and Loss'!AB14</f>
        <v>-674746.23916666664</v>
      </c>
    </row>
    <row r="31" spans="1:26" s="89" customFormat="1" x14ac:dyDescent="0.35">
      <c r="A31" s="100" t="s">
        <v>67</v>
      </c>
      <c r="B31" s="101">
        <f>SUM(B29:B30)</f>
        <v>165253.76083333336</v>
      </c>
      <c r="C31" s="101">
        <f t="shared" ref="C31:U31" si="0">SUM(C29:C30)</f>
        <v>165253.76083333336</v>
      </c>
      <c r="D31" s="101">
        <f t="shared" si="0"/>
        <v>165253.76083333336</v>
      </c>
      <c r="E31" s="101">
        <f t="shared" si="0"/>
        <v>165253.76083333336</v>
      </c>
      <c r="F31" s="101">
        <f t="shared" si="0"/>
        <v>165253.76083333336</v>
      </c>
      <c r="G31" s="101">
        <f t="shared" si="0"/>
        <v>165253.76083333336</v>
      </c>
      <c r="H31" s="101">
        <f t="shared" si="0"/>
        <v>165253.76083333336</v>
      </c>
      <c r="I31" s="101">
        <f t="shared" si="0"/>
        <v>165253.76083333336</v>
      </c>
      <c r="J31" s="101">
        <f t="shared" si="0"/>
        <v>165253.76083333336</v>
      </c>
      <c r="K31" s="101">
        <f t="shared" si="0"/>
        <v>165253.76083333336</v>
      </c>
      <c r="L31" s="101">
        <f t="shared" si="0"/>
        <v>165253.76083333336</v>
      </c>
      <c r="M31" s="101">
        <f t="shared" si="0"/>
        <v>165253.76083333336</v>
      </c>
      <c r="N31" s="101">
        <f t="shared" si="0"/>
        <v>165253.76083333336</v>
      </c>
      <c r="O31" s="101">
        <f t="shared" si="0"/>
        <v>165253.76083333336</v>
      </c>
      <c r="P31" s="101">
        <f t="shared" si="0"/>
        <v>165253.76083333336</v>
      </c>
      <c r="Q31" s="101">
        <f t="shared" si="0"/>
        <v>165253.76083333336</v>
      </c>
      <c r="R31" s="101">
        <f t="shared" si="0"/>
        <v>165253.76083333336</v>
      </c>
      <c r="S31" s="101">
        <f t="shared" si="0"/>
        <v>165253.76083333336</v>
      </c>
      <c r="T31" s="101">
        <f t="shared" si="0"/>
        <v>165253.76083333336</v>
      </c>
      <c r="U31" s="101">
        <f t="shared" si="0"/>
        <v>165253.76083333336</v>
      </c>
      <c r="V31" s="101">
        <f t="shared" ref="V31:Z31" si="1">SUM(V29:V30)</f>
        <v>165253.76083333336</v>
      </c>
      <c r="W31" s="101">
        <f t="shared" si="1"/>
        <v>165253.76083333336</v>
      </c>
      <c r="X31" s="101">
        <f t="shared" si="1"/>
        <v>165253.76083333336</v>
      </c>
      <c r="Y31" s="101">
        <f t="shared" si="1"/>
        <v>165253.76083333336</v>
      </c>
      <c r="Z31" s="101">
        <f t="shared" si="1"/>
        <v>165253.76083333336</v>
      </c>
    </row>
    <row r="32" spans="1:26" s="89" customFormat="1" x14ac:dyDescent="0.35">
      <c r="A32" s="99" t="s">
        <v>68</v>
      </c>
      <c r="B32" s="98">
        <f>'100% Renewable Profit and Loss'!D19</f>
        <v>-1211184.9566666668</v>
      </c>
      <c r="C32" s="98">
        <f>'100% Renewable Profit and Loss'!E19</f>
        <v>-1211184.9566666668</v>
      </c>
      <c r="D32" s="98">
        <f>'100% Renewable Profit and Loss'!F19</f>
        <v>-1211184.9566666668</v>
      </c>
      <c r="E32" s="98">
        <f>'100% Renewable Profit and Loss'!G19</f>
        <v>-1211184.9566666668</v>
      </c>
      <c r="F32" s="98">
        <f>'100% Renewable Profit and Loss'!H19</f>
        <v>-1211184.9566666668</v>
      </c>
      <c r="G32" s="98">
        <f>'100% Renewable Profit and Loss'!I19</f>
        <v>-1211184.9566666668</v>
      </c>
      <c r="H32" s="98">
        <f>'100% Renewable Profit and Loss'!J19</f>
        <v>-1211184.9566666668</v>
      </c>
      <c r="I32" s="98">
        <f>'100% Renewable Profit and Loss'!K19</f>
        <v>-1211184.9566666668</v>
      </c>
      <c r="J32" s="98">
        <f>'100% Renewable Profit and Loss'!L19</f>
        <v>-1211184.9566666668</v>
      </c>
      <c r="K32" s="98">
        <f>'100% Renewable Profit and Loss'!M19</f>
        <v>-1211184.9566666668</v>
      </c>
      <c r="L32" s="98">
        <f>'100% Renewable Profit and Loss'!N19</f>
        <v>-1211184.9566666668</v>
      </c>
      <c r="M32" s="98">
        <f>'100% Renewable Profit and Loss'!O19</f>
        <v>-1211184.9566666668</v>
      </c>
      <c r="N32" s="98">
        <f>'100% Renewable Profit and Loss'!P19</f>
        <v>-1211184.9566666668</v>
      </c>
      <c r="O32" s="98">
        <f>'100% Renewable Profit and Loss'!Q19</f>
        <v>-1211184.9566666668</v>
      </c>
      <c r="P32" s="98">
        <f>'100% Renewable Profit and Loss'!R19</f>
        <v>-1211184.9566666668</v>
      </c>
      <c r="Q32" s="98">
        <f>'100% Renewable Profit and Loss'!S19</f>
        <v>-1211184.9566666668</v>
      </c>
      <c r="R32" s="98">
        <f>'100% Renewable Profit and Loss'!T19</f>
        <v>-1211184.9566666668</v>
      </c>
      <c r="S32" s="98">
        <f>'100% Renewable Profit and Loss'!U19</f>
        <v>-1211184.9566666668</v>
      </c>
      <c r="T32" s="98">
        <f>'100% Renewable Profit and Loss'!V19</f>
        <v>-1211184.9566666668</v>
      </c>
      <c r="U32" s="98">
        <f>'100% Renewable Profit and Loss'!W19</f>
        <v>-1211184.9566666668</v>
      </c>
      <c r="V32" s="98">
        <f>'100% Renewable Profit and Loss'!X19</f>
        <v>-1211184.9566666668</v>
      </c>
      <c r="W32" s="98">
        <f>'100% Renewable Profit and Loss'!Y19</f>
        <v>-1211184.9566666668</v>
      </c>
      <c r="X32" s="98">
        <f>'100% Renewable Profit and Loss'!Z19</f>
        <v>-1211184.9566666668</v>
      </c>
      <c r="Y32" s="98">
        <f>'100% Renewable Profit and Loss'!AA19</f>
        <v>-1211184.9566666668</v>
      </c>
      <c r="Z32" s="98">
        <f>'100% Renewable Profit and Loss'!AB19</f>
        <v>-1211184.9566666668</v>
      </c>
    </row>
    <row r="33" spans="1:26" s="89" customFormat="1" x14ac:dyDescent="0.35">
      <c r="A33" s="100" t="s">
        <v>64</v>
      </c>
      <c r="B33" s="101">
        <f>SUM(B31:B32)</f>
        <v>-1045931.1958333334</v>
      </c>
      <c r="C33" s="101">
        <f t="shared" ref="C33:U33" si="2">SUM(C31:C32)</f>
        <v>-1045931.1958333334</v>
      </c>
      <c r="D33" s="101">
        <f t="shared" si="2"/>
        <v>-1045931.1958333334</v>
      </c>
      <c r="E33" s="101">
        <f t="shared" si="2"/>
        <v>-1045931.1958333334</v>
      </c>
      <c r="F33" s="101">
        <f t="shared" si="2"/>
        <v>-1045931.1958333334</v>
      </c>
      <c r="G33" s="101">
        <f t="shared" si="2"/>
        <v>-1045931.1958333334</v>
      </c>
      <c r="H33" s="101">
        <f t="shared" si="2"/>
        <v>-1045931.1958333334</v>
      </c>
      <c r="I33" s="101">
        <f t="shared" si="2"/>
        <v>-1045931.1958333334</v>
      </c>
      <c r="J33" s="101">
        <f t="shared" si="2"/>
        <v>-1045931.1958333334</v>
      </c>
      <c r="K33" s="101">
        <f t="shared" si="2"/>
        <v>-1045931.1958333334</v>
      </c>
      <c r="L33" s="101">
        <f t="shared" si="2"/>
        <v>-1045931.1958333334</v>
      </c>
      <c r="M33" s="101">
        <f t="shared" si="2"/>
        <v>-1045931.1958333334</v>
      </c>
      <c r="N33" s="101">
        <f t="shared" si="2"/>
        <v>-1045931.1958333334</v>
      </c>
      <c r="O33" s="101">
        <f t="shared" si="2"/>
        <v>-1045931.1958333334</v>
      </c>
      <c r="P33" s="101">
        <f t="shared" si="2"/>
        <v>-1045931.1958333334</v>
      </c>
      <c r="Q33" s="101">
        <f t="shared" si="2"/>
        <v>-1045931.1958333334</v>
      </c>
      <c r="R33" s="101">
        <f t="shared" si="2"/>
        <v>-1045931.1958333334</v>
      </c>
      <c r="S33" s="101">
        <f t="shared" si="2"/>
        <v>-1045931.1958333334</v>
      </c>
      <c r="T33" s="101">
        <f t="shared" si="2"/>
        <v>-1045931.1958333334</v>
      </c>
      <c r="U33" s="101">
        <f t="shared" si="2"/>
        <v>-1045931.1958333334</v>
      </c>
      <c r="V33" s="101">
        <f t="shared" ref="V33:Z33" si="3">SUM(V31:V32)</f>
        <v>-1045931.1958333334</v>
      </c>
      <c r="W33" s="101">
        <f t="shared" si="3"/>
        <v>-1045931.1958333334</v>
      </c>
      <c r="X33" s="101">
        <f t="shared" si="3"/>
        <v>-1045931.1958333334</v>
      </c>
      <c r="Y33" s="101">
        <f t="shared" si="3"/>
        <v>-1045931.1958333334</v>
      </c>
      <c r="Z33" s="101">
        <f t="shared" si="3"/>
        <v>-1045931.1958333334</v>
      </c>
    </row>
    <row r="34" spans="1:26" s="89" customFormat="1" x14ac:dyDescent="0.35">
      <c r="A34" s="95" t="s">
        <v>69</v>
      </c>
      <c r="B34" s="102">
        <f>'100% Renewable Profit and Loss'!D23</f>
        <v>-2270971.7937500002</v>
      </c>
      <c r="C34" s="102">
        <f>'100% Renewable Profit and Loss'!E23</f>
        <v>-2237564.2733669952</v>
      </c>
      <c r="D34" s="102">
        <f>'100% Renewable Profit and Loss'!F23</f>
        <v>-2201651.1889552646</v>
      </c>
      <c r="E34" s="102">
        <f>'100% Renewable Profit and Loss'!G23</f>
        <v>-2163044.6232126541</v>
      </c>
      <c r="F34" s="102">
        <f>'100% Renewable Profit and Loss'!H23</f>
        <v>-2121542.5650393483</v>
      </c>
      <c r="G34" s="102">
        <f>'100% Renewable Profit and Loss'!I23</f>
        <v>-2076927.8525030443</v>
      </c>
      <c r="H34" s="102">
        <f>'100% Renewable Profit and Loss'!J23</f>
        <v>-2028967.0365265175</v>
      </c>
      <c r="I34" s="102">
        <f>'100% Renewable Profit and Loss'!K23</f>
        <v>-1977409.1593517512</v>
      </c>
      <c r="J34" s="102">
        <f>'100% Renewable Profit and Loss'!L23</f>
        <v>-1921984.4413888776</v>
      </c>
      <c r="K34" s="102">
        <f>'100% Renewable Profit and Loss'!M23</f>
        <v>-1862402.8695787883</v>
      </c>
      <c r="L34" s="102">
        <f>'100% Renewable Profit and Loss'!N23</f>
        <v>-1798352.6798829422</v>
      </c>
      <c r="M34" s="102">
        <f>'100% Renewable Profit and Loss'!O23</f>
        <v>-1729498.7259599078</v>
      </c>
      <c r="N34" s="102">
        <f>'100% Renewable Profit and Loss'!P23</f>
        <v>-1655480.7254926458</v>
      </c>
      <c r="O34" s="102">
        <f>'100% Renewable Profit and Loss'!Q23</f>
        <v>-1575911.3749903392</v>
      </c>
      <c r="P34" s="102">
        <f>'100% Renewable Profit and Loss'!R23</f>
        <v>-1490374.3232003592</v>
      </c>
      <c r="Q34" s="102">
        <f>'100% Renewable Profit and Loss'!S23</f>
        <v>-1398421.992526131</v>
      </c>
      <c r="R34" s="102">
        <f>'100% Renewable Profit and Loss'!T23</f>
        <v>-1299573.2370513359</v>
      </c>
      <c r="S34" s="102">
        <f>'100% Renewable Profit and Loss'!U23</f>
        <v>-1193310.8249159309</v>
      </c>
      <c r="T34" s="102">
        <f>'100% Renewable Profit and Loss'!V23</f>
        <v>-1079078.7318703705</v>
      </c>
      <c r="U34" s="102">
        <f>'100% Renewable Profit and Loss'!W23</f>
        <v>-956279.2318463932</v>
      </c>
      <c r="V34" s="102">
        <f>'100% Renewable Profit and Loss'!X23</f>
        <v>-824269.76932061755</v>
      </c>
      <c r="W34" s="102">
        <f>'100% Renewable Profit and Loss'!Y23</f>
        <v>-682359.59710540867</v>
      </c>
      <c r="X34" s="102">
        <f>'100% Renewable Profit and Loss'!Z23</f>
        <v>-529806.16197405907</v>
      </c>
      <c r="Y34" s="102">
        <f>'100% Renewable Profit and Loss'!AA23</f>
        <v>-365811.21920785849</v>
      </c>
      <c r="Z34" s="102">
        <f>'100% Renewable Profit and Loss'!AB23</f>
        <v>-189516.65573419275</v>
      </c>
    </row>
    <row r="35" spans="1:26" s="89" customFormat="1" ht="15" thickBot="1" x14ac:dyDescent="0.4">
      <c r="A35" s="103" t="s">
        <v>70</v>
      </c>
      <c r="B35" s="104">
        <f>SUM(B33:B34)</f>
        <v>-3316902.9895833335</v>
      </c>
      <c r="C35" s="104">
        <f t="shared" ref="C35:U35" si="4">SUM(C33:C34)</f>
        <v>-3283495.4692003285</v>
      </c>
      <c r="D35" s="104">
        <f t="shared" si="4"/>
        <v>-3247582.3847885979</v>
      </c>
      <c r="E35" s="104">
        <f t="shared" si="4"/>
        <v>-3208975.8190459874</v>
      </c>
      <c r="F35" s="104">
        <f t="shared" si="4"/>
        <v>-3167473.7608726816</v>
      </c>
      <c r="G35" s="104">
        <f t="shared" si="4"/>
        <v>-3122859.0483363778</v>
      </c>
      <c r="H35" s="104">
        <f t="shared" si="4"/>
        <v>-3074898.2323598508</v>
      </c>
      <c r="I35" s="104">
        <f t="shared" si="4"/>
        <v>-3023340.3551850845</v>
      </c>
      <c r="J35" s="104">
        <f t="shared" si="4"/>
        <v>-2967915.6372222109</v>
      </c>
      <c r="K35" s="104">
        <f t="shared" si="4"/>
        <v>-2908334.0654121218</v>
      </c>
      <c r="L35" s="104">
        <f t="shared" si="4"/>
        <v>-2844283.8757162755</v>
      </c>
      <c r="M35" s="104">
        <f t="shared" si="4"/>
        <v>-2775429.9217932411</v>
      </c>
      <c r="N35" s="104">
        <f t="shared" si="4"/>
        <v>-2701411.9213259793</v>
      </c>
      <c r="O35" s="104">
        <f t="shared" si="4"/>
        <v>-2621842.5708236727</v>
      </c>
      <c r="P35" s="104">
        <f t="shared" si="4"/>
        <v>-2536305.5190336928</v>
      </c>
      <c r="Q35" s="104">
        <f t="shared" si="4"/>
        <v>-2444353.1883594645</v>
      </c>
      <c r="R35" s="104">
        <f t="shared" si="4"/>
        <v>-2345504.4328846694</v>
      </c>
      <c r="S35" s="104">
        <f t="shared" si="4"/>
        <v>-2239242.0207492644</v>
      </c>
      <c r="T35" s="104">
        <f t="shared" si="4"/>
        <v>-2125009.9277037038</v>
      </c>
      <c r="U35" s="104">
        <f t="shared" si="4"/>
        <v>-2002210.4276797266</v>
      </c>
      <c r="V35" s="104">
        <f t="shared" ref="V35:Z35" si="5">SUM(V33:V34)</f>
        <v>-1870200.965153951</v>
      </c>
      <c r="W35" s="104">
        <f t="shared" si="5"/>
        <v>-1728290.7929387421</v>
      </c>
      <c r="X35" s="104">
        <f t="shared" si="5"/>
        <v>-1575737.3578073925</v>
      </c>
      <c r="Y35" s="104">
        <f t="shared" si="5"/>
        <v>-1411742.415041192</v>
      </c>
      <c r="Z35" s="104">
        <f t="shared" si="5"/>
        <v>-1235447.8515675261</v>
      </c>
    </row>
    <row r="36" spans="1:26" s="89" customFormat="1" ht="15" thickBot="1" x14ac:dyDescent="0.4">
      <c r="C36" s="90"/>
    </row>
    <row r="37" spans="1:26" s="89" customFormat="1" ht="15" thickBot="1" x14ac:dyDescent="0.4">
      <c r="A37" s="105" t="s">
        <v>71</v>
      </c>
      <c r="B37" s="106">
        <f>'100% Renewable Cash Flow'!D26</f>
        <v>-2551151.6380234016</v>
      </c>
      <c r="C37" s="106">
        <f>'100% Renewable Cash Flow'!E26</f>
        <v>-2551151.6380234016</v>
      </c>
      <c r="D37" s="106">
        <f>'100% Renewable Cash Flow'!F26</f>
        <v>-2551151.6380234016</v>
      </c>
      <c r="E37" s="106">
        <f>'100% Renewable Cash Flow'!G26</f>
        <v>-2551151.6380234016</v>
      </c>
      <c r="F37" s="106">
        <f>'100% Renewable Cash Flow'!H26</f>
        <v>-2551151.6380234016</v>
      </c>
      <c r="G37" s="106">
        <f>'100% Renewable Cash Flow'!I26</f>
        <v>-2551151.6380234016</v>
      </c>
      <c r="H37" s="106">
        <f>'100% Renewable Cash Flow'!J26</f>
        <v>-2551151.6380234016</v>
      </c>
      <c r="I37" s="106">
        <f>'100% Renewable Cash Flow'!K26</f>
        <v>-2551151.6380234016</v>
      </c>
      <c r="J37" s="106">
        <f>'100% Renewable Cash Flow'!L26</f>
        <v>-2551151.6380234016</v>
      </c>
      <c r="K37" s="106">
        <f>'100% Renewable Cash Flow'!M26</f>
        <v>-2551151.6380234016</v>
      </c>
      <c r="L37" s="106">
        <f>'100% Renewable Cash Flow'!N26</f>
        <v>-2551151.6380234016</v>
      </c>
      <c r="M37" s="106">
        <f>'100% Renewable Cash Flow'!O26</f>
        <v>-2551151.6380234016</v>
      </c>
      <c r="N37" s="106">
        <f>'100% Renewable Cash Flow'!P26</f>
        <v>-2551151.6380234016</v>
      </c>
      <c r="O37" s="106">
        <f>'100% Renewable Cash Flow'!Q26</f>
        <v>-2551151.6380234016</v>
      </c>
      <c r="P37" s="106">
        <f>'100% Renewable Cash Flow'!R26</f>
        <v>-2551151.6380234016</v>
      </c>
      <c r="Q37" s="106">
        <f>'100% Renewable Cash Flow'!S26</f>
        <v>-2551151.6380234016</v>
      </c>
      <c r="R37" s="106">
        <f>'100% Renewable Cash Flow'!T26</f>
        <v>-2551151.6380234016</v>
      </c>
      <c r="S37" s="106">
        <f>'100% Renewable Cash Flow'!U26</f>
        <v>-2551151.6380234016</v>
      </c>
      <c r="T37" s="106">
        <f>'100% Renewable Cash Flow'!V26</f>
        <v>-2551151.6380234016</v>
      </c>
      <c r="U37" s="107">
        <f>'100% Renewable Cash Flow'!W26</f>
        <v>-2551151.6380234016</v>
      </c>
      <c r="V37" s="107">
        <f>'100% Renewable Cash Flow'!X26</f>
        <v>-2551151.6380234016</v>
      </c>
      <c r="W37" s="107">
        <f>'100% Renewable Cash Flow'!Y26</f>
        <v>-2551151.6380234016</v>
      </c>
      <c r="X37" s="107">
        <f>'100% Renewable Cash Flow'!Z26</f>
        <v>-2551151.6380234016</v>
      </c>
      <c r="Y37" s="107">
        <f>'100% Renewable Cash Flow'!AA26</f>
        <v>-2551151.6380234011</v>
      </c>
      <c r="Z37" s="107">
        <f>'100% Renewable Cash Flow'!AB26</f>
        <v>-2551151.6380234016</v>
      </c>
    </row>
    <row r="38" spans="1:26" s="89" customFormat="1" ht="15" thickBot="1" x14ac:dyDescent="0.4">
      <c r="C38" s="90"/>
    </row>
    <row r="39" spans="1:26" s="89" customFormat="1" ht="15" thickBot="1" x14ac:dyDescent="0.4">
      <c r="A39" s="397" t="s">
        <v>0</v>
      </c>
      <c r="B39" s="398"/>
      <c r="C39" s="90"/>
    </row>
    <row r="40" spans="1:26" s="89" customFormat="1" ht="15" thickBot="1" x14ac:dyDescent="0.4">
      <c r="A40" s="108" t="s">
        <v>58</v>
      </c>
      <c r="B40" s="109">
        <f>'Generation &amp; Ops Scenarios'!$G$20</f>
        <v>0.05</v>
      </c>
      <c r="C40" s="90"/>
      <c r="E40" s="110"/>
    </row>
    <row r="41" spans="1:26" s="89" customFormat="1" x14ac:dyDescent="0.35">
      <c r="A41" s="111" t="s">
        <v>59</v>
      </c>
      <c r="B41" s="112">
        <f>NPV(B40,'100% Renewable Cash Flow'!D26:M26)</f>
        <v>-19699316.712972343</v>
      </c>
      <c r="C41" s="90"/>
    </row>
    <row r="42" spans="1:26" s="89" customFormat="1" x14ac:dyDescent="0.35">
      <c r="A42" s="111" t="s">
        <v>60</v>
      </c>
      <c r="B42" s="112">
        <f>NPV(B40,'100% Renewable Cash Flow'!D26:R26)</f>
        <v>-26480081.606227174</v>
      </c>
      <c r="C42" s="90"/>
    </row>
    <row r="43" spans="1:26" s="89" customFormat="1" x14ac:dyDescent="0.35">
      <c r="A43" s="111" t="s">
        <v>62</v>
      </c>
      <c r="B43" s="112">
        <f>NPV(B40,'100% Renewable Cash Flow'!D26:W26)</f>
        <v>-31792988.328763042</v>
      </c>
      <c r="C43" s="90"/>
    </row>
    <row r="44" spans="1:26" s="89" customFormat="1" ht="15" thickBot="1" x14ac:dyDescent="0.4">
      <c r="A44" s="108" t="s">
        <v>61</v>
      </c>
      <c r="B44" s="113">
        <f>NPV(B40,'100% Renewable Cash Flow'!D26:AB26)</f>
        <v>-35955789.765876077</v>
      </c>
      <c r="C44" s="90"/>
      <c r="D44" s="114"/>
    </row>
    <row r="45" spans="1:26" s="89" customFormat="1" x14ac:dyDescent="0.35">
      <c r="C45" s="90"/>
    </row>
    <row r="46" spans="1:26" s="89" customFormat="1" x14ac:dyDescent="0.35">
      <c r="A46" s="89" t="s">
        <v>82</v>
      </c>
      <c r="B46" s="115">
        <f>MIN('100% Renewable Cash Flow'!D39:W39)</f>
        <v>6.0835455894353775E-2</v>
      </c>
      <c r="C46" s="90"/>
    </row>
    <row r="47" spans="1:26" s="89" customFormat="1" x14ac:dyDescent="0.35">
      <c r="A47" s="116" t="s">
        <v>121</v>
      </c>
      <c r="B47" s="117">
        <f>'Generation &amp; Ops Scenarios'!C41</f>
        <v>328500</v>
      </c>
      <c r="C47" s="118">
        <f t="shared" ref="C47:C53" si="6">B47</f>
        <v>328500</v>
      </c>
      <c r="D47" s="118">
        <f t="shared" ref="D47:S53" si="7">C47</f>
        <v>328500</v>
      </c>
      <c r="E47" s="118">
        <f t="shared" si="7"/>
        <v>328500</v>
      </c>
      <c r="F47" s="118">
        <f t="shared" si="7"/>
        <v>328500</v>
      </c>
      <c r="G47" s="118">
        <f t="shared" si="7"/>
        <v>328500</v>
      </c>
      <c r="H47" s="118">
        <f t="shared" si="7"/>
        <v>328500</v>
      </c>
      <c r="I47" s="118">
        <f t="shared" si="7"/>
        <v>328500</v>
      </c>
      <c r="J47" s="118">
        <f t="shared" si="7"/>
        <v>328500</v>
      </c>
      <c r="K47" s="118">
        <f t="shared" ref="K47:K53" si="8">J47</f>
        <v>328500</v>
      </c>
      <c r="L47" s="118">
        <f t="shared" si="7"/>
        <v>328500</v>
      </c>
      <c r="M47" s="118">
        <f t="shared" si="7"/>
        <v>328500</v>
      </c>
      <c r="N47" s="118">
        <f t="shared" ref="N47:N53" si="9">M47</f>
        <v>328500</v>
      </c>
      <c r="O47" s="118">
        <f t="shared" si="7"/>
        <v>328500</v>
      </c>
      <c r="P47" s="118">
        <f t="shared" si="7"/>
        <v>328500</v>
      </c>
      <c r="Q47" s="118">
        <f t="shared" si="7"/>
        <v>328500</v>
      </c>
      <c r="R47" s="118">
        <f t="shared" si="7"/>
        <v>328500</v>
      </c>
      <c r="S47" s="118">
        <f t="shared" si="7"/>
        <v>328500</v>
      </c>
      <c r="T47" s="118">
        <f t="shared" ref="S47:U53" si="10">S47</f>
        <v>328500</v>
      </c>
      <c r="U47" s="118">
        <f t="shared" si="10"/>
        <v>328500</v>
      </c>
      <c r="V47" s="118">
        <f t="shared" ref="V47:V53" si="11">U47</f>
        <v>328500</v>
      </c>
      <c r="W47" s="353">
        <f t="shared" ref="W47:W53" si="12">V47</f>
        <v>328500</v>
      </c>
      <c r="X47" s="353">
        <f t="shared" ref="X47:X53" si="13">W47</f>
        <v>328500</v>
      </c>
      <c r="Y47" s="353">
        <f t="shared" ref="Y47:Y53" si="14">X47</f>
        <v>328500</v>
      </c>
      <c r="Z47" s="353">
        <f t="shared" ref="Z47:Z53" si="15">Y47</f>
        <v>328500</v>
      </c>
    </row>
    <row r="48" spans="1:26" s="89" customFormat="1" x14ac:dyDescent="0.35">
      <c r="A48" s="116" t="s">
        <v>122</v>
      </c>
      <c r="B48" s="117">
        <f>'Generation &amp; Ops Scenarios'!C42</f>
        <v>1024920</v>
      </c>
      <c r="C48" s="118">
        <f t="shared" si="6"/>
        <v>1024920</v>
      </c>
      <c r="D48" s="118">
        <f t="shared" si="7"/>
        <v>1024920</v>
      </c>
      <c r="E48" s="118">
        <f t="shared" si="7"/>
        <v>1024920</v>
      </c>
      <c r="F48" s="118">
        <f t="shared" si="7"/>
        <v>1024920</v>
      </c>
      <c r="G48" s="118">
        <f t="shared" si="7"/>
        <v>1024920</v>
      </c>
      <c r="H48" s="118">
        <f t="shared" si="7"/>
        <v>1024920</v>
      </c>
      <c r="I48" s="118">
        <f t="shared" si="7"/>
        <v>1024920</v>
      </c>
      <c r="J48" s="118">
        <f t="shared" si="7"/>
        <v>1024920</v>
      </c>
      <c r="K48" s="118">
        <f t="shared" si="8"/>
        <v>1024920</v>
      </c>
      <c r="L48" s="118">
        <f t="shared" si="7"/>
        <v>1024920</v>
      </c>
      <c r="M48" s="118">
        <f t="shared" si="7"/>
        <v>1024920</v>
      </c>
      <c r="N48" s="118">
        <f t="shared" si="9"/>
        <v>1024920</v>
      </c>
      <c r="O48" s="118">
        <f t="shared" si="7"/>
        <v>1024920</v>
      </c>
      <c r="P48" s="118">
        <f t="shared" si="7"/>
        <v>1024920</v>
      </c>
      <c r="Q48" s="118">
        <f t="shared" si="7"/>
        <v>1024920</v>
      </c>
      <c r="R48" s="118">
        <f t="shared" si="7"/>
        <v>1024920</v>
      </c>
      <c r="S48" s="118">
        <f t="shared" si="10"/>
        <v>1024920</v>
      </c>
      <c r="T48" s="118">
        <f t="shared" si="10"/>
        <v>1024920</v>
      </c>
      <c r="U48" s="118">
        <f t="shared" si="10"/>
        <v>1024920</v>
      </c>
      <c r="V48" s="118">
        <f t="shared" si="11"/>
        <v>1024920</v>
      </c>
      <c r="W48" s="353">
        <f t="shared" si="12"/>
        <v>1024920</v>
      </c>
      <c r="X48" s="353">
        <f t="shared" si="13"/>
        <v>1024920</v>
      </c>
      <c r="Y48" s="353">
        <f t="shared" si="14"/>
        <v>1024920</v>
      </c>
      <c r="Z48" s="353">
        <f t="shared" si="15"/>
        <v>1024920</v>
      </c>
    </row>
    <row r="49" spans="1:26" s="89" customFormat="1" x14ac:dyDescent="0.35">
      <c r="A49" s="116" t="s">
        <v>123</v>
      </c>
      <c r="B49" s="117">
        <f>'Generation &amp; Ops Scenarios'!C43</f>
        <v>0</v>
      </c>
      <c r="C49" s="118">
        <f t="shared" si="6"/>
        <v>0</v>
      </c>
      <c r="D49" s="118">
        <f t="shared" si="7"/>
        <v>0</v>
      </c>
      <c r="E49" s="118">
        <f t="shared" si="7"/>
        <v>0</v>
      </c>
      <c r="F49" s="118">
        <f t="shared" si="7"/>
        <v>0</v>
      </c>
      <c r="G49" s="118">
        <f t="shared" si="7"/>
        <v>0</v>
      </c>
      <c r="H49" s="118">
        <f t="shared" si="7"/>
        <v>0</v>
      </c>
      <c r="I49" s="118">
        <f t="shared" si="7"/>
        <v>0</v>
      </c>
      <c r="J49" s="118">
        <f t="shared" si="7"/>
        <v>0</v>
      </c>
      <c r="K49" s="118">
        <f t="shared" si="8"/>
        <v>0</v>
      </c>
      <c r="L49" s="118">
        <f t="shared" si="7"/>
        <v>0</v>
      </c>
      <c r="M49" s="118">
        <f t="shared" si="7"/>
        <v>0</v>
      </c>
      <c r="N49" s="118">
        <f t="shared" si="9"/>
        <v>0</v>
      </c>
      <c r="O49" s="118">
        <f t="shared" si="7"/>
        <v>0</v>
      </c>
      <c r="P49" s="118">
        <f t="shared" si="7"/>
        <v>0</v>
      </c>
      <c r="Q49" s="118">
        <f t="shared" si="7"/>
        <v>0</v>
      </c>
      <c r="R49" s="118">
        <f t="shared" si="7"/>
        <v>0</v>
      </c>
      <c r="S49" s="118">
        <f t="shared" si="7"/>
        <v>0</v>
      </c>
      <c r="T49" s="118">
        <f t="shared" si="10"/>
        <v>0</v>
      </c>
      <c r="U49" s="118">
        <f t="shared" si="10"/>
        <v>0</v>
      </c>
      <c r="V49" s="118">
        <f t="shared" si="11"/>
        <v>0</v>
      </c>
      <c r="W49" s="353">
        <f t="shared" si="12"/>
        <v>0</v>
      </c>
      <c r="X49" s="353">
        <f t="shared" si="13"/>
        <v>0</v>
      </c>
      <c r="Y49" s="353">
        <f t="shared" si="14"/>
        <v>0</v>
      </c>
      <c r="Z49" s="353">
        <f t="shared" si="15"/>
        <v>0</v>
      </c>
    </row>
    <row r="50" spans="1:26" s="89" customFormat="1" x14ac:dyDescent="0.35">
      <c r="A50" s="116" t="s">
        <v>124</v>
      </c>
      <c r="B50" s="117">
        <f>'Generation &amp; Ops Scenarios'!C44</f>
        <v>0</v>
      </c>
      <c r="C50" s="118">
        <f t="shared" si="6"/>
        <v>0</v>
      </c>
      <c r="D50" s="118">
        <f t="shared" si="7"/>
        <v>0</v>
      </c>
      <c r="E50" s="118">
        <f t="shared" si="7"/>
        <v>0</v>
      </c>
      <c r="F50" s="118">
        <f t="shared" si="7"/>
        <v>0</v>
      </c>
      <c r="G50" s="118">
        <f t="shared" si="7"/>
        <v>0</v>
      </c>
      <c r="H50" s="118">
        <f t="shared" si="7"/>
        <v>0</v>
      </c>
      <c r="I50" s="118">
        <f t="shared" si="7"/>
        <v>0</v>
      </c>
      <c r="J50" s="118">
        <f t="shared" si="7"/>
        <v>0</v>
      </c>
      <c r="K50" s="118">
        <f t="shared" si="8"/>
        <v>0</v>
      </c>
      <c r="L50" s="118">
        <f t="shared" si="7"/>
        <v>0</v>
      </c>
      <c r="M50" s="118">
        <f t="shared" si="7"/>
        <v>0</v>
      </c>
      <c r="N50" s="118">
        <f t="shared" si="9"/>
        <v>0</v>
      </c>
      <c r="O50" s="118">
        <f t="shared" si="7"/>
        <v>0</v>
      </c>
      <c r="P50" s="118">
        <f t="shared" si="7"/>
        <v>0</v>
      </c>
      <c r="Q50" s="118">
        <f t="shared" si="7"/>
        <v>0</v>
      </c>
      <c r="R50" s="118">
        <f t="shared" si="7"/>
        <v>0</v>
      </c>
      <c r="S50" s="118">
        <f t="shared" si="7"/>
        <v>0</v>
      </c>
      <c r="T50" s="118">
        <f t="shared" si="10"/>
        <v>0</v>
      </c>
      <c r="U50" s="118">
        <f t="shared" si="10"/>
        <v>0</v>
      </c>
      <c r="V50" s="118">
        <f t="shared" si="11"/>
        <v>0</v>
      </c>
      <c r="W50" s="353">
        <f t="shared" si="12"/>
        <v>0</v>
      </c>
      <c r="X50" s="353">
        <f t="shared" si="13"/>
        <v>0</v>
      </c>
      <c r="Y50" s="353">
        <f t="shared" si="14"/>
        <v>0</v>
      </c>
      <c r="Z50" s="353">
        <f t="shared" si="15"/>
        <v>0</v>
      </c>
    </row>
    <row r="51" spans="1:26" s="89" customFormat="1" x14ac:dyDescent="0.35">
      <c r="A51" s="116" t="s">
        <v>125</v>
      </c>
      <c r="B51" s="117">
        <f>'Generation &amp; Ops Scenarios'!C45</f>
        <v>1353420</v>
      </c>
      <c r="C51" s="118">
        <f t="shared" si="6"/>
        <v>1353420</v>
      </c>
      <c r="D51" s="118">
        <f t="shared" si="7"/>
        <v>1353420</v>
      </c>
      <c r="E51" s="118">
        <f t="shared" si="7"/>
        <v>1353420</v>
      </c>
      <c r="F51" s="118">
        <f t="shared" si="7"/>
        <v>1353420</v>
      </c>
      <c r="G51" s="118">
        <f t="shared" si="7"/>
        <v>1353420</v>
      </c>
      <c r="H51" s="118">
        <f t="shared" si="7"/>
        <v>1353420</v>
      </c>
      <c r="I51" s="118">
        <f t="shared" si="7"/>
        <v>1353420</v>
      </c>
      <c r="J51" s="118">
        <f t="shared" si="7"/>
        <v>1353420</v>
      </c>
      <c r="K51" s="118">
        <f t="shared" si="8"/>
        <v>1353420</v>
      </c>
      <c r="L51" s="118">
        <f t="shared" si="7"/>
        <v>1353420</v>
      </c>
      <c r="M51" s="118">
        <f t="shared" si="7"/>
        <v>1353420</v>
      </c>
      <c r="N51" s="118">
        <f t="shared" si="9"/>
        <v>1353420</v>
      </c>
      <c r="O51" s="118">
        <f t="shared" si="7"/>
        <v>1353420</v>
      </c>
      <c r="P51" s="118">
        <f t="shared" si="7"/>
        <v>1353420</v>
      </c>
      <c r="Q51" s="118">
        <f t="shared" si="7"/>
        <v>1353420</v>
      </c>
      <c r="R51" s="118">
        <f t="shared" si="7"/>
        <v>1353420</v>
      </c>
      <c r="S51" s="118">
        <f t="shared" si="7"/>
        <v>1353420</v>
      </c>
      <c r="T51" s="118">
        <f t="shared" si="10"/>
        <v>1353420</v>
      </c>
      <c r="U51" s="118">
        <f t="shared" si="10"/>
        <v>1353420</v>
      </c>
      <c r="V51" s="118">
        <f t="shared" si="11"/>
        <v>1353420</v>
      </c>
      <c r="W51" s="353">
        <f t="shared" si="12"/>
        <v>1353420</v>
      </c>
      <c r="X51" s="353">
        <f t="shared" si="13"/>
        <v>1353420</v>
      </c>
      <c r="Y51" s="353">
        <f t="shared" si="14"/>
        <v>1353420</v>
      </c>
      <c r="Z51" s="353">
        <f t="shared" si="15"/>
        <v>1353420</v>
      </c>
    </row>
    <row r="52" spans="1:26" s="89" customFormat="1" x14ac:dyDescent="0.35">
      <c r="A52" s="116" t="s">
        <v>126</v>
      </c>
      <c r="B52" s="117">
        <f>'Generation &amp; Ops Scenarios'!C46</f>
        <v>0</v>
      </c>
      <c r="C52" s="118">
        <f t="shared" si="6"/>
        <v>0</v>
      </c>
      <c r="D52" s="118">
        <f t="shared" si="7"/>
        <v>0</v>
      </c>
      <c r="E52" s="118">
        <f t="shared" si="7"/>
        <v>0</v>
      </c>
      <c r="F52" s="118">
        <f t="shared" si="7"/>
        <v>0</v>
      </c>
      <c r="G52" s="118">
        <f t="shared" si="7"/>
        <v>0</v>
      </c>
      <c r="H52" s="118">
        <f t="shared" si="7"/>
        <v>0</v>
      </c>
      <c r="I52" s="118">
        <f t="shared" si="7"/>
        <v>0</v>
      </c>
      <c r="J52" s="118">
        <f t="shared" si="7"/>
        <v>0</v>
      </c>
      <c r="K52" s="118">
        <f t="shared" si="8"/>
        <v>0</v>
      </c>
      <c r="L52" s="118">
        <f t="shared" si="7"/>
        <v>0</v>
      </c>
      <c r="M52" s="118">
        <f t="shared" si="7"/>
        <v>0</v>
      </c>
      <c r="N52" s="118">
        <f t="shared" si="9"/>
        <v>0</v>
      </c>
      <c r="O52" s="118">
        <f t="shared" si="7"/>
        <v>0</v>
      </c>
      <c r="P52" s="118">
        <f t="shared" si="7"/>
        <v>0</v>
      </c>
      <c r="Q52" s="118">
        <f t="shared" si="7"/>
        <v>0</v>
      </c>
      <c r="R52" s="118">
        <f t="shared" si="7"/>
        <v>0</v>
      </c>
      <c r="S52" s="118">
        <f t="shared" si="7"/>
        <v>0</v>
      </c>
      <c r="T52" s="118">
        <f t="shared" si="10"/>
        <v>0</v>
      </c>
      <c r="U52" s="118">
        <f t="shared" si="10"/>
        <v>0</v>
      </c>
      <c r="V52" s="118">
        <f t="shared" si="11"/>
        <v>0</v>
      </c>
      <c r="W52" s="353">
        <f t="shared" si="12"/>
        <v>0</v>
      </c>
      <c r="X52" s="353">
        <f t="shared" si="13"/>
        <v>0</v>
      </c>
      <c r="Y52" s="353">
        <f t="shared" si="14"/>
        <v>0</v>
      </c>
      <c r="Z52" s="353">
        <f t="shared" si="15"/>
        <v>0</v>
      </c>
    </row>
    <row r="53" spans="1:26" s="89" customFormat="1" x14ac:dyDescent="0.35">
      <c r="A53" s="116" t="s">
        <v>127</v>
      </c>
      <c r="B53" s="117">
        <f>'Generation &amp; Ops Scenarios'!C47</f>
        <v>0</v>
      </c>
      <c r="C53" s="118">
        <f t="shared" si="6"/>
        <v>0</v>
      </c>
      <c r="D53" s="118">
        <f t="shared" si="7"/>
        <v>0</v>
      </c>
      <c r="E53" s="118">
        <f t="shared" si="7"/>
        <v>0</v>
      </c>
      <c r="F53" s="118">
        <f t="shared" si="7"/>
        <v>0</v>
      </c>
      <c r="G53" s="118">
        <f t="shared" si="7"/>
        <v>0</v>
      </c>
      <c r="H53" s="118">
        <f t="shared" si="7"/>
        <v>0</v>
      </c>
      <c r="I53" s="118">
        <f t="shared" si="7"/>
        <v>0</v>
      </c>
      <c r="J53" s="118">
        <f t="shared" si="7"/>
        <v>0</v>
      </c>
      <c r="K53" s="118">
        <f t="shared" si="8"/>
        <v>0</v>
      </c>
      <c r="L53" s="118">
        <f t="shared" si="7"/>
        <v>0</v>
      </c>
      <c r="M53" s="118">
        <f t="shared" si="7"/>
        <v>0</v>
      </c>
      <c r="N53" s="118">
        <f t="shared" si="9"/>
        <v>0</v>
      </c>
      <c r="O53" s="118">
        <f t="shared" si="7"/>
        <v>0</v>
      </c>
      <c r="P53" s="118">
        <f t="shared" si="7"/>
        <v>0</v>
      </c>
      <c r="Q53" s="118">
        <f t="shared" si="7"/>
        <v>0</v>
      </c>
      <c r="R53" s="118">
        <f t="shared" si="7"/>
        <v>0</v>
      </c>
      <c r="S53" s="118">
        <f t="shared" si="7"/>
        <v>0</v>
      </c>
      <c r="T53" s="118">
        <f t="shared" si="10"/>
        <v>0</v>
      </c>
      <c r="U53" s="118">
        <f t="shared" si="10"/>
        <v>0</v>
      </c>
      <c r="V53" s="118">
        <f t="shared" si="11"/>
        <v>0</v>
      </c>
      <c r="W53" s="353">
        <f t="shared" si="12"/>
        <v>0</v>
      </c>
      <c r="X53" s="353">
        <f t="shared" si="13"/>
        <v>0</v>
      </c>
      <c r="Y53" s="353">
        <f t="shared" si="14"/>
        <v>0</v>
      </c>
      <c r="Z53" s="353">
        <f t="shared" si="15"/>
        <v>0</v>
      </c>
    </row>
    <row r="54" spans="1:26" s="89" customFormat="1" x14ac:dyDescent="0.35">
      <c r="A54" s="116" t="s">
        <v>128</v>
      </c>
      <c r="B54" s="117">
        <f>B57-B51</f>
        <v>46580</v>
      </c>
      <c r="C54" s="117">
        <f t="shared" ref="C54:U54" si="16">C57-C51</f>
        <v>46580</v>
      </c>
      <c r="D54" s="117">
        <f t="shared" si="16"/>
        <v>46580</v>
      </c>
      <c r="E54" s="117">
        <f t="shared" si="16"/>
        <v>46580</v>
      </c>
      <c r="F54" s="117">
        <f t="shared" si="16"/>
        <v>46580</v>
      </c>
      <c r="G54" s="117">
        <f t="shared" si="16"/>
        <v>46580</v>
      </c>
      <c r="H54" s="117">
        <f t="shared" si="16"/>
        <v>46580</v>
      </c>
      <c r="I54" s="117">
        <f t="shared" si="16"/>
        <v>46580</v>
      </c>
      <c r="J54" s="117">
        <f t="shared" si="16"/>
        <v>46580</v>
      </c>
      <c r="K54" s="117">
        <f t="shared" si="16"/>
        <v>46580</v>
      </c>
      <c r="L54" s="117">
        <f t="shared" si="16"/>
        <v>46580</v>
      </c>
      <c r="M54" s="117">
        <f>M57-M51</f>
        <v>46580</v>
      </c>
      <c r="N54" s="117">
        <f t="shared" si="16"/>
        <v>46580</v>
      </c>
      <c r="O54" s="117">
        <f t="shared" si="16"/>
        <v>46580</v>
      </c>
      <c r="P54" s="117">
        <f t="shared" si="16"/>
        <v>46580</v>
      </c>
      <c r="Q54" s="117">
        <f t="shared" si="16"/>
        <v>46580</v>
      </c>
      <c r="R54" s="117">
        <f t="shared" si="16"/>
        <v>46580</v>
      </c>
      <c r="S54" s="117">
        <f t="shared" si="16"/>
        <v>46580</v>
      </c>
      <c r="T54" s="119">
        <f t="shared" si="16"/>
        <v>46580</v>
      </c>
      <c r="U54" s="119">
        <f t="shared" si="16"/>
        <v>46580</v>
      </c>
      <c r="V54" s="119">
        <f t="shared" ref="V54:Z54" si="17">V57-V51</f>
        <v>46580</v>
      </c>
      <c r="W54" s="353">
        <f t="shared" si="17"/>
        <v>46580</v>
      </c>
      <c r="X54" s="353">
        <f t="shared" si="17"/>
        <v>46580</v>
      </c>
      <c r="Y54" s="353">
        <f t="shared" si="17"/>
        <v>46580</v>
      </c>
      <c r="Z54" s="353">
        <f t="shared" si="17"/>
        <v>46580</v>
      </c>
    </row>
    <row r="55" spans="1:26" s="89" customFormat="1" x14ac:dyDescent="0.35">
      <c r="A55" s="116"/>
      <c r="B55" s="120"/>
      <c r="C55" s="118"/>
      <c r="D55" s="116"/>
      <c r="E55" s="116"/>
      <c r="F55" s="121"/>
      <c r="G55" s="116"/>
      <c r="H55" s="116"/>
      <c r="I55" s="116"/>
      <c r="J55" s="116"/>
      <c r="K55" s="116"/>
      <c r="L55" s="116"/>
      <c r="M55" s="116"/>
      <c r="N55" s="116"/>
      <c r="O55" s="116"/>
      <c r="P55" s="116"/>
      <c r="Q55" s="116"/>
      <c r="R55" s="116"/>
      <c r="S55" s="116"/>
      <c r="T55" s="116"/>
      <c r="U55" s="116"/>
      <c r="V55" s="116"/>
      <c r="W55" s="354"/>
      <c r="X55" s="354"/>
      <c r="Y55" s="354"/>
      <c r="Z55" s="354"/>
    </row>
    <row r="56" spans="1:26" s="89" customFormat="1" x14ac:dyDescent="0.35">
      <c r="A56" s="116"/>
      <c r="B56" s="116"/>
      <c r="C56" s="118"/>
      <c r="D56" s="116"/>
      <c r="E56" s="116"/>
      <c r="F56" s="116"/>
      <c r="G56" s="116"/>
      <c r="H56" s="116"/>
      <c r="I56" s="116"/>
      <c r="J56" s="116"/>
      <c r="K56" s="116"/>
      <c r="L56" s="116"/>
      <c r="M56" s="116"/>
      <c r="N56" s="116"/>
      <c r="O56" s="116"/>
      <c r="P56" s="116"/>
      <c r="Q56" s="116"/>
      <c r="R56" s="116"/>
      <c r="S56" s="116"/>
      <c r="T56" s="116"/>
      <c r="U56" s="116"/>
      <c r="V56" s="116"/>
      <c r="W56" s="354"/>
      <c r="X56" s="354"/>
      <c r="Y56" s="354"/>
      <c r="Z56" s="354"/>
    </row>
    <row r="57" spans="1:26" s="89" customFormat="1" x14ac:dyDescent="0.35">
      <c r="A57" s="116" t="s">
        <v>158</v>
      </c>
      <c r="B57" s="122">
        <f>M5</f>
        <v>1400000</v>
      </c>
      <c r="C57" s="123">
        <f>B57*(1+'100% Renewable Summary'!$M$8)</f>
        <v>1400000</v>
      </c>
      <c r="D57" s="123">
        <f>C57*(1+'100% Renewable Summary'!$M$8)</f>
        <v>1400000</v>
      </c>
      <c r="E57" s="123">
        <f>D57*(1+'100% Renewable Summary'!$M$8)</f>
        <v>1400000</v>
      </c>
      <c r="F57" s="123">
        <f>E57*(1+'100% Renewable Summary'!$M$8)</f>
        <v>1400000</v>
      </c>
      <c r="G57" s="123">
        <f>F57*(1+'100% Renewable Summary'!$M$9)</f>
        <v>1400000</v>
      </c>
      <c r="H57" s="123">
        <f>G57*(1+'100% Renewable Summary'!$M$9)</f>
        <v>1400000</v>
      </c>
      <c r="I57" s="123">
        <f>H57*(1+'100% Renewable Summary'!$M$9)</f>
        <v>1400000</v>
      </c>
      <c r="J57" s="123">
        <f>I57*(1+'100% Renewable Summary'!$M$9)</f>
        <v>1400000</v>
      </c>
      <c r="K57" s="123">
        <f>J57*(1+'100% Renewable Summary'!$M$9)</f>
        <v>1400000</v>
      </c>
      <c r="L57" s="123">
        <f>K57*(1+'100% Renewable Summary'!$M$10)</f>
        <v>1400000</v>
      </c>
      <c r="M57" s="123">
        <f>L57*(1+'100% Renewable Summary'!$M$10)</f>
        <v>1400000</v>
      </c>
      <c r="N57" s="123">
        <f>M57*(1+'100% Renewable Summary'!$M$10)</f>
        <v>1400000</v>
      </c>
      <c r="O57" s="123">
        <f>N57*(1+'100% Renewable Summary'!$M$10)</f>
        <v>1400000</v>
      </c>
      <c r="P57" s="123">
        <f>O57*(1+'100% Renewable Summary'!$M$10)</f>
        <v>1400000</v>
      </c>
      <c r="Q57" s="123">
        <f>P57*(1+'100% Renewable Summary'!$M$11)</f>
        <v>1400000</v>
      </c>
      <c r="R57" s="123">
        <f>Q57*(1+'100% Renewable Summary'!$M$11)</f>
        <v>1400000</v>
      </c>
      <c r="S57" s="123">
        <f>R57*(1+'100% Renewable Summary'!$M$11)</f>
        <v>1400000</v>
      </c>
      <c r="T57" s="123">
        <f>S57*(1+'100% Renewable Summary'!$M$11)</f>
        <v>1400000</v>
      </c>
      <c r="U57" s="123">
        <f>T57*(1+'100% Renewable Summary'!$M$11)</f>
        <v>1400000</v>
      </c>
      <c r="V57" s="123">
        <f>U57*(1+'100% Renewable Summary'!$M$11)</f>
        <v>1400000</v>
      </c>
      <c r="W57" s="355">
        <f>V57*(1+'100% Renewable Summary'!$M$11)</f>
        <v>1400000</v>
      </c>
      <c r="X57" s="355">
        <f>W57*(1+'100% Renewable Summary'!$M$11)</f>
        <v>1400000</v>
      </c>
      <c r="Y57" s="355">
        <f>X57*(1+'100% Renewable Summary'!$M$11)</f>
        <v>1400000</v>
      </c>
      <c r="Z57" s="355">
        <f>Y57*(1+'100% Renewable Summary'!$M$11)</f>
        <v>1400000</v>
      </c>
    </row>
    <row r="58" spans="1:26" s="89" customFormat="1" x14ac:dyDescent="0.35">
      <c r="A58" s="116"/>
      <c r="B58" s="116"/>
      <c r="C58" s="118"/>
      <c r="D58" s="116"/>
      <c r="E58" s="116"/>
      <c r="F58" s="116"/>
      <c r="G58" s="116"/>
      <c r="H58" s="116"/>
      <c r="I58" s="116"/>
      <c r="J58" s="116"/>
      <c r="K58" s="116"/>
      <c r="L58" s="116"/>
      <c r="M58" s="116"/>
      <c r="N58" s="116"/>
      <c r="O58" s="116"/>
      <c r="P58" s="116"/>
      <c r="Q58" s="116"/>
      <c r="R58" s="116"/>
      <c r="S58" s="116"/>
      <c r="T58" s="116"/>
      <c r="U58" s="116"/>
      <c r="V58" s="116"/>
      <c r="W58" s="354"/>
      <c r="X58" s="354"/>
      <c r="Y58" s="354"/>
      <c r="Z58" s="354"/>
    </row>
    <row r="59" spans="1:26" s="89" customFormat="1" x14ac:dyDescent="0.35">
      <c r="A59" s="116" t="s">
        <v>134</v>
      </c>
      <c r="B59" s="120">
        <f>-'100% Renewable Cash Flow'!D8/'100% Renewable Summary'!B57*100</f>
        <v>0</v>
      </c>
      <c r="C59" s="120">
        <f>-'100% Renewable Cash Flow'!E8/'100% Renewable Summary'!C57*100</f>
        <v>0</v>
      </c>
      <c r="D59" s="120">
        <f>-'100% Renewable Cash Flow'!F8/'100% Renewable Summary'!D57*100</f>
        <v>0</v>
      </c>
      <c r="E59" s="120">
        <f>-'100% Renewable Cash Flow'!G8/'100% Renewable Summary'!E57*100</f>
        <v>0</v>
      </c>
      <c r="F59" s="120">
        <f>-'100% Renewable Cash Flow'!H8/'100% Renewable Summary'!F57*100</f>
        <v>0</v>
      </c>
      <c r="G59" s="120">
        <f>-'100% Renewable Cash Flow'!I8/'100% Renewable Summary'!G57*100</f>
        <v>0</v>
      </c>
      <c r="H59" s="120">
        <f>-'100% Renewable Cash Flow'!J8/'100% Renewable Summary'!H57*100</f>
        <v>0</v>
      </c>
      <c r="I59" s="120">
        <f>-'100% Renewable Cash Flow'!K8/'100% Renewable Summary'!I57*100</f>
        <v>0</v>
      </c>
      <c r="J59" s="120">
        <f>-'100% Renewable Cash Flow'!L8/'100% Renewable Summary'!J57*100</f>
        <v>0</v>
      </c>
      <c r="K59" s="120">
        <f>-'100% Renewable Cash Flow'!M8/'100% Renewable Summary'!K57*100</f>
        <v>0</v>
      </c>
      <c r="L59" s="120">
        <f>-'100% Renewable Cash Flow'!N8/'100% Renewable Summary'!L57*100</f>
        <v>0</v>
      </c>
      <c r="M59" s="120">
        <f>-'100% Renewable Cash Flow'!O8/'100% Renewable Summary'!M57*100</f>
        <v>0</v>
      </c>
      <c r="N59" s="120">
        <f>-'100% Renewable Cash Flow'!P8/'100% Renewable Summary'!N57*100</f>
        <v>0</v>
      </c>
      <c r="O59" s="120">
        <f>-'100% Renewable Cash Flow'!Q8/'100% Renewable Summary'!O57*100</f>
        <v>0</v>
      </c>
      <c r="P59" s="120">
        <f>-'100% Renewable Cash Flow'!R8/'100% Renewable Summary'!P57*100</f>
        <v>0</v>
      </c>
      <c r="Q59" s="120">
        <f>-'100% Renewable Cash Flow'!S8/'100% Renewable Summary'!Q57*100</f>
        <v>0</v>
      </c>
      <c r="R59" s="120">
        <f>-'100% Renewable Cash Flow'!T8/'100% Renewable Summary'!R57*100</f>
        <v>0</v>
      </c>
      <c r="S59" s="120">
        <f>-'100% Renewable Cash Flow'!U8/'100% Renewable Summary'!S57*100</f>
        <v>0</v>
      </c>
      <c r="T59" s="120">
        <f>-'100% Renewable Cash Flow'!V8/'100% Renewable Summary'!T57*100</f>
        <v>0</v>
      </c>
      <c r="U59" s="120">
        <f>-'100% Renewable Cash Flow'!W8/'100% Renewable Summary'!U57*100</f>
        <v>0</v>
      </c>
      <c r="V59" s="120">
        <f>-'100% Renewable Cash Flow'!X8/'100% Renewable Summary'!V57*100</f>
        <v>0</v>
      </c>
      <c r="W59" s="354">
        <f>-'100% Renewable Cash Flow'!Y8/'100% Renewable Summary'!W57*100</f>
        <v>0</v>
      </c>
      <c r="X59" s="354">
        <f>-'100% Renewable Cash Flow'!Z8/'100% Renewable Summary'!X57*100</f>
        <v>0</v>
      </c>
      <c r="Y59" s="354">
        <f>-'100% Renewable Cash Flow'!AA8/'100% Renewable Summary'!Y57*100</f>
        <v>0</v>
      </c>
      <c r="Z59" s="354">
        <f>-'100% Renewable Cash Flow'!AB8/'100% Renewable Summary'!Z57*100</f>
        <v>0</v>
      </c>
    </row>
    <row r="60" spans="1:26" s="89" customFormat="1" x14ac:dyDescent="0.35">
      <c r="A60" s="116" t="s">
        <v>159</v>
      </c>
      <c r="B60" s="120">
        <f>-'100% Renewable Interest Calcula'!E14/B57*100</f>
        <v>162.21227098214288</v>
      </c>
      <c r="C60" s="120">
        <f>-'100% Renewable Interest Calcula'!F14/C57*100</f>
        <v>159.82601952621394</v>
      </c>
      <c r="D60" s="120">
        <f>-'100% Renewable Interest Calcula'!G14/D57*100</f>
        <v>157.26079921109033</v>
      </c>
      <c r="E60" s="120">
        <f>-'100% Renewable Interest Calcula'!H14/E57*100</f>
        <v>154.50318737233243</v>
      </c>
      <c r="F60" s="120">
        <f>-'100% Renewable Interest Calcula'!I14/F57*100</f>
        <v>151.53875464566772</v>
      </c>
      <c r="G60" s="120">
        <f>-'100% Renewable Interest Calcula'!J14/G57*100</f>
        <v>148.35198946450316</v>
      </c>
      <c r="H60" s="120">
        <f>-'100% Renewable Interest Calcula'!K14/H57*100</f>
        <v>144.92621689475124</v>
      </c>
      <c r="I60" s="120">
        <f>-'100% Renewable Interest Calcula'!L14/I57*100</f>
        <v>141.24351138226794</v>
      </c>
      <c r="J60" s="120">
        <f>-'100% Renewable Interest Calcula'!M14/J57*100</f>
        <v>137.28460295634838</v>
      </c>
      <c r="K60" s="120">
        <f>-'100% Renewable Interest Calcula'!N14/K57*100</f>
        <v>133.02877639848487</v>
      </c>
      <c r="L60" s="120">
        <f>-'100% Renewable Interest Calcula'!O14/L57*100</f>
        <v>128.45376284878159</v>
      </c>
      <c r="M60" s="120">
        <f>-'100% Renewable Interest Calcula'!P14/M57*100</f>
        <v>123.53562328285055</v>
      </c>
      <c r="N60" s="120">
        <f>-'100% Renewable Interest Calcula'!Q14/N57*100</f>
        <v>118.24862324947469</v>
      </c>
      <c r="O60" s="120">
        <f>-'100% Renewable Interest Calcula'!R14/O57*100</f>
        <v>112.56509821359566</v>
      </c>
      <c r="P60" s="120">
        <f>-'100% Renewable Interest Calcula'!S14/P57*100</f>
        <v>106.45530880002565</v>
      </c>
      <c r="Q60" s="120">
        <f>-'100% Renewable Interest Calcula'!T14/Q57*100</f>
        <v>99.887285180437928</v>
      </c>
      <c r="R60" s="120">
        <f>-'100% Renewable Interest Calcula'!U14/R57*100</f>
        <v>92.826659789381139</v>
      </c>
      <c r="S60" s="120">
        <f>-'100% Renewable Interest Calcula'!V14/S57*100</f>
        <v>85.236487493995057</v>
      </c>
      <c r="T60" s="120">
        <f>-'100% Renewable Interest Calcula'!W14/T57*100</f>
        <v>77.077052276455021</v>
      </c>
      <c r="U60" s="120">
        <f>-'100% Renewable Interest Calcula'!X14/U57*100</f>
        <v>68.305659417599514</v>
      </c>
      <c r="V60" s="120">
        <f>-'100% Renewable Interest Calcula'!Y14/V57*100</f>
        <v>58.876412094329822</v>
      </c>
      <c r="W60" s="354">
        <f>-'100% Renewable Interest Calcula'!Z14/W57*100</f>
        <v>48.739971221814905</v>
      </c>
      <c r="X60" s="354">
        <f>-'100% Renewable Interest Calcula'!AA14/X57*100</f>
        <v>37.843297283861361</v>
      </c>
      <c r="Y60" s="354">
        <f>-'100% Renewable Interest Calcula'!AB14/Y57*100</f>
        <v>26.129372800561324</v>
      </c>
      <c r="Z60" s="354">
        <f>-'100% Renewable Interest Calcula'!AC14/Z57*100</f>
        <v>13.536903981013767</v>
      </c>
    </row>
    <row r="61" spans="1:26" s="89" customFormat="1" x14ac:dyDescent="0.35">
      <c r="A61" s="116" t="s">
        <v>160</v>
      </c>
      <c r="B61" s="124">
        <f>-'100% Renewable Interest Calcula'!E13/'100% Renewable Summary'!B57*100</f>
        <v>31.816686079052474</v>
      </c>
      <c r="C61" s="124">
        <f>-'100% Renewable Interest Calcula'!F13/'100% Renewable Summary'!C57*100</f>
        <v>34.202937534981409</v>
      </c>
      <c r="D61" s="124">
        <f>-'100% Renewable Interest Calcula'!G13/'100% Renewable Summary'!D57*100</f>
        <v>36.768157850105013</v>
      </c>
      <c r="E61" s="124">
        <f>-'100% Renewable Interest Calcula'!H13/'100% Renewable Summary'!E57*100</f>
        <v>39.525769688862908</v>
      </c>
      <c r="F61" s="124">
        <f>-'100% Renewable Interest Calcula'!I13/'100% Renewable Summary'!F57*100</f>
        <v>42.490202415527612</v>
      </c>
      <c r="G61" s="124">
        <f>-'100% Renewable Interest Calcula'!J13/'100% Renewable Summary'!G57*100</f>
        <v>45.67696759669218</v>
      </c>
      <c r="H61" s="124">
        <f>-'100% Renewable Interest Calcula'!K13/'100% Renewable Summary'!H57*100</f>
        <v>49.1027401664441</v>
      </c>
      <c r="I61" s="124">
        <f>-'100% Renewable Interest Calcula'!L13/'100% Renewable Summary'!I57*100</f>
        <v>52.785445678927402</v>
      </c>
      <c r="J61" s="124">
        <f>-'100% Renewable Interest Calcula'!M13/'100% Renewable Summary'!J57*100</f>
        <v>56.744354104846948</v>
      </c>
      <c r="K61" s="124">
        <f>-'100% Renewable Interest Calcula'!N13/'100% Renewable Summary'!K57*100</f>
        <v>61.00018066271047</v>
      </c>
      <c r="L61" s="124">
        <f>-'100% Renewable Interest Calcula'!O13/'100% Renewable Summary'!L57*100</f>
        <v>65.575194212413763</v>
      </c>
      <c r="M61" s="124">
        <f>-'100% Renewable Interest Calcula'!P13/'100% Renewable Summary'!M57*100</f>
        <v>70.493333778344791</v>
      </c>
      <c r="N61" s="124">
        <f>-'100% Renewable Interest Calcula'!Q13/'100% Renewable Summary'!N57*100</f>
        <v>75.780333811720652</v>
      </c>
      <c r="O61" s="124">
        <f>-'100% Renewable Interest Calcula'!R13/'100% Renewable Summary'!O57*100</f>
        <v>81.463858847599695</v>
      </c>
      <c r="P61" s="124">
        <f>-'100% Renewable Interest Calcula'!S13/'100% Renewable Summary'!P57*100</f>
        <v>87.573648261169694</v>
      </c>
      <c r="Q61" s="124">
        <f>-'100% Renewable Interest Calcula'!T13/'100% Renewable Summary'!Q57*100</f>
        <v>94.141671880757414</v>
      </c>
      <c r="R61" s="124">
        <f>-'100% Renewable Interest Calcula'!U13/'100% Renewable Summary'!R57*100</f>
        <v>101.20229727181422</v>
      </c>
      <c r="S61" s="124">
        <f>-'100% Renewable Interest Calcula'!V13/'100% Renewable Summary'!S57*100</f>
        <v>108.79246956720027</v>
      </c>
      <c r="T61" s="124">
        <f>-'100% Renewable Interest Calcula'!W13/'100% Renewable Summary'!T57*100</f>
        <v>116.95190478474031</v>
      </c>
      <c r="U61" s="124">
        <f>-'100% Renewable Interest Calcula'!X13/'100% Renewable Summary'!U57*100</f>
        <v>125.72329764359584</v>
      </c>
      <c r="V61" s="124">
        <f>-'100% Renewable Interest Calcula'!Y13/'100% Renewable Summary'!V57*100</f>
        <v>135.15254496686552</v>
      </c>
      <c r="W61" s="354">
        <f>-'100% Renewable Interest Calcula'!Z13/'100% Renewable Summary'!W57*100</f>
        <v>145.28898583938044</v>
      </c>
      <c r="X61" s="354">
        <f>-'100% Renewable Interest Calcula'!AA13/'100% Renewable Summary'!X57*100</f>
        <v>156.185659777334</v>
      </c>
      <c r="Y61" s="354">
        <f>-'100% Renewable Interest Calcula'!AB13/'100% Renewable Summary'!Y57*100</f>
        <v>167.89958426063401</v>
      </c>
      <c r="Z61" s="354">
        <f>-'100% Renewable Interest Calcula'!AC13/'100% Renewable Summary'!Z57*100</f>
        <v>180.49205308018159</v>
      </c>
    </row>
    <row r="62" spans="1:26" s="89" customFormat="1" x14ac:dyDescent="0.35">
      <c r="A62" s="116" t="s">
        <v>161</v>
      </c>
      <c r="B62" s="120">
        <f>-'100% Renewable Cash Flow'!D9/'Mix 3 Summary'!B57*100</f>
        <v>48.196159940476193</v>
      </c>
      <c r="C62" s="120">
        <f>-'100% Renewable Cash Flow'!E9/'Mix 3 Summary'!C57*100</f>
        <v>48.196159940476193</v>
      </c>
      <c r="D62" s="120">
        <f>-'100% Renewable Cash Flow'!F9/'Mix 3 Summary'!D57*100</f>
        <v>48.196159940476193</v>
      </c>
      <c r="E62" s="120">
        <f>-'100% Renewable Cash Flow'!G9/'Mix 3 Summary'!E57*100</f>
        <v>48.196159940476193</v>
      </c>
      <c r="F62" s="120">
        <f>-'100% Renewable Cash Flow'!H9/'Mix 3 Summary'!F57*100</f>
        <v>48.196159940476193</v>
      </c>
      <c r="G62" s="120">
        <f>-'100% Renewable Cash Flow'!I9/'Mix 3 Summary'!G57*100</f>
        <v>48.196159940476193</v>
      </c>
      <c r="H62" s="120">
        <f>-'100% Renewable Cash Flow'!J9/'Mix 3 Summary'!H57*100</f>
        <v>48.196159940476193</v>
      </c>
      <c r="I62" s="120">
        <f>-'100% Renewable Cash Flow'!K9/'Mix 3 Summary'!I57*100</f>
        <v>48.196159940476193</v>
      </c>
      <c r="J62" s="120">
        <f>-'100% Renewable Cash Flow'!L9/'Mix 3 Summary'!J57*100</f>
        <v>48.196159940476193</v>
      </c>
      <c r="K62" s="120">
        <f>-'100% Renewable Cash Flow'!M9/'Mix 3 Summary'!K57*100</f>
        <v>48.196159940476193</v>
      </c>
      <c r="L62" s="120">
        <f>-'100% Renewable Cash Flow'!N9/'Mix 3 Summary'!L57*100</f>
        <v>48.196159940476193</v>
      </c>
      <c r="M62" s="120">
        <f>-'100% Renewable Cash Flow'!O9/'Mix 3 Summary'!M57*100</f>
        <v>48.196159940476193</v>
      </c>
      <c r="N62" s="120">
        <f>-'100% Renewable Cash Flow'!P9/'Mix 3 Summary'!N57*100</f>
        <v>48.196159940476193</v>
      </c>
      <c r="O62" s="120">
        <f>-'100% Renewable Cash Flow'!Q9/'Mix 3 Summary'!O57*100</f>
        <v>48.196159940476193</v>
      </c>
      <c r="P62" s="120">
        <f>-'100% Renewable Cash Flow'!R9/'Mix 3 Summary'!P57*100</f>
        <v>48.196159940476193</v>
      </c>
      <c r="Q62" s="120">
        <f>-'100% Renewable Cash Flow'!S9/'Mix 3 Summary'!Q57*100</f>
        <v>48.196159940476193</v>
      </c>
      <c r="R62" s="120">
        <f>-'100% Renewable Cash Flow'!T9/'Mix 3 Summary'!R57*100</f>
        <v>48.196159940476193</v>
      </c>
      <c r="S62" s="120">
        <f>-'100% Renewable Cash Flow'!U9/'Mix 3 Summary'!S57*100</f>
        <v>48.196159940476193</v>
      </c>
      <c r="T62" s="120">
        <f>-'100% Renewable Cash Flow'!V9/'Mix 3 Summary'!T57*100</f>
        <v>48.196159940476193</v>
      </c>
      <c r="U62" s="120">
        <f>-'100% Renewable Cash Flow'!W9/'Mix 3 Summary'!U57*100</f>
        <v>48.196159940476193</v>
      </c>
      <c r="V62" s="120">
        <f>-'100% Renewable Cash Flow'!X9/'Mix 3 Summary'!V57*100</f>
        <v>48.196159940476193</v>
      </c>
      <c r="W62" s="354">
        <f>-'100% Renewable Cash Flow'!Y9/'Mix 3 Summary'!W57*100</f>
        <v>48.196159940476193</v>
      </c>
      <c r="X62" s="354">
        <f>-'100% Renewable Cash Flow'!Z9/'Mix 3 Summary'!X57*100</f>
        <v>48.196159940476193</v>
      </c>
      <c r="Y62" s="354">
        <f>-'100% Renewable Cash Flow'!AA9/'Mix 3 Summary'!Y57*100</f>
        <v>48.196159940476193</v>
      </c>
      <c r="Z62" s="354">
        <f>-'100% Renewable Cash Flow'!AB9/'Mix 3 Summary'!Z57*100</f>
        <v>48.196159940476193</v>
      </c>
    </row>
    <row r="63" spans="1:26" s="89" customFormat="1" x14ac:dyDescent="0.35">
      <c r="A63" s="116"/>
      <c r="B63" s="120">
        <f>SUM(B59:B62)</f>
        <v>242.22511700167155</v>
      </c>
      <c r="C63" s="120">
        <f t="shared" ref="C63:U63" si="18">SUM(C59:C62)</f>
        <v>242.22511700167155</v>
      </c>
      <c r="D63" s="120">
        <f t="shared" si="18"/>
        <v>242.22511700167155</v>
      </c>
      <c r="E63" s="120">
        <f t="shared" si="18"/>
        <v>242.22511700167155</v>
      </c>
      <c r="F63" s="120">
        <f t="shared" si="18"/>
        <v>242.22511700167155</v>
      </c>
      <c r="G63" s="120">
        <f t="shared" si="18"/>
        <v>242.22511700167155</v>
      </c>
      <c r="H63" s="120">
        <f t="shared" si="18"/>
        <v>242.22511700167155</v>
      </c>
      <c r="I63" s="120">
        <f t="shared" si="18"/>
        <v>242.22511700167155</v>
      </c>
      <c r="J63" s="120">
        <f t="shared" si="18"/>
        <v>242.22511700167155</v>
      </c>
      <c r="K63" s="120">
        <f t="shared" si="18"/>
        <v>242.22511700167155</v>
      </c>
      <c r="L63" s="120">
        <f t="shared" si="18"/>
        <v>242.22511700167155</v>
      </c>
      <c r="M63" s="120">
        <f t="shared" si="18"/>
        <v>242.22511700167155</v>
      </c>
      <c r="N63" s="120">
        <f t="shared" si="18"/>
        <v>242.22511700167155</v>
      </c>
      <c r="O63" s="120">
        <f t="shared" si="18"/>
        <v>242.22511700167155</v>
      </c>
      <c r="P63" s="120">
        <f t="shared" si="18"/>
        <v>242.22511700167155</v>
      </c>
      <c r="Q63" s="120">
        <f t="shared" si="18"/>
        <v>242.22511700167155</v>
      </c>
      <c r="R63" s="120">
        <f t="shared" si="18"/>
        <v>242.22511700167155</v>
      </c>
      <c r="S63" s="120">
        <f t="shared" si="18"/>
        <v>242.22511700167155</v>
      </c>
      <c r="T63" s="120">
        <f t="shared" si="18"/>
        <v>242.22511700167155</v>
      </c>
      <c r="U63" s="120">
        <f t="shared" si="18"/>
        <v>242.22511700167155</v>
      </c>
      <c r="V63" s="120">
        <f t="shared" ref="V63:Z63" si="19">SUM(V59:V62)</f>
        <v>242.22511700167155</v>
      </c>
      <c r="W63" s="354">
        <f t="shared" si="19"/>
        <v>242.22511700167155</v>
      </c>
      <c r="X63" s="354">
        <f t="shared" si="19"/>
        <v>242.22511700167155</v>
      </c>
      <c r="Y63" s="354">
        <f t="shared" si="19"/>
        <v>242.22511700167155</v>
      </c>
      <c r="Z63" s="354">
        <f t="shared" si="19"/>
        <v>242.22511700167155</v>
      </c>
    </row>
    <row r="64" spans="1:26" s="89" customFormat="1" x14ac:dyDescent="0.35">
      <c r="A64" s="116" t="s">
        <v>142</v>
      </c>
      <c r="B64" s="124">
        <f>B65-B63</f>
        <v>-182.22511700167155</v>
      </c>
      <c r="C64" s="124">
        <f t="shared" ref="C64:U64" si="20">C65-C63</f>
        <v>-182.22511700167155</v>
      </c>
      <c r="D64" s="124">
        <f t="shared" si="20"/>
        <v>-182.22511700167155</v>
      </c>
      <c r="E64" s="124">
        <f t="shared" si="20"/>
        <v>-182.22511700167155</v>
      </c>
      <c r="F64" s="124">
        <f t="shared" si="20"/>
        <v>-182.22511700167155</v>
      </c>
      <c r="G64" s="124">
        <f t="shared" si="20"/>
        <v>-182.22511700167155</v>
      </c>
      <c r="H64" s="124">
        <f t="shared" si="20"/>
        <v>-182.22511700167155</v>
      </c>
      <c r="I64" s="124">
        <f t="shared" si="20"/>
        <v>-182.22511700167155</v>
      </c>
      <c r="J64" s="124">
        <f t="shared" si="20"/>
        <v>-182.22511700167155</v>
      </c>
      <c r="K64" s="124">
        <f t="shared" si="20"/>
        <v>-182.22511700167155</v>
      </c>
      <c r="L64" s="124">
        <f t="shared" si="20"/>
        <v>-182.22511700167155</v>
      </c>
      <c r="M64" s="124">
        <f t="shared" si="20"/>
        <v>-182.22511700167155</v>
      </c>
      <c r="N64" s="124">
        <f t="shared" si="20"/>
        <v>-182.22511700167155</v>
      </c>
      <c r="O64" s="124">
        <f t="shared" si="20"/>
        <v>-182.22511700167155</v>
      </c>
      <c r="P64" s="124">
        <f t="shared" si="20"/>
        <v>-182.22511700167155</v>
      </c>
      <c r="Q64" s="124">
        <f t="shared" si="20"/>
        <v>-182.22511700167155</v>
      </c>
      <c r="R64" s="124">
        <f t="shared" si="20"/>
        <v>-182.22511700167155</v>
      </c>
      <c r="S64" s="124">
        <f t="shared" si="20"/>
        <v>-182.22511700167155</v>
      </c>
      <c r="T64" s="124">
        <f t="shared" si="20"/>
        <v>-182.22511700167155</v>
      </c>
      <c r="U64" s="124">
        <f t="shared" si="20"/>
        <v>-182.22511700167155</v>
      </c>
      <c r="V64" s="124">
        <f t="shared" ref="V64:Z64" si="21">V65-V63</f>
        <v>-182.22511700167155</v>
      </c>
      <c r="W64" s="354">
        <f t="shared" si="21"/>
        <v>-182.22511700167155</v>
      </c>
      <c r="X64" s="354">
        <f t="shared" si="21"/>
        <v>-182.22511700167155</v>
      </c>
      <c r="Y64" s="354">
        <f t="shared" si="21"/>
        <v>-182.22511700167155</v>
      </c>
      <c r="Z64" s="354">
        <f t="shared" si="21"/>
        <v>-182.22511700167155</v>
      </c>
    </row>
    <row r="65" spans="1:26" s="89" customFormat="1" x14ac:dyDescent="0.35">
      <c r="A65" s="116" t="s">
        <v>163</v>
      </c>
      <c r="B65" s="125">
        <f t="shared" ref="B65:Z65" si="22">$M$6</f>
        <v>60</v>
      </c>
      <c r="C65" s="125">
        <f t="shared" si="22"/>
        <v>60</v>
      </c>
      <c r="D65" s="125">
        <f t="shared" si="22"/>
        <v>60</v>
      </c>
      <c r="E65" s="125">
        <f t="shared" si="22"/>
        <v>60</v>
      </c>
      <c r="F65" s="125">
        <f t="shared" si="22"/>
        <v>60</v>
      </c>
      <c r="G65" s="125">
        <f t="shared" si="22"/>
        <v>60</v>
      </c>
      <c r="H65" s="125">
        <f t="shared" si="22"/>
        <v>60</v>
      </c>
      <c r="I65" s="125">
        <f t="shared" si="22"/>
        <v>60</v>
      </c>
      <c r="J65" s="125">
        <f t="shared" si="22"/>
        <v>60</v>
      </c>
      <c r="K65" s="125">
        <f t="shared" si="22"/>
        <v>60</v>
      </c>
      <c r="L65" s="125">
        <f t="shared" si="22"/>
        <v>60</v>
      </c>
      <c r="M65" s="125">
        <f t="shared" si="22"/>
        <v>60</v>
      </c>
      <c r="N65" s="125">
        <f t="shared" si="22"/>
        <v>60</v>
      </c>
      <c r="O65" s="125">
        <f t="shared" si="22"/>
        <v>60</v>
      </c>
      <c r="P65" s="125">
        <f t="shared" si="22"/>
        <v>60</v>
      </c>
      <c r="Q65" s="125">
        <f t="shared" si="22"/>
        <v>60</v>
      </c>
      <c r="R65" s="125">
        <f t="shared" si="22"/>
        <v>60</v>
      </c>
      <c r="S65" s="125">
        <f t="shared" si="22"/>
        <v>60</v>
      </c>
      <c r="T65" s="125">
        <f t="shared" si="22"/>
        <v>60</v>
      </c>
      <c r="U65" s="125">
        <f t="shared" si="22"/>
        <v>60</v>
      </c>
      <c r="V65" s="125">
        <f t="shared" si="22"/>
        <v>60</v>
      </c>
      <c r="W65" s="354">
        <f t="shared" si="22"/>
        <v>60</v>
      </c>
      <c r="X65" s="354">
        <f t="shared" si="22"/>
        <v>60</v>
      </c>
      <c r="Y65" s="354">
        <f t="shared" si="22"/>
        <v>60</v>
      </c>
      <c r="Z65" s="354">
        <f t="shared" si="22"/>
        <v>60</v>
      </c>
    </row>
    <row r="66" spans="1:26" s="89" customFormat="1" x14ac:dyDescent="0.35">
      <c r="C66" s="90"/>
    </row>
    <row r="67" spans="1:26" s="89" customFormat="1" x14ac:dyDescent="0.35">
      <c r="C67" s="90"/>
    </row>
    <row r="68" spans="1:26" s="89" customFormat="1" x14ac:dyDescent="0.35">
      <c r="C68" s="90"/>
    </row>
    <row r="69" spans="1:26" s="89" customFormat="1" x14ac:dyDescent="0.35">
      <c r="C69" s="90"/>
    </row>
    <row r="70" spans="1:26" s="89" customFormat="1" x14ac:dyDescent="0.35">
      <c r="C70" s="90"/>
    </row>
  </sheetData>
  <sheetProtection algorithmName="SHA-512" hashValue="ltViWPRCg/56s5glUON18YiPw7PVBxSp3Si/P19f98BE2cjj3wAz+JA19DnXHCdcqNY+VKui65SXOCjs9qPrHA==" saltValue="3q4Gmqd7fUhI3lUzhWyTtA==" spinCount="100000" sheet="1" objects="1" scenarios="1" selectLockedCells="1" selectUnlockedCells="1"/>
  <mergeCells count="23">
    <mergeCell ref="K10:L10"/>
    <mergeCell ref="K11:L11"/>
    <mergeCell ref="A39:B39"/>
    <mergeCell ref="P9:Q9"/>
    <mergeCell ref="P10:Q10"/>
    <mergeCell ref="P11:Q11"/>
    <mergeCell ref="K9:L9"/>
    <mergeCell ref="P12:Q12"/>
    <mergeCell ref="K13:M13"/>
    <mergeCell ref="K14:M14"/>
    <mergeCell ref="D6:E6"/>
    <mergeCell ref="P6:Q6"/>
    <mergeCell ref="D7:E7"/>
    <mergeCell ref="P7:Q7"/>
    <mergeCell ref="D8:E8"/>
    <mergeCell ref="P8:Q8"/>
    <mergeCell ref="K8:L8"/>
    <mergeCell ref="A4:B4"/>
    <mergeCell ref="D4:H4"/>
    <mergeCell ref="K4:M4"/>
    <mergeCell ref="P4:R4"/>
    <mergeCell ref="D5:E5"/>
    <mergeCell ref="P5:Q5"/>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greaterThan" id="{A6F32D0D-FEE1-4EDD-A7B8-D5AC3359A84E}">
            <xm:f>'Generation &amp; Ops Scenarios'!$C$35*8760*0.3</xm:f>
            <x14:dxf>
              <font>
                <color rgb="FFFF0000"/>
              </font>
              <fill>
                <patternFill>
                  <bgColor theme="5" tint="0.79998168889431442"/>
                </patternFill>
              </fill>
            </x14:dxf>
          </x14:cfRule>
          <xm:sqref>B54:Z54</xm:sqref>
        </x14:conditionalFormatting>
        <x14:conditionalFormatting xmlns:xm="http://schemas.microsoft.com/office/excel/2006/main">
          <x14:cfRule type="cellIs" priority="2" operator="greaterThan" id="{810384A7-BBF1-421A-B4D4-0FB16C4F94BD}">
            <xm:f>'Generation &amp; Ops Scenarios'!$C$35*8760*0.3+$B$51</xm:f>
            <x14:dxf>
              <font>
                <color rgb="FFFF0000"/>
              </font>
              <fill>
                <patternFill>
                  <bgColor theme="5" tint="0.79998168889431442"/>
                </patternFill>
              </fill>
            </x14:dxf>
          </x14:cfRule>
          <xm:sqref>B57:Z57</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B20F1-33D0-4397-83DE-9C1199A0C80D}">
  <dimension ref="A1:AC18"/>
  <sheetViews>
    <sheetView topLeftCell="F1" workbookViewId="0">
      <selection activeCell="T1" sqref="T1:AC1048576"/>
    </sheetView>
  </sheetViews>
  <sheetFormatPr defaultRowHeight="14.5" x14ac:dyDescent="0.35"/>
  <cols>
    <col min="2" max="2" width="5.453125" customWidth="1"/>
    <col min="3" max="3" width="14.54296875" customWidth="1"/>
    <col min="4" max="4" width="13.1796875" customWidth="1"/>
    <col min="5" max="5" width="12.54296875" customWidth="1"/>
    <col min="6" max="6" width="12.1796875" customWidth="1"/>
    <col min="7" max="7" width="10.26953125" customWidth="1"/>
    <col min="8" max="15" width="12.1796875" customWidth="1"/>
    <col min="16" max="17" width="10.7265625" customWidth="1"/>
    <col min="18" max="18" width="11.1796875" customWidth="1"/>
    <col min="19" max="19" width="11" customWidth="1"/>
    <col min="20" max="29" width="11.453125" customWidth="1"/>
  </cols>
  <sheetData>
    <row r="1" spans="1:29" s="131" customFormat="1" x14ac:dyDescent="0.35">
      <c r="A1" s="5" t="s">
        <v>29</v>
      </c>
      <c r="B1" s="5"/>
      <c r="D1" s="130" t="str">
        <f>'Generation &amp; Ops Scenarios'!G27</f>
        <v>100% renewable, Wind,Solar, Storage (updated Narec)</v>
      </c>
    </row>
    <row r="3" spans="1:29" x14ac:dyDescent="0.35">
      <c r="D3" t="s">
        <v>30</v>
      </c>
      <c r="E3" s="79">
        <v>1</v>
      </c>
      <c r="F3" s="79">
        <v>2</v>
      </c>
      <c r="G3" s="79">
        <v>3</v>
      </c>
      <c r="H3" s="79">
        <v>4</v>
      </c>
      <c r="I3" s="79">
        <v>5</v>
      </c>
      <c r="J3" s="79">
        <v>6</v>
      </c>
      <c r="K3" s="79">
        <v>7</v>
      </c>
      <c r="L3" s="79">
        <v>8</v>
      </c>
      <c r="M3" s="79">
        <v>9</v>
      </c>
      <c r="N3" s="79">
        <v>10</v>
      </c>
      <c r="O3" s="79">
        <v>11</v>
      </c>
      <c r="P3" s="79">
        <v>12</v>
      </c>
      <c r="Q3" s="79">
        <v>13</v>
      </c>
      <c r="R3" s="79">
        <v>14</v>
      </c>
      <c r="S3" s="79">
        <v>15</v>
      </c>
      <c r="T3" s="79">
        <v>16</v>
      </c>
      <c r="U3" s="79">
        <v>17</v>
      </c>
      <c r="V3" s="79">
        <v>18</v>
      </c>
      <c r="W3" s="79">
        <v>19</v>
      </c>
      <c r="X3" s="79">
        <v>20</v>
      </c>
      <c r="Y3" s="79">
        <v>21</v>
      </c>
      <c r="Z3" s="79">
        <v>22</v>
      </c>
      <c r="AA3" s="79">
        <v>23</v>
      </c>
      <c r="AB3" s="79">
        <v>24</v>
      </c>
      <c r="AC3" s="79">
        <v>25</v>
      </c>
    </row>
    <row r="4" spans="1:29" x14ac:dyDescent="0.35">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x14ac:dyDescent="0.35">
      <c r="A5" t="s">
        <v>31</v>
      </c>
      <c r="C5" s="19"/>
      <c r="D5" s="19">
        <f>'100% Renewable Summary'!B22</f>
        <v>30279623.916666668</v>
      </c>
      <c r="E5" s="19"/>
      <c r="F5" s="19"/>
      <c r="G5" s="19"/>
      <c r="H5" s="19"/>
      <c r="I5" s="19"/>
      <c r="J5" s="19"/>
      <c r="K5" s="19"/>
      <c r="L5" s="19"/>
      <c r="M5" s="19"/>
      <c r="N5" s="19"/>
      <c r="O5" s="19"/>
      <c r="P5" s="19"/>
      <c r="Q5" s="19"/>
      <c r="R5" s="19"/>
      <c r="S5" s="19"/>
      <c r="T5" s="19"/>
      <c r="U5" s="19"/>
      <c r="V5" s="19"/>
      <c r="W5" s="19"/>
      <c r="X5" s="19"/>
      <c r="Y5" s="19"/>
      <c r="Z5" s="19"/>
      <c r="AA5" s="19"/>
      <c r="AB5" s="19"/>
      <c r="AC5" s="19"/>
    </row>
    <row r="6" spans="1:29" x14ac:dyDescent="0.35">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x14ac:dyDescent="0.35">
      <c r="A7" t="s">
        <v>38</v>
      </c>
      <c r="C7" s="19"/>
      <c r="D7" s="21">
        <f>'100% Renewable Summary'!R5</f>
        <v>1</v>
      </c>
      <c r="E7" s="19"/>
      <c r="F7" s="19"/>
      <c r="G7" s="19"/>
      <c r="H7" s="19"/>
      <c r="I7" s="19"/>
      <c r="J7" s="19"/>
      <c r="K7" s="19"/>
      <c r="L7" s="19"/>
      <c r="M7" s="19"/>
      <c r="N7" s="19"/>
      <c r="O7" s="19"/>
      <c r="P7" s="19"/>
      <c r="Q7" s="19"/>
      <c r="R7" s="19"/>
      <c r="S7" s="19"/>
      <c r="T7" s="19"/>
      <c r="U7" s="19"/>
      <c r="V7" s="19"/>
      <c r="W7" s="19"/>
      <c r="X7" s="19"/>
      <c r="Y7" s="19"/>
      <c r="Z7" s="19"/>
      <c r="AA7" s="19"/>
      <c r="AB7" s="19"/>
      <c r="AC7" s="19"/>
    </row>
    <row r="8" spans="1:29" x14ac:dyDescent="0.35">
      <c r="C8" s="19"/>
      <c r="D8" s="19"/>
      <c r="E8" s="19"/>
      <c r="F8" s="19"/>
      <c r="G8" s="19"/>
      <c r="H8" s="19"/>
      <c r="I8" s="19"/>
      <c r="J8" s="19"/>
      <c r="K8" s="19"/>
      <c r="L8" s="19"/>
      <c r="M8" s="19"/>
      <c r="N8" s="19"/>
      <c r="O8" s="19"/>
      <c r="P8" s="19"/>
      <c r="Q8" s="19"/>
      <c r="R8" s="19"/>
      <c r="S8" s="19"/>
      <c r="T8" s="19"/>
      <c r="U8" s="19"/>
      <c r="V8" s="19"/>
      <c r="W8" s="19"/>
      <c r="X8" s="19"/>
      <c r="Y8" s="19"/>
      <c r="Z8" s="19"/>
      <c r="AA8" s="19"/>
      <c r="AB8" s="19"/>
      <c r="AC8" s="19"/>
    </row>
    <row r="9" spans="1:29" x14ac:dyDescent="0.35">
      <c r="C9" t="s">
        <v>32</v>
      </c>
      <c r="D9" s="19">
        <f>D5*D7</f>
        <v>30279623.916666668</v>
      </c>
      <c r="E9" s="19"/>
      <c r="F9" s="19"/>
      <c r="G9" s="19"/>
      <c r="H9" s="19"/>
      <c r="I9" s="19"/>
      <c r="J9" s="19"/>
      <c r="K9" s="19"/>
      <c r="L9" s="19"/>
      <c r="M9" s="19"/>
      <c r="N9" s="19"/>
      <c r="O9" s="19"/>
      <c r="P9" s="19"/>
      <c r="Q9" s="19"/>
      <c r="R9" s="19"/>
      <c r="S9" s="19"/>
      <c r="T9" s="19"/>
      <c r="U9" s="19"/>
      <c r="V9" s="19"/>
      <c r="W9" s="19"/>
      <c r="X9" s="19"/>
      <c r="Y9" s="19"/>
      <c r="Z9" s="19"/>
      <c r="AA9" s="19"/>
      <c r="AB9" s="19"/>
      <c r="AC9" s="19"/>
    </row>
    <row r="10" spans="1:29" x14ac:dyDescent="0.35">
      <c r="C10" t="s">
        <v>33</v>
      </c>
      <c r="D10" s="21">
        <f>'100% Renewable Summary'!R6</f>
        <v>7.4999999999999997E-2</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x14ac:dyDescent="0.35">
      <c r="C11" s="19" t="s">
        <v>34</v>
      </c>
      <c r="D11" s="19">
        <f>'100% Renewable Summary'!R8</f>
        <v>25</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x14ac:dyDescent="0.35">
      <c r="C12" s="19" t="s">
        <v>35</v>
      </c>
      <c r="D12" s="19"/>
      <c r="E12" s="19">
        <f>+D9</f>
        <v>30279623.916666668</v>
      </c>
      <c r="F12" s="19">
        <f t="shared" ref="F12:AC12" si="0">E15</f>
        <v>29834190.311559934</v>
      </c>
      <c r="G12" s="19">
        <f t="shared" si="0"/>
        <v>29355349.186070196</v>
      </c>
      <c r="H12" s="19">
        <f t="shared" si="0"/>
        <v>28840594.976168726</v>
      </c>
      <c r="I12" s="19">
        <f t="shared" si="0"/>
        <v>28287234.200524643</v>
      </c>
      <c r="J12" s="19">
        <f t="shared" si="0"/>
        <v>27692371.366707258</v>
      </c>
      <c r="K12" s="19">
        <f t="shared" si="0"/>
        <v>27052893.820353568</v>
      </c>
      <c r="L12" s="19">
        <f t="shared" si="0"/>
        <v>26365455.458023351</v>
      </c>
      <c r="M12" s="19">
        <f t="shared" si="0"/>
        <v>25626459.218518369</v>
      </c>
      <c r="N12" s="19">
        <f t="shared" si="0"/>
        <v>24832038.261050511</v>
      </c>
      <c r="O12" s="19">
        <f t="shared" si="0"/>
        <v>23978035.731772564</v>
      </c>
      <c r="P12" s="19">
        <f t="shared" si="0"/>
        <v>23059983.012798771</v>
      </c>
      <c r="Q12" s="19">
        <f t="shared" si="0"/>
        <v>22073076.339901943</v>
      </c>
      <c r="R12" s="19">
        <f t="shared" si="0"/>
        <v>21012151.666537855</v>
      </c>
      <c r="S12" s="19">
        <f t="shared" si="0"/>
        <v>19871657.642671458</v>
      </c>
      <c r="T12" s="19">
        <f t="shared" si="0"/>
        <v>18645626.567015082</v>
      </c>
      <c r="U12" s="19">
        <f t="shared" si="0"/>
        <v>17327643.160684478</v>
      </c>
      <c r="V12" s="19">
        <f t="shared" si="0"/>
        <v>15910810.998879079</v>
      </c>
      <c r="W12" s="19">
        <f t="shared" si="0"/>
        <v>14387716.424938275</v>
      </c>
      <c r="X12" s="19">
        <f t="shared" si="0"/>
        <v>12750389.75795191</v>
      </c>
      <c r="Y12" s="19">
        <f t="shared" si="0"/>
        <v>10990263.590941567</v>
      </c>
      <c r="Z12" s="19">
        <f t="shared" si="0"/>
        <v>9098127.9614054486</v>
      </c>
      <c r="AA12" s="19">
        <f t="shared" si="0"/>
        <v>7064082.1596541218</v>
      </c>
      <c r="AB12" s="19">
        <f t="shared" si="0"/>
        <v>4877482.9227714464</v>
      </c>
      <c r="AC12" s="19">
        <f t="shared" si="0"/>
        <v>2526888.7431225702</v>
      </c>
    </row>
    <row r="13" spans="1:29" x14ac:dyDescent="0.35">
      <c r="C13" s="19" t="s">
        <v>36</v>
      </c>
      <c r="D13" s="19"/>
      <c r="E13" s="46">
        <f>E16-E14</f>
        <v>-445433.60510673467</v>
      </c>
      <c r="F13" s="19">
        <f>F16-F14</f>
        <v>-478841.1254897397</v>
      </c>
      <c r="G13" s="19">
        <f t="shared" ref="G13:AC13" si="1">G16-G14</f>
        <v>-514754.20990147023</v>
      </c>
      <c r="H13" s="19">
        <f t="shared" si="1"/>
        <v>-553360.77564408071</v>
      </c>
      <c r="I13" s="19">
        <f t="shared" si="1"/>
        <v>-594862.83381738653</v>
      </c>
      <c r="J13" s="19">
        <f t="shared" si="1"/>
        <v>-639477.54635369056</v>
      </c>
      <c r="K13" s="19">
        <f t="shared" si="1"/>
        <v>-687438.36233021738</v>
      </c>
      <c r="L13" s="19">
        <f t="shared" si="1"/>
        <v>-738996.23950498365</v>
      </c>
      <c r="M13" s="19">
        <f t="shared" si="1"/>
        <v>-794420.95746785728</v>
      </c>
      <c r="N13" s="19">
        <f t="shared" si="1"/>
        <v>-854002.52927794657</v>
      </c>
      <c r="O13" s="19">
        <f t="shared" si="1"/>
        <v>-918052.71897379262</v>
      </c>
      <c r="P13" s="19">
        <f t="shared" si="1"/>
        <v>-986906.67289682711</v>
      </c>
      <c r="Q13" s="19">
        <f t="shared" si="1"/>
        <v>-1060924.6733640891</v>
      </c>
      <c r="R13" s="19">
        <f t="shared" si="1"/>
        <v>-1140494.0238663957</v>
      </c>
      <c r="S13" s="19">
        <f t="shared" si="1"/>
        <v>-1226031.0756563756</v>
      </c>
      <c r="T13" s="19">
        <f t="shared" si="1"/>
        <v>-1317983.4063306039</v>
      </c>
      <c r="U13" s="19">
        <f t="shared" si="1"/>
        <v>-1416832.161805399</v>
      </c>
      <c r="V13" s="19">
        <f t="shared" si="1"/>
        <v>-1523094.573940804</v>
      </c>
      <c r="W13" s="19">
        <f t="shared" si="1"/>
        <v>-1637326.6669863644</v>
      </c>
      <c r="X13" s="19">
        <f t="shared" si="1"/>
        <v>-1760126.1670103418</v>
      </c>
      <c r="Y13" s="19">
        <f t="shared" si="1"/>
        <v>-1892135.6295361174</v>
      </c>
      <c r="Z13" s="19">
        <f t="shared" si="1"/>
        <v>-2034045.8017513263</v>
      </c>
      <c r="AA13" s="19">
        <f t="shared" si="1"/>
        <v>-2186599.2368826759</v>
      </c>
      <c r="AB13" s="19">
        <f t="shared" si="1"/>
        <v>-2350594.1796488762</v>
      </c>
      <c r="AC13" s="19">
        <f t="shared" si="1"/>
        <v>-2526888.7431225423</v>
      </c>
    </row>
    <row r="14" spans="1:29" x14ac:dyDescent="0.35">
      <c r="C14" s="19" t="s">
        <v>39</v>
      </c>
      <c r="D14" s="19"/>
      <c r="E14" s="19">
        <f>-E12*$D$10</f>
        <v>-2270971.7937500002</v>
      </c>
      <c r="F14" s="19">
        <f t="shared" ref="F14:AC14" si="2">-F12*$D$10</f>
        <v>-2237564.2733669952</v>
      </c>
      <c r="G14" s="19">
        <f t="shared" si="2"/>
        <v>-2201651.1889552646</v>
      </c>
      <c r="H14" s="19">
        <f t="shared" si="2"/>
        <v>-2163044.6232126541</v>
      </c>
      <c r="I14" s="19">
        <f t="shared" si="2"/>
        <v>-2121542.5650393483</v>
      </c>
      <c r="J14" s="19">
        <f t="shared" si="2"/>
        <v>-2076927.8525030443</v>
      </c>
      <c r="K14" s="19">
        <f t="shared" si="2"/>
        <v>-2028967.0365265175</v>
      </c>
      <c r="L14" s="19">
        <f t="shared" si="2"/>
        <v>-1977409.1593517512</v>
      </c>
      <c r="M14" s="19">
        <f t="shared" si="2"/>
        <v>-1921984.4413888776</v>
      </c>
      <c r="N14" s="19">
        <f t="shared" si="2"/>
        <v>-1862402.8695787883</v>
      </c>
      <c r="O14" s="19">
        <f t="shared" si="2"/>
        <v>-1798352.6798829422</v>
      </c>
      <c r="P14" s="19">
        <f t="shared" si="2"/>
        <v>-1729498.7259599078</v>
      </c>
      <c r="Q14" s="19">
        <f t="shared" si="2"/>
        <v>-1655480.7254926458</v>
      </c>
      <c r="R14" s="19">
        <f t="shared" si="2"/>
        <v>-1575911.3749903392</v>
      </c>
      <c r="S14" s="19">
        <f t="shared" si="2"/>
        <v>-1490374.3232003592</v>
      </c>
      <c r="T14" s="19">
        <f t="shared" si="2"/>
        <v>-1398421.992526131</v>
      </c>
      <c r="U14" s="19">
        <f t="shared" si="2"/>
        <v>-1299573.2370513359</v>
      </c>
      <c r="V14" s="19">
        <f t="shared" si="2"/>
        <v>-1193310.8249159309</v>
      </c>
      <c r="W14" s="19">
        <f t="shared" si="2"/>
        <v>-1079078.7318703705</v>
      </c>
      <c r="X14" s="19">
        <f t="shared" si="2"/>
        <v>-956279.2318463932</v>
      </c>
      <c r="Y14" s="19">
        <f t="shared" si="2"/>
        <v>-824269.76932061755</v>
      </c>
      <c r="Z14" s="19">
        <f t="shared" si="2"/>
        <v>-682359.59710540867</v>
      </c>
      <c r="AA14" s="19">
        <f t="shared" si="2"/>
        <v>-529806.16197405907</v>
      </c>
      <c r="AB14" s="19">
        <f t="shared" si="2"/>
        <v>-365811.21920785849</v>
      </c>
      <c r="AC14" s="19">
        <f t="shared" si="2"/>
        <v>-189516.65573419275</v>
      </c>
    </row>
    <row r="15" spans="1:29" x14ac:dyDescent="0.35">
      <c r="C15" s="19" t="s">
        <v>37</v>
      </c>
      <c r="D15" s="19"/>
      <c r="E15" s="20">
        <f>E12+E13</f>
        <v>29834190.311559934</v>
      </c>
      <c r="F15" s="20">
        <f t="shared" ref="F15:AC15" si="3">F12+F13</f>
        <v>29355349.186070196</v>
      </c>
      <c r="G15" s="20">
        <f t="shared" si="3"/>
        <v>28840594.976168726</v>
      </c>
      <c r="H15" s="20">
        <f t="shared" si="3"/>
        <v>28287234.200524643</v>
      </c>
      <c r="I15" s="20">
        <f t="shared" si="3"/>
        <v>27692371.366707258</v>
      </c>
      <c r="J15" s="20">
        <f t="shared" si="3"/>
        <v>27052893.820353568</v>
      </c>
      <c r="K15" s="20">
        <f t="shared" si="3"/>
        <v>26365455.458023351</v>
      </c>
      <c r="L15" s="20">
        <f t="shared" si="3"/>
        <v>25626459.218518369</v>
      </c>
      <c r="M15" s="20">
        <f t="shared" si="3"/>
        <v>24832038.261050511</v>
      </c>
      <c r="N15" s="20">
        <f t="shared" si="3"/>
        <v>23978035.731772564</v>
      </c>
      <c r="O15" s="20">
        <f t="shared" si="3"/>
        <v>23059983.012798771</v>
      </c>
      <c r="P15" s="20">
        <f t="shared" si="3"/>
        <v>22073076.339901943</v>
      </c>
      <c r="Q15" s="20">
        <f t="shared" si="3"/>
        <v>21012151.666537855</v>
      </c>
      <c r="R15" s="20">
        <f t="shared" si="3"/>
        <v>19871657.642671458</v>
      </c>
      <c r="S15" s="20">
        <f t="shared" si="3"/>
        <v>18645626.567015082</v>
      </c>
      <c r="T15" s="20">
        <f t="shared" si="3"/>
        <v>17327643.160684478</v>
      </c>
      <c r="U15" s="20">
        <f t="shared" si="3"/>
        <v>15910810.998879079</v>
      </c>
      <c r="V15" s="20">
        <f t="shared" si="3"/>
        <v>14387716.424938275</v>
      </c>
      <c r="W15" s="20">
        <f t="shared" si="3"/>
        <v>12750389.75795191</v>
      </c>
      <c r="X15" s="20">
        <f t="shared" si="3"/>
        <v>10990263.590941567</v>
      </c>
      <c r="Y15" s="20">
        <f t="shared" si="3"/>
        <v>9098127.9614054486</v>
      </c>
      <c r="Z15" s="20">
        <f t="shared" si="3"/>
        <v>7064082.1596541218</v>
      </c>
      <c r="AA15" s="20">
        <f t="shared" si="3"/>
        <v>4877482.9227714464</v>
      </c>
      <c r="AB15" s="20">
        <f t="shared" si="3"/>
        <v>2526888.7431225702</v>
      </c>
      <c r="AC15" s="20">
        <f t="shared" si="3"/>
        <v>2.7939677238464355E-8</v>
      </c>
    </row>
    <row r="16" spans="1:29" x14ac:dyDescent="0.35">
      <c r="C16" s="19"/>
      <c r="D16" s="19"/>
      <c r="E16" s="19">
        <f>PMT(D10,25,D9)</f>
        <v>-2716405.3988567349</v>
      </c>
      <c r="F16" s="19">
        <f>E16</f>
        <v>-2716405.3988567349</v>
      </c>
      <c r="G16" s="19">
        <f t="shared" ref="G16:AC16" si="4">F16</f>
        <v>-2716405.3988567349</v>
      </c>
      <c r="H16" s="19">
        <f t="shared" si="4"/>
        <v>-2716405.3988567349</v>
      </c>
      <c r="I16" s="19">
        <f t="shared" si="4"/>
        <v>-2716405.3988567349</v>
      </c>
      <c r="J16" s="19">
        <f t="shared" si="4"/>
        <v>-2716405.3988567349</v>
      </c>
      <c r="K16" s="19">
        <f t="shared" si="4"/>
        <v>-2716405.3988567349</v>
      </c>
      <c r="L16" s="19">
        <f t="shared" si="4"/>
        <v>-2716405.3988567349</v>
      </c>
      <c r="M16" s="19">
        <f t="shared" si="4"/>
        <v>-2716405.3988567349</v>
      </c>
      <c r="N16" s="19">
        <f t="shared" si="4"/>
        <v>-2716405.3988567349</v>
      </c>
      <c r="O16" s="19">
        <f t="shared" si="4"/>
        <v>-2716405.3988567349</v>
      </c>
      <c r="P16" s="19">
        <f t="shared" si="4"/>
        <v>-2716405.3988567349</v>
      </c>
      <c r="Q16" s="19">
        <f t="shared" si="4"/>
        <v>-2716405.3988567349</v>
      </c>
      <c r="R16" s="19">
        <f t="shared" si="4"/>
        <v>-2716405.3988567349</v>
      </c>
      <c r="S16" s="19">
        <f t="shared" si="4"/>
        <v>-2716405.3988567349</v>
      </c>
      <c r="T16" s="19">
        <f t="shared" si="4"/>
        <v>-2716405.3988567349</v>
      </c>
      <c r="U16" s="19">
        <f t="shared" si="4"/>
        <v>-2716405.3988567349</v>
      </c>
      <c r="V16" s="19">
        <f t="shared" si="4"/>
        <v>-2716405.3988567349</v>
      </c>
      <c r="W16" s="19">
        <f t="shared" si="4"/>
        <v>-2716405.3988567349</v>
      </c>
      <c r="X16" s="19">
        <f t="shared" si="4"/>
        <v>-2716405.3988567349</v>
      </c>
      <c r="Y16" s="19">
        <f t="shared" si="4"/>
        <v>-2716405.3988567349</v>
      </c>
      <c r="Z16" s="19">
        <f t="shared" si="4"/>
        <v>-2716405.3988567349</v>
      </c>
      <c r="AA16" s="19">
        <f t="shared" si="4"/>
        <v>-2716405.3988567349</v>
      </c>
      <c r="AB16" s="19">
        <f t="shared" si="4"/>
        <v>-2716405.3988567349</v>
      </c>
      <c r="AC16" s="19">
        <f t="shared" si="4"/>
        <v>-2716405.3988567349</v>
      </c>
    </row>
    <row r="17" spans="3:29" x14ac:dyDescent="0.35">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row>
    <row r="18" spans="3:29" x14ac:dyDescent="0.35">
      <c r="E18" s="4">
        <f>E16-E14</f>
        <v>-445433.60510673467</v>
      </c>
      <c r="F18" s="4">
        <f t="shared" ref="F18:P18" si="5">F13+-F16</f>
        <v>2237564.2733669952</v>
      </c>
      <c r="G18" s="4">
        <f t="shared" si="5"/>
        <v>2201651.1889552646</v>
      </c>
      <c r="H18" s="4">
        <f t="shared" si="5"/>
        <v>2163044.6232126541</v>
      </c>
      <c r="I18" s="4">
        <f t="shared" si="5"/>
        <v>2121542.5650393483</v>
      </c>
      <c r="J18" s="4">
        <f t="shared" si="5"/>
        <v>2076927.8525030443</v>
      </c>
      <c r="K18" s="4">
        <f t="shared" si="5"/>
        <v>2028967.0365265175</v>
      </c>
      <c r="L18" s="4">
        <f t="shared" si="5"/>
        <v>1977409.1593517512</v>
      </c>
      <c r="M18" s="4">
        <f t="shared" si="5"/>
        <v>1921984.4413888776</v>
      </c>
      <c r="N18" s="4">
        <f t="shared" si="5"/>
        <v>1862402.8695787883</v>
      </c>
      <c r="O18" s="4">
        <f t="shared" si="5"/>
        <v>1798352.6798829422</v>
      </c>
      <c r="P18" s="4">
        <f t="shared" si="5"/>
        <v>1729498.7259599078</v>
      </c>
    </row>
  </sheetData>
  <sheetProtection algorithmName="SHA-512" hashValue="fEwuprqVVGo3H656AmUDGb1LOaNx0SeFfJWquvZNPIaaF9RaWUaZxfjijM6/HWNPQlSXtEFr+53wdvtmrVRZWg==" saltValue="KJlmnUHGr68S6RIrqVWGkw==" spinCount="100000" sheet="1" objects="1" scenarios="1" selectLockedCells="1" selectUnlockedCells="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596EC-D3A1-4B7F-A80C-4E93A5350289}">
  <dimension ref="A1:AD46"/>
  <sheetViews>
    <sheetView workbookViewId="0">
      <selection activeCell="I1" sqref="I1:AB1048576"/>
    </sheetView>
  </sheetViews>
  <sheetFormatPr defaultColWidth="9.1796875" defaultRowHeight="13" x14ac:dyDescent="0.3"/>
  <cols>
    <col min="1" max="2" width="9.1796875" style="35"/>
    <col min="3" max="4" width="10.7265625" style="35" customWidth="1"/>
    <col min="5" max="5" width="9.81640625" style="35" customWidth="1"/>
    <col min="6" max="6" width="10.7265625" style="35" customWidth="1"/>
    <col min="7" max="7" width="10" style="35" customWidth="1"/>
    <col min="8" max="8" width="9.81640625" style="35" customWidth="1"/>
    <col min="9" max="28" width="12.453125" style="35" customWidth="1"/>
    <col min="29" max="29" width="9.1796875" style="35"/>
    <col min="30" max="30" width="11.1796875" style="35" bestFit="1" customWidth="1"/>
    <col min="31" max="16384" width="9.1796875" style="35"/>
  </cols>
  <sheetData>
    <row r="1" spans="1:30" s="131" customFormat="1" ht="14.5" x14ac:dyDescent="0.35">
      <c r="A1" s="16" t="s">
        <v>16</v>
      </c>
      <c r="B1" s="129"/>
      <c r="C1" s="130" t="str">
        <f>'Generation &amp; Ops Scenarios'!G27</f>
        <v>100% renewable, Wind,Solar, Storage (updated Narec)</v>
      </c>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row>
    <row r="2" spans="1:30" x14ac:dyDescent="0.3">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x14ac:dyDescent="0.3">
      <c r="A3" s="34"/>
      <c r="B3" s="34"/>
      <c r="C3" s="34"/>
      <c r="D3" s="423" t="s">
        <v>7</v>
      </c>
      <c r="E3" s="423"/>
      <c r="F3" s="423"/>
      <c r="G3" s="423"/>
      <c r="H3" s="423"/>
      <c r="I3" s="423"/>
      <c r="J3" s="423"/>
      <c r="K3" s="423"/>
      <c r="L3" s="423"/>
      <c r="M3" s="423"/>
      <c r="N3" s="423"/>
      <c r="O3" s="423"/>
      <c r="P3" s="423"/>
      <c r="Q3" s="423"/>
      <c r="R3" s="423"/>
      <c r="S3" s="423"/>
      <c r="T3" s="423"/>
      <c r="U3" s="423"/>
      <c r="V3" s="423"/>
      <c r="W3" s="423"/>
      <c r="X3" s="423"/>
      <c r="Y3" s="423"/>
      <c r="Z3" s="423"/>
      <c r="AA3" s="423"/>
      <c r="AB3" s="423"/>
      <c r="AC3" s="84"/>
      <c r="AD3" s="34"/>
    </row>
    <row r="4" spans="1:30" x14ac:dyDescent="0.3">
      <c r="A4" s="34"/>
      <c r="B4" s="34"/>
      <c r="C4" s="34" t="s">
        <v>7</v>
      </c>
      <c r="D4" s="37">
        <v>1</v>
      </c>
      <c r="E4" s="37">
        <v>2</v>
      </c>
      <c r="F4" s="37">
        <v>3</v>
      </c>
      <c r="G4" s="37">
        <v>4</v>
      </c>
      <c r="H4" s="37">
        <v>5</v>
      </c>
      <c r="I4" s="37">
        <v>6</v>
      </c>
      <c r="J4" s="37">
        <v>7</v>
      </c>
      <c r="K4" s="37">
        <v>8</v>
      </c>
      <c r="L4" s="37">
        <v>9</v>
      </c>
      <c r="M4" s="37">
        <v>10</v>
      </c>
      <c r="N4" s="37">
        <v>11</v>
      </c>
      <c r="O4" s="37">
        <v>12</v>
      </c>
      <c r="P4" s="37">
        <v>13</v>
      </c>
      <c r="Q4" s="37">
        <v>14</v>
      </c>
      <c r="R4" s="37">
        <v>15</v>
      </c>
      <c r="S4" s="37">
        <v>16</v>
      </c>
      <c r="T4" s="37">
        <v>17</v>
      </c>
      <c r="U4" s="37">
        <v>18</v>
      </c>
      <c r="V4" s="37">
        <v>19</v>
      </c>
      <c r="W4" s="37">
        <v>20</v>
      </c>
      <c r="X4" s="37">
        <v>21</v>
      </c>
      <c r="Y4" s="37">
        <v>22</v>
      </c>
      <c r="Z4" s="37">
        <v>23</v>
      </c>
      <c r="AA4" s="37">
        <v>24</v>
      </c>
      <c r="AB4" s="37">
        <v>25</v>
      </c>
      <c r="AC4" s="84"/>
      <c r="AD4" s="37" t="s">
        <v>46</v>
      </c>
    </row>
    <row r="5" spans="1:30" x14ac:dyDescent="0.3">
      <c r="A5" s="38"/>
      <c r="B5" s="38"/>
      <c r="C5" s="38"/>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3">
      <c r="A6" s="39" t="s">
        <v>17</v>
      </c>
      <c r="B6" s="34"/>
      <c r="C6" s="34"/>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x14ac:dyDescent="0.3">
      <c r="A7" s="34" t="s">
        <v>3</v>
      </c>
      <c r="B7" s="34"/>
      <c r="C7" s="34"/>
      <c r="D7" s="40">
        <f>'100% Renewable Summary'!M5*'100% Renewable Summary'!M6/100</f>
        <v>840000</v>
      </c>
      <c r="E7" s="40">
        <f>D7*(1+'100% Renewable Summary'!$M$8)*E44</f>
        <v>840000</v>
      </c>
      <c r="F7" s="40">
        <f>E7*(1+'100% Renewable Summary'!$M$8)*F44</f>
        <v>840000</v>
      </c>
      <c r="G7" s="40">
        <f>F7*(1+'100% Renewable Summary'!$M$8)*G44</f>
        <v>840000</v>
      </c>
      <c r="H7" s="40">
        <f>G7*(1+'100% Renewable Summary'!$M$8)*H44</f>
        <v>840000</v>
      </c>
      <c r="I7" s="40">
        <f>H7*(1+'100% Renewable Summary'!$M$8)*I44</f>
        <v>840000</v>
      </c>
      <c r="J7" s="40">
        <f>I7*(1+'100% Renewable Summary'!$M$8)*J44</f>
        <v>840000</v>
      </c>
      <c r="K7" s="40">
        <f>J7*(1+'100% Renewable Summary'!$M$8)*K44</f>
        <v>840000</v>
      </c>
      <c r="L7" s="40">
        <f>K7*(1+'100% Renewable Summary'!$M$8)*L44</f>
        <v>840000</v>
      </c>
      <c r="M7" s="40">
        <f>L7*(1+'100% Renewable Summary'!$M$8)*M44</f>
        <v>840000</v>
      </c>
      <c r="N7" s="40">
        <f>M7*(1+'100% Renewable Summary'!$M$8)*N44</f>
        <v>840000</v>
      </c>
      <c r="O7" s="40">
        <f>N7*(1+'100% Renewable Summary'!$M$8)*O44</f>
        <v>840000</v>
      </c>
      <c r="P7" s="40">
        <f>O7*(1+'100% Renewable Summary'!$M$8)*P44</f>
        <v>840000</v>
      </c>
      <c r="Q7" s="40">
        <f>P7*(1+'100% Renewable Summary'!$M$8)*Q44</f>
        <v>840000</v>
      </c>
      <c r="R7" s="40">
        <f>Q7*(1+'100% Renewable Summary'!$M$8)*R44</f>
        <v>840000</v>
      </c>
      <c r="S7" s="40">
        <f>R7*(1+'100% Renewable Summary'!$M$8)*S44</f>
        <v>840000</v>
      </c>
      <c r="T7" s="40">
        <f>S7*(1+'100% Renewable Summary'!$M$8)*T44</f>
        <v>840000</v>
      </c>
      <c r="U7" s="40">
        <f>T7*(1+'100% Renewable Summary'!$M$8)*U44</f>
        <v>840000</v>
      </c>
      <c r="V7" s="40">
        <f>U7*(1+'100% Renewable Summary'!$M$8)*V44</f>
        <v>840000</v>
      </c>
      <c r="W7" s="40">
        <f>V7*(1+'100% Renewable Summary'!$M$8)*W44</f>
        <v>840000</v>
      </c>
      <c r="X7" s="40">
        <f>W7*(1+'100% Renewable Summary'!$M$8)*X44</f>
        <v>840000</v>
      </c>
      <c r="Y7" s="40">
        <f>X7*(1+'100% Renewable Summary'!$M$8)*Y44</f>
        <v>840000</v>
      </c>
      <c r="Z7" s="40">
        <f>Y7*(1+'100% Renewable Summary'!$M$8)*Z44</f>
        <v>840000</v>
      </c>
      <c r="AA7" s="40">
        <f>Z7*(1+'100% Renewable Summary'!$M$8)*AA44</f>
        <v>840000</v>
      </c>
      <c r="AB7" s="40">
        <f>AA7*(1+'100% Renewable Summary'!$M$8)*AB44</f>
        <v>840000</v>
      </c>
      <c r="AC7" s="40"/>
      <c r="AD7" s="40">
        <f>SUM(D7:AC7)</f>
        <v>21000000</v>
      </c>
    </row>
    <row r="8" spans="1:30" x14ac:dyDescent="0.3">
      <c r="A8" s="34" t="s">
        <v>23</v>
      </c>
      <c r="B8" s="34"/>
      <c r="C8" s="34"/>
      <c r="D8" s="47">
        <f>-IF('100% Renewable Summary'!$M$18&gt;'Generation &amp; Ops Scenarios'!$G$45, ('100% Renewable Summary'!$M$18-'Generation &amp; Ops Scenarios'!$G$45)*'100% Renewable Summary'!$H$23/100, 0)</f>
        <v>0</v>
      </c>
      <c r="E8" s="47">
        <f>-IF('100% Renewable Summary'!$M$18&gt;'Generation &amp; Ops Scenarios'!$G$45, ('100% Renewable Summary'!$M$18-'Generation &amp; Ops Scenarios'!$G$45)*'100% Renewable Summary'!$H$23/100, 0)</f>
        <v>0</v>
      </c>
      <c r="F8" s="47">
        <f>-IF('100% Renewable Summary'!$M$18&gt;'Generation &amp; Ops Scenarios'!$G$45, ('100% Renewable Summary'!$M$18-'Generation &amp; Ops Scenarios'!$G$45)*'100% Renewable Summary'!$H$23/100, 0)</f>
        <v>0</v>
      </c>
      <c r="G8" s="47">
        <f>-IF('100% Renewable Summary'!$M$18&gt;'Generation &amp; Ops Scenarios'!$G$45, ('100% Renewable Summary'!$M$18-'Generation &amp; Ops Scenarios'!$G$45)*'100% Renewable Summary'!$H$23/100, 0)</f>
        <v>0</v>
      </c>
      <c r="H8" s="47">
        <f>-IF('100% Renewable Summary'!$M$18&gt;'Generation &amp; Ops Scenarios'!$G$45, ('100% Renewable Summary'!$M$18-'Generation &amp; Ops Scenarios'!$G$45)*'100% Renewable Summary'!$H$23/100, 0)</f>
        <v>0</v>
      </c>
      <c r="I8" s="47">
        <f>-IF('100% Renewable Summary'!$M$18&gt;'Generation &amp; Ops Scenarios'!$G$45, ('100% Renewable Summary'!$M$18-'Generation &amp; Ops Scenarios'!$G$45)*'100% Renewable Summary'!$H$23/100, 0)</f>
        <v>0</v>
      </c>
      <c r="J8" s="47">
        <f>-IF('100% Renewable Summary'!$M$18&gt;'Generation &amp; Ops Scenarios'!$G$45, ('100% Renewable Summary'!$M$18-'Generation &amp; Ops Scenarios'!$G$45)*'100% Renewable Summary'!$H$23/100, 0)</f>
        <v>0</v>
      </c>
      <c r="K8" s="47">
        <f>-IF('100% Renewable Summary'!$M$18&gt;'Generation &amp; Ops Scenarios'!$G$45, ('100% Renewable Summary'!$M$18-'Generation &amp; Ops Scenarios'!$G$45)*'100% Renewable Summary'!$H$23/100, 0)</f>
        <v>0</v>
      </c>
      <c r="L8" s="47">
        <f>-IF('100% Renewable Summary'!$M$18&gt;'Generation &amp; Ops Scenarios'!$G$45, ('100% Renewable Summary'!$M$18-'Generation &amp; Ops Scenarios'!$G$45)*'100% Renewable Summary'!$H$23/100, 0)</f>
        <v>0</v>
      </c>
      <c r="M8" s="47">
        <f>-IF('100% Renewable Summary'!$M$18&gt;'Generation &amp; Ops Scenarios'!$G$45, ('100% Renewable Summary'!$M$18-'Generation &amp; Ops Scenarios'!$G$45)*'100% Renewable Summary'!$H$23/100, 0)</f>
        <v>0</v>
      </c>
      <c r="N8" s="47">
        <f>-IF('100% Renewable Summary'!$M$18&gt;'Generation &amp; Ops Scenarios'!$G$45, ('100% Renewable Summary'!$M$18-'Generation &amp; Ops Scenarios'!$G$45)*'100% Renewable Summary'!$H$23/100, 0)</f>
        <v>0</v>
      </c>
      <c r="O8" s="47">
        <f>-IF('100% Renewable Summary'!$M$18&gt;'Generation &amp; Ops Scenarios'!$G$45, ('100% Renewable Summary'!$M$18-'Generation &amp; Ops Scenarios'!$G$45)*'100% Renewable Summary'!$H$23/100, 0)</f>
        <v>0</v>
      </c>
      <c r="P8" s="47">
        <f>-IF('100% Renewable Summary'!$M$18&gt;'Generation &amp; Ops Scenarios'!$G$45, ('100% Renewable Summary'!$M$18-'Generation &amp; Ops Scenarios'!$G$45)*'100% Renewable Summary'!$H$23/100, 0)</f>
        <v>0</v>
      </c>
      <c r="Q8" s="47">
        <f>-IF('100% Renewable Summary'!$M$18&gt;'Generation &amp; Ops Scenarios'!$G$45, ('100% Renewable Summary'!$M$18-'Generation &amp; Ops Scenarios'!$G$45)*'100% Renewable Summary'!$H$23/100, 0)</f>
        <v>0</v>
      </c>
      <c r="R8" s="47">
        <f>-IF('100% Renewable Summary'!$M$18&gt;'Generation &amp; Ops Scenarios'!$G$45, ('100% Renewable Summary'!$M$18-'Generation &amp; Ops Scenarios'!$G$45)*'100% Renewable Summary'!$H$23/100, 0)</f>
        <v>0</v>
      </c>
      <c r="S8" s="47">
        <f>-IF('100% Renewable Summary'!$M$18&gt;'Generation &amp; Ops Scenarios'!$G$45, ('100% Renewable Summary'!$M$18-'Generation &amp; Ops Scenarios'!$G$45)*'100% Renewable Summary'!$H$23/100, 0)</f>
        <v>0</v>
      </c>
      <c r="T8" s="47">
        <f>-IF('100% Renewable Summary'!$M$18&gt;'Generation &amp; Ops Scenarios'!$G$45, ('100% Renewable Summary'!$M$18-'Generation &amp; Ops Scenarios'!$G$45)*'100% Renewable Summary'!$H$23/100, 0)</f>
        <v>0</v>
      </c>
      <c r="U8" s="47">
        <f>-IF('100% Renewable Summary'!$M$18&gt;'Generation &amp; Ops Scenarios'!$G$45, ('100% Renewable Summary'!$M$18-'Generation &amp; Ops Scenarios'!$G$45)*'100% Renewable Summary'!$H$23/100, 0)</f>
        <v>0</v>
      </c>
      <c r="V8" s="47">
        <f>-IF('100% Renewable Summary'!$M$18&gt;'Generation &amp; Ops Scenarios'!$G$45, ('100% Renewable Summary'!$M$18-'Generation &amp; Ops Scenarios'!$G$45)*'100% Renewable Summary'!$H$23/100, 0)</f>
        <v>0</v>
      </c>
      <c r="W8" s="47">
        <f>-IF('100% Renewable Summary'!$M$18&gt;'Generation &amp; Ops Scenarios'!$G$45, ('100% Renewable Summary'!$M$18-'Generation &amp; Ops Scenarios'!$G$45)*'100% Renewable Summary'!$H$23/100, 0)</f>
        <v>0</v>
      </c>
      <c r="X8" s="47">
        <f>-IF('100% Renewable Summary'!$M$18&gt;'Generation &amp; Ops Scenarios'!$G$45, ('100% Renewable Summary'!$M$18-'Generation &amp; Ops Scenarios'!$G$45)*'100% Renewable Summary'!$H$23/100, 0)</f>
        <v>0</v>
      </c>
      <c r="Y8" s="47">
        <f>-IF('100% Renewable Summary'!$M$18&gt;'Generation &amp; Ops Scenarios'!$G$45, ('100% Renewable Summary'!$M$18-'Generation &amp; Ops Scenarios'!$G$45)*'100% Renewable Summary'!$H$23/100, 0)</f>
        <v>0</v>
      </c>
      <c r="Z8" s="47">
        <f>-IF('100% Renewable Summary'!$M$18&gt;'Generation &amp; Ops Scenarios'!$G$45, ('100% Renewable Summary'!$M$18-'Generation &amp; Ops Scenarios'!$G$45)*'100% Renewable Summary'!$H$23/100, 0)</f>
        <v>0</v>
      </c>
      <c r="AA8" s="47">
        <f>-IF('100% Renewable Summary'!$M$18&gt;'Generation &amp; Ops Scenarios'!$G$45, ('100% Renewable Summary'!$M$18-'Generation &amp; Ops Scenarios'!$G$45)*'100% Renewable Summary'!$H$23/100, 0)</f>
        <v>0</v>
      </c>
      <c r="AB8" s="47">
        <f>-IF('100% Renewable Summary'!$M$18&gt;'Generation &amp; Ops Scenarios'!$G$45, ('100% Renewable Summary'!$M$18-'Generation &amp; Ops Scenarios'!$G$45)*'100% Renewable Summary'!$H$23/100, 0)</f>
        <v>0</v>
      </c>
      <c r="AC8" s="40"/>
      <c r="AD8" s="40">
        <f>SUM(D8:AC8)</f>
        <v>0</v>
      </c>
    </row>
    <row r="9" spans="1:30" x14ac:dyDescent="0.3">
      <c r="A9" s="34" t="s">
        <v>24</v>
      </c>
      <c r="B9" s="34"/>
      <c r="C9" s="34"/>
      <c r="D9" s="40">
        <f>-'100% Renewable Summary'!H16</f>
        <v>-674746.23916666664</v>
      </c>
      <c r="E9" s="40">
        <f>D9*E44</f>
        <v>-674746.23916666664</v>
      </c>
      <c r="F9" s="40">
        <f t="shared" ref="F9:AB9" si="0">E9*F44</f>
        <v>-674746.23916666664</v>
      </c>
      <c r="G9" s="40">
        <f t="shared" si="0"/>
        <v>-674746.23916666664</v>
      </c>
      <c r="H9" s="40">
        <f t="shared" si="0"/>
        <v>-674746.23916666664</v>
      </c>
      <c r="I9" s="40">
        <f t="shared" si="0"/>
        <v>-674746.23916666664</v>
      </c>
      <c r="J9" s="40">
        <f t="shared" si="0"/>
        <v>-674746.23916666664</v>
      </c>
      <c r="K9" s="40">
        <f t="shared" si="0"/>
        <v>-674746.23916666664</v>
      </c>
      <c r="L9" s="40">
        <f t="shared" si="0"/>
        <v>-674746.23916666664</v>
      </c>
      <c r="M9" s="40">
        <f t="shared" si="0"/>
        <v>-674746.23916666664</v>
      </c>
      <c r="N9" s="40">
        <f t="shared" si="0"/>
        <v>-674746.23916666664</v>
      </c>
      <c r="O9" s="40">
        <f t="shared" si="0"/>
        <v>-674746.23916666664</v>
      </c>
      <c r="P9" s="40">
        <f t="shared" si="0"/>
        <v>-674746.23916666664</v>
      </c>
      <c r="Q9" s="40">
        <f t="shared" si="0"/>
        <v>-674746.23916666664</v>
      </c>
      <c r="R9" s="40">
        <f t="shared" si="0"/>
        <v>-674746.23916666664</v>
      </c>
      <c r="S9" s="40">
        <f t="shared" si="0"/>
        <v>-674746.23916666664</v>
      </c>
      <c r="T9" s="40">
        <f t="shared" si="0"/>
        <v>-674746.23916666664</v>
      </c>
      <c r="U9" s="40">
        <f t="shared" si="0"/>
        <v>-674746.23916666664</v>
      </c>
      <c r="V9" s="40">
        <f t="shared" si="0"/>
        <v>-674746.23916666664</v>
      </c>
      <c r="W9" s="40">
        <f t="shared" si="0"/>
        <v>-674746.23916666664</v>
      </c>
      <c r="X9" s="40">
        <f t="shared" si="0"/>
        <v>-674746.23916666664</v>
      </c>
      <c r="Y9" s="40">
        <f t="shared" si="0"/>
        <v>-674746.23916666664</v>
      </c>
      <c r="Z9" s="40">
        <f t="shared" si="0"/>
        <v>-674746.23916666664</v>
      </c>
      <c r="AA9" s="40">
        <f t="shared" si="0"/>
        <v>-674746.23916666664</v>
      </c>
      <c r="AB9" s="40">
        <f t="shared" si="0"/>
        <v>-674746.23916666664</v>
      </c>
      <c r="AC9" s="40"/>
      <c r="AD9" s="40"/>
    </row>
    <row r="10" spans="1:30" x14ac:dyDescent="0.3">
      <c r="A10" s="34"/>
      <c r="B10" s="34"/>
      <c r="C10" s="34"/>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0" x14ac:dyDescent="0.3">
      <c r="A11" s="34" t="s">
        <v>18</v>
      </c>
      <c r="B11" s="34"/>
      <c r="C11" s="34"/>
      <c r="D11" s="41">
        <f>SUM(D7:D10)</f>
        <v>165253.76083333336</v>
      </c>
      <c r="E11" s="41">
        <f>SUM(E7:E10)</f>
        <v>165253.76083333336</v>
      </c>
      <c r="F11" s="41">
        <f t="shared" ref="F11:AD11" si="1">SUM(F7:F10)</f>
        <v>165253.76083333336</v>
      </c>
      <c r="G11" s="41">
        <f t="shared" si="1"/>
        <v>165253.76083333336</v>
      </c>
      <c r="H11" s="41">
        <f t="shared" si="1"/>
        <v>165253.76083333336</v>
      </c>
      <c r="I11" s="41">
        <f t="shared" si="1"/>
        <v>165253.76083333336</v>
      </c>
      <c r="J11" s="41">
        <f t="shared" si="1"/>
        <v>165253.76083333336</v>
      </c>
      <c r="K11" s="41">
        <f t="shared" si="1"/>
        <v>165253.76083333336</v>
      </c>
      <c r="L11" s="41">
        <f t="shared" si="1"/>
        <v>165253.76083333336</v>
      </c>
      <c r="M11" s="41">
        <f t="shared" si="1"/>
        <v>165253.76083333336</v>
      </c>
      <c r="N11" s="41">
        <f t="shared" si="1"/>
        <v>165253.76083333336</v>
      </c>
      <c r="O11" s="41">
        <f t="shared" si="1"/>
        <v>165253.76083333336</v>
      </c>
      <c r="P11" s="41">
        <f t="shared" si="1"/>
        <v>165253.76083333336</v>
      </c>
      <c r="Q11" s="41">
        <f t="shared" si="1"/>
        <v>165253.76083333336</v>
      </c>
      <c r="R11" s="41">
        <f t="shared" si="1"/>
        <v>165253.76083333336</v>
      </c>
      <c r="S11" s="41">
        <f t="shared" si="1"/>
        <v>165253.76083333336</v>
      </c>
      <c r="T11" s="41">
        <f t="shared" si="1"/>
        <v>165253.76083333336</v>
      </c>
      <c r="U11" s="41">
        <f t="shared" si="1"/>
        <v>165253.76083333336</v>
      </c>
      <c r="V11" s="41">
        <f t="shared" si="1"/>
        <v>165253.76083333336</v>
      </c>
      <c r="W11" s="41">
        <f t="shared" si="1"/>
        <v>165253.76083333336</v>
      </c>
      <c r="X11" s="41">
        <f t="shared" si="1"/>
        <v>165253.76083333336</v>
      </c>
      <c r="Y11" s="41">
        <f t="shared" si="1"/>
        <v>165253.76083333336</v>
      </c>
      <c r="Z11" s="41">
        <f t="shared" si="1"/>
        <v>165253.76083333336</v>
      </c>
      <c r="AA11" s="41">
        <f t="shared" si="1"/>
        <v>165253.76083333336</v>
      </c>
      <c r="AB11" s="41">
        <f t="shared" si="1"/>
        <v>165253.76083333336</v>
      </c>
      <c r="AC11" s="40"/>
      <c r="AD11" s="41">
        <f t="shared" si="1"/>
        <v>21000000</v>
      </c>
    </row>
    <row r="12" spans="1:30" x14ac:dyDescent="0.3">
      <c r="A12" s="34"/>
      <c r="B12" s="34"/>
      <c r="C12" s="34"/>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row>
    <row r="13" spans="1:30" x14ac:dyDescent="0.3">
      <c r="A13" s="34" t="s">
        <v>19</v>
      </c>
      <c r="B13" s="34"/>
      <c r="C13" s="34"/>
      <c r="D13" s="40">
        <f>'100% Renewable Interest Calcula'!E14</f>
        <v>-2270971.7937500002</v>
      </c>
      <c r="E13" s="40">
        <f>'100% Renewable Interest Calcula'!F14</f>
        <v>-2237564.2733669952</v>
      </c>
      <c r="F13" s="40">
        <f>'100% Renewable Interest Calcula'!G14</f>
        <v>-2201651.1889552646</v>
      </c>
      <c r="G13" s="40">
        <f>'100% Renewable Interest Calcula'!H14</f>
        <v>-2163044.6232126541</v>
      </c>
      <c r="H13" s="40">
        <f>'100% Renewable Interest Calcula'!I14</f>
        <v>-2121542.5650393483</v>
      </c>
      <c r="I13" s="40">
        <f>'100% Renewable Interest Calcula'!J14</f>
        <v>-2076927.8525030443</v>
      </c>
      <c r="J13" s="40">
        <f>'100% Renewable Interest Calcula'!K14</f>
        <v>-2028967.0365265175</v>
      </c>
      <c r="K13" s="40">
        <f>'100% Renewable Interest Calcula'!L14</f>
        <v>-1977409.1593517512</v>
      </c>
      <c r="L13" s="40">
        <f>'100% Renewable Interest Calcula'!M14</f>
        <v>-1921984.4413888776</v>
      </c>
      <c r="M13" s="40">
        <f>'100% Renewable Interest Calcula'!N14</f>
        <v>-1862402.8695787883</v>
      </c>
      <c r="N13" s="40">
        <f>'100% Renewable Interest Calcula'!O14</f>
        <v>-1798352.6798829422</v>
      </c>
      <c r="O13" s="40">
        <f>'100% Renewable Interest Calcula'!P14</f>
        <v>-1729498.7259599078</v>
      </c>
      <c r="P13" s="40">
        <f>'100% Renewable Interest Calcula'!Q14</f>
        <v>-1655480.7254926458</v>
      </c>
      <c r="Q13" s="40">
        <f>'100% Renewable Interest Calcula'!R14</f>
        <v>-1575911.3749903392</v>
      </c>
      <c r="R13" s="40">
        <f>'100% Renewable Interest Calcula'!S14</f>
        <v>-1490374.3232003592</v>
      </c>
      <c r="S13" s="40">
        <f>'100% Renewable Interest Calcula'!T14</f>
        <v>-1398421.992526131</v>
      </c>
      <c r="T13" s="40">
        <f>'100% Renewable Interest Calcula'!U14</f>
        <v>-1299573.2370513359</v>
      </c>
      <c r="U13" s="40">
        <f>'100% Renewable Interest Calcula'!V14</f>
        <v>-1193310.8249159309</v>
      </c>
      <c r="V13" s="40">
        <f>'100% Renewable Interest Calcula'!W14</f>
        <v>-1079078.7318703705</v>
      </c>
      <c r="W13" s="40">
        <f>'100% Renewable Interest Calcula'!X14</f>
        <v>-956279.2318463932</v>
      </c>
      <c r="X13" s="40">
        <f>'100% Renewable Interest Calcula'!Y14</f>
        <v>-824269.76932061755</v>
      </c>
      <c r="Y13" s="40">
        <f>'100% Renewable Interest Calcula'!Z14</f>
        <v>-682359.59710540867</v>
      </c>
      <c r="Z13" s="40">
        <f>'100% Renewable Interest Calcula'!AA14</f>
        <v>-529806.16197405907</v>
      </c>
      <c r="AA13" s="40">
        <f>'100% Renewable Interest Calcula'!AB14</f>
        <v>-365811.21920785849</v>
      </c>
      <c r="AB13" s="40">
        <f>'100% Renewable Interest Calcula'!AC14</f>
        <v>-189516.65573419275</v>
      </c>
      <c r="AC13" s="40"/>
      <c r="AD13" s="40">
        <f t="shared" ref="AD13" si="2">SUM(D13:AC13)</f>
        <v>-37630511.054751739</v>
      </c>
    </row>
    <row r="14" spans="1:30" x14ac:dyDescent="0.3">
      <c r="A14" s="34"/>
      <c r="B14" s="34"/>
      <c r="C14" s="34"/>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5" spans="1:30" x14ac:dyDescent="0.3">
      <c r="A15" s="34" t="s">
        <v>41</v>
      </c>
      <c r="B15" s="34"/>
      <c r="C15" s="34"/>
      <c r="D15" s="42">
        <f t="shared" ref="D15:AB15" si="3">SUM(D11:D14)</f>
        <v>-2105718.0329166669</v>
      </c>
      <c r="E15" s="42">
        <f t="shared" si="3"/>
        <v>-2072310.5125336619</v>
      </c>
      <c r="F15" s="42">
        <f t="shared" si="3"/>
        <v>-2036397.4281219314</v>
      </c>
      <c r="G15" s="42">
        <f t="shared" si="3"/>
        <v>-1997790.8623793209</v>
      </c>
      <c r="H15" s="42">
        <f t="shared" si="3"/>
        <v>-1956288.8042060151</v>
      </c>
      <c r="I15" s="42">
        <f t="shared" si="3"/>
        <v>-1911674.0916697108</v>
      </c>
      <c r="J15" s="42">
        <f t="shared" si="3"/>
        <v>-1863713.2756931842</v>
      </c>
      <c r="K15" s="42">
        <f t="shared" si="3"/>
        <v>-1812155.398518418</v>
      </c>
      <c r="L15" s="42">
        <f t="shared" si="3"/>
        <v>-1756730.6805555443</v>
      </c>
      <c r="M15" s="42">
        <f t="shared" si="3"/>
        <v>-1697149.1087454548</v>
      </c>
      <c r="N15" s="42">
        <f t="shared" si="3"/>
        <v>-1633098.919049609</v>
      </c>
      <c r="O15" s="42">
        <f t="shared" si="3"/>
        <v>-1564244.9651265745</v>
      </c>
      <c r="P15" s="42">
        <f t="shared" si="3"/>
        <v>-1490226.9646593123</v>
      </c>
      <c r="Q15" s="42">
        <f t="shared" si="3"/>
        <v>-1410657.6141570057</v>
      </c>
      <c r="R15" s="42">
        <f t="shared" si="3"/>
        <v>-1325120.5623670258</v>
      </c>
      <c r="S15" s="42">
        <f t="shared" si="3"/>
        <v>-1233168.2316927975</v>
      </c>
      <c r="T15" s="42">
        <f t="shared" si="3"/>
        <v>-1134319.4762180024</v>
      </c>
      <c r="U15" s="42">
        <f t="shared" si="3"/>
        <v>-1028057.0640825975</v>
      </c>
      <c r="V15" s="42">
        <f t="shared" si="3"/>
        <v>-913824.97103703709</v>
      </c>
      <c r="W15" s="42">
        <f t="shared" si="3"/>
        <v>-791025.47101305984</v>
      </c>
      <c r="X15" s="42">
        <f t="shared" si="3"/>
        <v>-659016.00848728418</v>
      </c>
      <c r="Y15" s="42">
        <f t="shared" si="3"/>
        <v>-517105.83627207531</v>
      </c>
      <c r="Z15" s="42">
        <f t="shared" si="3"/>
        <v>-364552.40114072571</v>
      </c>
      <c r="AA15" s="42">
        <f t="shared" si="3"/>
        <v>-200557.45837452513</v>
      </c>
      <c r="AB15" s="42">
        <f t="shared" si="3"/>
        <v>-24262.894900859392</v>
      </c>
      <c r="AC15" s="40"/>
      <c r="AD15" s="42">
        <f>SUM(AD11:AD14)</f>
        <v>-16630511.054751739</v>
      </c>
    </row>
    <row r="16" spans="1:30" x14ac:dyDescent="0.3">
      <c r="A16" s="34"/>
      <c r="B16" s="34"/>
      <c r="C16" s="34"/>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x14ac:dyDescent="0.3">
      <c r="A17" s="39" t="s">
        <v>20</v>
      </c>
      <c r="B17" s="34"/>
      <c r="C17" s="34"/>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row>
    <row r="18" spans="1:30" x14ac:dyDescent="0.3">
      <c r="A18" s="34" t="s">
        <v>21</v>
      </c>
      <c r="B18" s="34"/>
      <c r="C18" s="34"/>
      <c r="D18" s="40">
        <f>-'100% Renewable Summary'!B22</f>
        <v>-30279623.916666668</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f t="shared" ref="AD18:AD19" si="4">SUM(D18:AC18)</f>
        <v>-30279623.916666668</v>
      </c>
    </row>
    <row r="19" spans="1:30" x14ac:dyDescent="0.3">
      <c r="A19" s="34" t="s">
        <v>40</v>
      </c>
      <c r="B19" s="34"/>
      <c r="C19" s="34"/>
      <c r="D19" s="40">
        <f>'100% Renewable Interest Calcula'!D9</f>
        <v>30279623.916666668</v>
      </c>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f t="shared" si="4"/>
        <v>30279623.916666668</v>
      </c>
    </row>
    <row r="20" spans="1:30" x14ac:dyDescent="0.3">
      <c r="A20" s="34"/>
      <c r="B20" s="34"/>
      <c r="C20" s="34"/>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3">
      <c r="A21" s="34"/>
      <c r="B21" s="34"/>
      <c r="C21" s="34"/>
      <c r="D21" s="41">
        <f t="shared" ref="D21:AB21" si="5">SUM(D18:D20)</f>
        <v>0</v>
      </c>
      <c r="E21" s="41">
        <f t="shared" si="5"/>
        <v>0</v>
      </c>
      <c r="F21" s="41">
        <f t="shared" si="5"/>
        <v>0</v>
      </c>
      <c r="G21" s="41">
        <f t="shared" si="5"/>
        <v>0</v>
      </c>
      <c r="H21" s="41">
        <f t="shared" si="5"/>
        <v>0</v>
      </c>
      <c r="I21" s="41">
        <f t="shared" si="5"/>
        <v>0</v>
      </c>
      <c r="J21" s="41">
        <f t="shared" si="5"/>
        <v>0</v>
      </c>
      <c r="K21" s="41">
        <f t="shared" si="5"/>
        <v>0</v>
      </c>
      <c r="L21" s="41">
        <f t="shared" si="5"/>
        <v>0</v>
      </c>
      <c r="M21" s="41">
        <f t="shared" si="5"/>
        <v>0</v>
      </c>
      <c r="N21" s="41">
        <f t="shared" si="5"/>
        <v>0</v>
      </c>
      <c r="O21" s="41">
        <f t="shared" si="5"/>
        <v>0</v>
      </c>
      <c r="P21" s="41">
        <f t="shared" si="5"/>
        <v>0</v>
      </c>
      <c r="Q21" s="41">
        <f t="shared" si="5"/>
        <v>0</v>
      </c>
      <c r="R21" s="41">
        <f t="shared" si="5"/>
        <v>0</v>
      </c>
      <c r="S21" s="41">
        <f t="shared" si="5"/>
        <v>0</v>
      </c>
      <c r="T21" s="41">
        <f t="shared" si="5"/>
        <v>0</v>
      </c>
      <c r="U21" s="41">
        <f t="shared" si="5"/>
        <v>0</v>
      </c>
      <c r="V21" s="41">
        <f t="shared" si="5"/>
        <v>0</v>
      </c>
      <c r="W21" s="41">
        <f t="shared" si="5"/>
        <v>0</v>
      </c>
      <c r="X21" s="41">
        <f t="shared" si="5"/>
        <v>0</v>
      </c>
      <c r="Y21" s="41">
        <f t="shared" si="5"/>
        <v>0</v>
      </c>
      <c r="Z21" s="41">
        <f t="shared" si="5"/>
        <v>0</v>
      </c>
      <c r="AA21" s="41">
        <f t="shared" si="5"/>
        <v>0</v>
      </c>
      <c r="AB21" s="41">
        <f t="shared" si="5"/>
        <v>0</v>
      </c>
      <c r="AC21" s="40"/>
      <c r="AD21" s="41">
        <f>SUM(AD18:AD20)</f>
        <v>0</v>
      </c>
    </row>
    <row r="22" spans="1:30" x14ac:dyDescent="0.3">
      <c r="A22" s="34"/>
      <c r="B22" s="34"/>
      <c r="C22" s="34"/>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30" x14ac:dyDescent="0.3">
      <c r="A23" s="34" t="s">
        <v>22</v>
      </c>
      <c r="B23" s="34"/>
      <c r="C23" s="34"/>
      <c r="D23" s="40">
        <f>'100% Renewable Interest Calcula'!E13</f>
        <v>-445433.60510673467</v>
      </c>
      <c r="E23" s="40">
        <f>'100% Renewable Interest Calcula'!F13</f>
        <v>-478841.1254897397</v>
      </c>
      <c r="F23" s="40">
        <f>'100% Renewable Interest Calcula'!G13</f>
        <v>-514754.20990147023</v>
      </c>
      <c r="G23" s="40">
        <f>'100% Renewable Interest Calcula'!H13</f>
        <v>-553360.77564408071</v>
      </c>
      <c r="H23" s="40">
        <f>'100% Renewable Interest Calcula'!I13</f>
        <v>-594862.83381738653</v>
      </c>
      <c r="I23" s="40">
        <f>'100% Renewable Interest Calcula'!J13</f>
        <v>-639477.54635369056</v>
      </c>
      <c r="J23" s="40">
        <f>'100% Renewable Interest Calcula'!K13</f>
        <v>-687438.36233021738</v>
      </c>
      <c r="K23" s="40">
        <f>'100% Renewable Interest Calcula'!L13</f>
        <v>-738996.23950498365</v>
      </c>
      <c r="L23" s="40">
        <f>'100% Renewable Interest Calcula'!M13</f>
        <v>-794420.95746785728</v>
      </c>
      <c r="M23" s="40">
        <f>'100% Renewable Interest Calcula'!N13</f>
        <v>-854002.52927794657</v>
      </c>
      <c r="N23" s="40">
        <f>'100% Renewable Interest Calcula'!O13</f>
        <v>-918052.71897379262</v>
      </c>
      <c r="O23" s="40">
        <f>'100% Renewable Interest Calcula'!P13</f>
        <v>-986906.67289682711</v>
      </c>
      <c r="P23" s="40">
        <f>'100% Renewable Interest Calcula'!Q13</f>
        <v>-1060924.6733640891</v>
      </c>
      <c r="Q23" s="40">
        <f>'100% Renewable Interest Calcula'!R13</f>
        <v>-1140494.0238663957</v>
      </c>
      <c r="R23" s="40">
        <f>'100% Renewable Interest Calcula'!S13</f>
        <v>-1226031.0756563756</v>
      </c>
      <c r="S23" s="40">
        <f>'100% Renewable Interest Calcula'!T13</f>
        <v>-1317983.4063306039</v>
      </c>
      <c r="T23" s="40">
        <f>'100% Renewable Interest Calcula'!U13</f>
        <v>-1416832.161805399</v>
      </c>
      <c r="U23" s="40">
        <f>'100% Renewable Interest Calcula'!V13</f>
        <v>-1523094.573940804</v>
      </c>
      <c r="V23" s="40">
        <f>'100% Renewable Interest Calcula'!W13</f>
        <v>-1637326.6669863644</v>
      </c>
      <c r="W23" s="40">
        <f>'100% Renewable Interest Calcula'!X13</f>
        <v>-1760126.1670103418</v>
      </c>
      <c r="X23" s="40">
        <f>'100% Renewable Interest Calcula'!Y13</f>
        <v>-1892135.6295361174</v>
      </c>
      <c r="Y23" s="40">
        <f>'100% Renewable Interest Calcula'!Z13</f>
        <v>-2034045.8017513263</v>
      </c>
      <c r="Z23" s="40">
        <f>'100% Renewable Interest Calcula'!AA13</f>
        <v>-2186599.2368826759</v>
      </c>
      <c r="AA23" s="40">
        <f>'100% Renewable Interest Calcula'!AB13</f>
        <v>-2350594.1796488762</v>
      </c>
      <c r="AB23" s="40">
        <f>'100% Renewable Interest Calcula'!AC13</f>
        <v>-2526888.7431225423</v>
      </c>
      <c r="AC23" s="40"/>
      <c r="AD23" s="40">
        <f>SUM(D23:AC23)</f>
        <v>-30279623.916666642</v>
      </c>
    </row>
    <row r="24" spans="1:30" x14ac:dyDescent="0.3">
      <c r="A24" s="34"/>
      <c r="B24" s="34"/>
      <c r="C24" s="34"/>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3">
      <c r="A25" s="34"/>
      <c r="B25" s="34"/>
      <c r="C25" s="34"/>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x14ac:dyDescent="0.3">
      <c r="A26" s="34" t="s">
        <v>42</v>
      </c>
      <c r="B26" s="34"/>
      <c r="C26" s="34"/>
      <c r="D26" s="41">
        <f t="shared" ref="D26:AB26" si="6">D15+D21+D23</f>
        <v>-2551151.6380234016</v>
      </c>
      <c r="E26" s="41">
        <f t="shared" si="6"/>
        <v>-2551151.6380234016</v>
      </c>
      <c r="F26" s="41">
        <f t="shared" si="6"/>
        <v>-2551151.6380234016</v>
      </c>
      <c r="G26" s="41">
        <f t="shared" si="6"/>
        <v>-2551151.6380234016</v>
      </c>
      <c r="H26" s="41">
        <f t="shared" si="6"/>
        <v>-2551151.6380234016</v>
      </c>
      <c r="I26" s="41">
        <f t="shared" si="6"/>
        <v>-2551151.6380234016</v>
      </c>
      <c r="J26" s="41">
        <f t="shared" si="6"/>
        <v>-2551151.6380234016</v>
      </c>
      <c r="K26" s="41">
        <f t="shared" si="6"/>
        <v>-2551151.6380234016</v>
      </c>
      <c r="L26" s="41">
        <f t="shared" si="6"/>
        <v>-2551151.6380234016</v>
      </c>
      <c r="M26" s="41">
        <f t="shared" si="6"/>
        <v>-2551151.6380234016</v>
      </c>
      <c r="N26" s="41">
        <f t="shared" si="6"/>
        <v>-2551151.6380234016</v>
      </c>
      <c r="O26" s="41">
        <f t="shared" si="6"/>
        <v>-2551151.6380234016</v>
      </c>
      <c r="P26" s="41">
        <f t="shared" si="6"/>
        <v>-2551151.6380234016</v>
      </c>
      <c r="Q26" s="41">
        <f t="shared" si="6"/>
        <v>-2551151.6380234016</v>
      </c>
      <c r="R26" s="41">
        <f t="shared" si="6"/>
        <v>-2551151.6380234016</v>
      </c>
      <c r="S26" s="41">
        <f t="shared" si="6"/>
        <v>-2551151.6380234016</v>
      </c>
      <c r="T26" s="41">
        <f t="shared" si="6"/>
        <v>-2551151.6380234016</v>
      </c>
      <c r="U26" s="41">
        <f t="shared" si="6"/>
        <v>-2551151.6380234016</v>
      </c>
      <c r="V26" s="41">
        <f t="shared" si="6"/>
        <v>-2551151.6380234016</v>
      </c>
      <c r="W26" s="41">
        <f t="shared" si="6"/>
        <v>-2551151.6380234016</v>
      </c>
      <c r="X26" s="41">
        <f t="shared" si="6"/>
        <v>-2551151.6380234016</v>
      </c>
      <c r="Y26" s="41">
        <f t="shared" si="6"/>
        <v>-2551151.6380234016</v>
      </c>
      <c r="Z26" s="41">
        <f t="shared" si="6"/>
        <v>-2551151.6380234016</v>
      </c>
      <c r="AA26" s="41">
        <f t="shared" si="6"/>
        <v>-2551151.6380234011</v>
      </c>
      <c r="AB26" s="41">
        <f t="shared" si="6"/>
        <v>-2551151.6380234016</v>
      </c>
      <c r="AC26" s="40"/>
      <c r="AD26" s="41">
        <f>AD23+AD15</f>
        <v>-46910134.971418381</v>
      </c>
    </row>
    <row r="27" spans="1:30" x14ac:dyDescent="0.3">
      <c r="A27" s="34"/>
      <c r="B27" s="34"/>
      <c r="C27" s="34"/>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3">
      <c r="A28" s="34" t="s">
        <v>43</v>
      </c>
      <c r="B28" s="34"/>
      <c r="C28" s="34"/>
      <c r="D28" s="40"/>
      <c r="E28" s="40">
        <f>D30</f>
        <v>-2551151.6380234016</v>
      </c>
      <c r="F28" s="40">
        <f t="shared" ref="F28:AB28" si="7">E30</f>
        <v>-5102303.2760468032</v>
      </c>
      <c r="G28" s="40">
        <f t="shared" si="7"/>
        <v>-7653454.9140702048</v>
      </c>
      <c r="H28" s="40">
        <f t="shared" si="7"/>
        <v>-10204606.552093606</v>
      </c>
      <c r="I28" s="40">
        <f t="shared" si="7"/>
        <v>-12755758.190117009</v>
      </c>
      <c r="J28" s="40">
        <f t="shared" si="7"/>
        <v>-15306909.828140412</v>
      </c>
      <c r="K28" s="40">
        <f t="shared" si="7"/>
        <v>-17858061.466163814</v>
      </c>
      <c r="L28" s="40">
        <f t="shared" si="7"/>
        <v>-20409213.104187217</v>
      </c>
      <c r="M28" s="40">
        <f t="shared" si="7"/>
        <v>-22960364.742210619</v>
      </c>
      <c r="N28" s="40">
        <f t="shared" si="7"/>
        <v>-25511516.380234022</v>
      </c>
      <c r="O28" s="40">
        <f t="shared" si="7"/>
        <v>-28062668.018257424</v>
      </c>
      <c r="P28" s="40">
        <f t="shared" si="7"/>
        <v>-30613819.656280827</v>
      </c>
      <c r="Q28" s="40">
        <f t="shared" si="7"/>
        <v>-33164971.294304229</v>
      </c>
      <c r="R28" s="40">
        <f t="shared" si="7"/>
        <v>-35716122.932327628</v>
      </c>
      <c r="S28" s="40">
        <f t="shared" si="7"/>
        <v>-38267274.570351027</v>
      </c>
      <c r="T28" s="40">
        <f t="shared" si="7"/>
        <v>-40818426.208374426</v>
      </c>
      <c r="U28" s="40">
        <f t="shared" si="7"/>
        <v>-43369577.846397825</v>
      </c>
      <c r="V28" s="40">
        <f t="shared" si="7"/>
        <v>-45920729.484421223</v>
      </c>
      <c r="W28" s="40">
        <f t="shared" si="7"/>
        <v>-48471881.122444622</v>
      </c>
      <c r="X28" s="40">
        <f t="shared" si="7"/>
        <v>-51023032.760468021</v>
      </c>
      <c r="Y28" s="40">
        <f t="shared" si="7"/>
        <v>-53574184.39849142</v>
      </c>
      <c r="Z28" s="40">
        <f t="shared" si="7"/>
        <v>-56125336.036514819</v>
      </c>
      <c r="AA28" s="40">
        <f t="shared" si="7"/>
        <v>-58676487.674538217</v>
      </c>
      <c r="AB28" s="40">
        <f t="shared" si="7"/>
        <v>-61227639.312561616</v>
      </c>
      <c r="AC28" s="40"/>
      <c r="AD28" s="40">
        <f>D28</f>
        <v>0</v>
      </c>
    </row>
    <row r="29" spans="1:30" x14ac:dyDescent="0.3">
      <c r="A29" s="34"/>
      <c r="B29" s="34"/>
      <c r="C29" s="34"/>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ht="13.5" thickBot="1" x14ac:dyDescent="0.35">
      <c r="A30" s="34" t="s">
        <v>44</v>
      </c>
      <c r="B30" s="34"/>
      <c r="C30" s="34"/>
      <c r="D30" s="43">
        <f>SUM(D26:D29)</f>
        <v>-2551151.6380234016</v>
      </c>
      <c r="E30" s="43">
        <f>SUM(E26:E29)</f>
        <v>-5102303.2760468032</v>
      </c>
      <c r="F30" s="43">
        <f t="shared" ref="F30:AD30" si="8">SUM(F26:F29)</f>
        <v>-7653454.9140702048</v>
      </c>
      <c r="G30" s="43">
        <f t="shared" si="8"/>
        <v>-10204606.552093606</v>
      </c>
      <c r="H30" s="43">
        <f t="shared" si="8"/>
        <v>-12755758.190117009</v>
      </c>
      <c r="I30" s="43">
        <f t="shared" si="8"/>
        <v>-15306909.828140412</v>
      </c>
      <c r="J30" s="43">
        <f t="shared" si="8"/>
        <v>-17858061.466163814</v>
      </c>
      <c r="K30" s="43">
        <f t="shared" si="8"/>
        <v>-20409213.104187217</v>
      </c>
      <c r="L30" s="43">
        <f t="shared" si="8"/>
        <v>-22960364.742210619</v>
      </c>
      <c r="M30" s="43">
        <f t="shared" si="8"/>
        <v>-25511516.380234022</v>
      </c>
      <c r="N30" s="43">
        <f t="shared" si="8"/>
        <v>-28062668.018257424</v>
      </c>
      <c r="O30" s="43">
        <f t="shared" si="8"/>
        <v>-30613819.656280827</v>
      </c>
      <c r="P30" s="43">
        <f t="shared" si="8"/>
        <v>-33164971.294304229</v>
      </c>
      <c r="Q30" s="43">
        <f t="shared" si="8"/>
        <v>-35716122.932327628</v>
      </c>
      <c r="R30" s="43">
        <f t="shared" si="8"/>
        <v>-38267274.570351027</v>
      </c>
      <c r="S30" s="43">
        <f t="shared" si="8"/>
        <v>-40818426.208374426</v>
      </c>
      <c r="T30" s="43">
        <f t="shared" si="8"/>
        <v>-43369577.846397825</v>
      </c>
      <c r="U30" s="43">
        <f t="shared" si="8"/>
        <v>-45920729.484421223</v>
      </c>
      <c r="V30" s="43">
        <f t="shared" si="8"/>
        <v>-48471881.122444622</v>
      </c>
      <c r="W30" s="43">
        <f t="shared" si="8"/>
        <v>-51023032.760468021</v>
      </c>
      <c r="X30" s="43">
        <f t="shared" si="8"/>
        <v>-53574184.39849142</v>
      </c>
      <c r="Y30" s="43">
        <f t="shared" si="8"/>
        <v>-56125336.036514819</v>
      </c>
      <c r="Z30" s="43">
        <f t="shared" si="8"/>
        <v>-58676487.674538217</v>
      </c>
      <c r="AA30" s="43">
        <f t="shared" si="8"/>
        <v>-61227639.312561616</v>
      </c>
      <c r="AB30" s="43">
        <f t="shared" si="8"/>
        <v>-63778790.950585015</v>
      </c>
      <c r="AC30" s="40"/>
      <c r="AD30" s="43">
        <f t="shared" si="8"/>
        <v>-46910134.971418381</v>
      </c>
    </row>
    <row r="34" spans="1:28" x14ac:dyDescent="0.3">
      <c r="A34" s="35" t="s">
        <v>78</v>
      </c>
    </row>
    <row r="36" spans="1:28" x14ac:dyDescent="0.3">
      <c r="A36" s="35" t="s">
        <v>79</v>
      </c>
      <c r="D36" s="34">
        <f>D11</f>
        <v>165253.76083333336</v>
      </c>
      <c r="E36" s="34">
        <f t="shared" ref="E36:AB36" si="9">E11</f>
        <v>165253.76083333336</v>
      </c>
      <c r="F36" s="34">
        <f t="shared" si="9"/>
        <v>165253.76083333336</v>
      </c>
      <c r="G36" s="34">
        <f t="shared" si="9"/>
        <v>165253.76083333336</v>
      </c>
      <c r="H36" s="34">
        <f t="shared" si="9"/>
        <v>165253.76083333336</v>
      </c>
      <c r="I36" s="34">
        <f t="shared" si="9"/>
        <v>165253.76083333336</v>
      </c>
      <c r="J36" s="34">
        <f t="shared" si="9"/>
        <v>165253.76083333336</v>
      </c>
      <c r="K36" s="34">
        <f t="shared" si="9"/>
        <v>165253.76083333336</v>
      </c>
      <c r="L36" s="34">
        <f t="shared" si="9"/>
        <v>165253.76083333336</v>
      </c>
      <c r="M36" s="34">
        <f t="shared" si="9"/>
        <v>165253.76083333336</v>
      </c>
      <c r="N36" s="34">
        <f t="shared" si="9"/>
        <v>165253.76083333336</v>
      </c>
      <c r="O36" s="34">
        <f t="shared" si="9"/>
        <v>165253.76083333336</v>
      </c>
      <c r="P36" s="34">
        <f t="shared" si="9"/>
        <v>165253.76083333336</v>
      </c>
      <c r="Q36" s="34">
        <f t="shared" si="9"/>
        <v>165253.76083333336</v>
      </c>
      <c r="R36" s="34">
        <f t="shared" si="9"/>
        <v>165253.76083333336</v>
      </c>
      <c r="S36" s="34">
        <f t="shared" si="9"/>
        <v>165253.76083333336</v>
      </c>
      <c r="T36" s="34">
        <f t="shared" si="9"/>
        <v>165253.76083333336</v>
      </c>
      <c r="U36" s="34">
        <f t="shared" si="9"/>
        <v>165253.76083333336</v>
      </c>
      <c r="V36" s="34">
        <f t="shared" si="9"/>
        <v>165253.76083333336</v>
      </c>
      <c r="W36" s="34">
        <f t="shared" si="9"/>
        <v>165253.76083333336</v>
      </c>
      <c r="X36" s="34">
        <f t="shared" si="9"/>
        <v>165253.76083333336</v>
      </c>
      <c r="Y36" s="34">
        <f t="shared" si="9"/>
        <v>165253.76083333336</v>
      </c>
      <c r="Z36" s="34">
        <f t="shared" si="9"/>
        <v>165253.76083333336</v>
      </c>
      <c r="AA36" s="34">
        <f t="shared" si="9"/>
        <v>165253.76083333336</v>
      </c>
      <c r="AB36" s="34">
        <f t="shared" si="9"/>
        <v>165253.76083333336</v>
      </c>
    </row>
    <row r="37" spans="1:28" x14ac:dyDescent="0.3">
      <c r="A37" s="35" t="s">
        <v>80</v>
      </c>
      <c r="D37" s="34">
        <f>-D23-D13</f>
        <v>2716405.3988567349</v>
      </c>
      <c r="E37" s="34">
        <f t="shared" ref="E37:AB37" si="10">-E23-E13</f>
        <v>2716405.3988567349</v>
      </c>
      <c r="F37" s="34">
        <f t="shared" si="10"/>
        <v>2716405.3988567349</v>
      </c>
      <c r="G37" s="34">
        <f t="shared" si="10"/>
        <v>2716405.3988567349</v>
      </c>
      <c r="H37" s="34">
        <f t="shared" si="10"/>
        <v>2716405.3988567349</v>
      </c>
      <c r="I37" s="34">
        <f t="shared" si="10"/>
        <v>2716405.3988567349</v>
      </c>
      <c r="J37" s="34">
        <f t="shared" si="10"/>
        <v>2716405.3988567349</v>
      </c>
      <c r="K37" s="34">
        <f t="shared" si="10"/>
        <v>2716405.3988567349</v>
      </c>
      <c r="L37" s="34">
        <f t="shared" si="10"/>
        <v>2716405.3988567349</v>
      </c>
      <c r="M37" s="34">
        <f t="shared" si="10"/>
        <v>2716405.3988567349</v>
      </c>
      <c r="N37" s="34">
        <f t="shared" si="10"/>
        <v>2716405.3988567349</v>
      </c>
      <c r="O37" s="34">
        <f t="shared" si="10"/>
        <v>2716405.3988567349</v>
      </c>
      <c r="P37" s="34">
        <f t="shared" si="10"/>
        <v>2716405.3988567349</v>
      </c>
      <c r="Q37" s="34">
        <f t="shared" si="10"/>
        <v>2716405.3988567349</v>
      </c>
      <c r="R37" s="34">
        <f t="shared" si="10"/>
        <v>2716405.3988567349</v>
      </c>
      <c r="S37" s="34">
        <f t="shared" si="10"/>
        <v>2716405.3988567349</v>
      </c>
      <c r="T37" s="34">
        <f t="shared" si="10"/>
        <v>2716405.3988567349</v>
      </c>
      <c r="U37" s="34">
        <f t="shared" si="10"/>
        <v>2716405.3988567349</v>
      </c>
      <c r="V37" s="34">
        <f t="shared" si="10"/>
        <v>2716405.3988567349</v>
      </c>
      <c r="W37" s="34">
        <f t="shared" si="10"/>
        <v>2716405.3988567349</v>
      </c>
      <c r="X37" s="34">
        <f t="shared" si="10"/>
        <v>2716405.3988567349</v>
      </c>
      <c r="Y37" s="34">
        <f t="shared" si="10"/>
        <v>2716405.3988567349</v>
      </c>
      <c r="Z37" s="34">
        <f t="shared" si="10"/>
        <v>2716405.3988567349</v>
      </c>
      <c r="AA37" s="34">
        <f t="shared" si="10"/>
        <v>2716405.3988567349</v>
      </c>
      <c r="AB37" s="34">
        <f t="shared" si="10"/>
        <v>2716405.3988567349</v>
      </c>
    </row>
    <row r="39" spans="1:28" x14ac:dyDescent="0.3">
      <c r="A39" s="35" t="s">
        <v>81</v>
      </c>
      <c r="D39" s="44">
        <f>D36/D37</f>
        <v>6.0835455894353775E-2</v>
      </c>
      <c r="E39" s="44">
        <f t="shared" ref="E39:W39" si="11">E36/E37</f>
        <v>6.0835455894353775E-2</v>
      </c>
      <c r="F39" s="44">
        <f t="shared" si="11"/>
        <v>6.0835455894353775E-2</v>
      </c>
      <c r="G39" s="44">
        <f t="shared" si="11"/>
        <v>6.0835455894353775E-2</v>
      </c>
      <c r="H39" s="44">
        <f t="shared" si="11"/>
        <v>6.0835455894353775E-2</v>
      </c>
      <c r="I39" s="44">
        <f t="shared" si="11"/>
        <v>6.0835455894353775E-2</v>
      </c>
      <c r="J39" s="44">
        <f t="shared" si="11"/>
        <v>6.0835455894353775E-2</v>
      </c>
      <c r="K39" s="44">
        <f t="shared" si="11"/>
        <v>6.0835455894353775E-2</v>
      </c>
      <c r="L39" s="44">
        <f t="shared" si="11"/>
        <v>6.0835455894353775E-2</v>
      </c>
      <c r="M39" s="44">
        <f t="shared" si="11"/>
        <v>6.0835455894353775E-2</v>
      </c>
      <c r="N39" s="44">
        <f t="shared" si="11"/>
        <v>6.0835455894353775E-2</v>
      </c>
      <c r="O39" s="44">
        <f t="shared" si="11"/>
        <v>6.0835455894353775E-2</v>
      </c>
      <c r="P39" s="44">
        <f t="shared" si="11"/>
        <v>6.0835455894353775E-2</v>
      </c>
      <c r="Q39" s="44">
        <f t="shared" si="11"/>
        <v>6.0835455894353775E-2</v>
      </c>
      <c r="R39" s="44">
        <f t="shared" si="11"/>
        <v>6.0835455894353775E-2</v>
      </c>
      <c r="S39" s="44">
        <f t="shared" si="11"/>
        <v>6.0835455894353775E-2</v>
      </c>
      <c r="T39" s="44">
        <f t="shared" si="11"/>
        <v>6.0835455894353775E-2</v>
      </c>
      <c r="U39" s="44">
        <f t="shared" si="11"/>
        <v>6.0835455894353775E-2</v>
      </c>
      <c r="V39" s="44">
        <f t="shared" si="11"/>
        <v>6.0835455894353775E-2</v>
      </c>
      <c r="W39" s="44">
        <f t="shared" si="11"/>
        <v>6.0835455894353775E-2</v>
      </c>
      <c r="X39" s="44"/>
      <c r="Y39" s="44"/>
      <c r="Z39" s="44"/>
      <c r="AA39" s="44"/>
      <c r="AB39" s="44"/>
    </row>
    <row r="43" spans="1:28" x14ac:dyDescent="0.3">
      <c r="A43" s="35" t="s">
        <v>192</v>
      </c>
    </row>
    <row r="44" spans="1:28" x14ac:dyDescent="0.3">
      <c r="A44" s="35" t="s">
        <v>193</v>
      </c>
      <c r="D44" s="85">
        <v>1</v>
      </c>
      <c r="E44" s="85">
        <f>D44+'100% Renewable Summary'!$R$10</f>
        <v>1</v>
      </c>
      <c r="F44" s="85">
        <f>E44+'100% Renewable Summary'!$R$10</f>
        <v>1</v>
      </c>
      <c r="G44" s="85">
        <f>F44+'100% Renewable Summary'!$R$10</f>
        <v>1</v>
      </c>
      <c r="H44" s="85">
        <f>G44+'100% Renewable Summary'!$R$10</f>
        <v>1</v>
      </c>
      <c r="I44" s="85">
        <f>H44+'100% Renewable Summary'!$R$10</f>
        <v>1</v>
      </c>
      <c r="J44" s="85">
        <f>I44+'100% Renewable Summary'!$R$10</f>
        <v>1</v>
      </c>
      <c r="K44" s="85">
        <f>J44+'100% Renewable Summary'!$R$10</f>
        <v>1</v>
      </c>
      <c r="L44" s="85">
        <f>K44+'100% Renewable Summary'!$R$10</f>
        <v>1</v>
      </c>
      <c r="M44" s="85">
        <f>L44+'100% Renewable Summary'!$R$10</f>
        <v>1</v>
      </c>
      <c r="N44" s="85">
        <f>M44+'100% Renewable Summary'!$R$10</f>
        <v>1</v>
      </c>
      <c r="O44" s="85">
        <f>N44+'100% Renewable Summary'!$R$10</f>
        <v>1</v>
      </c>
      <c r="P44" s="85">
        <f>O44+'100% Renewable Summary'!$R$10</f>
        <v>1</v>
      </c>
      <c r="Q44" s="85">
        <f>P44+'100% Renewable Summary'!$R$10</f>
        <v>1</v>
      </c>
      <c r="R44" s="85">
        <f>Q44+'100% Renewable Summary'!$R$10</f>
        <v>1</v>
      </c>
      <c r="S44" s="85">
        <f>R44+'100% Renewable Summary'!$R$10</f>
        <v>1</v>
      </c>
      <c r="T44" s="85">
        <f>S44+'100% Renewable Summary'!$R$10</f>
        <v>1</v>
      </c>
      <c r="U44" s="85">
        <f>T44+'100% Renewable Summary'!$R$10</f>
        <v>1</v>
      </c>
      <c r="V44" s="85">
        <f>U44+'100% Renewable Summary'!$R$10</f>
        <v>1</v>
      </c>
      <c r="W44" s="85">
        <f>V44+'100% Renewable Summary'!$R$10</f>
        <v>1</v>
      </c>
      <c r="X44" s="85">
        <f>W44+'100% Renewable Summary'!$R$10</f>
        <v>1</v>
      </c>
      <c r="Y44" s="85">
        <f>X44+'100% Renewable Summary'!$R$10</f>
        <v>1</v>
      </c>
      <c r="Z44" s="85">
        <f>Y44+'100% Renewable Summary'!$R$10</f>
        <v>1</v>
      </c>
      <c r="AA44" s="85">
        <f>Z44+'100% Renewable Summary'!$R$10</f>
        <v>1</v>
      </c>
      <c r="AB44" s="85">
        <f>AA44+'100% Renewable Summary'!$R$10</f>
        <v>1</v>
      </c>
    </row>
    <row r="45" spans="1:28" x14ac:dyDescent="0.3">
      <c r="A45" s="35" t="s">
        <v>4</v>
      </c>
      <c r="D45" s="85">
        <v>1</v>
      </c>
      <c r="E45" s="85">
        <f>D45+'100% Renewable Summary'!$R$11</f>
        <v>1</v>
      </c>
      <c r="F45" s="85">
        <f>E45+'100% Renewable Summary'!$R$11</f>
        <v>1</v>
      </c>
      <c r="G45" s="85">
        <f>F45+'100% Renewable Summary'!$R$11</f>
        <v>1</v>
      </c>
      <c r="H45" s="85">
        <f>G45+'100% Renewable Summary'!$R$11</f>
        <v>1</v>
      </c>
      <c r="I45" s="85">
        <f>H45+'100% Renewable Summary'!$R$11</f>
        <v>1</v>
      </c>
      <c r="J45" s="85">
        <f>I45+'100% Renewable Summary'!$R$11</f>
        <v>1</v>
      </c>
      <c r="K45" s="85">
        <f>J45+'100% Renewable Summary'!$R$11</f>
        <v>1</v>
      </c>
      <c r="L45" s="85">
        <f>K45+'100% Renewable Summary'!$R$11</f>
        <v>1</v>
      </c>
      <c r="M45" s="85">
        <f>L45+'100% Renewable Summary'!$R$11</f>
        <v>1</v>
      </c>
      <c r="N45" s="85">
        <f>M45+'100% Renewable Summary'!$R$11</f>
        <v>1</v>
      </c>
      <c r="O45" s="85">
        <f>N45+'100% Renewable Summary'!$R$11</f>
        <v>1</v>
      </c>
      <c r="P45" s="85">
        <f>O45+'100% Renewable Summary'!$R$11</f>
        <v>1</v>
      </c>
      <c r="Q45" s="85">
        <f>P45+'100% Renewable Summary'!$R$11</f>
        <v>1</v>
      </c>
      <c r="R45" s="85">
        <f>Q45+'100% Renewable Summary'!$R$11</f>
        <v>1</v>
      </c>
      <c r="S45" s="85">
        <f>R45+'100% Renewable Summary'!$R$11</f>
        <v>1</v>
      </c>
      <c r="T45" s="85">
        <f>S45+'100% Renewable Summary'!$R$11</f>
        <v>1</v>
      </c>
      <c r="U45" s="85">
        <f>T45+'100% Renewable Summary'!$R$11</f>
        <v>1</v>
      </c>
      <c r="V45" s="85">
        <f>U45+'100% Renewable Summary'!$R$11</f>
        <v>1</v>
      </c>
      <c r="W45" s="85">
        <f>V45+'100% Renewable Summary'!$R$11</f>
        <v>1</v>
      </c>
      <c r="X45" s="85">
        <f>W45+'100% Renewable Summary'!$R$11</f>
        <v>1</v>
      </c>
      <c r="Y45" s="85">
        <f>X45+'100% Renewable Summary'!$R$11</f>
        <v>1</v>
      </c>
      <c r="Z45" s="85">
        <f>Y45+'100% Renewable Summary'!$R$11</f>
        <v>1</v>
      </c>
      <c r="AA45" s="85">
        <f>Z45+'100% Renewable Summary'!$R$11</f>
        <v>1</v>
      </c>
      <c r="AB45" s="85">
        <f>AA45+'100% Renewable Summary'!$R$11</f>
        <v>1</v>
      </c>
    </row>
    <row r="46" spans="1:28" x14ac:dyDescent="0.3">
      <c r="A46" s="35" t="s">
        <v>163</v>
      </c>
      <c r="D46" s="85">
        <v>1</v>
      </c>
      <c r="E46" s="85">
        <f>D46+'100% Renewable Summary'!$R$12</f>
        <v>1</v>
      </c>
      <c r="F46" s="85">
        <f>E46+'100% Renewable Summary'!$R$12</f>
        <v>1</v>
      </c>
      <c r="G46" s="85">
        <f>F46+'100% Renewable Summary'!$R$12</f>
        <v>1</v>
      </c>
      <c r="H46" s="85">
        <f>G46+'100% Renewable Summary'!$R$12</f>
        <v>1</v>
      </c>
      <c r="I46" s="85">
        <f>H46+'100% Renewable Summary'!$R$12</f>
        <v>1</v>
      </c>
      <c r="J46" s="85">
        <f>I46+'100% Renewable Summary'!$R$12</f>
        <v>1</v>
      </c>
      <c r="K46" s="85">
        <f>J46+'100% Renewable Summary'!$R$12</f>
        <v>1</v>
      </c>
      <c r="L46" s="85">
        <f>K46+'100% Renewable Summary'!$R$12</f>
        <v>1</v>
      </c>
      <c r="M46" s="85">
        <f>L46+'100% Renewable Summary'!$R$12</f>
        <v>1</v>
      </c>
      <c r="N46" s="85">
        <f>M46+'100% Renewable Summary'!$R$12</f>
        <v>1</v>
      </c>
      <c r="O46" s="85">
        <f>N46+'100% Renewable Summary'!$R$12</f>
        <v>1</v>
      </c>
      <c r="P46" s="85">
        <f>O46+'100% Renewable Summary'!$R$12</f>
        <v>1</v>
      </c>
      <c r="Q46" s="85">
        <f>P46+'100% Renewable Summary'!$R$12</f>
        <v>1</v>
      </c>
      <c r="R46" s="85">
        <f>Q46+'100% Renewable Summary'!$R$12</f>
        <v>1</v>
      </c>
      <c r="S46" s="85">
        <f>R46+'100% Renewable Summary'!$R$12</f>
        <v>1</v>
      </c>
      <c r="T46" s="85">
        <f>S46+'100% Renewable Summary'!$R$12</f>
        <v>1</v>
      </c>
      <c r="U46" s="85">
        <f>T46+'100% Renewable Summary'!$R$12</f>
        <v>1</v>
      </c>
      <c r="V46" s="85">
        <f>U46+'100% Renewable Summary'!$R$12</f>
        <v>1</v>
      </c>
      <c r="W46" s="85">
        <f>V46+'100% Renewable Summary'!$R$12</f>
        <v>1</v>
      </c>
      <c r="X46" s="85">
        <f>W46+'100% Renewable Summary'!$R$12</f>
        <v>1</v>
      </c>
      <c r="Y46" s="85">
        <f>X46+'100% Renewable Summary'!$R$12</f>
        <v>1</v>
      </c>
      <c r="Z46" s="85">
        <f>Y46+'100% Renewable Summary'!$R$12</f>
        <v>1</v>
      </c>
      <c r="AA46" s="85">
        <f>Z46+'100% Renewable Summary'!$R$12</f>
        <v>1</v>
      </c>
      <c r="AB46" s="85">
        <f>AA46+'100% Renewable Summary'!$R$12</f>
        <v>1</v>
      </c>
    </row>
  </sheetData>
  <sheetProtection algorithmName="SHA-512" hashValue="9YI0jCOUIuOWXYOVU75Xey1ktaqytNd1Asfeu1rLC0TgarBpSkYERVnXdHmB4KW98Oa5dLJhYYHVrKfuPbBOrw==" saltValue="RWQxfMOljtB0epgg+O32EQ==" spinCount="100000" sheet="1" objects="1" scenarios="1" selectLockedCells="1" selectUnlockedCells="1"/>
  <mergeCells count="1">
    <mergeCell ref="D3:AB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408EB-D912-49C6-8813-330E9631125D}">
  <dimension ref="A1:AD27"/>
  <sheetViews>
    <sheetView workbookViewId="0">
      <selection activeCell="D1" sqref="D1:AB1048576"/>
    </sheetView>
  </sheetViews>
  <sheetFormatPr defaultRowHeight="14.5" x14ac:dyDescent="0.35"/>
  <cols>
    <col min="3" max="3" width="5.453125" customWidth="1"/>
    <col min="4" max="28" width="10.81640625" customWidth="1"/>
    <col min="30" max="30" width="11.54296875" customWidth="1"/>
  </cols>
  <sheetData>
    <row r="1" spans="1:30" s="131" customFormat="1" x14ac:dyDescent="0.35">
      <c r="A1" s="16" t="s">
        <v>45</v>
      </c>
      <c r="B1" s="129"/>
      <c r="C1" s="129"/>
      <c r="D1" s="130" t="str">
        <f>'Generation &amp; Ops Scenarios'!G27</f>
        <v>100% renewable, Wind,Solar, Storage (updated Narec)</v>
      </c>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row>
    <row r="2" spans="1:30" x14ac:dyDescent="0.35">
      <c r="A2" s="4"/>
      <c r="B2" s="4"/>
      <c r="C2" s="4"/>
      <c r="D2" s="17"/>
      <c r="E2" s="17"/>
      <c r="F2" s="17"/>
      <c r="G2" s="17"/>
      <c r="H2" s="17"/>
      <c r="I2" s="17"/>
      <c r="J2" s="17"/>
      <c r="K2" s="17"/>
      <c r="L2" s="17"/>
      <c r="M2" s="17"/>
      <c r="N2" s="17"/>
      <c r="O2" s="17"/>
      <c r="P2" s="17"/>
      <c r="Q2" s="17"/>
      <c r="R2" s="17"/>
      <c r="S2" s="17"/>
      <c r="T2" s="17"/>
      <c r="U2" s="17"/>
      <c r="V2" s="17"/>
      <c r="W2" s="17"/>
      <c r="X2" s="17"/>
      <c r="Y2" s="17"/>
      <c r="Z2" s="17"/>
      <c r="AA2" s="17"/>
      <c r="AB2" s="17"/>
      <c r="AC2" s="17"/>
      <c r="AD2" s="4"/>
    </row>
    <row r="3" spans="1:30" x14ac:dyDescent="0.35">
      <c r="A3" s="4"/>
      <c r="B3" s="4"/>
      <c r="C3" s="4"/>
      <c r="D3" s="17">
        <v>1</v>
      </c>
      <c r="E3" s="17">
        <v>2</v>
      </c>
      <c r="F3" s="17">
        <v>3</v>
      </c>
      <c r="G3" s="17">
        <v>4</v>
      </c>
      <c r="H3" s="17">
        <v>5</v>
      </c>
      <c r="I3" s="17">
        <v>6</v>
      </c>
      <c r="J3" s="17">
        <v>7</v>
      </c>
      <c r="K3" s="17">
        <v>8</v>
      </c>
      <c r="L3" s="17">
        <v>9</v>
      </c>
      <c r="M3" s="17">
        <v>10</v>
      </c>
      <c r="N3" s="17">
        <v>11</v>
      </c>
      <c r="O3" s="17">
        <v>12</v>
      </c>
      <c r="P3" s="17">
        <v>13</v>
      </c>
      <c r="Q3" s="17">
        <v>14</v>
      </c>
      <c r="R3" s="17">
        <v>15</v>
      </c>
      <c r="S3" s="17">
        <v>16</v>
      </c>
      <c r="T3" s="17">
        <v>17</v>
      </c>
      <c r="U3" s="17">
        <v>18</v>
      </c>
      <c r="V3" s="17">
        <v>19</v>
      </c>
      <c r="W3" s="17">
        <v>20</v>
      </c>
      <c r="X3" s="17">
        <v>21</v>
      </c>
      <c r="Y3" s="17">
        <v>22</v>
      </c>
      <c r="Z3" s="17">
        <v>23</v>
      </c>
      <c r="AA3" s="17">
        <v>24</v>
      </c>
      <c r="AB3" s="17">
        <v>25</v>
      </c>
      <c r="AC3" s="17"/>
      <c r="AD3" s="17" t="s">
        <v>46</v>
      </c>
    </row>
    <row r="4" spans="1:30" ht="15.5" x14ac:dyDescent="0.35">
      <c r="A4" s="18" t="s">
        <v>3</v>
      </c>
      <c r="B4" s="18"/>
      <c r="C4" s="18"/>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5">
      <c r="A5" s="4" t="s">
        <v>76</v>
      </c>
      <c r="B5" s="4"/>
      <c r="C5" s="4"/>
      <c r="D5" s="19">
        <f>'100% Renewable Cash Flow'!D7</f>
        <v>840000</v>
      </c>
      <c r="E5" s="19">
        <f>'100% Renewable Cash Flow'!E7</f>
        <v>840000</v>
      </c>
      <c r="F5" s="19">
        <f>'100% Renewable Cash Flow'!F7</f>
        <v>840000</v>
      </c>
      <c r="G5" s="19">
        <f>'100% Renewable Cash Flow'!G7</f>
        <v>840000</v>
      </c>
      <c r="H5" s="19">
        <f>'100% Renewable Cash Flow'!H7</f>
        <v>840000</v>
      </c>
      <c r="I5" s="19">
        <f>'100% Renewable Cash Flow'!I7</f>
        <v>840000</v>
      </c>
      <c r="J5" s="19">
        <f>'100% Renewable Cash Flow'!J7</f>
        <v>840000</v>
      </c>
      <c r="K5" s="19">
        <f>'100% Renewable Cash Flow'!K7</f>
        <v>840000</v>
      </c>
      <c r="L5" s="19">
        <f>'100% Renewable Cash Flow'!L7</f>
        <v>840000</v>
      </c>
      <c r="M5" s="19">
        <f>'100% Renewable Cash Flow'!M7</f>
        <v>840000</v>
      </c>
      <c r="N5" s="19">
        <f>'100% Renewable Cash Flow'!N7</f>
        <v>840000</v>
      </c>
      <c r="O5" s="19">
        <f>'100% Renewable Cash Flow'!O7</f>
        <v>840000</v>
      </c>
      <c r="P5" s="19">
        <f>'100% Renewable Cash Flow'!P7</f>
        <v>840000</v>
      </c>
      <c r="Q5" s="19">
        <f>'100% Renewable Cash Flow'!Q7</f>
        <v>840000</v>
      </c>
      <c r="R5" s="19">
        <f>'100% Renewable Cash Flow'!R7</f>
        <v>840000</v>
      </c>
      <c r="S5" s="19">
        <f>'100% Renewable Cash Flow'!S7</f>
        <v>840000</v>
      </c>
      <c r="T5" s="19">
        <f>'100% Renewable Cash Flow'!T7</f>
        <v>840000</v>
      </c>
      <c r="U5" s="19">
        <f>'100% Renewable Cash Flow'!U7</f>
        <v>840000</v>
      </c>
      <c r="V5" s="19">
        <f>'100% Renewable Cash Flow'!V7</f>
        <v>840000</v>
      </c>
      <c r="W5" s="19">
        <f>'100% Renewable Cash Flow'!W7</f>
        <v>840000</v>
      </c>
      <c r="X5" s="19">
        <f>'100% Renewable Cash Flow'!X7</f>
        <v>840000</v>
      </c>
      <c r="Y5" s="19">
        <f>'100% Renewable Cash Flow'!Y7</f>
        <v>840000</v>
      </c>
      <c r="Z5" s="19">
        <f>'100% Renewable Cash Flow'!Z7</f>
        <v>840000</v>
      </c>
      <c r="AA5" s="19">
        <f>'100% Renewable Cash Flow'!AA7</f>
        <v>840000</v>
      </c>
      <c r="AB5" s="19">
        <f>'100% Renewable Cash Flow'!AB7</f>
        <v>840000</v>
      </c>
      <c r="AC5" s="19"/>
      <c r="AD5" s="19">
        <f>SUM(D5:AC5)</f>
        <v>21000000</v>
      </c>
    </row>
    <row r="6" spans="1:30" x14ac:dyDescent="0.35">
      <c r="A6" s="4" t="s">
        <v>52</v>
      </c>
      <c r="B6" s="4"/>
      <c r="C6" s="4"/>
      <c r="D6" s="19">
        <v>0</v>
      </c>
      <c r="E6" s="19">
        <v>0</v>
      </c>
      <c r="F6" s="19">
        <v>0</v>
      </c>
      <c r="G6" s="19">
        <v>0</v>
      </c>
      <c r="H6" s="19">
        <v>0</v>
      </c>
      <c r="I6" s="19">
        <v>0</v>
      </c>
      <c r="J6" s="19">
        <v>0</v>
      </c>
      <c r="K6" s="19">
        <v>0</v>
      </c>
      <c r="L6" s="19">
        <v>0</v>
      </c>
      <c r="M6" s="19">
        <v>0</v>
      </c>
      <c r="N6" s="19">
        <v>0</v>
      </c>
      <c r="O6" s="19">
        <v>0</v>
      </c>
      <c r="P6" s="19">
        <v>0</v>
      </c>
      <c r="Q6" s="19">
        <v>0</v>
      </c>
      <c r="R6" s="19">
        <v>0</v>
      </c>
      <c r="S6" s="19">
        <v>0</v>
      </c>
      <c r="T6" s="19">
        <v>0</v>
      </c>
      <c r="U6" s="19">
        <v>0</v>
      </c>
      <c r="V6" s="19">
        <v>0</v>
      </c>
      <c r="W6" s="19">
        <v>0</v>
      </c>
      <c r="X6" s="19">
        <v>0</v>
      </c>
      <c r="Y6" s="19">
        <v>0</v>
      </c>
      <c r="Z6" s="19">
        <v>0</v>
      </c>
      <c r="AA6" s="19">
        <v>0</v>
      </c>
      <c r="AB6" s="19">
        <v>0</v>
      </c>
      <c r="AC6" s="19"/>
      <c r="AD6" s="19">
        <f t="shared" ref="AD6" si="0">SUM(D6:AC6)</f>
        <v>0</v>
      </c>
    </row>
    <row r="7" spans="1:30" x14ac:dyDescent="0.35">
      <c r="A7" s="4"/>
      <c r="B7" s="4"/>
      <c r="C7" s="4"/>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ht="15" thickBot="1" x14ac:dyDescent="0.4">
      <c r="A8" s="4" t="s">
        <v>47</v>
      </c>
      <c r="B8" s="4"/>
      <c r="C8" s="4"/>
      <c r="D8" s="24">
        <f t="shared" ref="D8:AB8" si="1">SUM(D5:D7)</f>
        <v>840000</v>
      </c>
      <c r="E8" s="24">
        <f t="shared" si="1"/>
        <v>840000</v>
      </c>
      <c r="F8" s="24">
        <f t="shared" si="1"/>
        <v>840000</v>
      </c>
      <c r="G8" s="24">
        <f t="shared" si="1"/>
        <v>840000</v>
      </c>
      <c r="H8" s="24">
        <f t="shared" si="1"/>
        <v>840000</v>
      </c>
      <c r="I8" s="24">
        <f t="shared" si="1"/>
        <v>840000</v>
      </c>
      <c r="J8" s="24">
        <f t="shared" si="1"/>
        <v>840000</v>
      </c>
      <c r="K8" s="24">
        <f t="shared" si="1"/>
        <v>840000</v>
      </c>
      <c r="L8" s="24">
        <f t="shared" si="1"/>
        <v>840000</v>
      </c>
      <c r="M8" s="24">
        <f t="shared" si="1"/>
        <v>840000</v>
      </c>
      <c r="N8" s="24">
        <f t="shared" si="1"/>
        <v>840000</v>
      </c>
      <c r="O8" s="24">
        <f t="shared" si="1"/>
        <v>840000</v>
      </c>
      <c r="P8" s="24">
        <f t="shared" si="1"/>
        <v>840000</v>
      </c>
      <c r="Q8" s="24">
        <f t="shared" si="1"/>
        <v>840000</v>
      </c>
      <c r="R8" s="24">
        <f t="shared" si="1"/>
        <v>840000</v>
      </c>
      <c r="S8" s="24">
        <f t="shared" si="1"/>
        <v>840000</v>
      </c>
      <c r="T8" s="24">
        <f t="shared" si="1"/>
        <v>840000</v>
      </c>
      <c r="U8" s="24">
        <f t="shared" si="1"/>
        <v>840000</v>
      </c>
      <c r="V8" s="24">
        <f t="shared" si="1"/>
        <v>840000</v>
      </c>
      <c r="W8" s="24">
        <f t="shared" si="1"/>
        <v>840000</v>
      </c>
      <c r="X8" s="24">
        <f t="shared" si="1"/>
        <v>840000</v>
      </c>
      <c r="Y8" s="24">
        <f t="shared" si="1"/>
        <v>840000</v>
      </c>
      <c r="Z8" s="24">
        <f t="shared" si="1"/>
        <v>840000</v>
      </c>
      <c r="AA8" s="24">
        <f t="shared" si="1"/>
        <v>840000</v>
      </c>
      <c r="AB8" s="24">
        <f t="shared" si="1"/>
        <v>840000</v>
      </c>
      <c r="AC8" s="19"/>
      <c r="AD8" s="24">
        <f>SUM(AD5:AD7)</f>
        <v>21000000</v>
      </c>
    </row>
    <row r="9" spans="1:30" ht="15" thickTop="1" x14ac:dyDescent="0.35">
      <c r="A9" s="4"/>
      <c r="B9" s="4"/>
      <c r="C9" s="4"/>
      <c r="D9" s="19"/>
      <c r="E9" s="19"/>
      <c r="F9" s="19"/>
      <c r="G9" s="19"/>
      <c r="H9" s="19"/>
      <c r="I9" s="19"/>
      <c r="J9" s="19"/>
      <c r="K9" s="19"/>
      <c r="L9" s="19"/>
      <c r="M9" s="19"/>
      <c r="N9" s="19"/>
      <c r="O9" s="19"/>
      <c r="P9" s="19"/>
      <c r="Q9" s="19"/>
      <c r="R9" s="19"/>
      <c r="S9" s="19"/>
      <c r="T9" s="19"/>
      <c r="U9" s="19"/>
      <c r="V9" s="19"/>
      <c r="W9" s="19"/>
      <c r="X9" s="19"/>
      <c r="Y9" s="19"/>
      <c r="Z9" s="19"/>
      <c r="AA9" s="19"/>
      <c r="AB9" s="19"/>
      <c r="AC9" s="19"/>
      <c r="AD9" s="19"/>
    </row>
    <row r="10" spans="1:30" x14ac:dyDescent="0.35">
      <c r="A10" s="4"/>
      <c r="B10" s="4"/>
      <c r="C10" s="4"/>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0" ht="15.5" x14ac:dyDescent="0.35">
      <c r="A11" s="18" t="s">
        <v>2</v>
      </c>
      <c r="B11" s="18"/>
      <c r="C11" s="18"/>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row>
    <row r="12" spans="1:30" x14ac:dyDescent="0.35">
      <c r="A12" s="4" t="s">
        <v>4</v>
      </c>
      <c r="B12" s="4"/>
      <c r="C12" s="4"/>
      <c r="D12" s="19">
        <f>'100% Renewable Cash Flow'!D8</f>
        <v>0</v>
      </c>
      <c r="E12" s="19">
        <f>'100% Renewable Cash Flow'!E8</f>
        <v>0</v>
      </c>
      <c r="F12" s="19">
        <f>'100% Renewable Cash Flow'!F8</f>
        <v>0</v>
      </c>
      <c r="G12" s="19">
        <f>'100% Renewable Cash Flow'!G8</f>
        <v>0</v>
      </c>
      <c r="H12" s="19">
        <f>'100% Renewable Cash Flow'!H8</f>
        <v>0</v>
      </c>
      <c r="I12" s="19">
        <f>'100% Renewable Cash Flow'!I8</f>
        <v>0</v>
      </c>
      <c r="J12" s="19">
        <f>'100% Renewable Cash Flow'!J8</f>
        <v>0</v>
      </c>
      <c r="K12" s="19">
        <f>'100% Renewable Cash Flow'!K8</f>
        <v>0</v>
      </c>
      <c r="L12" s="19">
        <f>'100% Renewable Cash Flow'!L8</f>
        <v>0</v>
      </c>
      <c r="M12" s="19">
        <f>'100% Renewable Cash Flow'!M8</f>
        <v>0</v>
      </c>
      <c r="N12" s="19">
        <f>'100% Renewable Cash Flow'!N8</f>
        <v>0</v>
      </c>
      <c r="O12" s="19">
        <f>'100% Renewable Cash Flow'!O8</f>
        <v>0</v>
      </c>
      <c r="P12" s="19">
        <f>'100% Renewable Cash Flow'!P8</f>
        <v>0</v>
      </c>
      <c r="Q12" s="19">
        <f>'100% Renewable Cash Flow'!Q8</f>
        <v>0</v>
      </c>
      <c r="R12" s="19">
        <f>'100% Renewable Cash Flow'!R8</f>
        <v>0</v>
      </c>
      <c r="S12" s="19">
        <f>'100% Renewable Cash Flow'!S8</f>
        <v>0</v>
      </c>
      <c r="T12" s="19">
        <f>'100% Renewable Cash Flow'!T8</f>
        <v>0</v>
      </c>
      <c r="U12" s="19">
        <f>'100% Renewable Cash Flow'!U8</f>
        <v>0</v>
      </c>
      <c r="V12" s="19">
        <f>'100% Renewable Cash Flow'!V8</f>
        <v>0</v>
      </c>
      <c r="W12" s="19">
        <f>'100% Renewable Cash Flow'!W8</f>
        <v>0</v>
      </c>
      <c r="X12" s="19">
        <f>'100% Renewable Cash Flow'!X8</f>
        <v>0</v>
      </c>
      <c r="Y12" s="19">
        <f>'100% Renewable Cash Flow'!Y8</f>
        <v>0</v>
      </c>
      <c r="Z12" s="19">
        <f>'100% Renewable Cash Flow'!Z8</f>
        <v>0</v>
      </c>
      <c r="AA12" s="19">
        <f>'100% Renewable Cash Flow'!AA8</f>
        <v>0</v>
      </c>
      <c r="AB12" s="19">
        <f>'100% Renewable Cash Flow'!AB8</f>
        <v>0</v>
      </c>
      <c r="AC12" s="19"/>
      <c r="AD12" s="19">
        <f t="shared" ref="AD12:AD13" si="2">SUM(D12:AC12)</f>
        <v>0</v>
      </c>
    </row>
    <row r="13" spans="1:30" x14ac:dyDescent="0.35">
      <c r="A13" s="4" t="s">
        <v>2</v>
      </c>
      <c r="B13" s="4"/>
      <c r="C13" s="4"/>
      <c r="D13" s="19">
        <f>'100% Renewable Cash Flow'!D9</f>
        <v>-674746.23916666664</v>
      </c>
      <c r="E13" s="19">
        <f>'100% Renewable Cash Flow'!E9</f>
        <v>-674746.23916666664</v>
      </c>
      <c r="F13" s="19">
        <f>'100% Renewable Cash Flow'!F9</f>
        <v>-674746.23916666664</v>
      </c>
      <c r="G13" s="19">
        <f>'100% Renewable Cash Flow'!G9</f>
        <v>-674746.23916666664</v>
      </c>
      <c r="H13" s="19">
        <f>'100% Renewable Cash Flow'!H9</f>
        <v>-674746.23916666664</v>
      </c>
      <c r="I13" s="19">
        <f>'100% Renewable Cash Flow'!I9</f>
        <v>-674746.23916666664</v>
      </c>
      <c r="J13" s="19">
        <f>'100% Renewable Cash Flow'!J9</f>
        <v>-674746.23916666664</v>
      </c>
      <c r="K13" s="19">
        <f>'100% Renewable Cash Flow'!K9</f>
        <v>-674746.23916666664</v>
      </c>
      <c r="L13" s="19">
        <f>'100% Renewable Cash Flow'!L9</f>
        <v>-674746.23916666664</v>
      </c>
      <c r="M13" s="19">
        <f>'100% Renewable Cash Flow'!M9</f>
        <v>-674746.23916666664</v>
      </c>
      <c r="N13" s="19">
        <f>'100% Renewable Cash Flow'!N9</f>
        <v>-674746.23916666664</v>
      </c>
      <c r="O13" s="19">
        <f>'100% Renewable Cash Flow'!O9</f>
        <v>-674746.23916666664</v>
      </c>
      <c r="P13" s="19">
        <f>'100% Renewable Cash Flow'!P9</f>
        <v>-674746.23916666664</v>
      </c>
      <c r="Q13" s="19">
        <f>'100% Renewable Cash Flow'!Q9</f>
        <v>-674746.23916666664</v>
      </c>
      <c r="R13" s="19">
        <f>'100% Renewable Cash Flow'!R9</f>
        <v>-674746.23916666664</v>
      </c>
      <c r="S13" s="19">
        <f>'100% Renewable Cash Flow'!S9</f>
        <v>-674746.23916666664</v>
      </c>
      <c r="T13" s="19">
        <f>'100% Renewable Cash Flow'!T9</f>
        <v>-674746.23916666664</v>
      </c>
      <c r="U13" s="19">
        <f>'100% Renewable Cash Flow'!U9</f>
        <v>-674746.23916666664</v>
      </c>
      <c r="V13" s="19">
        <f>'100% Renewable Cash Flow'!V9</f>
        <v>-674746.23916666664</v>
      </c>
      <c r="W13" s="19">
        <f>'100% Renewable Cash Flow'!W9</f>
        <v>-674746.23916666664</v>
      </c>
      <c r="X13" s="19">
        <f>'100% Renewable Cash Flow'!X9</f>
        <v>-674746.23916666664</v>
      </c>
      <c r="Y13" s="19">
        <f>'100% Renewable Cash Flow'!Y9</f>
        <v>-674746.23916666664</v>
      </c>
      <c r="Z13" s="19">
        <f>'100% Renewable Cash Flow'!Z9</f>
        <v>-674746.23916666664</v>
      </c>
      <c r="AA13" s="19">
        <f>'100% Renewable Cash Flow'!AA9</f>
        <v>-674746.23916666664</v>
      </c>
      <c r="AB13" s="19">
        <f>'100% Renewable Cash Flow'!AB9</f>
        <v>-674746.23916666664</v>
      </c>
      <c r="AC13" s="19"/>
      <c r="AD13" s="19">
        <f t="shared" si="2"/>
        <v>-16868655.979166657</v>
      </c>
    </row>
    <row r="14" spans="1:30" ht="15" thickBot="1" x14ac:dyDescent="0.4">
      <c r="A14" s="4" t="s">
        <v>48</v>
      </c>
      <c r="B14" s="4"/>
      <c r="C14" s="4"/>
      <c r="D14" s="24">
        <f t="shared" ref="D14:AB14" si="3">SUM(D12:D13)</f>
        <v>-674746.23916666664</v>
      </c>
      <c r="E14" s="24">
        <f t="shared" si="3"/>
        <v>-674746.23916666664</v>
      </c>
      <c r="F14" s="24">
        <f t="shared" si="3"/>
        <v>-674746.23916666664</v>
      </c>
      <c r="G14" s="24">
        <f t="shared" si="3"/>
        <v>-674746.23916666664</v>
      </c>
      <c r="H14" s="24">
        <f t="shared" si="3"/>
        <v>-674746.23916666664</v>
      </c>
      <c r="I14" s="24">
        <f t="shared" si="3"/>
        <v>-674746.23916666664</v>
      </c>
      <c r="J14" s="24">
        <f t="shared" si="3"/>
        <v>-674746.23916666664</v>
      </c>
      <c r="K14" s="24">
        <f t="shared" si="3"/>
        <v>-674746.23916666664</v>
      </c>
      <c r="L14" s="24">
        <f t="shared" si="3"/>
        <v>-674746.23916666664</v>
      </c>
      <c r="M14" s="24">
        <f t="shared" si="3"/>
        <v>-674746.23916666664</v>
      </c>
      <c r="N14" s="24">
        <f t="shared" si="3"/>
        <v>-674746.23916666664</v>
      </c>
      <c r="O14" s="24">
        <f t="shared" si="3"/>
        <v>-674746.23916666664</v>
      </c>
      <c r="P14" s="24">
        <f t="shared" si="3"/>
        <v>-674746.23916666664</v>
      </c>
      <c r="Q14" s="24">
        <f t="shared" si="3"/>
        <v>-674746.23916666664</v>
      </c>
      <c r="R14" s="24">
        <f t="shared" si="3"/>
        <v>-674746.23916666664</v>
      </c>
      <c r="S14" s="24">
        <f t="shared" si="3"/>
        <v>-674746.23916666664</v>
      </c>
      <c r="T14" s="24">
        <f t="shared" si="3"/>
        <v>-674746.23916666664</v>
      </c>
      <c r="U14" s="24">
        <f t="shared" si="3"/>
        <v>-674746.23916666664</v>
      </c>
      <c r="V14" s="24">
        <f t="shared" si="3"/>
        <v>-674746.23916666664</v>
      </c>
      <c r="W14" s="24">
        <f t="shared" si="3"/>
        <v>-674746.23916666664</v>
      </c>
      <c r="X14" s="24">
        <f t="shared" si="3"/>
        <v>-674746.23916666664</v>
      </c>
      <c r="Y14" s="24">
        <f t="shared" si="3"/>
        <v>-674746.23916666664</v>
      </c>
      <c r="Z14" s="24">
        <f t="shared" si="3"/>
        <v>-674746.23916666664</v>
      </c>
      <c r="AA14" s="24">
        <f t="shared" si="3"/>
        <v>-674746.23916666664</v>
      </c>
      <c r="AB14" s="24">
        <f t="shared" si="3"/>
        <v>-674746.23916666664</v>
      </c>
      <c r="AC14" s="19"/>
      <c r="AD14" s="24">
        <f>SUM(AD12:AD13)</f>
        <v>-16868655.979166657</v>
      </c>
    </row>
    <row r="15" spans="1:30" ht="15" thickTop="1" x14ac:dyDescent="0.35">
      <c r="A15" s="4"/>
      <c r="B15" s="4"/>
      <c r="C15" s="4"/>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row>
    <row r="16" spans="1:30" x14ac:dyDescent="0.35">
      <c r="A16" s="16" t="s">
        <v>49</v>
      </c>
      <c r="B16" s="16"/>
      <c r="C16" s="16"/>
      <c r="D16" s="25">
        <f>D8+D14</f>
        <v>165253.76083333336</v>
      </c>
      <c r="E16" s="25">
        <f t="shared" ref="E16:AB16" si="4">E8+E14</f>
        <v>165253.76083333336</v>
      </c>
      <c r="F16" s="25">
        <f t="shared" si="4"/>
        <v>165253.76083333336</v>
      </c>
      <c r="G16" s="25">
        <f t="shared" si="4"/>
        <v>165253.76083333336</v>
      </c>
      <c r="H16" s="25">
        <f t="shared" si="4"/>
        <v>165253.76083333336</v>
      </c>
      <c r="I16" s="25">
        <f t="shared" si="4"/>
        <v>165253.76083333336</v>
      </c>
      <c r="J16" s="25">
        <f t="shared" si="4"/>
        <v>165253.76083333336</v>
      </c>
      <c r="K16" s="25">
        <f t="shared" si="4"/>
        <v>165253.76083333336</v>
      </c>
      <c r="L16" s="25">
        <f t="shared" si="4"/>
        <v>165253.76083333336</v>
      </c>
      <c r="M16" s="25">
        <f t="shared" si="4"/>
        <v>165253.76083333336</v>
      </c>
      <c r="N16" s="25">
        <f t="shared" si="4"/>
        <v>165253.76083333336</v>
      </c>
      <c r="O16" s="25">
        <f t="shared" si="4"/>
        <v>165253.76083333336</v>
      </c>
      <c r="P16" s="25">
        <f t="shared" si="4"/>
        <v>165253.76083333336</v>
      </c>
      <c r="Q16" s="25">
        <f t="shared" si="4"/>
        <v>165253.76083333336</v>
      </c>
      <c r="R16" s="25">
        <f t="shared" si="4"/>
        <v>165253.76083333336</v>
      </c>
      <c r="S16" s="25">
        <f t="shared" si="4"/>
        <v>165253.76083333336</v>
      </c>
      <c r="T16" s="25">
        <f t="shared" si="4"/>
        <v>165253.76083333336</v>
      </c>
      <c r="U16" s="25">
        <f t="shared" si="4"/>
        <v>165253.76083333336</v>
      </c>
      <c r="V16" s="25">
        <f t="shared" si="4"/>
        <v>165253.76083333336</v>
      </c>
      <c r="W16" s="25">
        <f t="shared" si="4"/>
        <v>165253.76083333336</v>
      </c>
      <c r="X16" s="25">
        <f t="shared" si="4"/>
        <v>165253.76083333336</v>
      </c>
      <c r="Y16" s="25">
        <f t="shared" si="4"/>
        <v>165253.76083333336</v>
      </c>
      <c r="Z16" s="25">
        <f t="shared" si="4"/>
        <v>165253.76083333336</v>
      </c>
      <c r="AA16" s="25">
        <f t="shared" si="4"/>
        <v>165253.76083333336</v>
      </c>
      <c r="AB16" s="25">
        <f t="shared" si="4"/>
        <v>165253.76083333336</v>
      </c>
      <c r="AC16" s="26"/>
      <c r="AD16" s="25">
        <f>AD8-AD14</f>
        <v>37868655.979166657</v>
      </c>
    </row>
    <row r="17" spans="1:30" x14ac:dyDescent="0.35">
      <c r="A17" s="14"/>
      <c r="B17" s="14"/>
      <c r="C17" s="14"/>
      <c r="D17" s="27">
        <f t="shared" ref="D17:AB17" si="5">D16/D8</f>
        <v>0.19673066765873021</v>
      </c>
      <c r="E17" s="27">
        <f t="shared" si="5"/>
        <v>0.19673066765873021</v>
      </c>
      <c r="F17" s="27">
        <f t="shared" si="5"/>
        <v>0.19673066765873021</v>
      </c>
      <c r="G17" s="27">
        <f t="shared" si="5"/>
        <v>0.19673066765873021</v>
      </c>
      <c r="H17" s="27">
        <f t="shared" si="5"/>
        <v>0.19673066765873021</v>
      </c>
      <c r="I17" s="27">
        <f t="shared" si="5"/>
        <v>0.19673066765873021</v>
      </c>
      <c r="J17" s="27">
        <f t="shared" si="5"/>
        <v>0.19673066765873021</v>
      </c>
      <c r="K17" s="27">
        <f t="shared" si="5"/>
        <v>0.19673066765873021</v>
      </c>
      <c r="L17" s="27">
        <f t="shared" si="5"/>
        <v>0.19673066765873021</v>
      </c>
      <c r="M17" s="27">
        <f t="shared" si="5"/>
        <v>0.19673066765873021</v>
      </c>
      <c r="N17" s="27">
        <f t="shared" si="5"/>
        <v>0.19673066765873021</v>
      </c>
      <c r="O17" s="27">
        <f t="shared" si="5"/>
        <v>0.19673066765873021</v>
      </c>
      <c r="P17" s="27">
        <f t="shared" si="5"/>
        <v>0.19673066765873021</v>
      </c>
      <c r="Q17" s="27">
        <f t="shared" si="5"/>
        <v>0.19673066765873021</v>
      </c>
      <c r="R17" s="27">
        <f t="shared" si="5"/>
        <v>0.19673066765873021</v>
      </c>
      <c r="S17" s="27">
        <f t="shared" si="5"/>
        <v>0.19673066765873021</v>
      </c>
      <c r="T17" s="27">
        <f t="shared" si="5"/>
        <v>0.19673066765873021</v>
      </c>
      <c r="U17" s="27">
        <f t="shared" si="5"/>
        <v>0.19673066765873021</v>
      </c>
      <c r="V17" s="27">
        <f t="shared" si="5"/>
        <v>0.19673066765873021</v>
      </c>
      <c r="W17" s="27">
        <f t="shared" si="5"/>
        <v>0.19673066765873021</v>
      </c>
      <c r="X17" s="27">
        <f t="shared" si="5"/>
        <v>0.19673066765873021</v>
      </c>
      <c r="Y17" s="27">
        <f t="shared" si="5"/>
        <v>0.19673066765873021</v>
      </c>
      <c r="Z17" s="27">
        <f t="shared" si="5"/>
        <v>0.19673066765873021</v>
      </c>
      <c r="AA17" s="27">
        <f t="shared" si="5"/>
        <v>0.19673066765873021</v>
      </c>
      <c r="AB17" s="27">
        <f t="shared" si="5"/>
        <v>0.19673066765873021</v>
      </c>
      <c r="AC17" s="27"/>
      <c r="AD17" s="27">
        <f>AD16/AD8</f>
        <v>1.8032693323412694</v>
      </c>
    </row>
    <row r="18" spans="1:30" x14ac:dyDescent="0.35">
      <c r="A18" s="4"/>
      <c r="B18" s="4"/>
      <c r="C18" s="4"/>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x14ac:dyDescent="0.35">
      <c r="A19" s="4" t="s">
        <v>63</v>
      </c>
      <c r="B19" s="4"/>
      <c r="C19" s="4"/>
      <c r="D19" s="19">
        <f>-'100% Renewable Summary'!$B$22/'100% Renewable Summary'!$R$9</f>
        <v>-1211184.9566666668</v>
      </c>
      <c r="E19" s="19">
        <f>-'100% Renewable Summary'!$B$22/'100% Renewable Summary'!$R$9</f>
        <v>-1211184.9566666668</v>
      </c>
      <c r="F19" s="19">
        <f>-'100% Renewable Summary'!$B$22/'100% Renewable Summary'!$R$9</f>
        <v>-1211184.9566666668</v>
      </c>
      <c r="G19" s="19">
        <f>-'100% Renewable Summary'!$B$22/'100% Renewable Summary'!$R$9</f>
        <v>-1211184.9566666668</v>
      </c>
      <c r="H19" s="19">
        <f>-'100% Renewable Summary'!$B$22/'100% Renewable Summary'!$R$9</f>
        <v>-1211184.9566666668</v>
      </c>
      <c r="I19" s="19">
        <f>-'100% Renewable Summary'!$B$22/'100% Renewable Summary'!$R$9</f>
        <v>-1211184.9566666668</v>
      </c>
      <c r="J19" s="19">
        <f>-'100% Renewable Summary'!$B$22/'100% Renewable Summary'!$R$9</f>
        <v>-1211184.9566666668</v>
      </c>
      <c r="K19" s="19">
        <f>-'100% Renewable Summary'!$B$22/'100% Renewable Summary'!$R$9</f>
        <v>-1211184.9566666668</v>
      </c>
      <c r="L19" s="19">
        <f>-'100% Renewable Summary'!$B$22/'100% Renewable Summary'!$R$9</f>
        <v>-1211184.9566666668</v>
      </c>
      <c r="M19" s="19">
        <f>-'100% Renewable Summary'!$B$22/'100% Renewable Summary'!$R$9</f>
        <v>-1211184.9566666668</v>
      </c>
      <c r="N19" s="19">
        <f>-'100% Renewable Summary'!$B$22/'100% Renewable Summary'!$R$9</f>
        <v>-1211184.9566666668</v>
      </c>
      <c r="O19" s="19">
        <f>-'100% Renewable Summary'!$B$22/'100% Renewable Summary'!$R$9</f>
        <v>-1211184.9566666668</v>
      </c>
      <c r="P19" s="19">
        <f>-'100% Renewable Summary'!$B$22/'100% Renewable Summary'!$R$9</f>
        <v>-1211184.9566666668</v>
      </c>
      <c r="Q19" s="19">
        <f>-'100% Renewable Summary'!$B$22/'100% Renewable Summary'!$R$9</f>
        <v>-1211184.9566666668</v>
      </c>
      <c r="R19" s="19">
        <f>-'100% Renewable Summary'!$B$22/'100% Renewable Summary'!$R$9</f>
        <v>-1211184.9566666668</v>
      </c>
      <c r="S19" s="19">
        <f>-'100% Renewable Summary'!$B$22/'100% Renewable Summary'!$R$9</f>
        <v>-1211184.9566666668</v>
      </c>
      <c r="T19" s="19">
        <f>-'100% Renewable Summary'!$B$22/'100% Renewable Summary'!$R$9</f>
        <v>-1211184.9566666668</v>
      </c>
      <c r="U19" s="19">
        <f>-'100% Renewable Summary'!$B$22/'100% Renewable Summary'!$R$9</f>
        <v>-1211184.9566666668</v>
      </c>
      <c r="V19" s="19">
        <f>-'100% Renewable Summary'!$B$22/'100% Renewable Summary'!$R$9</f>
        <v>-1211184.9566666668</v>
      </c>
      <c r="W19" s="19">
        <f>-'100% Renewable Summary'!$B$22/'100% Renewable Summary'!$R$9</f>
        <v>-1211184.9566666668</v>
      </c>
      <c r="X19" s="19">
        <f>-'100% Renewable Summary'!$B$22/'100% Renewable Summary'!$R$9</f>
        <v>-1211184.9566666668</v>
      </c>
      <c r="Y19" s="19">
        <f>-'100% Renewable Summary'!$B$22/'100% Renewable Summary'!$R$9</f>
        <v>-1211184.9566666668</v>
      </c>
      <c r="Z19" s="19">
        <f>-'100% Renewable Summary'!$B$22/'100% Renewable Summary'!$R$9</f>
        <v>-1211184.9566666668</v>
      </c>
      <c r="AA19" s="19">
        <f>-'100% Renewable Summary'!$B$22/'100% Renewable Summary'!$R$9</f>
        <v>-1211184.9566666668</v>
      </c>
      <c r="AB19" s="19">
        <f>-'100% Renewable Summary'!$B$22/'100% Renewable Summary'!$R$9</f>
        <v>-1211184.9566666668</v>
      </c>
      <c r="AC19" s="19"/>
      <c r="AD19" s="19">
        <f t="shared" ref="AD19" si="6">SUM(D19:AC19)</f>
        <v>-30279623.916666672</v>
      </c>
    </row>
    <row r="20" spans="1:30" x14ac:dyDescent="0.35">
      <c r="A20" s="4"/>
      <c r="B20" s="4"/>
      <c r="C20" s="4"/>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1:30" x14ac:dyDescent="0.35">
      <c r="A21" s="16" t="s">
        <v>50</v>
      </c>
      <c r="B21" s="16"/>
      <c r="C21" s="16"/>
      <c r="D21" s="25">
        <f>+D16+D19</f>
        <v>-1045931.1958333334</v>
      </c>
      <c r="E21" s="25">
        <f t="shared" ref="E21:AB21" si="7">+E16+E19</f>
        <v>-1045931.1958333334</v>
      </c>
      <c r="F21" s="25">
        <f t="shared" si="7"/>
        <v>-1045931.1958333334</v>
      </c>
      <c r="G21" s="25">
        <f t="shared" si="7"/>
        <v>-1045931.1958333334</v>
      </c>
      <c r="H21" s="25">
        <f t="shared" si="7"/>
        <v>-1045931.1958333334</v>
      </c>
      <c r="I21" s="25">
        <f t="shared" si="7"/>
        <v>-1045931.1958333334</v>
      </c>
      <c r="J21" s="25">
        <f t="shared" si="7"/>
        <v>-1045931.1958333334</v>
      </c>
      <c r="K21" s="25">
        <f t="shared" si="7"/>
        <v>-1045931.1958333334</v>
      </c>
      <c r="L21" s="25">
        <f t="shared" si="7"/>
        <v>-1045931.1958333334</v>
      </c>
      <c r="M21" s="25">
        <f t="shared" si="7"/>
        <v>-1045931.1958333334</v>
      </c>
      <c r="N21" s="25">
        <f t="shared" si="7"/>
        <v>-1045931.1958333334</v>
      </c>
      <c r="O21" s="25">
        <f t="shared" si="7"/>
        <v>-1045931.1958333334</v>
      </c>
      <c r="P21" s="25">
        <f t="shared" si="7"/>
        <v>-1045931.1958333334</v>
      </c>
      <c r="Q21" s="25">
        <f t="shared" si="7"/>
        <v>-1045931.1958333334</v>
      </c>
      <c r="R21" s="25">
        <f t="shared" si="7"/>
        <v>-1045931.1958333334</v>
      </c>
      <c r="S21" s="25">
        <f t="shared" si="7"/>
        <v>-1045931.1958333334</v>
      </c>
      <c r="T21" s="25">
        <f t="shared" si="7"/>
        <v>-1045931.1958333334</v>
      </c>
      <c r="U21" s="25">
        <f t="shared" si="7"/>
        <v>-1045931.1958333334</v>
      </c>
      <c r="V21" s="25">
        <f t="shared" si="7"/>
        <v>-1045931.1958333334</v>
      </c>
      <c r="W21" s="25">
        <f t="shared" si="7"/>
        <v>-1045931.1958333334</v>
      </c>
      <c r="X21" s="25">
        <f t="shared" si="7"/>
        <v>-1045931.1958333334</v>
      </c>
      <c r="Y21" s="25">
        <f t="shared" si="7"/>
        <v>-1045931.1958333334</v>
      </c>
      <c r="Z21" s="25">
        <f t="shared" si="7"/>
        <v>-1045931.1958333334</v>
      </c>
      <c r="AA21" s="25">
        <f t="shared" si="7"/>
        <v>-1045931.1958333334</v>
      </c>
      <c r="AB21" s="25">
        <f t="shared" si="7"/>
        <v>-1045931.1958333334</v>
      </c>
      <c r="AC21" s="26"/>
      <c r="AD21" s="25">
        <f t="shared" ref="AD21" si="8">+AD16-AD19</f>
        <v>68148279.895833328</v>
      </c>
    </row>
    <row r="22" spans="1:30" x14ac:dyDescent="0.35">
      <c r="A22" s="4"/>
      <c r="B22" s="4"/>
      <c r="C22" s="4"/>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1:30" x14ac:dyDescent="0.35">
      <c r="A23" s="4" t="s">
        <v>51</v>
      </c>
      <c r="B23" s="4"/>
      <c r="C23" s="4"/>
      <c r="D23" s="19">
        <f>'100% Renewable Interest Calcula'!E14</f>
        <v>-2270971.7937500002</v>
      </c>
      <c r="E23" s="19">
        <f>'100% Renewable Interest Calcula'!F14</f>
        <v>-2237564.2733669952</v>
      </c>
      <c r="F23" s="19">
        <f>'100% Renewable Interest Calcula'!G14</f>
        <v>-2201651.1889552646</v>
      </c>
      <c r="G23" s="19">
        <f>'100% Renewable Interest Calcula'!H14</f>
        <v>-2163044.6232126541</v>
      </c>
      <c r="H23" s="19">
        <f>'100% Renewable Interest Calcula'!I14</f>
        <v>-2121542.5650393483</v>
      </c>
      <c r="I23" s="19">
        <f>'100% Renewable Interest Calcula'!J14</f>
        <v>-2076927.8525030443</v>
      </c>
      <c r="J23" s="19">
        <f>'100% Renewable Interest Calcula'!K14</f>
        <v>-2028967.0365265175</v>
      </c>
      <c r="K23" s="19">
        <f>'100% Renewable Interest Calcula'!L14</f>
        <v>-1977409.1593517512</v>
      </c>
      <c r="L23" s="19">
        <f>'100% Renewable Interest Calcula'!M14</f>
        <v>-1921984.4413888776</v>
      </c>
      <c r="M23" s="19">
        <f>'100% Renewable Interest Calcula'!N14</f>
        <v>-1862402.8695787883</v>
      </c>
      <c r="N23" s="19">
        <f>'100% Renewable Interest Calcula'!O14</f>
        <v>-1798352.6798829422</v>
      </c>
      <c r="O23" s="19">
        <f>'100% Renewable Interest Calcula'!P14</f>
        <v>-1729498.7259599078</v>
      </c>
      <c r="P23" s="19">
        <f>'100% Renewable Interest Calcula'!Q14</f>
        <v>-1655480.7254926458</v>
      </c>
      <c r="Q23" s="19">
        <f>'100% Renewable Interest Calcula'!R14</f>
        <v>-1575911.3749903392</v>
      </c>
      <c r="R23" s="19">
        <f>'100% Renewable Interest Calcula'!S14</f>
        <v>-1490374.3232003592</v>
      </c>
      <c r="S23" s="19">
        <f>'100% Renewable Interest Calcula'!T14</f>
        <v>-1398421.992526131</v>
      </c>
      <c r="T23" s="19">
        <f>'100% Renewable Interest Calcula'!U14</f>
        <v>-1299573.2370513359</v>
      </c>
      <c r="U23" s="19">
        <f>'100% Renewable Interest Calcula'!V14</f>
        <v>-1193310.8249159309</v>
      </c>
      <c r="V23" s="19">
        <f>'100% Renewable Interest Calcula'!W14</f>
        <v>-1079078.7318703705</v>
      </c>
      <c r="W23" s="19">
        <f>'100% Renewable Interest Calcula'!X14</f>
        <v>-956279.2318463932</v>
      </c>
      <c r="X23" s="19">
        <f>'100% Renewable Interest Calcula'!Y14</f>
        <v>-824269.76932061755</v>
      </c>
      <c r="Y23" s="19">
        <f>'100% Renewable Interest Calcula'!Z14</f>
        <v>-682359.59710540867</v>
      </c>
      <c r="Z23" s="19">
        <f>'100% Renewable Interest Calcula'!AA14</f>
        <v>-529806.16197405907</v>
      </c>
      <c r="AA23" s="19">
        <f>'100% Renewable Interest Calcula'!AB14</f>
        <v>-365811.21920785849</v>
      </c>
      <c r="AB23" s="19">
        <f>'100% Renewable Interest Calcula'!AC14</f>
        <v>-189516.65573419275</v>
      </c>
      <c r="AC23" s="19"/>
      <c r="AD23" s="19">
        <f t="shared" ref="AD23" si="9">SUM(D23:AC23)</f>
        <v>-37630511.054751739</v>
      </c>
    </row>
    <row r="24" spans="1:30" x14ac:dyDescent="0.35">
      <c r="A24" s="4"/>
      <c r="B24" s="4"/>
      <c r="C24" s="4"/>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15" thickBot="1" x14ac:dyDescent="0.4">
      <c r="A25" s="16" t="s">
        <v>54</v>
      </c>
      <c r="B25" s="16"/>
      <c r="C25" s="16"/>
      <c r="D25" s="28">
        <f>+D21+D23</f>
        <v>-3316902.9895833335</v>
      </c>
      <c r="E25" s="28">
        <f t="shared" ref="E25:AB25" si="10">+E21+E23</f>
        <v>-3283495.4692003285</v>
      </c>
      <c r="F25" s="28">
        <f t="shared" si="10"/>
        <v>-3247582.3847885979</v>
      </c>
      <c r="G25" s="28">
        <f t="shared" si="10"/>
        <v>-3208975.8190459874</v>
      </c>
      <c r="H25" s="28">
        <f t="shared" si="10"/>
        <v>-3167473.7608726816</v>
      </c>
      <c r="I25" s="28">
        <f t="shared" si="10"/>
        <v>-3122859.0483363778</v>
      </c>
      <c r="J25" s="28">
        <f t="shared" si="10"/>
        <v>-3074898.2323598508</v>
      </c>
      <c r="K25" s="28">
        <f t="shared" si="10"/>
        <v>-3023340.3551850845</v>
      </c>
      <c r="L25" s="28">
        <f t="shared" si="10"/>
        <v>-2967915.6372222109</v>
      </c>
      <c r="M25" s="28">
        <f t="shared" si="10"/>
        <v>-2908334.0654121218</v>
      </c>
      <c r="N25" s="28">
        <f t="shared" si="10"/>
        <v>-2844283.8757162755</v>
      </c>
      <c r="O25" s="28">
        <f t="shared" si="10"/>
        <v>-2775429.9217932411</v>
      </c>
      <c r="P25" s="28">
        <f t="shared" si="10"/>
        <v>-2701411.9213259793</v>
      </c>
      <c r="Q25" s="28">
        <f t="shared" si="10"/>
        <v>-2621842.5708236727</v>
      </c>
      <c r="R25" s="28">
        <f t="shared" si="10"/>
        <v>-2536305.5190336928</v>
      </c>
      <c r="S25" s="28">
        <f t="shared" si="10"/>
        <v>-2444353.1883594645</v>
      </c>
      <c r="T25" s="28">
        <f t="shared" si="10"/>
        <v>-2345504.4328846694</v>
      </c>
      <c r="U25" s="28">
        <f t="shared" si="10"/>
        <v>-2239242.0207492644</v>
      </c>
      <c r="V25" s="28">
        <f t="shared" si="10"/>
        <v>-2125009.9277037038</v>
      </c>
      <c r="W25" s="28">
        <f t="shared" si="10"/>
        <v>-2002210.4276797266</v>
      </c>
      <c r="X25" s="28">
        <f t="shared" si="10"/>
        <v>-1870200.965153951</v>
      </c>
      <c r="Y25" s="28">
        <f t="shared" si="10"/>
        <v>-1728290.7929387421</v>
      </c>
      <c r="Z25" s="28">
        <f t="shared" si="10"/>
        <v>-1575737.3578073925</v>
      </c>
      <c r="AA25" s="28">
        <f t="shared" si="10"/>
        <v>-1411742.415041192</v>
      </c>
      <c r="AB25" s="28">
        <f t="shared" si="10"/>
        <v>-1235447.8515675261</v>
      </c>
      <c r="AC25" s="19"/>
      <c r="AD25" s="25">
        <f t="shared" ref="AD25" si="11">+AD21-AD23</f>
        <v>105778790.95058507</v>
      </c>
    </row>
    <row r="26" spans="1:30" ht="15" thickTop="1" x14ac:dyDescent="0.35">
      <c r="A26" s="4"/>
      <c r="B26" s="4"/>
      <c r="C26" s="4"/>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row>
    <row r="27" spans="1:30" x14ac:dyDescent="0.35">
      <c r="D27" s="45">
        <f>D25/3000000*100</f>
        <v>-110.56343298611111</v>
      </c>
      <c r="E27" s="45">
        <f t="shared" ref="E27:AB27" si="12">E25/3000000*100</f>
        <v>-109.44984897334429</v>
      </c>
      <c r="F27" s="45">
        <f t="shared" si="12"/>
        <v>-108.25274615961993</v>
      </c>
      <c r="G27" s="45">
        <f t="shared" si="12"/>
        <v>-106.96586063486623</v>
      </c>
      <c r="H27" s="45">
        <f t="shared" si="12"/>
        <v>-105.58245869575606</v>
      </c>
      <c r="I27" s="45">
        <f t="shared" si="12"/>
        <v>-104.09530161121259</v>
      </c>
      <c r="J27" s="45">
        <f t="shared" si="12"/>
        <v>-102.49660774532836</v>
      </c>
      <c r="K27" s="45">
        <f t="shared" si="12"/>
        <v>-100.77801183950281</v>
      </c>
      <c r="L27" s="45">
        <f t="shared" si="12"/>
        <v>-98.930521240740362</v>
      </c>
      <c r="M27" s="45">
        <f t="shared" si="12"/>
        <v>-96.944468847070738</v>
      </c>
      <c r="N27" s="45">
        <f t="shared" si="12"/>
        <v>-94.809462523875851</v>
      </c>
      <c r="O27" s="45">
        <f t="shared" si="12"/>
        <v>-92.514330726441372</v>
      </c>
      <c r="P27" s="45">
        <f t="shared" si="12"/>
        <v>-90.047064044199317</v>
      </c>
      <c r="Q27" s="45">
        <f t="shared" si="12"/>
        <v>-87.394752360789084</v>
      </c>
      <c r="R27" s="45">
        <f t="shared" si="12"/>
        <v>-84.543517301123089</v>
      </c>
      <c r="S27" s="45">
        <f t="shared" si="12"/>
        <v>-81.478439611982139</v>
      </c>
      <c r="T27" s="45">
        <f t="shared" si="12"/>
        <v>-78.183481096155646</v>
      </c>
      <c r="U27" s="45">
        <f t="shared" si="12"/>
        <v>-74.641400691642147</v>
      </c>
      <c r="V27" s="45">
        <f t="shared" si="12"/>
        <v>-70.833664256790129</v>
      </c>
      <c r="W27" s="45">
        <f t="shared" si="12"/>
        <v>-66.740347589324216</v>
      </c>
      <c r="X27" s="45">
        <f t="shared" si="12"/>
        <v>-62.340032171798363</v>
      </c>
      <c r="Y27" s="45">
        <f t="shared" si="12"/>
        <v>-57.609693097958072</v>
      </c>
      <c r="Z27" s="45">
        <f t="shared" si="12"/>
        <v>-52.524578593579754</v>
      </c>
      <c r="AA27" s="45">
        <f t="shared" si="12"/>
        <v>-47.05808050137307</v>
      </c>
      <c r="AB27" s="45">
        <f t="shared" si="12"/>
        <v>-41.18159505225087</v>
      </c>
    </row>
  </sheetData>
  <sheetProtection algorithmName="SHA-512" hashValue="wUoQ6J0aGx+Tyd07vzMOELcoYYbdIARE5Y4xzhNKvZhx4tU/0U+jmps6spITyvhGElcqxOvF4TNtjAH1Zpn/tQ==" saltValue="/f/PfVAUMJrg2f6dAFtw2g==" spinCount="100000" sheet="1" objects="1" scenarios="1" selectLockedCells="1" selectUnlockedCell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FCB46-667F-4721-B80A-61044B0D7669}">
  <dimension ref="A1:Z70"/>
  <sheetViews>
    <sheetView workbookViewId="0">
      <selection activeCell="V45" sqref="V45"/>
    </sheetView>
  </sheetViews>
  <sheetFormatPr defaultColWidth="16.453125" defaultRowHeight="14.5" x14ac:dyDescent="0.35"/>
  <cols>
    <col min="1" max="1" width="39.54296875" customWidth="1"/>
    <col min="2" max="2" width="22.7265625" customWidth="1"/>
    <col min="3" max="3" width="10.54296875" style="1" customWidth="1"/>
    <col min="4" max="4" width="12.1796875" customWidth="1"/>
    <col min="5" max="5" width="15.453125" customWidth="1"/>
    <col min="6" max="26" width="10.81640625" customWidth="1"/>
  </cols>
  <sheetData>
    <row r="1" spans="1:19" ht="21" x14ac:dyDescent="0.35">
      <c r="A1" s="58" t="s">
        <v>154</v>
      </c>
      <c r="B1" s="126" t="str">
        <f>'Generation &amp; Ops Scenarios'!H27</f>
        <v>100% Wind &amp; Storage</v>
      </c>
      <c r="C1" s="127"/>
      <c r="D1" s="127"/>
    </row>
    <row r="2" spans="1:19" x14ac:dyDescent="0.35">
      <c r="A2" s="29" t="s">
        <v>152</v>
      </c>
      <c r="B2" s="30">
        <f>'Generation &amp; Ops Scenarios'!H35+'Generation &amp; Ops Scenarios'!H36+'Generation &amp; Ops Scenarios'!H37</f>
        <v>500</v>
      </c>
      <c r="C2" s="8"/>
      <c r="D2" s="8"/>
    </row>
    <row r="3" spans="1:19" ht="15" thickBot="1" x14ac:dyDescent="0.4"/>
    <row r="4" spans="1:19" ht="15" thickBot="1" x14ac:dyDescent="0.4">
      <c r="A4" s="426" t="s">
        <v>1</v>
      </c>
      <c r="B4" s="427"/>
      <c r="C4"/>
      <c r="D4" s="428" t="s">
        <v>2</v>
      </c>
      <c r="E4" s="429"/>
      <c r="F4" s="429"/>
      <c r="G4" s="429"/>
      <c r="H4" s="430"/>
      <c r="K4" s="428" t="s">
        <v>3</v>
      </c>
      <c r="L4" s="429"/>
      <c r="M4" s="430"/>
      <c r="P4" s="426" t="s">
        <v>77</v>
      </c>
      <c r="Q4" s="431"/>
      <c r="R4" s="427"/>
    </row>
    <row r="5" spans="1:19" x14ac:dyDescent="0.35">
      <c r="A5" t="s">
        <v>83</v>
      </c>
      <c r="B5" s="63">
        <f>'Generation &amp; Ops Scenarios'!H55</f>
        <v>0</v>
      </c>
      <c r="C5"/>
      <c r="D5" s="432" t="s">
        <v>9</v>
      </c>
      <c r="E5" s="433"/>
      <c r="F5" s="52"/>
      <c r="G5" s="52"/>
      <c r="H5" s="75">
        <f>'Generation &amp; Ops Scenarios'!$D$13</f>
        <v>160000</v>
      </c>
      <c r="I5" s="50"/>
      <c r="K5" s="9" t="s">
        <v>153</v>
      </c>
      <c r="L5" s="52"/>
      <c r="M5" s="7">
        <f>H21</f>
        <v>1400000</v>
      </c>
      <c r="P5" s="434" t="s">
        <v>25</v>
      </c>
      <c r="Q5" s="435"/>
      <c r="R5" s="86">
        <f>'Generation &amp; Ops Scenarios'!$B$11</f>
        <v>1</v>
      </c>
    </row>
    <row r="6" spans="1:19" x14ac:dyDescent="0.35">
      <c r="A6" t="s">
        <v>84</v>
      </c>
      <c r="B6" s="64">
        <f>'Generation &amp; Ops Scenarios'!H56</f>
        <v>1000000</v>
      </c>
      <c r="C6"/>
      <c r="D6" s="432" t="s">
        <v>10</v>
      </c>
      <c r="E6" s="433"/>
      <c r="F6" s="52"/>
      <c r="G6" s="52"/>
      <c r="H6" s="76">
        <f>'Generation &amp; Ops Scenarios'!$D$12</f>
        <v>40000</v>
      </c>
      <c r="I6" s="50"/>
      <c r="K6" s="9" t="s">
        <v>15</v>
      </c>
      <c r="L6" s="60"/>
      <c r="M6" s="56">
        <f>'Generation &amp; Ops Scenarios'!$B$2</f>
        <v>60</v>
      </c>
      <c r="P6" s="434" t="s">
        <v>5</v>
      </c>
      <c r="Q6" s="435"/>
      <c r="R6" s="74">
        <f>'Generation &amp; Ops Scenarios'!B14</f>
        <v>7.4999999999999997E-2</v>
      </c>
    </row>
    <row r="7" spans="1:19" x14ac:dyDescent="0.35">
      <c r="A7" t="s">
        <v>85</v>
      </c>
      <c r="B7" s="64">
        <f>'Generation &amp; Ops Scenarios'!H57</f>
        <v>0</v>
      </c>
      <c r="C7"/>
      <c r="D7" s="432" t="s">
        <v>11</v>
      </c>
      <c r="E7" s="433"/>
      <c r="F7" s="52"/>
      <c r="G7" s="52"/>
      <c r="H7" s="10">
        <f>SUM(H5:H6)</f>
        <v>200000</v>
      </c>
      <c r="I7" s="50"/>
      <c r="K7" s="9" t="s">
        <v>28</v>
      </c>
      <c r="L7" s="60"/>
      <c r="M7" s="11">
        <v>0</v>
      </c>
      <c r="P7" s="434" t="s">
        <v>26</v>
      </c>
      <c r="Q7" s="435"/>
      <c r="R7" s="6">
        <f>R5*B22</f>
        <v>9908063.9166666679</v>
      </c>
    </row>
    <row r="8" spans="1:19" x14ac:dyDescent="0.35">
      <c r="A8" t="s">
        <v>86</v>
      </c>
      <c r="B8" s="64">
        <f>'Generation &amp; Ops Scenarios'!H58</f>
        <v>5064000</v>
      </c>
      <c r="C8"/>
      <c r="D8" s="432"/>
      <c r="E8" s="433"/>
      <c r="F8" s="52"/>
      <c r="G8" s="52"/>
      <c r="H8" s="10"/>
      <c r="I8" s="50"/>
      <c r="K8" s="436" t="s">
        <v>72</v>
      </c>
      <c r="L8" s="437"/>
      <c r="M8" s="32">
        <f>'Generation &amp; Ops Scenarios'!$G$10</f>
        <v>0</v>
      </c>
      <c r="P8" s="434" t="s">
        <v>27</v>
      </c>
      <c r="Q8" s="435"/>
      <c r="R8" s="88">
        <f>'Generation &amp; Ops Scenarios'!$B$12</f>
        <v>25</v>
      </c>
    </row>
    <row r="9" spans="1:19" x14ac:dyDescent="0.35">
      <c r="A9" t="s">
        <v>87</v>
      </c>
      <c r="B9" s="64">
        <f>'Generation &amp; Ops Scenarios'!H59</f>
        <v>100000</v>
      </c>
      <c r="C9"/>
      <c r="D9" s="49" t="s">
        <v>103</v>
      </c>
      <c r="E9" s="52"/>
      <c r="F9" s="52"/>
      <c r="G9" s="52"/>
      <c r="H9" s="54">
        <f>B5*'Generation &amp; Ops Scenarios'!$B$20</f>
        <v>0</v>
      </c>
      <c r="I9" s="50"/>
      <c r="K9" s="436" t="s">
        <v>73</v>
      </c>
      <c r="L9" s="437"/>
      <c r="M9" s="32">
        <f>'Generation &amp; Ops Scenarios'!$G$11</f>
        <v>0</v>
      </c>
      <c r="P9" s="434" t="s">
        <v>53</v>
      </c>
      <c r="Q9" s="435"/>
      <c r="R9" s="6">
        <f>'Generation &amp; Ops Scenarios'!B13</f>
        <v>25</v>
      </c>
    </row>
    <row r="10" spans="1:19" x14ac:dyDescent="0.35">
      <c r="A10" t="s">
        <v>88</v>
      </c>
      <c r="B10" s="64">
        <f>SUM(B5:B9)*0.1</f>
        <v>616400</v>
      </c>
      <c r="C10"/>
      <c r="D10" s="49" t="s">
        <v>105</v>
      </c>
      <c r="E10" s="52"/>
      <c r="F10" s="52"/>
      <c r="G10" s="52"/>
      <c r="H10" s="54">
        <f>B7*'Generation &amp; Ops Scenarios'!$B$21</f>
        <v>0</v>
      </c>
      <c r="I10" s="50"/>
      <c r="K10" s="436" t="s">
        <v>74</v>
      </c>
      <c r="L10" s="437"/>
      <c r="M10" s="32">
        <f>'Generation &amp; Ops Scenarios'!$G$12</f>
        <v>0</v>
      </c>
      <c r="P10" s="434" t="s">
        <v>56</v>
      </c>
      <c r="Q10" s="435"/>
      <c r="R10" s="15">
        <f>'Generation &amp; Ops Scenarios'!$G$16</f>
        <v>0</v>
      </c>
    </row>
    <row r="11" spans="1:19" ht="15" thickBot="1" x14ac:dyDescent="0.4">
      <c r="A11" t="s">
        <v>8</v>
      </c>
      <c r="B11" s="64">
        <f>SUM(B5:B10)*0.1</f>
        <v>678040</v>
      </c>
      <c r="C11"/>
      <c r="D11" s="49" t="s">
        <v>107</v>
      </c>
      <c r="E11" s="52"/>
      <c r="F11" s="52"/>
      <c r="G11" s="52"/>
      <c r="H11" s="54">
        <f>B6*'Generation &amp; Ops Scenarios'!$B$22</f>
        <v>20000</v>
      </c>
      <c r="I11" s="50"/>
      <c r="K11" s="438" t="s">
        <v>75</v>
      </c>
      <c r="L11" s="439"/>
      <c r="M11" s="61">
        <f>'Generation &amp; Ops Scenarios'!$G$13</f>
        <v>0</v>
      </c>
      <c r="P11" s="434" t="s">
        <v>55</v>
      </c>
      <c r="Q11" s="435"/>
      <c r="R11" s="15">
        <f>'Generation &amp; Ops Scenarios'!$G$17</f>
        <v>0</v>
      </c>
    </row>
    <row r="12" spans="1:19" ht="15" thickBot="1" x14ac:dyDescent="0.4">
      <c r="A12" t="s">
        <v>89</v>
      </c>
      <c r="B12" s="65">
        <f>SUM(B5:B11)</f>
        <v>7458440</v>
      </c>
      <c r="C12"/>
      <c r="D12" s="49" t="s">
        <v>108</v>
      </c>
      <c r="E12" s="52"/>
      <c r="F12" s="52"/>
      <c r="G12" s="161"/>
      <c r="H12" s="77">
        <f>B8*'Generation &amp; Ops Scenarios'!B23</f>
        <v>101280</v>
      </c>
      <c r="I12" s="244"/>
      <c r="J12" s="89"/>
      <c r="K12" s="89"/>
      <c r="L12" s="89"/>
      <c r="M12" s="89"/>
      <c r="N12" s="89"/>
      <c r="P12" s="440" t="s">
        <v>57</v>
      </c>
      <c r="Q12" s="441"/>
      <c r="R12" s="62">
        <f>'Generation &amp; Ops Scenarios'!$G$18</f>
        <v>0</v>
      </c>
    </row>
    <row r="13" spans="1:19" x14ac:dyDescent="0.35">
      <c r="B13" s="66"/>
      <c r="C13"/>
      <c r="D13" s="49" t="s">
        <v>109</v>
      </c>
      <c r="E13" s="52"/>
      <c r="F13" s="52"/>
      <c r="G13" s="161"/>
      <c r="H13" s="77">
        <f>B21*'Generation &amp; Ops Scenarios'!$B$24</f>
        <v>24496.23916666667</v>
      </c>
      <c r="I13" s="244"/>
      <c r="J13" s="89"/>
      <c r="K13" s="408" t="s">
        <v>230</v>
      </c>
      <c r="L13" s="409"/>
      <c r="M13" s="410"/>
      <c r="N13" s="89"/>
    </row>
    <row r="14" spans="1:19" ht="15" thickBot="1" x14ac:dyDescent="0.4">
      <c r="A14" t="s">
        <v>166</v>
      </c>
      <c r="B14" s="64">
        <f>'Generation &amp; Ops Scenarios'!H64</f>
        <v>542630</v>
      </c>
      <c r="C14"/>
      <c r="D14" s="49" t="s">
        <v>162</v>
      </c>
      <c r="E14" s="52"/>
      <c r="F14" s="52"/>
      <c r="G14" s="161"/>
      <c r="H14" s="77">
        <f>'Generation &amp; Ops Scenarios'!B81*M5/100</f>
        <v>14000</v>
      </c>
      <c r="I14" s="244"/>
      <c r="J14" s="89"/>
      <c r="K14" s="405" t="s">
        <v>231</v>
      </c>
      <c r="L14" s="406"/>
      <c r="M14" s="407"/>
      <c r="N14" s="89"/>
    </row>
    <row r="15" spans="1:19" x14ac:dyDescent="0.35">
      <c r="A15" t="s">
        <v>170</v>
      </c>
      <c r="B15" s="64">
        <f>'Generation &amp; Ops Scenarios'!H65</f>
        <v>359081.8</v>
      </c>
      <c r="C15"/>
      <c r="D15" s="49" t="s">
        <v>151</v>
      </c>
      <c r="E15" s="52"/>
      <c r="F15" s="52"/>
      <c r="G15" s="161"/>
      <c r="H15" s="56">
        <f>('Generation &amp; Ops Scenarios'!D15+('Generation &amp; Ops Scenarios'!D16*'Generation &amp; Ops Scenarios'!H37/100)+('Generation &amp; Ops Scenarios'!D17*'Generation &amp; Ops Scenarios'!H36/100))</f>
        <v>14250</v>
      </c>
      <c r="I15" s="298"/>
      <c r="J15" s="89"/>
      <c r="K15" s="292" t="s">
        <v>229</v>
      </c>
      <c r="L15" s="293"/>
      <c r="M15" s="294">
        <f>'Generation &amp; Ops Scenarios'!H48</f>
        <v>0</v>
      </c>
      <c r="N15" s="89"/>
    </row>
    <row r="16" spans="1:19" x14ac:dyDescent="0.35">
      <c r="A16" t="s">
        <v>175</v>
      </c>
      <c r="B16" s="64">
        <f>'Generation &amp; Ops Scenarios'!H66</f>
        <v>196652.5</v>
      </c>
      <c r="C16"/>
      <c r="D16" s="80" t="s">
        <v>14</v>
      </c>
      <c r="E16" s="81"/>
      <c r="F16" s="52"/>
      <c r="G16" s="161"/>
      <c r="H16" s="299">
        <f>SUM(H7:H15)</f>
        <v>374026.2391666667</v>
      </c>
      <c r="I16" s="244"/>
      <c r="J16" s="161"/>
      <c r="K16" s="295" t="s">
        <v>232</v>
      </c>
      <c r="L16" s="163"/>
      <c r="M16" s="87">
        <f>'Generation &amp; Ops Scenarios'!H41</f>
        <v>0</v>
      </c>
      <c r="N16" s="161"/>
      <c r="O16" s="52"/>
      <c r="P16" s="52"/>
      <c r="Q16" s="52"/>
      <c r="R16" s="52"/>
      <c r="S16" s="52"/>
    </row>
    <row r="17" spans="1:26" x14ac:dyDescent="0.35">
      <c r="A17" t="s">
        <v>174</v>
      </c>
      <c r="B17" s="64">
        <f>'Generation &amp; Ops Scenarios'!H67</f>
        <v>113166.53333333334</v>
      </c>
      <c r="C17"/>
      <c r="D17" s="82"/>
      <c r="E17" s="83"/>
      <c r="F17" s="52"/>
      <c r="G17" s="161"/>
      <c r="H17" s="300"/>
      <c r="I17" s="244"/>
      <c r="J17" s="161"/>
      <c r="K17" s="295" t="s">
        <v>233</v>
      </c>
      <c r="L17" s="163"/>
      <c r="M17" s="87">
        <f>MIN('Generation &amp; Ops Scenarios'!H42+'Generation &amp; Ops Scenarios'!H44,'Generation &amp; Ops Scenarios'!H29)</f>
        <v>1456000</v>
      </c>
      <c r="N17" s="161"/>
      <c r="O17" s="52"/>
      <c r="P17" s="52"/>
      <c r="Q17" s="52"/>
      <c r="R17" s="52"/>
      <c r="S17" s="52"/>
    </row>
    <row r="18" spans="1:26" ht="15" thickBot="1" x14ac:dyDescent="0.4">
      <c r="A18" t="s">
        <v>182</v>
      </c>
      <c r="B18" s="64">
        <f>'Generation &amp; Ops Scenarios'!H68</f>
        <v>855400</v>
      </c>
      <c r="C18"/>
      <c r="D18" s="80" t="s">
        <v>12</v>
      </c>
      <c r="E18" s="81"/>
      <c r="F18" s="52"/>
      <c r="G18" s="161"/>
      <c r="H18" s="301">
        <f>'Generation &amp; Ops Scenarios'!B17</f>
        <v>87</v>
      </c>
      <c r="I18" s="244"/>
      <c r="J18" s="161"/>
      <c r="K18" s="296" t="s">
        <v>234</v>
      </c>
      <c r="L18" s="261"/>
      <c r="M18" s="297">
        <f>SUM(M15:M17)</f>
        <v>1456000</v>
      </c>
      <c r="N18" s="161"/>
      <c r="O18" s="52"/>
      <c r="P18" s="52"/>
      <c r="Q18" s="52"/>
      <c r="R18" s="52"/>
      <c r="S18" s="52"/>
    </row>
    <row r="19" spans="1:26" x14ac:dyDescent="0.35">
      <c r="A19" t="s">
        <v>185</v>
      </c>
      <c r="B19" s="64">
        <f>'Generation &amp; Ops Scenarios'!H69</f>
        <v>160000</v>
      </c>
      <c r="C19"/>
      <c r="D19" s="80" t="s">
        <v>155</v>
      </c>
      <c r="E19" s="81"/>
      <c r="F19" s="52"/>
      <c r="G19" s="161"/>
      <c r="H19" s="302">
        <f>'Generation &amp; Ops Scenarios'!B18</f>
        <v>3.9583333333333335</v>
      </c>
      <c r="I19" s="244"/>
      <c r="J19" s="161"/>
      <c r="K19" s="161"/>
      <c r="L19" s="161"/>
      <c r="M19" s="161"/>
      <c r="N19" s="161"/>
      <c r="O19" s="52"/>
      <c r="P19" s="52"/>
      <c r="Q19" s="52"/>
      <c r="R19" s="52"/>
      <c r="S19" s="52"/>
    </row>
    <row r="20" spans="1:26" x14ac:dyDescent="0.35">
      <c r="A20" t="s">
        <v>8</v>
      </c>
      <c r="B20" s="64">
        <f>SUM(B14:B19)*0.1</f>
        <v>222693.08333333337</v>
      </c>
      <c r="C20"/>
      <c r="D20" s="80"/>
      <c r="E20" s="81"/>
      <c r="F20" s="52"/>
      <c r="G20" s="161"/>
      <c r="H20" s="303"/>
      <c r="I20" s="244"/>
      <c r="J20" s="161"/>
      <c r="K20" s="161"/>
      <c r="L20" s="161"/>
      <c r="M20" s="161"/>
      <c r="N20" s="161"/>
      <c r="O20" s="52"/>
      <c r="P20" s="52"/>
      <c r="Q20" s="52"/>
      <c r="R20" s="52"/>
      <c r="S20" s="52"/>
    </row>
    <row r="21" spans="1:26" x14ac:dyDescent="0.35">
      <c r="A21" t="s">
        <v>90</v>
      </c>
      <c r="B21" s="65">
        <f>SUM(B14:B20)</f>
        <v>2449623.916666667</v>
      </c>
      <c r="C21"/>
      <c r="D21" s="80" t="s">
        <v>13</v>
      </c>
      <c r="E21" s="81"/>
      <c r="F21" s="52"/>
      <c r="G21" s="161"/>
      <c r="H21" s="304">
        <f>'Generation &amp; Ops Scenarios'!B3</f>
        <v>1400000</v>
      </c>
      <c r="I21" s="244"/>
      <c r="J21" s="161"/>
      <c r="K21" s="161"/>
      <c r="L21" s="161"/>
      <c r="M21" s="161"/>
      <c r="N21" s="161"/>
      <c r="O21" s="52"/>
      <c r="P21" s="52"/>
      <c r="Q21" s="52"/>
      <c r="R21" s="52"/>
      <c r="S21" s="52"/>
    </row>
    <row r="22" spans="1:26" ht="15" thickBot="1" x14ac:dyDescent="0.4">
      <c r="A22" s="2" t="s">
        <v>6</v>
      </c>
      <c r="B22" s="23">
        <f>B12+B21</f>
        <v>9908063.9166666679</v>
      </c>
      <c r="C22"/>
      <c r="D22" s="80"/>
      <c r="E22" s="81"/>
      <c r="F22" s="52"/>
      <c r="G22" s="161"/>
      <c r="H22" s="305"/>
      <c r="I22" s="244"/>
      <c r="J22" s="161"/>
      <c r="K22" s="161"/>
      <c r="L22" s="161"/>
      <c r="M22" s="161"/>
      <c r="N22" s="161"/>
      <c r="O22" s="52"/>
      <c r="P22" s="52"/>
      <c r="Q22" s="52"/>
      <c r="R22" s="52"/>
      <c r="S22" s="52"/>
    </row>
    <row r="23" spans="1:26" x14ac:dyDescent="0.35">
      <c r="A23" s="52"/>
      <c r="B23" s="57"/>
      <c r="C23"/>
      <c r="D23" s="72" t="s">
        <v>157</v>
      </c>
      <c r="E23" s="69"/>
      <c r="F23" s="52"/>
      <c r="G23" s="161"/>
      <c r="H23" s="290">
        <f>H18/H19</f>
        <v>21.978947368421053</v>
      </c>
      <c r="I23" s="244"/>
      <c r="J23" s="161"/>
      <c r="K23" s="161"/>
      <c r="L23" s="161"/>
      <c r="M23" s="161"/>
      <c r="N23" s="161"/>
      <c r="O23" s="52"/>
      <c r="P23" s="52"/>
      <c r="Q23" s="52"/>
      <c r="R23" s="52"/>
      <c r="S23" s="52"/>
    </row>
    <row r="24" spans="1:26" ht="15" thickBot="1" x14ac:dyDescent="0.4">
      <c r="A24" s="52"/>
      <c r="B24" s="57"/>
      <c r="C24"/>
      <c r="D24" s="71" t="s">
        <v>156</v>
      </c>
      <c r="E24" s="73"/>
      <c r="F24" s="3"/>
      <c r="G24" s="258"/>
      <c r="H24" s="291">
        <f>-'100% Wind Cash Flow'!D8/H21*100</f>
        <v>0</v>
      </c>
      <c r="I24" s="306"/>
      <c r="J24" s="161"/>
      <c r="K24" s="161"/>
      <c r="L24" s="161"/>
      <c r="M24" s="161"/>
      <c r="N24" s="161"/>
      <c r="O24" s="52"/>
      <c r="P24" s="52"/>
      <c r="Q24" s="52"/>
      <c r="R24" s="52"/>
      <c r="S24" s="52"/>
    </row>
    <row r="25" spans="1:26" x14ac:dyDescent="0.35">
      <c r="A25" s="52"/>
      <c r="B25" s="57"/>
      <c r="C25"/>
      <c r="D25" s="69"/>
      <c r="E25" s="70"/>
      <c r="F25" s="52"/>
      <c r="G25" s="161"/>
      <c r="H25" s="307"/>
      <c r="I25" s="89"/>
      <c r="J25" s="161"/>
      <c r="K25" s="161"/>
      <c r="L25" s="161"/>
      <c r="M25" s="161"/>
      <c r="N25" s="161"/>
      <c r="O25" s="52"/>
      <c r="P25" s="52"/>
      <c r="Q25" s="52"/>
      <c r="R25" s="52"/>
      <c r="S25" s="52"/>
    </row>
    <row r="26" spans="1:26" s="89" customFormat="1" ht="14.15" customHeight="1" thickBot="1" x14ac:dyDescent="0.4">
      <c r="C26" s="90"/>
    </row>
    <row r="27" spans="1:26" s="89" customFormat="1" ht="15" thickBot="1" x14ac:dyDescent="0.4">
      <c r="A27" s="165"/>
      <c r="B27" s="92" t="s">
        <v>7</v>
      </c>
      <c r="C27" s="93"/>
      <c r="D27" s="93"/>
      <c r="E27" s="93"/>
      <c r="F27" s="93"/>
      <c r="G27" s="93"/>
      <c r="H27" s="93"/>
      <c r="I27" s="93"/>
      <c r="J27" s="93"/>
      <c r="K27" s="93"/>
      <c r="L27" s="93"/>
      <c r="M27" s="93"/>
      <c r="N27" s="93"/>
      <c r="O27" s="93"/>
      <c r="P27" s="93"/>
      <c r="Q27" s="93"/>
      <c r="R27" s="93"/>
      <c r="S27" s="93"/>
      <c r="T27" s="93"/>
      <c r="U27" s="93"/>
      <c r="V27" s="93"/>
      <c r="W27" s="93"/>
      <c r="X27" s="93"/>
      <c r="Y27" s="93"/>
      <c r="Z27" s="94"/>
    </row>
    <row r="28" spans="1:26" s="89" customFormat="1" x14ac:dyDescent="0.35">
      <c r="A28" s="111"/>
      <c r="B28" s="164">
        <v>1</v>
      </c>
      <c r="C28" s="164">
        <v>2</v>
      </c>
      <c r="D28" s="164">
        <v>3</v>
      </c>
      <c r="E28" s="164">
        <v>4</v>
      </c>
      <c r="F28" s="164">
        <v>5</v>
      </c>
      <c r="G28" s="164">
        <v>6</v>
      </c>
      <c r="H28" s="164">
        <v>7</v>
      </c>
      <c r="I28" s="164">
        <v>8</v>
      </c>
      <c r="J28" s="164">
        <v>9</v>
      </c>
      <c r="K28" s="164">
        <v>10</v>
      </c>
      <c r="L28" s="164">
        <v>11</v>
      </c>
      <c r="M28" s="164">
        <v>12</v>
      </c>
      <c r="N28" s="164">
        <v>13</v>
      </c>
      <c r="O28" s="164">
        <v>14</v>
      </c>
      <c r="P28" s="164">
        <v>15</v>
      </c>
      <c r="Q28" s="164">
        <v>16</v>
      </c>
      <c r="R28" s="164">
        <v>17</v>
      </c>
      <c r="S28" s="164">
        <v>18</v>
      </c>
      <c r="T28" s="164">
        <v>19</v>
      </c>
      <c r="U28" s="164">
        <v>20</v>
      </c>
      <c r="V28" s="164">
        <v>21</v>
      </c>
      <c r="W28" s="164">
        <v>22</v>
      </c>
      <c r="X28" s="164">
        <v>23</v>
      </c>
      <c r="Y28" s="164">
        <v>24</v>
      </c>
      <c r="Z28" s="164">
        <v>25</v>
      </c>
    </row>
    <row r="29" spans="1:26" s="89" customFormat="1" x14ac:dyDescent="0.35">
      <c r="A29" s="97" t="s">
        <v>65</v>
      </c>
      <c r="B29" s="98">
        <f>'100% Wind Profit and Loss'!D8</f>
        <v>840000</v>
      </c>
      <c r="C29" s="98">
        <f>'100% Wind Profit and Loss'!E8</f>
        <v>840000</v>
      </c>
      <c r="D29" s="98">
        <f>'100% Wind Profit and Loss'!F8</f>
        <v>840000</v>
      </c>
      <c r="E29" s="98">
        <f>'100% Wind Profit and Loss'!G8</f>
        <v>840000</v>
      </c>
      <c r="F29" s="98">
        <f>'100% Wind Profit and Loss'!H8</f>
        <v>840000</v>
      </c>
      <c r="G29" s="98">
        <f>'100% Wind Profit and Loss'!I8</f>
        <v>840000</v>
      </c>
      <c r="H29" s="98">
        <f>'100% Wind Profit and Loss'!J8</f>
        <v>840000</v>
      </c>
      <c r="I29" s="98">
        <f>'100% Wind Profit and Loss'!K8</f>
        <v>840000</v>
      </c>
      <c r="J29" s="98">
        <f>'100% Wind Profit and Loss'!L8</f>
        <v>840000</v>
      </c>
      <c r="K29" s="98">
        <f>'100% Wind Profit and Loss'!M8</f>
        <v>840000</v>
      </c>
      <c r="L29" s="98">
        <f>'100% Wind Profit and Loss'!N8</f>
        <v>840000</v>
      </c>
      <c r="M29" s="98">
        <f>'100% Wind Profit and Loss'!O8</f>
        <v>840000</v>
      </c>
      <c r="N29" s="98">
        <f>'100% Wind Profit and Loss'!P8</f>
        <v>840000</v>
      </c>
      <c r="O29" s="98">
        <f>'100% Wind Profit and Loss'!Q8</f>
        <v>840000</v>
      </c>
      <c r="P29" s="98">
        <f>'100% Wind Profit and Loss'!R8</f>
        <v>840000</v>
      </c>
      <c r="Q29" s="98">
        <f>'100% Wind Profit and Loss'!S8</f>
        <v>840000</v>
      </c>
      <c r="R29" s="98">
        <f>'100% Wind Profit and Loss'!T8</f>
        <v>840000</v>
      </c>
      <c r="S29" s="98">
        <f>'100% Wind Profit and Loss'!U8</f>
        <v>840000</v>
      </c>
      <c r="T29" s="98">
        <f>'100% Wind Profit and Loss'!V8</f>
        <v>840000</v>
      </c>
      <c r="U29" s="98">
        <f>'100% Wind Profit and Loss'!W8</f>
        <v>840000</v>
      </c>
      <c r="V29" s="98">
        <f>'100% Wind Profit and Loss'!X8</f>
        <v>840000</v>
      </c>
      <c r="W29" s="98">
        <f>'100% Wind Profit and Loss'!Y8</f>
        <v>840000</v>
      </c>
      <c r="X29" s="98">
        <f>'100% Wind Profit and Loss'!Z8</f>
        <v>840000</v>
      </c>
      <c r="Y29" s="98">
        <f>'100% Wind Profit and Loss'!AA8</f>
        <v>840000</v>
      </c>
      <c r="Z29" s="98">
        <f>'100% Wind Profit and Loss'!AB8</f>
        <v>840000</v>
      </c>
    </row>
    <row r="30" spans="1:26" s="89" customFormat="1" x14ac:dyDescent="0.35">
      <c r="A30" s="99" t="s">
        <v>66</v>
      </c>
      <c r="B30" s="98">
        <f>'100% Wind Profit and Loss'!D14</f>
        <v>-374026.2391666667</v>
      </c>
      <c r="C30" s="98">
        <f>'100% Wind Profit and Loss'!E14</f>
        <v>-374026.2391666667</v>
      </c>
      <c r="D30" s="98">
        <f>'100% Wind Profit and Loss'!F14</f>
        <v>-374026.2391666667</v>
      </c>
      <c r="E30" s="98">
        <f>'100% Wind Profit and Loss'!G14</f>
        <v>-374026.2391666667</v>
      </c>
      <c r="F30" s="98">
        <f>'100% Wind Profit and Loss'!H14</f>
        <v>-374026.2391666667</v>
      </c>
      <c r="G30" s="98">
        <f>'100% Wind Profit and Loss'!I14</f>
        <v>-374026.2391666667</v>
      </c>
      <c r="H30" s="98">
        <f>'100% Wind Profit and Loss'!J14</f>
        <v>-374026.2391666667</v>
      </c>
      <c r="I30" s="98">
        <f>'100% Wind Profit and Loss'!K14</f>
        <v>-374026.2391666667</v>
      </c>
      <c r="J30" s="98">
        <f>'100% Wind Profit and Loss'!L14</f>
        <v>-374026.2391666667</v>
      </c>
      <c r="K30" s="98">
        <f>'100% Wind Profit and Loss'!M14</f>
        <v>-374026.2391666667</v>
      </c>
      <c r="L30" s="98">
        <f>'100% Wind Profit and Loss'!N14</f>
        <v>-374026.2391666667</v>
      </c>
      <c r="M30" s="98">
        <f>'100% Wind Profit and Loss'!O14</f>
        <v>-374026.2391666667</v>
      </c>
      <c r="N30" s="98">
        <f>'100% Wind Profit and Loss'!P14</f>
        <v>-374026.2391666667</v>
      </c>
      <c r="O30" s="98">
        <f>'100% Wind Profit and Loss'!Q14</f>
        <v>-374026.2391666667</v>
      </c>
      <c r="P30" s="98">
        <f>'100% Wind Profit and Loss'!R14</f>
        <v>-374026.2391666667</v>
      </c>
      <c r="Q30" s="98">
        <f>'100% Wind Profit and Loss'!S14</f>
        <v>-374026.2391666667</v>
      </c>
      <c r="R30" s="98">
        <f>'100% Wind Profit and Loss'!T14</f>
        <v>-374026.2391666667</v>
      </c>
      <c r="S30" s="98">
        <f>'100% Wind Profit and Loss'!U14</f>
        <v>-374026.2391666667</v>
      </c>
      <c r="T30" s="98">
        <f>'100% Wind Profit and Loss'!V14</f>
        <v>-374026.2391666667</v>
      </c>
      <c r="U30" s="98">
        <f>'100% Wind Profit and Loss'!W14</f>
        <v>-374026.2391666667</v>
      </c>
      <c r="V30" s="98">
        <f>'100% Wind Profit and Loss'!X14</f>
        <v>-374026.2391666667</v>
      </c>
      <c r="W30" s="98">
        <f>'100% Wind Profit and Loss'!Y14</f>
        <v>-374026.2391666667</v>
      </c>
      <c r="X30" s="98">
        <f>'100% Wind Profit and Loss'!Z14</f>
        <v>-374026.2391666667</v>
      </c>
      <c r="Y30" s="98">
        <f>'100% Wind Profit and Loss'!AA14</f>
        <v>-374026.2391666667</v>
      </c>
      <c r="Z30" s="98">
        <f>'100% Wind Profit and Loss'!AB14</f>
        <v>-374026.2391666667</v>
      </c>
    </row>
    <row r="31" spans="1:26" s="89" customFormat="1" x14ac:dyDescent="0.35">
      <c r="A31" s="100" t="s">
        <v>67</v>
      </c>
      <c r="B31" s="101">
        <f>SUM(B29:B30)</f>
        <v>465973.7608333333</v>
      </c>
      <c r="C31" s="101">
        <f t="shared" ref="C31:U31" si="0">SUM(C29:C30)</f>
        <v>465973.7608333333</v>
      </c>
      <c r="D31" s="101">
        <f t="shared" si="0"/>
        <v>465973.7608333333</v>
      </c>
      <c r="E31" s="101">
        <f t="shared" si="0"/>
        <v>465973.7608333333</v>
      </c>
      <c r="F31" s="101">
        <f t="shared" si="0"/>
        <v>465973.7608333333</v>
      </c>
      <c r="G31" s="101">
        <f t="shared" si="0"/>
        <v>465973.7608333333</v>
      </c>
      <c r="H31" s="101">
        <f t="shared" si="0"/>
        <v>465973.7608333333</v>
      </c>
      <c r="I31" s="101">
        <f t="shared" si="0"/>
        <v>465973.7608333333</v>
      </c>
      <c r="J31" s="101">
        <f t="shared" si="0"/>
        <v>465973.7608333333</v>
      </c>
      <c r="K31" s="101">
        <f t="shared" si="0"/>
        <v>465973.7608333333</v>
      </c>
      <c r="L31" s="101">
        <f t="shared" si="0"/>
        <v>465973.7608333333</v>
      </c>
      <c r="M31" s="101">
        <f t="shared" si="0"/>
        <v>465973.7608333333</v>
      </c>
      <c r="N31" s="101">
        <f t="shared" si="0"/>
        <v>465973.7608333333</v>
      </c>
      <c r="O31" s="101">
        <f t="shared" si="0"/>
        <v>465973.7608333333</v>
      </c>
      <c r="P31" s="101">
        <f t="shared" si="0"/>
        <v>465973.7608333333</v>
      </c>
      <c r="Q31" s="101">
        <f t="shared" si="0"/>
        <v>465973.7608333333</v>
      </c>
      <c r="R31" s="101">
        <f t="shared" si="0"/>
        <v>465973.7608333333</v>
      </c>
      <c r="S31" s="101">
        <f t="shared" si="0"/>
        <v>465973.7608333333</v>
      </c>
      <c r="T31" s="101">
        <f t="shared" si="0"/>
        <v>465973.7608333333</v>
      </c>
      <c r="U31" s="101">
        <f t="shared" si="0"/>
        <v>465973.7608333333</v>
      </c>
      <c r="V31" s="101">
        <f t="shared" ref="V31:Z31" si="1">SUM(V29:V30)</f>
        <v>465973.7608333333</v>
      </c>
      <c r="W31" s="101">
        <f t="shared" si="1"/>
        <v>465973.7608333333</v>
      </c>
      <c r="X31" s="101">
        <f t="shared" si="1"/>
        <v>465973.7608333333</v>
      </c>
      <c r="Y31" s="101">
        <f t="shared" si="1"/>
        <v>465973.7608333333</v>
      </c>
      <c r="Z31" s="101">
        <f t="shared" si="1"/>
        <v>465973.7608333333</v>
      </c>
    </row>
    <row r="32" spans="1:26" s="89" customFormat="1" x14ac:dyDescent="0.35">
      <c r="A32" s="99" t="s">
        <v>68</v>
      </c>
      <c r="B32" s="98">
        <f>'100% Wind Profit and Loss'!D19</f>
        <v>-396322.5566666667</v>
      </c>
      <c r="C32" s="98">
        <f>'100% Wind Profit and Loss'!E19</f>
        <v>-396322.5566666667</v>
      </c>
      <c r="D32" s="98">
        <f>'100% Wind Profit and Loss'!F19</f>
        <v>-396322.5566666667</v>
      </c>
      <c r="E32" s="98">
        <f>'100% Wind Profit and Loss'!G19</f>
        <v>-396322.5566666667</v>
      </c>
      <c r="F32" s="98">
        <f>'100% Wind Profit and Loss'!H19</f>
        <v>-396322.5566666667</v>
      </c>
      <c r="G32" s="98">
        <f>'100% Wind Profit and Loss'!I19</f>
        <v>-396322.5566666667</v>
      </c>
      <c r="H32" s="98">
        <f>'100% Wind Profit and Loss'!J19</f>
        <v>-396322.5566666667</v>
      </c>
      <c r="I32" s="98">
        <f>'100% Wind Profit and Loss'!K19</f>
        <v>-396322.5566666667</v>
      </c>
      <c r="J32" s="98">
        <f>'100% Wind Profit and Loss'!L19</f>
        <v>-396322.5566666667</v>
      </c>
      <c r="K32" s="98">
        <f>'100% Wind Profit and Loss'!M19</f>
        <v>-396322.5566666667</v>
      </c>
      <c r="L32" s="98">
        <f>'100% Wind Profit and Loss'!N19</f>
        <v>-396322.5566666667</v>
      </c>
      <c r="M32" s="98">
        <f>'100% Wind Profit and Loss'!O19</f>
        <v>-396322.5566666667</v>
      </c>
      <c r="N32" s="98">
        <f>'100% Wind Profit and Loss'!P19</f>
        <v>-396322.5566666667</v>
      </c>
      <c r="O32" s="98">
        <f>'100% Wind Profit and Loss'!Q19</f>
        <v>-396322.5566666667</v>
      </c>
      <c r="P32" s="98">
        <f>'100% Wind Profit and Loss'!R19</f>
        <v>-396322.5566666667</v>
      </c>
      <c r="Q32" s="98">
        <f>'100% Wind Profit and Loss'!S19</f>
        <v>-396322.5566666667</v>
      </c>
      <c r="R32" s="98">
        <f>'100% Wind Profit and Loss'!T19</f>
        <v>-396322.5566666667</v>
      </c>
      <c r="S32" s="98">
        <f>'100% Wind Profit and Loss'!U19</f>
        <v>-396322.5566666667</v>
      </c>
      <c r="T32" s="98">
        <f>'100% Wind Profit and Loss'!V19</f>
        <v>-396322.5566666667</v>
      </c>
      <c r="U32" s="98">
        <f>'100% Wind Profit and Loss'!W19</f>
        <v>-396322.5566666667</v>
      </c>
      <c r="V32" s="98">
        <f>'100% Wind Profit and Loss'!X19</f>
        <v>-396322.5566666667</v>
      </c>
      <c r="W32" s="98">
        <f>'100% Wind Profit and Loss'!Y19</f>
        <v>-396322.5566666667</v>
      </c>
      <c r="X32" s="98">
        <f>'100% Wind Profit and Loss'!Z19</f>
        <v>-396322.5566666667</v>
      </c>
      <c r="Y32" s="98">
        <f>'100% Wind Profit and Loss'!AA19</f>
        <v>-396322.5566666667</v>
      </c>
      <c r="Z32" s="98">
        <f>'100% Wind Profit and Loss'!AB19</f>
        <v>-396322.5566666667</v>
      </c>
    </row>
    <row r="33" spans="1:26" s="89" customFormat="1" x14ac:dyDescent="0.35">
      <c r="A33" s="100" t="s">
        <v>64</v>
      </c>
      <c r="B33" s="101">
        <f>SUM(B31:B32)</f>
        <v>69651.204166666605</v>
      </c>
      <c r="C33" s="101">
        <f t="shared" ref="C33:U33" si="2">SUM(C31:C32)</f>
        <v>69651.204166666605</v>
      </c>
      <c r="D33" s="101">
        <f t="shared" si="2"/>
        <v>69651.204166666605</v>
      </c>
      <c r="E33" s="101">
        <f t="shared" si="2"/>
        <v>69651.204166666605</v>
      </c>
      <c r="F33" s="101">
        <f t="shared" si="2"/>
        <v>69651.204166666605</v>
      </c>
      <c r="G33" s="101">
        <f t="shared" si="2"/>
        <v>69651.204166666605</v>
      </c>
      <c r="H33" s="101">
        <f t="shared" si="2"/>
        <v>69651.204166666605</v>
      </c>
      <c r="I33" s="101">
        <f t="shared" si="2"/>
        <v>69651.204166666605</v>
      </c>
      <c r="J33" s="101">
        <f t="shared" si="2"/>
        <v>69651.204166666605</v>
      </c>
      <c r="K33" s="101">
        <f t="shared" si="2"/>
        <v>69651.204166666605</v>
      </c>
      <c r="L33" s="101">
        <f t="shared" si="2"/>
        <v>69651.204166666605</v>
      </c>
      <c r="M33" s="101">
        <f t="shared" si="2"/>
        <v>69651.204166666605</v>
      </c>
      <c r="N33" s="101">
        <f t="shared" si="2"/>
        <v>69651.204166666605</v>
      </c>
      <c r="O33" s="101">
        <f t="shared" si="2"/>
        <v>69651.204166666605</v>
      </c>
      <c r="P33" s="101">
        <f t="shared" si="2"/>
        <v>69651.204166666605</v>
      </c>
      <c r="Q33" s="101">
        <f t="shared" si="2"/>
        <v>69651.204166666605</v>
      </c>
      <c r="R33" s="101">
        <f t="shared" si="2"/>
        <v>69651.204166666605</v>
      </c>
      <c r="S33" s="101">
        <f t="shared" si="2"/>
        <v>69651.204166666605</v>
      </c>
      <c r="T33" s="101">
        <f t="shared" si="2"/>
        <v>69651.204166666605</v>
      </c>
      <c r="U33" s="101">
        <f t="shared" si="2"/>
        <v>69651.204166666605</v>
      </c>
      <c r="V33" s="101">
        <f t="shared" ref="V33:Z33" si="3">SUM(V31:V32)</f>
        <v>69651.204166666605</v>
      </c>
      <c r="W33" s="101">
        <f t="shared" si="3"/>
        <v>69651.204166666605</v>
      </c>
      <c r="X33" s="101">
        <f t="shared" si="3"/>
        <v>69651.204166666605</v>
      </c>
      <c r="Y33" s="101">
        <f t="shared" si="3"/>
        <v>69651.204166666605</v>
      </c>
      <c r="Z33" s="101">
        <f t="shared" si="3"/>
        <v>69651.204166666605</v>
      </c>
    </row>
    <row r="34" spans="1:26" s="89" customFormat="1" x14ac:dyDescent="0.35">
      <c r="A34" s="95" t="s">
        <v>69</v>
      </c>
      <c r="B34" s="102">
        <f>'100% Wind Profit and Loss'!D23</f>
        <v>-743104.79375000007</v>
      </c>
      <c r="C34" s="102">
        <f>'100% Wind Profit and Loss'!E23</f>
        <v>-732173.22312801599</v>
      </c>
      <c r="D34" s="102">
        <f>'100% Wind Profit and Loss'!F23</f>
        <v>-720421.78470938315</v>
      </c>
      <c r="E34" s="102">
        <f>'100% Wind Profit and Loss'!G23</f>
        <v>-707788.98840935284</v>
      </c>
      <c r="F34" s="102">
        <f>'100% Wind Profit and Loss'!H23</f>
        <v>-694208.73238682013</v>
      </c>
      <c r="G34" s="102">
        <f>'100% Wind Profit and Loss'!I23</f>
        <v>-679609.95716259757</v>
      </c>
      <c r="H34" s="102">
        <f>'100% Wind Profit and Loss'!J23</f>
        <v>-663916.27379655826</v>
      </c>
      <c r="I34" s="102">
        <f>'100% Wind Profit and Loss'!K23</f>
        <v>-647045.56417806621</v>
      </c>
      <c r="J34" s="102">
        <f>'100% Wind Profit and Loss'!L23</f>
        <v>-628909.55133818707</v>
      </c>
      <c r="K34" s="102">
        <f>'100% Wind Profit and Loss'!M23</f>
        <v>-609413.33753531706</v>
      </c>
      <c r="L34" s="102">
        <f>'100% Wind Profit and Loss'!N23</f>
        <v>-588454.90769723174</v>
      </c>
      <c r="M34" s="102">
        <f>'100% Wind Profit and Loss'!O23</f>
        <v>-565924.59562129003</v>
      </c>
      <c r="N34" s="102">
        <f>'100% Wind Profit and Loss'!P23</f>
        <v>-541704.51013965276</v>
      </c>
      <c r="O34" s="102">
        <f>'100% Wind Profit and Loss'!Q23</f>
        <v>-515667.91824689257</v>
      </c>
      <c r="P34" s="102">
        <f>'100% Wind Profit and Loss'!R23</f>
        <v>-487678.58196217549</v>
      </c>
      <c r="Q34" s="102">
        <f>'100% Wind Profit and Loss'!S23</f>
        <v>-457590.04545610456</v>
      </c>
      <c r="R34" s="102">
        <f>'100% Wind Profit and Loss'!T23</f>
        <v>-425244.86871207837</v>
      </c>
      <c r="S34" s="102">
        <f>'100% Wind Profit and Loss'!U23</f>
        <v>-390473.80371225014</v>
      </c>
      <c r="T34" s="102">
        <f>'100% Wind Profit and Loss'!V23</f>
        <v>-353094.90883743489</v>
      </c>
      <c r="U34" s="102">
        <f>'100% Wind Profit and Loss'!W23</f>
        <v>-312912.59684700839</v>
      </c>
      <c r="V34" s="102">
        <f>'100% Wind Profit and Loss'!X23</f>
        <v>-269716.61145729996</v>
      </c>
      <c r="W34" s="102">
        <f>'100% Wind Profit and Loss'!Y23</f>
        <v>-223280.92716336341</v>
      </c>
      <c r="X34" s="102">
        <f>'100% Wind Profit and Loss'!Z23</f>
        <v>-173362.56654738158</v>
      </c>
      <c r="Y34" s="102">
        <f>'100% Wind Profit and Loss'!AA23</f>
        <v>-119700.3288852011</v>
      </c>
      <c r="Z34" s="102">
        <f>'100% Wind Profit and Loss'!AB23</f>
        <v>-62013.423398357118</v>
      </c>
    </row>
    <row r="35" spans="1:26" s="89" customFormat="1" ht="15" thickBot="1" x14ac:dyDescent="0.4">
      <c r="A35" s="103" t="s">
        <v>70</v>
      </c>
      <c r="B35" s="104">
        <f>SUM(B33:B34)</f>
        <v>-673453.58958333347</v>
      </c>
      <c r="C35" s="104">
        <f t="shared" ref="C35:U35" si="4">SUM(C33:C34)</f>
        <v>-662522.01896134939</v>
      </c>
      <c r="D35" s="104">
        <f t="shared" si="4"/>
        <v>-650770.58054271655</v>
      </c>
      <c r="E35" s="104">
        <f t="shared" si="4"/>
        <v>-638137.78424268623</v>
      </c>
      <c r="F35" s="104">
        <f t="shared" si="4"/>
        <v>-624557.52822015353</v>
      </c>
      <c r="G35" s="104">
        <f t="shared" si="4"/>
        <v>-609958.75299593096</v>
      </c>
      <c r="H35" s="104">
        <f t="shared" si="4"/>
        <v>-594265.06962989166</v>
      </c>
      <c r="I35" s="104">
        <f t="shared" si="4"/>
        <v>-577394.36001139961</v>
      </c>
      <c r="J35" s="104">
        <f t="shared" si="4"/>
        <v>-559258.34717152047</v>
      </c>
      <c r="K35" s="104">
        <f t="shared" si="4"/>
        <v>-539762.13336865045</v>
      </c>
      <c r="L35" s="104">
        <f t="shared" si="4"/>
        <v>-518803.70353056514</v>
      </c>
      <c r="M35" s="104">
        <f t="shared" si="4"/>
        <v>-496273.39145462343</v>
      </c>
      <c r="N35" s="104">
        <f t="shared" si="4"/>
        <v>-472053.30597298616</v>
      </c>
      <c r="O35" s="104">
        <f t="shared" si="4"/>
        <v>-446016.71408022597</v>
      </c>
      <c r="P35" s="104">
        <f t="shared" si="4"/>
        <v>-418027.37779550889</v>
      </c>
      <c r="Q35" s="104">
        <f t="shared" si="4"/>
        <v>-387938.84128943796</v>
      </c>
      <c r="R35" s="104">
        <f t="shared" si="4"/>
        <v>-355593.66454541177</v>
      </c>
      <c r="S35" s="104">
        <f t="shared" si="4"/>
        <v>-320822.59954558354</v>
      </c>
      <c r="T35" s="104">
        <f t="shared" si="4"/>
        <v>-283443.70467076829</v>
      </c>
      <c r="U35" s="104">
        <f t="shared" si="4"/>
        <v>-243261.39268034179</v>
      </c>
      <c r="V35" s="104">
        <f t="shared" ref="V35:Z35" si="5">SUM(V33:V34)</f>
        <v>-200065.40729063336</v>
      </c>
      <c r="W35" s="104">
        <f t="shared" si="5"/>
        <v>-153629.7229966968</v>
      </c>
      <c r="X35" s="104">
        <f t="shared" si="5"/>
        <v>-103711.36238071497</v>
      </c>
      <c r="Y35" s="104">
        <f t="shared" si="5"/>
        <v>-50049.124718534498</v>
      </c>
      <c r="Z35" s="104">
        <f t="shared" si="5"/>
        <v>7637.780768309487</v>
      </c>
    </row>
    <row r="36" spans="1:26" s="89" customFormat="1" ht="15" thickBot="1" x14ac:dyDescent="0.4">
      <c r="C36" s="90"/>
    </row>
    <row r="37" spans="1:26" s="89" customFormat="1" ht="15" thickBot="1" x14ac:dyDescent="0.4">
      <c r="A37" s="105" t="s">
        <v>71</v>
      </c>
      <c r="B37" s="106">
        <f>'100% Wind Cash Flow'!D26</f>
        <v>-422885.30787645438</v>
      </c>
      <c r="C37" s="106">
        <f>'100% Wind Cash Flow'!E26</f>
        <v>-422885.30787645438</v>
      </c>
      <c r="D37" s="106">
        <f>'100% Wind Cash Flow'!F26</f>
        <v>-422885.30787645438</v>
      </c>
      <c r="E37" s="106">
        <f>'100% Wind Cash Flow'!G26</f>
        <v>-422885.30787645438</v>
      </c>
      <c r="F37" s="106">
        <f>'100% Wind Cash Flow'!H26</f>
        <v>-422885.30787645438</v>
      </c>
      <c r="G37" s="106">
        <f>'100% Wind Cash Flow'!I26</f>
        <v>-422885.30787645438</v>
      </c>
      <c r="H37" s="106">
        <f>'100% Wind Cash Flow'!J26</f>
        <v>-422885.30787645438</v>
      </c>
      <c r="I37" s="106">
        <f>'100% Wind Cash Flow'!K26</f>
        <v>-422885.30787645438</v>
      </c>
      <c r="J37" s="106">
        <f>'100% Wind Cash Flow'!L26</f>
        <v>-422885.30787645438</v>
      </c>
      <c r="K37" s="106">
        <f>'100% Wind Cash Flow'!M26</f>
        <v>-422885.30787645438</v>
      </c>
      <c r="L37" s="106">
        <f>'100% Wind Cash Flow'!N26</f>
        <v>-422885.30787645438</v>
      </c>
      <c r="M37" s="106">
        <f>'100% Wind Cash Flow'!O26</f>
        <v>-422885.30787645438</v>
      </c>
      <c r="N37" s="106">
        <f>'100% Wind Cash Flow'!P26</f>
        <v>-422885.30787645438</v>
      </c>
      <c r="O37" s="106">
        <f>'100% Wind Cash Flow'!Q26</f>
        <v>-422885.30787645438</v>
      </c>
      <c r="P37" s="106">
        <f>'100% Wind Cash Flow'!R26</f>
        <v>-422885.30787645438</v>
      </c>
      <c r="Q37" s="106">
        <f>'100% Wind Cash Flow'!S26</f>
        <v>-422885.30787645438</v>
      </c>
      <c r="R37" s="106">
        <f>'100% Wind Cash Flow'!T26</f>
        <v>-422885.30787645438</v>
      </c>
      <c r="S37" s="106">
        <f>'100% Wind Cash Flow'!U26</f>
        <v>-422885.30787645438</v>
      </c>
      <c r="T37" s="106">
        <f>'100% Wind Cash Flow'!V26</f>
        <v>-422885.30787645443</v>
      </c>
      <c r="U37" s="107">
        <f>'100% Wind Cash Flow'!W26</f>
        <v>-422885.30787645432</v>
      </c>
      <c r="V37" s="107">
        <f>'100% Wind Cash Flow'!X26</f>
        <v>-422885.30787645443</v>
      </c>
      <c r="W37" s="107">
        <f>'100% Wind Cash Flow'!Y26</f>
        <v>-422885.30787645432</v>
      </c>
      <c r="X37" s="107">
        <f>'100% Wind Cash Flow'!Z26</f>
        <v>-422885.30787645438</v>
      </c>
      <c r="Y37" s="107">
        <f>'100% Wind Cash Flow'!AA26</f>
        <v>-422885.30787645432</v>
      </c>
      <c r="Z37" s="107">
        <f>'100% Wind Cash Flow'!AB26</f>
        <v>-422885.30787645438</v>
      </c>
    </row>
    <row r="38" spans="1:26" s="89" customFormat="1" ht="15" thickBot="1" x14ac:dyDescent="0.4">
      <c r="C38" s="90"/>
    </row>
    <row r="39" spans="1:26" s="89" customFormat="1" ht="15" thickBot="1" x14ac:dyDescent="0.4">
      <c r="A39" s="397" t="s">
        <v>0</v>
      </c>
      <c r="B39" s="398"/>
      <c r="C39" s="90"/>
    </row>
    <row r="40" spans="1:26" s="89" customFormat="1" ht="15" thickBot="1" x14ac:dyDescent="0.4">
      <c r="A40" s="108" t="s">
        <v>58</v>
      </c>
      <c r="B40" s="109">
        <f>'Generation &amp; Ops Scenarios'!$G$20</f>
        <v>0.05</v>
      </c>
      <c r="C40" s="90"/>
      <c r="E40" s="110"/>
    </row>
    <row r="41" spans="1:26" s="89" customFormat="1" x14ac:dyDescent="0.35">
      <c r="A41" s="111" t="s">
        <v>59</v>
      </c>
      <c r="B41" s="112">
        <f>NPV(B40,'100% Wind Cash Flow'!D26:M26)</f>
        <v>-3265408.2528686905</v>
      </c>
      <c r="C41" s="90"/>
    </row>
    <row r="42" spans="1:26" s="89" customFormat="1" x14ac:dyDescent="0.35">
      <c r="A42" s="111" t="s">
        <v>60</v>
      </c>
      <c r="B42" s="112">
        <f>NPV(B40,'100% Wind Cash Flow'!D26:R26)</f>
        <v>-4389404.8851283137</v>
      </c>
      <c r="C42" s="90"/>
    </row>
    <row r="43" spans="1:26" s="89" customFormat="1" x14ac:dyDescent="0.35">
      <c r="A43" s="111" t="s">
        <v>62</v>
      </c>
      <c r="B43" s="112">
        <f>NPV(B40,'100% Wind Cash Flow'!D26:W26)</f>
        <v>-5270085.6575261531</v>
      </c>
      <c r="C43" s="90"/>
    </row>
    <row r="44" spans="1:26" s="89" customFormat="1" ht="15" thickBot="1" x14ac:dyDescent="0.4">
      <c r="A44" s="108" t="s">
        <v>61</v>
      </c>
      <c r="B44" s="113">
        <f>NPV(B40,'100% Wind Cash Flow'!D26:AB26)</f>
        <v>-5960122.0870055147</v>
      </c>
      <c r="C44" s="90"/>
      <c r="D44" s="114"/>
    </row>
    <row r="45" spans="1:26" s="89" customFormat="1" x14ac:dyDescent="0.35">
      <c r="C45" s="90"/>
    </row>
    <row r="46" spans="1:26" s="89" customFormat="1" x14ac:dyDescent="0.35">
      <c r="A46" s="89" t="s">
        <v>82</v>
      </c>
      <c r="B46" s="115">
        <f>MIN('100% Wind Cash Flow'!D39:W39)</f>
        <v>0.52423806791971161</v>
      </c>
      <c r="C46" s="90"/>
    </row>
    <row r="47" spans="1:26" s="89" customFormat="1" x14ac:dyDescent="0.35">
      <c r="A47" s="116" t="s">
        <v>121</v>
      </c>
      <c r="B47" s="117">
        <f>'Generation &amp; Ops Scenarios'!H41</f>
        <v>0</v>
      </c>
      <c r="C47" s="356">
        <f t="shared" ref="C47:C53" si="6">B47</f>
        <v>0</v>
      </c>
      <c r="D47" s="356">
        <f t="shared" ref="D47:S53" si="7">C47</f>
        <v>0</v>
      </c>
      <c r="E47" s="356">
        <f t="shared" si="7"/>
        <v>0</v>
      </c>
      <c r="F47" s="356">
        <f t="shared" si="7"/>
        <v>0</v>
      </c>
      <c r="G47" s="356">
        <f t="shared" si="7"/>
        <v>0</v>
      </c>
      <c r="H47" s="356">
        <f t="shared" si="7"/>
        <v>0</v>
      </c>
      <c r="I47" s="356">
        <f t="shared" si="7"/>
        <v>0</v>
      </c>
      <c r="J47" s="356">
        <f t="shared" si="7"/>
        <v>0</v>
      </c>
      <c r="K47" s="356">
        <f t="shared" ref="K47:K53" si="8">J47</f>
        <v>0</v>
      </c>
      <c r="L47" s="356">
        <f t="shared" si="7"/>
        <v>0</v>
      </c>
      <c r="M47" s="356">
        <f t="shared" si="7"/>
        <v>0</v>
      </c>
      <c r="N47" s="356">
        <f t="shared" ref="N47:N53" si="9">M47</f>
        <v>0</v>
      </c>
      <c r="O47" s="356">
        <f t="shared" si="7"/>
        <v>0</v>
      </c>
      <c r="P47" s="356">
        <f t="shared" si="7"/>
        <v>0</v>
      </c>
      <c r="Q47" s="356">
        <f t="shared" si="7"/>
        <v>0</v>
      </c>
      <c r="R47" s="356">
        <f t="shared" si="7"/>
        <v>0</v>
      </c>
      <c r="S47" s="356">
        <f t="shared" si="7"/>
        <v>0</v>
      </c>
      <c r="T47" s="356">
        <f t="shared" ref="S47:U53" si="10">S47</f>
        <v>0</v>
      </c>
      <c r="U47" s="356">
        <f t="shared" si="10"/>
        <v>0</v>
      </c>
      <c r="V47" s="356">
        <f t="shared" ref="V47:V53" si="11">U47</f>
        <v>0</v>
      </c>
      <c r="W47" s="356">
        <f t="shared" ref="W47:W53" si="12">V47</f>
        <v>0</v>
      </c>
      <c r="X47" s="356">
        <f t="shared" ref="X47:X53" si="13">W47</f>
        <v>0</v>
      </c>
      <c r="Y47" s="356">
        <f t="shared" ref="Y47:Y53" si="14">X47</f>
        <v>0</v>
      </c>
      <c r="Z47" s="356">
        <f t="shared" ref="Z47:Z53" si="15">Y47</f>
        <v>0</v>
      </c>
    </row>
    <row r="48" spans="1:26" s="89" customFormat="1" x14ac:dyDescent="0.35">
      <c r="A48" s="116" t="s">
        <v>122</v>
      </c>
      <c r="B48" s="117">
        <f>'Generation &amp; Ops Scenarios'!H42</f>
        <v>1456000</v>
      </c>
      <c r="C48" s="356">
        <f t="shared" si="6"/>
        <v>1456000</v>
      </c>
      <c r="D48" s="356">
        <f t="shared" si="7"/>
        <v>1456000</v>
      </c>
      <c r="E48" s="356">
        <f t="shared" si="7"/>
        <v>1456000</v>
      </c>
      <c r="F48" s="356">
        <f t="shared" si="7"/>
        <v>1456000</v>
      </c>
      <c r="G48" s="356">
        <f t="shared" si="7"/>
        <v>1456000</v>
      </c>
      <c r="H48" s="356">
        <f t="shared" si="7"/>
        <v>1456000</v>
      </c>
      <c r="I48" s="356">
        <f t="shared" si="7"/>
        <v>1456000</v>
      </c>
      <c r="J48" s="356">
        <f t="shared" si="7"/>
        <v>1456000</v>
      </c>
      <c r="K48" s="356">
        <f t="shared" si="8"/>
        <v>1456000</v>
      </c>
      <c r="L48" s="356">
        <f t="shared" si="7"/>
        <v>1456000</v>
      </c>
      <c r="M48" s="356">
        <f t="shared" si="7"/>
        <v>1456000</v>
      </c>
      <c r="N48" s="356">
        <f t="shared" si="9"/>
        <v>1456000</v>
      </c>
      <c r="O48" s="356">
        <f t="shared" si="7"/>
        <v>1456000</v>
      </c>
      <c r="P48" s="356">
        <f t="shared" si="7"/>
        <v>1456000</v>
      </c>
      <c r="Q48" s="356">
        <f t="shared" si="7"/>
        <v>1456000</v>
      </c>
      <c r="R48" s="356">
        <f t="shared" si="7"/>
        <v>1456000</v>
      </c>
      <c r="S48" s="356">
        <f t="shared" si="10"/>
        <v>1456000</v>
      </c>
      <c r="T48" s="356">
        <f t="shared" si="10"/>
        <v>1456000</v>
      </c>
      <c r="U48" s="356">
        <f t="shared" si="10"/>
        <v>1456000</v>
      </c>
      <c r="V48" s="356">
        <f t="shared" si="11"/>
        <v>1456000</v>
      </c>
      <c r="W48" s="356">
        <f t="shared" si="12"/>
        <v>1456000</v>
      </c>
      <c r="X48" s="356">
        <f t="shared" si="13"/>
        <v>1456000</v>
      </c>
      <c r="Y48" s="356">
        <f t="shared" si="14"/>
        <v>1456000</v>
      </c>
      <c r="Z48" s="356">
        <f t="shared" si="15"/>
        <v>1456000</v>
      </c>
    </row>
    <row r="49" spans="1:26" s="89" customFormat="1" x14ac:dyDescent="0.35">
      <c r="A49" s="116" t="s">
        <v>123</v>
      </c>
      <c r="B49" s="117">
        <f>'Generation &amp; Ops Scenarios'!H43</f>
        <v>0</v>
      </c>
      <c r="C49" s="356">
        <f t="shared" si="6"/>
        <v>0</v>
      </c>
      <c r="D49" s="356">
        <f t="shared" si="7"/>
        <v>0</v>
      </c>
      <c r="E49" s="356">
        <f t="shared" si="7"/>
        <v>0</v>
      </c>
      <c r="F49" s="356">
        <f t="shared" si="7"/>
        <v>0</v>
      </c>
      <c r="G49" s="356">
        <f t="shared" si="7"/>
        <v>0</v>
      </c>
      <c r="H49" s="356">
        <f t="shared" si="7"/>
        <v>0</v>
      </c>
      <c r="I49" s="356">
        <f t="shared" si="7"/>
        <v>0</v>
      </c>
      <c r="J49" s="356">
        <f t="shared" si="7"/>
        <v>0</v>
      </c>
      <c r="K49" s="356">
        <f t="shared" si="8"/>
        <v>0</v>
      </c>
      <c r="L49" s="356">
        <f t="shared" si="7"/>
        <v>0</v>
      </c>
      <c r="M49" s="356">
        <f t="shared" si="7"/>
        <v>0</v>
      </c>
      <c r="N49" s="356">
        <f t="shared" si="9"/>
        <v>0</v>
      </c>
      <c r="O49" s="356">
        <f t="shared" si="7"/>
        <v>0</v>
      </c>
      <c r="P49" s="356">
        <f t="shared" si="7"/>
        <v>0</v>
      </c>
      <c r="Q49" s="356">
        <f t="shared" si="7"/>
        <v>0</v>
      </c>
      <c r="R49" s="356">
        <f t="shared" si="7"/>
        <v>0</v>
      </c>
      <c r="S49" s="356">
        <f t="shared" si="7"/>
        <v>0</v>
      </c>
      <c r="T49" s="356">
        <f t="shared" si="10"/>
        <v>0</v>
      </c>
      <c r="U49" s="356">
        <f t="shared" si="10"/>
        <v>0</v>
      </c>
      <c r="V49" s="356">
        <f t="shared" si="11"/>
        <v>0</v>
      </c>
      <c r="W49" s="356">
        <f t="shared" si="12"/>
        <v>0</v>
      </c>
      <c r="X49" s="356">
        <f t="shared" si="13"/>
        <v>0</v>
      </c>
      <c r="Y49" s="356">
        <f t="shared" si="14"/>
        <v>0</v>
      </c>
      <c r="Z49" s="356">
        <f t="shared" si="15"/>
        <v>0</v>
      </c>
    </row>
    <row r="50" spans="1:26" s="89" customFormat="1" x14ac:dyDescent="0.35">
      <c r="A50" s="116" t="s">
        <v>124</v>
      </c>
      <c r="B50" s="117">
        <f>'Generation &amp; Ops Scenarios'!H44</f>
        <v>252200</v>
      </c>
      <c r="C50" s="356">
        <f t="shared" si="6"/>
        <v>252200</v>
      </c>
      <c r="D50" s="356">
        <f t="shared" si="7"/>
        <v>252200</v>
      </c>
      <c r="E50" s="356">
        <f t="shared" si="7"/>
        <v>252200</v>
      </c>
      <c r="F50" s="356">
        <f t="shared" si="7"/>
        <v>252200</v>
      </c>
      <c r="G50" s="356">
        <f t="shared" si="7"/>
        <v>252200</v>
      </c>
      <c r="H50" s="356">
        <f t="shared" si="7"/>
        <v>252200</v>
      </c>
      <c r="I50" s="356">
        <f t="shared" si="7"/>
        <v>252200</v>
      </c>
      <c r="J50" s="356">
        <f t="shared" si="7"/>
        <v>252200</v>
      </c>
      <c r="K50" s="356">
        <f t="shared" si="8"/>
        <v>252200</v>
      </c>
      <c r="L50" s="356">
        <f t="shared" si="7"/>
        <v>252200</v>
      </c>
      <c r="M50" s="356">
        <f t="shared" si="7"/>
        <v>252200</v>
      </c>
      <c r="N50" s="356">
        <f t="shared" si="9"/>
        <v>252200</v>
      </c>
      <c r="O50" s="356">
        <f t="shared" si="7"/>
        <v>252200</v>
      </c>
      <c r="P50" s="356">
        <f t="shared" si="7"/>
        <v>252200</v>
      </c>
      <c r="Q50" s="356">
        <f t="shared" si="7"/>
        <v>252200</v>
      </c>
      <c r="R50" s="356">
        <f t="shared" si="7"/>
        <v>252200</v>
      </c>
      <c r="S50" s="356">
        <f t="shared" si="7"/>
        <v>252200</v>
      </c>
      <c r="T50" s="356">
        <f t="shared" si="10"/>
        <v>252200</v>
      </c>
      <c r="U50" s="356">
        <f t="shared" si="10"/>
        <v>252200</v>
      </c>
      <c r="V50" s="356">
        <f t="shared" si="11"/>
        <v>252200</v>
      </c>
      <c r="W50" s="356">
        <f t="shared" si="12"/>
        <v>252200</v>
      </c>
      <c r="X50" s="356">
        <f t="shared" si="13"/>
        <v>252200</v>
      </c>
      <c r="Y50" s="356">
        <f t="shared" si="14"/>
        <v>252200</v>
      </c>
      <c r="Z50" s="356">
        <f t="shared" si="15"/>
        <v>252200</v>
      </c>
    </row>
    <row r="51" spans="1:26" s="89" customFormat="1" x14ac:dyDescent="0.35">
      <c r="A51" s="116" t="s">
        <v>221</v>
      </c>
      <c r="B51" s="117">
        <f>'Generation &amp; Ops Scenarios'!H45</f>
        <v>1708200</v>
      </c>
      <c r="C51" s="356">
        <f t="shared" si="6"/>
        <v>1708200</v>
      </c>
      <c r="D51" s="356">
        <f t="shared" si="7"/>
        <v>1708200</v>
      </c>
      <c r="E51" s="356">
        <f t="shared" si="7"/>
        <v>1708200</v>
      </c>
      <c r="F51" s="356">
        <f t="shared" si="7"/>
        <v>1708200</v>
      </c>
      <c r="G51" s="356">
        <f t="shared" si="7"/>
        <v>1708200</v>
      </c>
      <c r="H51" s="356">
        <f t="shared" si="7"/>
        <v>1708200</v>
      </c>
      <c r="I51" s="356">
        <f t="shared" si="7"/>
        <v>1708200</v>
      </c>
      <c r="J51" s="356">
        <f t="shared" si="7"/>
        <v>1708200</v>
      </c>
      <c r="K51" s="356">
        <f t="shared" si="8"/>
        <v>1708200</v>
      </c>
      <c r="L51" s="356">
        <f t="shared" si="7"/>
        <v>1708200</v>
      </c>
      <c r="M51" s="356">
        <f t="shared" si="7"/>
        <v>1708200</v>
      </c>
      <c r="N51" s="356">
        <f t="shared" si="9"/>
        <v>1708200</v>
      </c>
      <c r="O51" s="356">
        <f t="shared" si="7"/>
        <v>1708200</v>
      </c>
      <c r="P51" s="356">
        <f t="shared" si="7"/>
        <v>1708200</v>
      </c>
      <c r="Q51" s="356">
        <f t="shared" si="7"/>
        <v>1708200</v>
      </c>
      <c r="R51" s="356">
        <f t="shared" si="7"/>
        <v>1708200</v>
      </c>
      <c r="S51" s="356">
        <f t="shared" si="7"/>
        <v>1708200</v>
      </c>
      <c r="T51" s="356">
        <f t="shared" si="10"/>
        <v>1708200</v>
      </c>
      <c r="U51" s="356">
        <f t="shared" si="10"/>
        <v>1708200</v>
      </c>
      <c r="V51" s="356">
        <f t="shared" si="11"/>
        <v>1708200</v>
      </c>
      <c r="W51" s="356">
        <f t="shared" si="12"/>
        <v>1708200</v>
      </c>
      <c r="X51" s="356">
        <f t="shared" si="13"/>
        <v>1708200</v>
      </c>
      <c r="Y51" s="356">
        <f t="shared" si="14"/>
        <v>1708200</v>
      </c>
      <c r="Z51" s="356">
        <f t="shared" si="15"/>
        <v>1708200</v>
      </c>
    </row>
    <row r="52" spans="1:26" s="89" customFormat="1" x14ac:dyDescent="0.35">
      <c r="A52" s="116" t="s">
        <v>126</v>
      </c>
      <c r="B52" s="117">
        <f>'Generation &amp; Ops Scenarios'!H46</f>
        <v>-56000</v>
      </c>
      <c r="C52" s="356">
        <f t="shared" si="6"/>
        <v>-56000</v>
      </c>
      <c r="D52" s="356">
        <f t="shared" si="7"/>
        <v>-56000</v>
      </c>
      <c r="E52" s="356">
        <f t="shared" si="7"/>
        <v>-56000</v>
      </c>
      <c r="F52" s="356">
        <f t="shared" si="7"/>
        <v>-56000</v>
      </c>
      <c r="G52" s="356">
        <f t="shared" si="7"/>
        <v>-56000</v>
      </c>
      <c r="H52" s="356">
        <f t="shared" si="7"/>
        <v>-56000</v>
      </c>
      <c r="I52" s="356">
        <f t="shared" si="7"/>
        <v>-56000</v>
      </c>
      <c r="J52" s="356">
        <f t="shared" si="7"/>
        <v>-56000</v>
      </c>
      <c r="K52" s="356">
        <f t="shared" si="8"/>
        <v>-56000</v>
      </c>
      <c r="L52" s="356">
        <f t="shared" si="7"/>
        <v>-56000</v>
      </c>
      <c r="M52" s="356">
        <f t="shared" si="7"/>
        <v>-56000</v>
      </c>
      <c r="N52" s="356">
        <f t="shared" si="9"/>
        <v>-56000</v>
      </c>
      <c r="O52" s="356">
        <f t="shared" si="7"/>
        <v>-56000</v>
      </c>
      <c r="P52" s="356">
        <f t="shared" si="7"/>
        <v>-56000</v>
      </c>
      <c r="Q52" s="356">
        <f t="shared" si="7"/>
        <v>-56000</v>
      </c>
      <c r="R52" s="356">
        <f t="shared" si="7"/>
        <v>-56000</v>
      </c>
      <c r="S52" s="356">
        <f t="shared" si="7"/>
        <v>-56000</v>
      </c>
      <c r="T52" s="356">
        <f t="shared" si="10"/>
        <v>-56000</v>
      </c>
      <c r="U52" s="356">
        <f t="shared" si="10"/>
        <v>-56000</v>
      </c>
      <c r="V52" s="356">
        <f t="shared" si="11"/>
        <v>-56000</v>
      </c>
      <c r="W52" s="356">
        <f t="shared" si="12"/>
        <v>-56000</v>
      </c>
      <c r="X52" s="356">
        <f t="shared" si="13"/>
        <v>-56000</v>
      </c>
      <c r="Y52" s="356">
        <f t="shared" si="14"/>
        <v>-56000</v>
      </c>
      <c r="Z52" s="356">
        <f t="shared" si="15"/>
        <v>-56000</v>
      </c>
    </row>
    <row r="53" spans="1:26" s="89" customFormat="1" x14ac:dyDescent="0.35">
      <c r="A53" s="116" t="s">
        <v>222</v>
      </c>
      <c r="B53" s="117">
        <f>'Generation &amp; Ops Scenarios'!H47</f>
        <v>0</v>
      </c>
      <c r="C53" s="356">
        <f t="shared" si="6"/>
        <v>0</v>
      </c>
      <c r="D53" s="356">
        <f t="shared" si="7"/>
        <v>0</v>
      </c>
      <c r="E53" s="356">
        <f t="shared" si="7"/>
        <v>0</v>
      </c>
      <c r="F53" s="356">
        <f t="shared" si="7"/>
        <v>0</v>
      </c>
      <c r="G53" s="356">
        <f t="shared" si="7"/>
        <v>0</v>
      </c>
      <c r="H53" s="356">
        <f t="shared" si="7"/>
        <v>0</v>
      </c>
      <c r="I53" s="356">
        <f t="shared" si="7"/>
        <v>0</v>
      </c>
      <c r="J53" s="356">
        <f t="shared" si="7"/>
        <v>0</v>
      </c>
      <c r="K53" s="356">
        <f t="shared" si="8"/>
        <v>0</v>
      </c>
      <c r="L53" s="356">
        <f t="shared" si="7"/>
        <v>0</v>
      </c>
      <c r="M53" s="356">
        <f t="shared" si="7"/>
        <v>0</v>
      </c>
      <c r="N53" s="356">
        <f t="shared" si="9"/>
        <v>0</v>
      </c>
      <c r="O53" s="356">
        <f t="shared" si="7"/>
        <v>0</v>
      </c>
      <c r="P53" s="356">
        <f t="shared" si="7"/>
        <v>0</v>
      </c>
      <c r="Q53" s="356">
        <f t="shared" si="7"/>
        <v>0</v>
      </c>
      <c r="R53" s="356">
        <f t="shared" si="7"/>
        <v>0</v>
      </c>
      <c r="S53" s="356">
        <f t="shared" si="7"/>
        <v>0</v>
      </c>
      <c r="T53" s="356">
        <f t="shared" si="10"/>
        <v>0</v>
      </c>
      <c r="U53" s="356">
        <f t="shared" si="10"/>
        <v>0</v>
      </c>
      <c r="V53" s="356">
        <f t="shared" si="11"/>
        <v>0</v>
      </c>
      <c r="W53" s="356">
        <f t="shared" si="12"/>
        <v>0</v>
      </c>
      <c r="X53" s="356">
        <f t="shared" si="13"/>
        <v>0</v>
      </c>
      <c r="Y53" s="356">
        <f t="shared" si="14"/>
        <v>0</v>
      </c>
      <c r="Z53" s="356">
        <f t="shared" si="15"/>
        <v>0</v>
      </c>
    </row>
    <row r="54" spans="1:26" s="89" customFormat="1" x14ac:dyDescent="0.35">
      <c r="A54" s="116" t="s">
        <v>128</v>
      </c>
      <c r="B54" s="117">
        <f>B57-B51</f>
        <v>-308200</v>
      </c>
      <c r="C54" s="117">
        <f t="shared" ref="C54:U54" si="16">C57-C51</f>
        <v>-308200</v>
      </c>
      <c r="D54" s="117">
        <f t="shared" si="16"/>
        <v>-308200</v>
      </c>
      <c r="E54" s="117">
        <f t="shared" si="16"/>
        <v>-308200</v>
      </c>
      <c r="F54" s="117">
        <f t="shared" si="16"/>
        <v>-308200</v>
      </c>
      <c r="G54" s="117">
        <f t="shared" si="16"/>
        <v>-308200</v>
      </c>
      <c r="H54" s="117">
        <f t="shared" si="16"/>
        <v>-308200</v>
      </c>
      <c r="I54" s="117">
        <f t="shared" si="16"/>
        <v>-308200</v>
      </c>
      <c r="J54" s="117">
        <f t="shared" si="16"/>
        <v>-308200</v>
      </c>
      <c r="K54" s="117">
        <f t="shared" si="16"/>
        <v>-308200</v>
      </c>
      <c r="L54" s="117">
        <f t="shared" si="16"/>
        <v>-308200</v>
      </c>
      <c r="M54" s="117">
        <f>M57-M51</f>
        <v>-308200</v>
      </c>
      <c r="N54" s="117">
        <f t="shared" si="16"/>
        <v>-308200</v>
      </c>
      <c r="O54" s="117">
        <f t="shared" si="16"/>
        <v>-308200</v>
      </c>
      <c r="P54" s="117">
        <f t="shared" si="16"/>
        <v>-308200</v>
      </c>
      <c r="Q54" s="117">
        <f t="shared" si="16"/>
        <v>-308200</v>
      </c>
      <c r="R54" s="117">
        <f t="shared" si="16"/>
        <v>-308200</v>
      </c>
      <c r="S54" s="117">
        <f t="shared" si="16"/>
        <v>-308200</v>
      </c>
      <c r="T54" s="356">
        <f t="shared" si="16"/>
        <v>-308200</v>
      </c>
      <c r="U54" s="356">
        <f t="shared" si="16"/>
        <v>-308200</v>
      </c>
      <c r="V54" s="356">
        <f t="shared" ref="V54:Z54" si="17">V57-V51</f>
        <v>-308200</v>
      </c>
      <c r="W54" s="356">
        <f t="shared" si="17"/>
        <v>-308200</v>
      </c>
      <c r="X54" s="356">
        <f t="shared" si="17"/>
        <v>-308200</v>
      </c>
      <c r="Y54" s="356">
        <f t="shared" si="17"/>
        <v>-308200</v>
      </c>
      <c r="Z54" s="356">
        <f t="shared" si="17"/>
        <v>-308200</v>
      </c>
    </row>
    <row r="55" spans="1:26" s="89" customFormat="1" x14ac:dyDescent="0.35">
      <c r="A55" s="116"/>
      <c r="B55" s="120"/>
      <c r="C55" s="118"/>
      <c r="D55" s="116"/>
      <c r="E55" s="116"/>
      <c r="F55" s="121"/>
      <c r="G55" s="116"/>
      <c r="H55" s="116"/>
      <c r="I55" s="116"/>
      <c r="J55" s="116"/>
      <c r="K55" s="116"/>
      <c r="L55" s="116"/>
      <c r="M55" s="116"/>
      <c r="N55" s="116"/>
      <c r="O55" s="116"/>
      <c r="P55" s="116"/>
      <c r="Q55" s="116"/>
      <c r="R55" s="116"/>
      <c r="S55" s="116"/>
      <c r="T55" s="116"/>
      <c r="U55" s="116"/>
      <c r="V55" s="116"/>
      <c r="W55" s="116"/>
      <c r="X55" s="116"/>
      <c r="Y55" s="116"/>
      <c r="Z55" s="116"/>
    </row>
    <row r="56" spans="1:26" s="89" customFormat="1" x14ac:dyDescent="0.35">
      <c r="A56" s="116"/>
      <c r="B56" s="116"/>
      <c r="C56" s="118"/>
      <c r="D56" s="116"/>
      <c r="E56" s="116"/>
      <c r="F56" s="116"/>
      <c r="G56" s="116"/>
      <c r="H56" s="116"/>
      <c r="I56" s="116"/>
      <c r="J56" s="116"/>
      <c r="K56" s="116"/>
      <c r="L56" s="116"/>
      <c r="M56" s="116"/>
      <c r="N56" s="116"/>
      <c r="O56" s="116"/>
      <c r="P56" s="116"/>
      <c r="Q56" s="116"/>
      <c r="R56" s="116"/>
      <c r="S56" s="116"/>
      <c r="T56" s="116"/>
      <c r="U56" s="116"/>
      <c r="V56" s="116"/>
      <c r="W56" s="116"/>
      <c r="X56" s="116"/>
      <c r="Y56" s="116"/>
      <c r="Z56" s="116"/>
    </row>
    <row r="57" spans="1:26" s="89" customFormat="1" x14ac:dyDescent="0.35">
      <c r="A57" s="116" t="s">
        <v>158</v>
      </c>
      <c r="B57" s="122">
        <f>M5</f>
        <v>1400000</v>
      </c>
      <c r="C57" s="123">
        <f>B57*(1+'100% Renewable Summary'!$M$8)</f>
        <v>1400000</v>
      </c>
      <c r="D57" s="123">
        <f>C57*(1+'100% Renewable Summary'!$M$8)</f>
        <v>1400000</v>
      </c>
      <c r="E57" s="123">
        <f>D57*(1+'100% Renewable Summary'!$M$8)</f>
        <v>1400000</v>
      </c>
      <c r="F57" s="123">
        <f>E57*(1+'100% Renewable Summary'!$M$8)</f>
        <v>1400000</v>
      </c>
      <c r="G57" s="123">
        <f>F57*(1+'100% Renewable Summary'!$M$9)</f>
        <v>1400000</v>
      </c>
      <c r="H57" s="123">
        <f>G57*(1+'100% Renewable Summary'!$M$9)</f>
        <v>1400000</v>
      </c>
      <c r="I57" s="123">
        <f>H57*(1+'100% Renewable Summary'!$M$9)</f>
        <v>1400000</v>
      </c>
      <c r="J57" s="123">
        <f>I57*(1+'100% Renewable Summary'!$M$9)</f>
        <v>1400000</v>
      </c>
      <c r="K57" s="123">
        <f>J57*(1+'100% Renewable Summary'!$M$9)</f>
        <v>1400000</v>
      </c>
      <c r="L57" s="123">
        <f>K57*(1+'100% Renewable Summary'!$M$10)</f>
        <v>1400000</v>
      </c>
      <c r="M57" s="123">
        <f>L57*(1+'100% Renewable Summary'!$M$10)</f>
        <v>1400000</v>
      </c>
      <c r="N57" s="123">
        <f>M57*(1+'100% Renewable Summary'!$M$10)</f>
        <v>1400000</v>
      </c>
      <c r="O57" s="123">
        <f>N57*(1+'100% Renewable Summary'!$M$10)</f>
        <v>1400000</v>
      </c>
      <c r="P57" s="123">
        <f>O57*(1+'100% Renewable Summary'!$M$10)</f>
        <v>1400000</v>
      </c>
      <c r="Q57" s="123">
        <f>P57*(1+'100% Renewable Summary'!$M$11)</f>
        <v>1400000</v>
      </c>
      <c r="R57" s="123">
        <f>Q57*(1+'100% Renewable Summary'!$M$11)</f>
        <v>1400000</v>
      </c>
      <c r="S57" s="123">
        <f>R57*(1+'100% Renewable Summary'!$M$11)</f>
        <v>1400000</v>
      </c>
      <c r="T57" s="123">
        <f>S57*(1+'100% Renewable Summary'!$M$11)</f>
        <v>1400000</v>
      </c>
      <c r="U57" s="123">
        <f>T57*(1+'100% Renewable Summary'!$M$11)</f>
        <v>1400000</v>
      </c>
      <c r="V57" s="123">
        <f>U57*(1+'100% Renewable Summary'!$M$11)</f>
        <v>1400000</v>
      </c>
      <c r="W57" s="123">
        <f>V57*(1+'100% Renewable Summary'!$M$11)</f>
        <v>1400000</v>
      </c>
      <c r="X57" s="123">
        <f>W57*(1+'100% Renewable Summary'!$M$11)</f>
        <v>1400000</v>
      </c>
      <c r="Y57" s="123">
        <f>X57*(1+'100% Renewable Summary'!$M$11)</f>
        <v>1400000</v>
      </c>
      <c r="Z57" s="123">
        <f>Y57*(1+'100% Renewable Summary'!$M$11)</f>
        <v>1400000</v>
      </c>
    </row>
    <row r="58" spans="1:26" s="89" customFormat="1" x14ac:dyDescent="0.35">
      <c r="A58" s="116"/>
      <c r="B58" s="116"/>
      <c r="C58" s="118"/>
      <c r="D58" s="116"/>
      <c r="E58" s="116"/>
      <c r="F58" s="116"/>
      <c r="G58" s="116"/>
      <c r="H58" s="116"/>
      <c r="I58" s="116"/>
      <c r="J58" s="116"/>
      <c r="K58" s="116"/>
      <c r="L58" s="116"/>
      <c r="M58" s="116"/>
      <c r="N58" s="116"/>
      <c r="O58" s="116"/>
      <c r="P58" s="116"/>
      <c r="Q58" s="116"/>
      <c r="R58" s="116"/>
      <c r="S58" s="116"/>
      <c r="T58" s="116"/>
      <c r="U58" s="116"/>
      <c r="V58" s="116"/>
      <c r="W58" s="116"/>
      <c r="X58" s="116"/>
      <c r="Y58" s="116"/>
      <c r="Z58" s="116"/>
    </row>
    <row r="59" spans="1:26" s="89" customFormat="1" x14ac:dyDescent="0.35">
      <c r="A59" s="116" t="s">
        <v>134</v>
      </c>
      <c r="B59" s="120">
        <f>-'100% Wind Cash Flow'!D8/$B$57*100</f>
        <v>0</v>
      </c>
      <c r="C59" s="120">
        <f>-'100% Wind Cash Flow'!E8/$B$57*100</f>
        <v>0</v>
      </c>
      <c r="D59" s="120">
        <f>-'100% Wind Cash Flow'!F8/$B$57*100</f>
        <v>0</v>
      </c>
      <c r="E59" s="120">
        <f>-'100% Wind Cash Flow'!G8/$B$57*100</f>
        <v>0</v>
      </c>
      <c r="F59" s="120">
        <f>-'100% Wind Cash Flow'!H8/$B$57*100</f>
        <v>0</v>
      </c>
      <c r="G59" s="120">
        <f>-'100% Wind Cash Flow'!I8/$B$57*100</f>
        <v>0</v>
      </c>
      <c r="H59" s="120">
        <f>-'100% Wind Cash Flow'!J8/$B$57*100</f>
        <v>0</v>
      </c>
      <c r="I59" s="120">
        <f>-'100% Wind Cash Flow'!K8/$B$57*100</f>
        <v>0</v>
      </c>
      <c r="J59" s="120">
        <f>-'100% Wind Cash Flow'!L8/$B$57*100</f>
        <v>0</v>
      </c>
      <c r="K59" s="120">
        <f>-'100% Wind Cash Flow'!M8/$B$57*100</f>
        <v>0</v>
      </c>
      <c r="L59" s="120">
        <f>-'100% Wind Cash Flow'!N8/$B$57*100</f>
        <v>0</v>
      </c>
      <c r="M59" s="120">
        <f>-'100% Wind Cash Flow'!O8/$B$57*100</f>
        <v>0</v>
      </c>
      <c r="N59" s="120">
        <f>-'100% Wind Cash Flow'!P8/$B$57*100</f>
        <v>0</v>
      </c>
      <c r="O59" s="120">
        <f>-'100% Wind Cash Flow'!Q8/$B$57*100</f>
        <v>0</v>
      </c>
      <c r="P59" s="120">
        <f>-'100% Wind Cash Flow'!R8/$B$57*100</f>
        <v>0</v>
      </c>
      <c r="Q59" s="120">
        <f>-'100% Wind Cash Flow'!S8/$B$57*100</f>
        <v>0</v>
      </c>
      <c r="R59" s="120">
        <f>-'100% Wind Cash Flow'!T8/$B$57*100</f>
        <v>0</v>
      </c>
      <c r="S59" s="120">
        <f>-'100% Wind Cash Flow'!U8/$B$57*100</f>
        <v>0</v>
      </c>
      <c r="T59" s="120">
        <f>-'100% Wind Cash Flow'!V8/$B$57*100</f>
        <v>0</v>
      </c>
      <c r="U59" s="120">
        <f>-'100% Wind Cash Flow'!W8/$B$57*100</f>
        <v>0</v>
      </c>
      <c r="V59" s="120">
        <f>-'100% Wind Cash Flow'!X8/$B$57*100</f>
        <v>0</v>
      </c>
      <c r="W59" s="120">
        <f>-'100% Wind Cash Flow'!Y8/$B$57*100</f>
        <v>0</v>
      </c>
      <c r="X59" s="120">
        <f>-'100% Wind Cash Flow'!Z8/$B$57*100</f>
        <v>0</v>
      </c>
      <c r="Y59" s="120">
        <f>-'100% Wind Cash Flow'!AA8/$B$57*100</f>
        <v>0</v>
      </c>
      <c r="Z59" s="120">
        <f>-'100% Wind Cash Flow'!AB8/$B$57*100</f>
        <v>0</v>
      </c>
    </row>
    <row r="60" spans="1:26" s="89" customFormat="1" x14ac:dyDescent="0.35">
      <c r="A60" s="116" t="s">
        <v>159</v>
      </c>
      <c r="B60" s="120">
        <f>-'100% Wind Interest Calculations'!E14/B57*100</f>
        <v>53.078913839285725</v>
      </c>
      <c r="C60" s="120">
        <f>-'100% Wind Interest Calculations'!F14/C57*100</f>
        <v>52.298087366286858</v>
      </c>
      <c r="D60" s="120">
        <f>-'100% Wind Interest Calculations'!G14/D57*100</f>
        <v>51.45869890781308</v>
      </c>
      <c r="E60" s="120">
        <f>-'100% Wind Interest Calculations'!H14/E57*100</f>
        <v>50.556356314953774</v>
      </c>
      <c r="F60" s="120">
        <f>-'100% Wind Interest Calculations'!I14/F57*100</f>
        <v>49.586338027630013</v>
      </c>
      <c r="G60" s="120">
        <f>-'100% Wind Interest Calculations'!J14/G57*100</f>
        <v>48.543568368756965</v>
      </c>
      <c r="H60" s="120">
        <f>-'100% Wind Interest Calculations'!K14/H57*100</f>
        <v>47.422590985468446</v>
      </c>
      <c r="I60" s="120">
        <f>-'100% Wind Interest Calculations'!L14/I57*100</f>
        <v>46.217540298433299</v>
      </c>
      <c r="J60" s="120">
        <f>-'100% Wind Interest Calculations'!M14/J57*100</f>
        <v>44.922110809870503</v>
      </c>
      <c r="K60" s="120">
        <f>-'100% Wind Interest Calculations'!N14/K57*100</f>
        <v>43.529524109665502</v>
      </c>
      <c r="L60" s="120">
        <f>-'100% Wind Interest Calculations'!O14/L57*100</f>
        <v>42.032493406945129</v>
      </c>
      <c r="M60" s="120">
        <f>-'100% Wind Interest Calculations'!P14/M57*100</f>
        <v>40.423185401520719</v>
      </c>
      <c r="N60" s="120">
        <f>-'100% Wind Interest Calculations'!Q14/N57*100</f>
        <v>38.693179295689482</v>
      </c>
      <c r="O60" s="120">
        <f>-'100% Wind Interest Calculations'!R14/O57*100</f>
        <v>36.833422731920898</v>
      </c>
      <c r="P60" s="120">
        <f>-'100% Wind Interest Calculations'!S14/P57*100</f>
        <v>34.83418442586968</v>
      </c>
      <c r="Q60" s="120">
        <f>-'100% Wind Interest Calculations'!T14/Q57*100</f>
        <v>32.685003246864611</v>
      </c>
      <c r="R60" s="120">
        <f>-'100% Wind Interest Calculations'!U14/R57*100</f>
        <v>30.37463347943417</v>
      </c>
      <c r="S60" s="120">
        <f>-'100% Wind Interest Calculations'!V14/S57*100</f>
        <v>27.890985979446437</v>
      </c>
      <c r="T60" s="120">
        <f>-'100% Wind Interest Calculations'!W14/T57*100</f>
        <v>25.221064916959634</v>
      </c>
      <c r="U60" s="120">
        <f>-'100% Wind Interest Calculations'!X14/U57*100</f>
        <v>22.350899774786313</v>
      </c>
      <c r="V60" s="120">
        <f>-'100% Wind Interest Calculations'!Y14/V57*100</f>
        <v>19.265472246949997</v>
      </c>
      <c r="W60" s="120">
        <f>-'100% Wind Interest Calculations'!Z14/W57*100</f>
        <v>15.948637654525957</v>
      </c>
      <c r="X60" s="120">
        <f>-'100% Wind Interest Calculations'!AA14/X57*100</f>
        <v>12.383040467670114</v>
      </c>
      <c r="Y60" s="120">
        <f>-'100% Wind Interest Calculations'!AB14/Y57*100</f>
        <v>8.5500234918000775</v>
      </c>
      <c r="Z60" s="120">
        <f>-'100% Wind Interest Calculations'!AC14/Z57*100</f>
        <v>4.4295302427397942</v>
      </c>
    </row>
    <row r="61" spans="1:26" s="89" customFormat="1" x14ac:dyDescent="0.35">
      <c r="A61" s="116" t="s">
        <v>160</v>
      </c>
      <c r="B61" s="124">
        <f>-'100% Wind Interest Calculations'!E13/B57*100</f>
        <v>10.411019639984829</v>
      </c>
      <c r="C61" s="124">
        <f>-'100% Wind Interest Calculations'!F13/C57*100</f>
        <v>11.191846112983692</v>
      </c>
      <c r="D61" s="124">
        <f>-'100% Wind Interest Calculations'!G13/D57*100</f>
        <v>12.031234571457466</v>
      </c>
      <c r="E61" s="124">
        <f>-'100% Wind Interest Calculations'!H13/E57*100</f>
        <v>12.933577164316775</v>
      </c>
      <c r="F61" s="124">
        <f>-'100% Wind Interest Calculations'!I13/F57*100</f>
        <v>13.903595451640538</v>
      </c>
      <c r="G61" s="124">
        <f>-'100% Wind Interest Calculations'!J13/G57*100</f>
        <v>14.946365110513579</v>
      </c>
      <c r="H61" s="124">
        <f>-'100% Wind Interest Calculations'!K13/H57*100</f>
        <v>16.067342493802101</v>
      </c>
      <c r="I61" s="124">
        <f>-'100% Wind Interest Calculations'!L13/I57*100</f>
        <v>17.272393180837248</v>
      </c>
      <c r="J61" s="124">
        <f>-'100% Wind Interest Calculations'!M13/J57*100</f>
        <v>18.567822669400044</v>
      </c>
      <c r="K61" s="124">
        <f>-'100% Wind Interest Calculations'!N13/K57*100</f>
        <v>19.960409369605046</v>
      </c>
      <c r="L61" s="124">
        <f>-'100% Wind Interest Calculations'!O13/L57*100</f>
        <v>21.457440072325422</v>
      </c>
      <c r="M61" s="124">
        <f>-'100% Wind Interest Calculations'!P13/M57*100</f>
        <v>23.066748077749832</v>
      </c>
      <c r="N61" s="124">
        <f>-'100% Wind Interest Calculations'!Q13/N57*100</f>
        <v>24.796754183581065</v>
      </c>
      <c r="O61" s="124">
        <f>-'100% Wind Interest Calculations'!R13/O57*100</f>
        <v>26.65651074734965</v>
      </c>
      <c r="P61" s="124">
        <f>-'100% Wind Interest Calculations'!S13/P57*100</f>
        <v>28.655749053400868</v>
      </c>
      <c r="Q61" s="124">
        <f>-'100% Wind Interest Calculations'!T13/Q57*100</f>
        <v>30.804930232405937</v>
      </c>
      <c r="R61" s="124">
        <f>-'100% Wind Interest Calculations'!U13/R57*100</f>
        <v>33.115299999836381</v>
      </c>
      <c r="S61" s="124">
        <f>-'100% Wind Interest Calculations'!V13/S57*100</f>
        <v>35.598947499824106</v>
      </c>
      <c r="T61" s="124">
        <f>-'100% Wind Interest Calculations'!W13/T57*100</f>
        <v>38.268868562310914</v>
      </c>
      <c r="U61" s="124">
        <f>-'100% Wind Interest Calculations'!X13/U57*100</f>
        <v>41.139033704484227</v>
      </c>
      <c r="V61" s="124">
        <f>-'100% Wind Interest Calculations'!Y13/V57*100</f>
        <v>44.224461232320557</v>
      </c>
      <c r="W61" s="124">
        <f>-'100% Wind Interest Calculations'!Z13/W57*100</f>
        <v>47.541295824744587</v>
      </c>
      <c r="X61" s="124">
        <f>-'100% Wind Interest Calculations'!AA13/X57*100</f>
        <v>51.106893011600441</v>
      </c>
      <c r="Y61" s="124">
        <f>-'100% Wind Interest Calculations'!AB13/Y57*100</f>
        <v>54.939909987470472</v>
      </c>
      <c r="Z61" s="124">
        <f>-'100% Wind Interest Calculations'!AC13/Z57*100</f>
        <v>59.060403236530753</v>
      </c>
    </row>
    <row r="62" spans="1:26" s="89" customFormat="1" x14ac:dyDescent="0.35">
      <c r="A62" s="116" t="s">
        <v>161</v>
      </c>
      <c r="B62" s="120">
        <f>-'100% Wind Cash Flow'!D9/B57*100</f>
        <v>26.716159940476192</v>
      </c>
      <c r="C62" s="120">
        <f>'100% Wind Cash Flow'!E9/C57*100</f>
        <v>-26.716159940476192</v>
      </c>
      <c r="D62" s="120">
        <f>'100% Wind Cash Flow'!F9/D57*100</f>
        <v>-26.716159940476192</v>
      </c>
      <c r="E62" s="120">
        <f>'100% Wind Cash Flow'!G9/E57*100</f>
        <v>-26.716159940476192</v>
      </c>
      <c r="F62" s="120">
        <f>'100% Wind Cash Flow'!H9/F57*100</f>
        <v>-26.716159940476192</v>
      </c>
      <c r="G62" s="120">
        <f>'100% Wind Cash Flow'!I9/G57*100</f>
        <v>-26.716159940476192</v>
      </c>
      <c r="H62" s="120">
        <f>'100% Wind Cash Flow'!J9/H57*100</f>
        <v>-26.716159940476192</v>
      </c>
      <c r="I62" s="120">
        <f>'100% Wind Cash Flow'!K9/I57*100</f>
        <v>-26.716159940476192</v>
      </c>
      <c r="J62" s="120">
        <f>'100% Wind Cash Flow'!L9/J57*100</f>
        <v>-26.716159940476192</v>
      </c>
      <c r="K62" s="120">
        <f>'100% Wind Cash Flow'!M9/K57*100</f>
        <v>-26.716159940476192</v>
      </c>
      <c r="L62" s="120">
        <f>'100% Wind Cash Flow'!N9/L57*100</f>
        <v>-26.716159940476192</v>
      </c>
      <c r="M62" s="120">
        <f>'100% Wind Cash Flow'!O9/M57*100</f>
        <v>-26.716159940476192</v>
      </c>
      <c r="N62" s="120">
        <f>'100% Wind Cash Flow'!P9/N57*100</f>
        <v>-26.716159940476192</v>
      </c>
      <c r="O62" s="120">
        <f>'100% Wind Cash Flow'!Q9/O57*100</f>
        <v>-26.716159940476192</v>
      </c>
      <c r="P62" s="120">
        <f>'100% Wind Cash Flow'!R9/P57*100</f>
        <v>-26.716159940476192</v>
      </c>
      <c r="Q62" s="120">
        <f>'100% Wind Cash Flow'!S9/Q57*100</f>
        <v>-26.716159940476192</v>
      </c>
      <c r="R62" s="120">
        <f>'100% Wind Cash Flow'!T9/R57*100</f>
        <v>-26.716159940476192</v>
      </c>
      <c r="S62" s="120">
        <f>'100% Wind Cash Flow'!U9/S57*100</f>
        <v>-26.716159940476192</v>
      </c>
      <c r="T62" s="120">
        <f>'100% Wind Cash Flow'!V9/T57*100</f>
        <v>-26.716159940476192</v>
      </c>
      <c r="U62" s="120">
        <f>'100% Wind Cash Flow'!W9/U57*100</f>
        <v>-26.716159940476192</v>
      </c>
      <c r="V62" s="120">
        <f>'100% Wind Cash Flow'!X9/V57*100</f>
        <v>-26.716159940476192</v>
      </c>
      <c r="W62" s="120">
        <f>'100% Wind Cash Flow'!Y9/W57*100</f>
        <v>-26.716159940476192</v>
      </c>
      <c r="X62" s="120">
        <f>'100% Wind Cash Flow'!Z9/X57*100</f>
        <v>-26.716159940476192</v>
      </c>
      <c r="Y62" s="120">
        <f>'100% Wind Cash Flow'!AA9/Y57*100</f>
        <v>-26.716159940476192</v>
      </c>
      <c r="Z62" s="120">
        <f>'100% Wind Cash Flow'!AB9/Z57*100</f>
        <v>-26.716159940476192</v>
      </c>
    </row>
    <row r="63" spans="1:26" s="89" customFormat="1" x14ac:dyDescent="0.35">
      <c r="A63" s="116"/>
      <c r="B63" s="120">
        <f>SUM(B59:B62)</f>
        <v>90.20609341974675</v>
      </c>
      <c r="C63" s="120">
        <f t="shared" ref="C63:U63" si="18">SUM(C59:C62)</f>
        <v>36.773773538794359</v>
      </c>
      <c r="D63" s="120">
        <f t="shared" si="18"/>
        <v>36.773773538794359</v>
      </c>
      <c r="E63" s="120">
        <f t="shared" si="18"/>
        <v>36.773773538794359</v>
      </c>
      <c r="F63" s="120">
        <f t="shared" si="18"/>
        <v>36.773773538794359</v>
      </c>
      <c r="G63" s="120">
        <f t="shared" si="18"/>
        <v>36.773773538794359</v>
      </c>
      <c r="H63" s="120">
        <f t="shared" si="18"/>
        <v>36.773773538794359</v>
      </c>
      <c r="I63" s="120">
        <f t="shared" si="18"/>
        <v>36.773773538794359</v>
      </c>
      <c r="J63" s="120">
        <f t="shared" si="18"/>
        <v>36.773773538794359</v>
      </c>
      <c r="K63" s="120">
        <f t="shared" si="18"/>
        <v>36.773773538794359</v>
      </c>
      <c r="L63" s="120">
        <f t="shared" si="18"/>
        <v>36.773773538794359</v>
      </c>
      <c r="M63" s="120">
        <f t="shared" si="18"/>
        <v>36.773773538794359</v>
      </c>
      <c r="N63" s="120">
        <f t="shared" si="18"/>
        <v>36.773773538794359</v>
      </c>
      <c r="O63" s="120">
        <f t="shared" si="18"/>
        <v>36.773773538794359</v>
      </c>
      <c r="P63" s="120">
        <f t="shared" si="18"/>
        <v>36.773773538794359</v>
      </c>
      <c r="Q63" s="120">
        <f t="shared" si="18"/>
        <v>36.773773538794359</v>
      </c>
      <c r="R63" s="120">
        <f t="shared" si="18"/>
        <v>36.773773538794359</v>
      </c>
      <c r="S63" s="120">
        <f t="shared" si="18"/>
        <v>36.773773538794359</v>
      </c>
      <c r="T63" s="120">
        <f t="shared" si="18"/>
        <v>36.773773538794359</v>
      </c>
      <c r="U63" s="120">
        <f t="shared" si="18"/>
        <v>36.773773538794345</v>
      </c>
      <c r="V63" s="120">
        <f t="shared" ref="V63:Z63" si="19">SUM(V59:V62)</f>
        <v>36.773773538794359</v>
      </c>
      <c r="W63" s="120">
        <f t="shared" si="19"/>
        <v>36.773773538794359</v>
      </c>
      <c r="X63" s="120">
        <f t="shared" si="19"/>
        <v>36.773773538794359</v>
      </c>
      <c r="Y63" s="120">
        <f t="shared" si="19"/>
        <v>36.773773538794359</v>
      </c>
      <c r="Z63" s="120">
        <f t="shared" si="19"/>
        <v>36.773773538794359</v>
      </c>
    </row>
    <row r="64" spans="1:26" s="89" customFormat="1" x14ac:dyDescent="0.35">
      <c r="A64" s="116" t="s">
        <v>142</v>
      </c>
      <c r="B64" s="124">
        <f>B65-B63</f>
        <v>-30.20609341974675</v>
      </c>
      <c r="C64" s="124">
        <f t="shared" ref="C64:U64" si="20">C65-C63</f>
        <v>23.226226461205641</v>
      </c>
      <c r="D64" s="124">
        <f t="shared" si="20"/>
        <v>23.226226461205641</v>
      </c>
      <c r="E64" s="124">
        <f t="shared" si="20"/>
        <v>23.226226461205641</v>
      </c>
      <c r="F64" s="124">
        <f t="shared" si="20"/>
        <v>23.226226461205641</v>
      </c>
      <c r="G64" s="124">
        <f t="shared" si="20"/>
        <v>23.226226461205641</v>
      </c>
      <c r="H64" s="124">
        <f t="shared" si="20"/>
        <v>23.226226461205641</v>
      </c>
      <c r="I64" s="124">
        <f t="shared" si="20"/>
        <v>23.226226461205641</v>
      </c>
      <c r="J64" s="124">
        <f t="shared" si="20"/>
        <v>23.226226461205641</v>
      </c>
      <c r="K64" s="124">
        <f t="shared" si="20"/>
        <v>23.226226461205641</v>
      </c>
      <c r="L64" s="124">
        <f t="shared" si="20"/>
        <v>23.226226461205641</v>
      </c>
      <c r="M64" s="124">
        <f t="shared" si="20"/>
        <v>23.226226461205641</v>
      </c>
      <c r="N64" s="124">
        <f t="shared" si="20"/>
        <v>23.226226461205641</v>
      </c>
      <c r="O64" s="124">
        <f t="shared" si="20"/>
        <v>23.226226461205641</v>
      </c>
      <c r="P64" s="124">
        <f t="shared" si="20"/>
        <v>23.226226461205641</v>
      </c>
      <c r="Q64" s="124">
        <f t="shared" si="20"/>
        <v>23.226226461205641</v>
      </c>
      <c r="R64" s="124">
        <f t="shared" si="20"/>
        <v>23.226226461205641</v>
      </c>
      <c r="S64" s="124">
        <f t="shared" si="20"/>
        <v>23.226226461205641</v>
      </c>
      <c r="T64" s="124">
        <f t="shared" si="20"/>
        <v>23.226226461205641</v>
      </c>
      <c r="U64" s="124">
        <f t="shared" si="20"/>
        <v>23.226226461205655</v>
      </c>
      <c r="V64" s="124">
        <f t="shared" ref="V64:Z64" si="21">V65-V63</f>
        <v>23.226226461205641</v>
      </c>
      <c r="W64" s="124">
        <f t="shared" si="21"/>
        <v>23.226226461205641</v>
      </c>
      <c r="X64" s="124">
        <f t="shared" si="21"/>
        <v>23.226226461205641</v>
      </c>
      <c r="Y64" s="124">
        <f t="shared" si="21"/>
        <v>23.226226461205641</v>
      </c>
      <c r="Z64" s="124">
        <f t="shared" si="21"/>
        <v>23.226226461205641</v>
      </c>
    </row>
    <row r="65" spans="1:26" s="89" customFormat="1" x14ac:dyDescent="0.35">
      <c r="A65" s="116" t="s">
        <v>163</v>
      </c>
      <c r="B65" s="125">
        <f t="shared" ref="B65:Z65" si="22">$M$6</f>
        <v>60</v>
      </c>
      <c r="C65" s="125">
        <f t="shared" si="22"/>
        <v>60</v>
      </c>
      <c r="D65" s="125">
        <f t="shared" si="22"/>
        <v>60</v>
      </c>
      <c r="E65" s="125">
        <f t="shared" si="22"/>
        <v>60</v>
      </c>
      <c r="F65" s="125">
        <f t="shared" si="22"/>
        <v>60</v>
      </c>
      <c r="G65" s="125">
        <f t="shared" si="22"/>
        <v>60</v>
      </c>
      <c r="H65" s="125">
        <f t="shared" si="22"/>
        <v>60</v>
      </c>
      <c r="I65" s="125">
        <f t="shared" si="22"/>
        <v>60</v>
      </c>
      <c r="J65" s="125">
        <f t="shared" si="22"/>
        <v>60</v>
      </c>
      <c r="K65" s="125">
        <f t="shared" si="22"/>
        <v>60</v>
      </c>
      <c r="L65" s="125">
        <f t="shared" si="22"/>
        <v>60</v>
      </c>
      <c r="M65" s="125">
        <f t="shared" si="22"/>
        <v>60</v>
      </c>
      <c r="N65" s="125">
        <f t="shared" si="22"/>
        <v>60</v>
      </c>
      <c r="O65" s="125">
        <f t="shared" si="22"/>
        <v>60</v>
      </c>
      <c r="P65" s="125">
        <f t="shared" si="22"/>
        <v>60</v>
      </c>
      <c r="Q65" s="125">
        <f t="shared" si="22"/>
        <v>60</v>
      </c>
      <c r="R65" s="125">
        <f t="shared" si="22"/>
        <v>60</v>
      </c>
      <c r="S65" s="125">
        <f t="shared" si="22"/>
        <v>60</v>
      </c>
      <c r="T65" s="125">
        <f t="shared" si="22"/>
        <v>60</v>
      </c>
      <c r="U65" s="125">
        <f t="shared" si="22"/>
        <v>60</v>
      </c>
      <c r="V65" s="125">
        <f t="shared" si="22"/>
        <v>60</v>
      </c>
      <c r="W65" s="125">
        <f t="shared" si="22"/>
        <v>60</v>
      </c>
      <c r="X65" s="125">
        <f t="shared" si="22"/>
        <v>60</v>
      </c>
      <c r="Y65" s="125">
        <f t="shared" si="22"/>
        <v>60</v>
      </c>
      <c r="Z65" s="125">
        <f t="shared" si="22"/>
        <v>60</v>
      </c>
    </row>
    <row r="66" spans="1:26" s="89" customFormat="1" x14ac:dyDescent="0.35">
      <c r="C66" s="90"/>
    </row>
    <row r="67" spans="1:26" s="89" customFormat="1" x14ac:dyDescent="0.35">
      <c r="C67" s="90"/>
    </row>
    <row r="68" spans="1:26" s="89" customFormat="1" x14ac:dyDescent="0.35">
      <c r="C68" s="90"/>
    </row>
    <row r="69" spans="1:26" s="89" customFormat="1" x14ac:dyDescent="0.35">
      <c r="C69" s="90"/>
    </row>
    <row r="70" spans="1:26" s="89" customFormat="1" x14ac:dyDescent="0.35">
      <c r="C70" s="90"/>
    </row>
  </sheetData>
  <sheetProtection algorithmName="SHA-512" hashValue="MkKvKQLV1vdugJdqddof/D9b2Q881EAwQFMzPCgK5vEDH5x+kQBKTeXKLxJOahq5n7qDtYOAY9fB7mlIMZnvMQ==" saltValue="1RrBkip0c8XkYu9Hzlv0eA==" spinCount="100000" sheet="1" objects="1" scenarios="1" selectLockedCells="1" selectUnlockedCells="1"/>
  <mergeCells count="23">
    <mergeCell ref="K10:L10"/>
    <mergeCell ref="K11:L11"/>
    <mergeCell ref="A39:B39"/>
    <mergeCell ref="P9:Q9"/>
    <mergeCell ref="P10:Q10"/>
    <mergeCell ref="P11:Q11"/>
    <mergeCell ref="K9:L9"/>
    <mergeCell ref="P12:Q12"/>
    <mergeCell ref="K13:M13"/>
    <mergeCell ref="K14:M14"/>
    <mergeCell ref="D6:E6"/>
    <mergeCell ref="P6:Q6"/>
    <mergeCell ref="D7:E7"/>
    <mergeCell ref="P7:Q7"/>
    <mergeCell ref="D8:E8"/>
    <mergeCell ref="P8:Q8"/>
    <mergeCell ref="K8:L8"/>
    <mergeCell ref="A4:B4"/>
    <mergeCell ref="D4:H4"/>
    <mergeCell ref="K4:M4"/>
    <mergeCell ref="P4:R4"/>
    <mergeCell ref="D5:E5"/>
    <mergeCell ref="P5:Q5"/>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greaterThan" id="{439565BF-62D1-4532-BDE0-9E811F15DA2B}">
            <xm:f>'Generation &amp; Ops Scenarios'!$C$35*8760*0.3</xm:f>
            <x14:dxf>
              <font>
                <color rgb="FFFF0000"/>
              </font>
              <fill>
                <patternFill>
                  <bgColor theme="5" tint="0.79998168889431442"/>
                </patternFill>
              </fill>
            </x14:dxf>
          </x14:cfRule>
          <xm:sqref>B54:Z54</xm:sqref>
        </x14:conditionalFormatting>
        <x14:conditionalFormatting xmlns:xm="http://schemas.microsoft.com/office/excel/2006/main">
          <x14:cfRule type="cellIs" priority="2" operator="greaterThan" id="{AD410405-DAB1-4703-A49E-308AB2EF2831}">
            <xm:f>'Generation &amp; Ops Scenarios'!$C$35*8760*0.3+$B$51</xm:f>
            <x14:dxf>
              <font>
                <color rgb="FFFF0000"/>
              </font>
              <fill>
                <patternFill>
                  <bgColor theme="5" tint="0.79998168889431442"/>
                </patternFill>
              </fill>
            </x14:dxf>
          </x14:cfRule>
          <xm:sqref>B57:Z57</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81575-CF58-4781-AC10-C63371AA770F}">
  <dimension ref="A1:AC18"/>
  <sheetViews>
    <sheetView workbookViewId="0">
      <selection activeCell="D9" sqref="D9"/>
    </sheetView>
  </sheetViews>
  <sheetFormatPr defaultRowHeight="14.5" x14ac:dyDescent="0.35"/>
  <cols>
    <col min="2" max="2" width="5.453125" customWidth="1"/>
    <col min="3" max="3" width="14.54296875" customWidth="1"/>
    <col min="4" max="4" width="9.26953125" customWidth="1"/>
    <col min="5" max="5" width="12.54296875" customWidth="1"/>
    <col min="6" max="6" width="12.1796875" customWidth="1"/>
    <col min="7" max="7" width="10.26953125" customWidth="1"/>
    <col min="8" max="8" width="10.1796875" customWidth="1"/>
    <col min="9" max="9" width="10.453125" customWidth="1"/>
    <col min="10" max="10" width="10" customWidth="1"/>
    <col min="11" max="11" width="9.81640625" customWidth="1"/>
    <col min="12" max="12" width="10" customWidth="1"/>
    <col min="13" max="13" width="9.54296875" customWidth="1"/>
    <col min="14" max="14" width="9.81640625" customWidth="1"/>
    <col min="15" max="15" width="10" customWidth="1"/>
    <col min="16" max="17" width="10.7265625" customWidth="1"/>
    <col min="18" max="18" width="11.1796875" customWidth="1"/>
    <col min="19" max="19" width="11" customWidth="1"/>
    <col min="20" max="20" width="10.26953125" customWidth="1"/>
    <col min="21" max="21" width="10.1796875" customWidth="1"/>
    <col min="22" max="22" width="10.26953125" customWidth="1"/>
    <col min="23" max="23" width="10" customWidth="1"/>
    <col min="24" max="26" width="10.1796875" customWidth="1"/>
    <col min="27" max="28" width="9.54296875" customWidth="1"/>
    <col min="29" max="29" width="9.453125" customWidth="1"/>
  </cols>
  <sheetData>
    <row r="1" spans="1:29" x14ac:dyDescent="0.35">
      <c r="A1" s="5" t="s">
        <v>29</v>
      </c>
      <c r="B1" s="5"/>
    </row>
    <row r="3" spans="1:29" x14ac:dyDescent="0.35">
      <c r="D3" t="s">
        <v>30</v>
      </c>
      <c r="E3" s="79">
        <v>1</v>
      </c>
      <c r="F3" s="79">
        <v>2</v>
      </c>
      <c r="G3" s="79">
        <v>3</v>
      </c>
      <c r="H3" s="79">
        <v>4</v>
      </c>
      <c r="I3" s="79">
        <v>5</v>
      </c>
      <c r="J3" s="79">
        <v>6</v>
      </c>
      <c r="K3" s="79">
        <v>7</v>
      </c>
      <c r="L3" s="79">
        <v>8</v>
      </c>
      <c r="M3" s="79">
        <v>9</v>
      </c>
      <c r="N3" s="79">
        <v>10</v>
      </c>
      <c r="O3" s="79">
        <v>11</v>
      </c>
      <c r="P3" s="79">
        <v>12</v>
      </c>
      <c r="Q3" s="79">
        <v>13</v>
      </c>
      <c r="R3" s="79">
        <v>14</v>
      </c>
      <c r="S3" s="79">
        <v>15</v>
      </c>
      <c r="T3" s="79">
        <v>16</v>
      </c>
      <c r="U3" s="79">
        <v>17</v>
      </c>
      <c r="V3" s="79">
        <v>18</v>
      </c>
      <c r="W3" s="79">
        <v>19</v>
      </c>
      <c r="X3" s="79">
        <v>20</v>
      </c>
      <c r="Y3" s="79">
        <v>21</v>
      </c>
      <c r="Z3" s="79">
        <v>22</v>
      </c>
      <c r="AA3" s="79">
        <v>23</v>
      </c>
      <c r="AB3" s="79">
        <v>24</v>
      </c>
      <c r="AC3" s="79">
        <v>25</v>
      </c>
    </row>
    <row r="4" spans="1:29" x14ac:dyDescent="0.35">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x14ac:dyDescent="0.35">
      <c r="A5" t="s">
        <v>31</v>
      </c>
      <c r="C5" s="19"/>
      <c r="D5" s="19">
        <f>'100% Wind Summary'!B22</f>
        <v>9908063.9166666679</v>
      </c>
      <c r="E5" s="19"/>
      <c r="F5" s="19"/>
      <c r="G5" s="19"/>
      <c r="H5" s="19"/>
      <c r="I5" s="19"/>
      <c r="J5" s="19"/>
      <c r="K5" s="19"/>
      <c r="L5" s="19"/>
      <c r="M5" s="19"/>
      <c r="N5" s="19"/>
      <c r="O5" s="19"/>
      <c r="P5" s="19"/>
      <c r="Q5" s="19"/>
      <c r="R5" s="19"/>
      <c r="S5" s="19"/>
      <c r="T5" s="19"/>
      <c r="U5" s="19"/>
      <c r="V5" s="19"/>
      <c r="W5" s="19"/>
      <c r="X5" s="19"/>
      <c r="Y5" s="19"/>
      <c r="Z5" s="19"/>
      <c r="AA5" s="19"/>
      <c r="AB5" s="19"/>
      <c r="AC5" s="19"/>
    </row>
    <row r="6" spans="1:29" x14ac:dyDescent="0.35">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x14ac:dyDescent="0.35">
      <c r="A7" t="s">
        <v>38</v>
      </c>
      <c r="C7" s="19"/>
      <c r="D7" s="21">
        <f>'100% Wind Summary'!R5</f>
        <v>1</v>
      </c>
      <c r="E7" s="19"/>
      <c r="F7" s="19"/>
      <c r="G7" s="19"/>
      <c r="H7" s="19"/>
      <c r="I7" s="19"/>
      <c r="J7" s="19"/>
      <c r="K7" s="19"/>
      <c r="L7" s="19"/>
      <c r="M7" s="19"/>
      <c r="N7" s="19"/>
      <c r="O7" s="19"/>
      <c r="P7" s="19"/>
      <c r="Q7" s="19"/>
      <c r="R7" s="19"/>
      <c r="S7" s="19"/>
      <c r="T7" s="19"/>
      <c r="U7" s="19"/>
      <c r="V7" s="19"/>
      <c r="W7" s="19"/>
      <c r="X7" s="19"/>
      <c r="Y7" s="19"/>
      <c r="Z7" s="19"/>
      <c r="AA7" s="19"/>
      <c r="AB7" s="19"/>
      <c r="AC7" s="19"/>
    </row>
    <row r="8" spans="1:29" x14ac:dyDescent="0.35">
      <c r="C8" s="19"/>
      <c r="D8" s="19"/>
      <c r="E8" s="19"/>
      <c r="F8" s="19"/>
      <c r="G8" s="19"/>
      <c r="H8" s="19"/>
      <c r="I8" s="19"/>
      <c r="J8" s="19"/>
      <c r="K8" s="19"/>
      <c r="L8" s="19"/>
      <c r="M8" s="19"/>
      <c r="N8" s="19"/>
      <c r="O8" s="19"/>
      <c r="P8" s="19"/>
      <c r="Q8" s="19"/>
      <c r="R8" s="19"/>
      <c r="S8" s="19"/>
      <c r="T8" s="19"/>
      <c r="U8" s="19"/>
      <c r="V8" s="19"/>
      <c r="W8" s="19"/>
      <c r="X8" s="19"/>
      <c r="Y8" s="19"/>
      <c r="Z8" s="19"/>
      <c r="AA8" s="19"/>
      <c r="AB8" s="19"/>
      <c r="AC8" s="19"/>
    </row>
    <row r="9" spans="1:29" x14ac:dyDescent="0.35">
      <c r="C9" t="s">
        <v>32</v>
      </c>
      <c r="D9" s="19">
        <f>D5*D7</f>
        <v>9908063.9166666679</v>
      </c>
      <c r="E9" s="19"/>
      <c r="F9" s="19"/>
      <c r="G9" s="19"/>
      <c r="H9" s="19"/>
      <c r="I9" s="19"/>
      <c r="J9" s="19"/>
      <c r="K9" s="19"/>
      <c r="L9" s="19"/>
      <c r="M9" s="19"/>
      <c r="N9" s="19"/>
      <c r="O9" s="19"/>
      <c r="P9" s="19"/>
      <c r="Q9" s="19"/>
      <c r="R9" s="19"/>
      <c r="S9" s="19"/>
      <c r="T9" s="19"/>
      <c r="U9" s="19"/>
      <c r="V9" s="19"/>
      <c r="W9" s="19"/>
      <c r="X9" s="19"/>
      <c r="Y9" s="19"/>
      <c r="Z9" s="19"/>
      <c r="AA9" s="19"/>
      <c r="AB9" s="19"/>
      <c r="AC9" s="19"/>
    </row>
    <row r="10" spans="1:29" x14ac:dyDescent="0.35">
      <c r="C10" t="s">
        <v>33</v>
      </c>
      <c r="D10" s="21">
        <f>'100% Renewable Summary'!R6</f>
        <v>7.4999999999999997E-2</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x14ac:dyDescent="0.35">
      <c r="C11" s="19" t="s">
        <v>34</v>
      </c>
      <c r="D11" s="19">
        <f>'100% Renewable Summary'!R8</f>
        <v>25</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x14ac:dyDescent="0.35">
      <c r="C12" s="19" t="s">
        <v>35</v>
      </c>
      <c r="D12" s="19"/>
      <c r="E12" s="19">
        <f>+D9</f>
        <v>9908063.9166666679</v>
      </c>
      <c r="F12" s="19">
        <f t="shared" ref="F12:AC12" si="0">E15</f>
        <v>9762309.6417068802</v>
      </c>
      <c r="G12" s="19">
        <f t="shared" si="0"/>
        <v>9605623.7961251084</v>
      </c>
      <c r="H12" s="19">
        <f t="shared" si="0"/>
        <v>9437186.5121247042</v>
      </c>
      <c r="I12" s="19">
        <f t="shared" si="0"/>
        <v>9256116.4318242688</v>
      </c>
      <c r="J12" s="19">
        <f t="shared" si="0"/>
        <v>9061466.0955013018</v>
      </c>
      <c r="K12" s="19">
        <f t="shared" si="0"/>
        <v>8852216.9839541111</v>
      </c>
      <c r="L12" s="19">
        <f t="shared" si="0"/>
        <v>8627274.1890408825</v>
      </c>
      <c r="M12" s="19">
        <f t="shared" si="0"/>
        <v>8385460.6845091609</v>
      </c>
      <c r="N12" s="19">
        <f t="shared" si="0"/>
        <v>8125511.1671375604</v>
      </c>
      <c r="O12" s="19">
        <f t="shared" si="0"/>
        <v>7846065.4359630896</v>
      </c>
      <c r="P12" s="19">
        <f t="shared" si="0"/>
        <v>7545661.2749505341</v>
      </c>
      <c r="Q12" s="19">
        <f t="shared" si="0"/>
        <v>7222726.8018620368</v>
      </c>
      <c r="R12" s="19">
        <f t="shared" si="0"/>
        <v>6875572.2432919014</v>
      </c>
      <c r="S12" s="19">
        <f t="shared" si="0"/>
        <v>6502381.0928290067</v>
      </c>
      <c r="T12" s="19">
        <f t="shared" si="0"/>
        <v>6101200.6060813945</v>
      </c>
      <c r="U12" s="19">
        <f t="shared" si="0"/>
        <v>5669931.5828277115</v>
      </c>
      <c r="V12" s="19">
        <f t="shared" si="0"/>
        <v>5206317.3828300023</v>
      </c>
      <c r="W12" s="19">
        <f t="shared" si="0"/>
        <v>4707932.1178324651</v>
      </c>
      <c r="X12" s="19">
        <f t="shared" si="0"/>
        <v>4172167.957960112</v>
      </c>
      <c r="Y12" s="19">
        <f t="shared" si="0"/>
        <v>3596221.486097333</v>
      </c>
      <c r="Z12" s="19">
        <f t="shared" si="0"/>
        <v>2977079.0288448455</v>
      </c>
      <c r="AA12" s="19">
        <f t="shared" si="0"/>
        <v>2311500.887298421</v>
      </c>
      <c r="AB12" s="19">
        <f t="shared" si="0"/>
        <v>1596004.3851360148</v>
      </c>
      <c r="AC12" s="19">
        <f t="shared" si="0"/>
        <v>826845.64531142823</v>
      </c>
    </row>
    <row r="13" spans="1:29" x14ac:dyDescent="0.35">
      <c r="C13" s="19" t="s">
        <v>36</v>
      </c>
      <c r="D13" s="19"/>
      <c r="E13" s="46">
        <f>E16-E14</f>
        <v>-145754.27495978761</v>
      </c>
      <c r="F13" s="19">
        <f>F16-F14</f>
        <v>-156685.84558177169</v>
      </c>
      <c r="G13" s="19">
        <f t="shared" ref="G13:AC13" si="1">G16-G14</f>
        <v>-168437.28400040453</v>
      </c>
      <c r="H13" s="19">
        <f t="shared" si="1"/>
        <v>-181070.08030043484</v>
      </c>
      <c r="I13" s="19">
        <f t="shared" si="1"/>
        <v>-194650.33632296755</v>
      </c>
      <c r="J13" s="19">
        <f t="shared" si="1"/>
        <v>-209249.11154719011</v>
      </c>
      <c r="K13" s="19">
        <f t="shared" si="1"/>
        <v>-224942.79491322942</v>
      </c>
      <c r="L13" s="19">
        <f t="shared" si="1"/>
        <v>-241813.50453172147</v>
      </c>
      <c r="M13" s="19">
        <f t="shared" si="1"/>
        <v>-259949.51737160061</v>
      </c>
      <c r="N13" s="19">
        <f t="shared" si="1"/>
        <v>-279445.73117447062</v>
      </c>
      <c r="O13" s="19">
        <f t="shared" si="1"/>
        <v>-300404.16101255594</v>
      </c>
      <c r="P13" s="19">
        <f t="shared" si="1"/>
        <v>-322934.47308849765</v>
      </c>
      <c r="Q13" s="19">
        <f t="shared" si="1"/>
        <v>-347154.55857013492</v>
      </c>
      <c r="R13" s="19">
        <f t="shared" si="1"/>
        <v>-373191.15046289511</v>
      </c>
      <c r="S13" s="19">
        <f t="shared" si="1"/>
        <v>-401180.48674761219</v>
      </c>
      <c r="T13" s="19">
        <f t="shared" si="1"/>
        <v>-431269.02325368312</v>
      </c>
      <c r="U13" s="19">
        <f t="shared" si="1"/>
        <v>-463614.19999770931</v>
      </c>
      <c r="V13" s="19">
        <f t="shared" si="1"/>
        <v>-498385.26499753754</v>
      </c>
      <c r="W13" s="19">
        <f t="shared" si="1"/>
        <v>-535764.15987235284</v>
      </c>
      <c r="X13" s="19">
        <f t="shared" si="1"/>
        <v>-575946.47186277923</v>
      </c>
      <c r="Y13" s="19">
        <f t="shared" si="1"/>
        <v>-619142.45725248777</v>
      </c>
      <c r="Z13" s="19">
        <f t="shared" si="1"/>
        <v>-665578.14154642425</v>
      </c>
      <c r="AA13" s="19">
        <f t="shared" si="1"/>
        <v>-715496.5021624061</v>
      </c>
      <c r="AB13" s="19">
        <f t="shared" si="1"/>
        <v>-769158.73982458655</v>
      </c>
      <c r="AC13" s="19">
        <f t="shared" si="1"/>
        <v>-826845.64531143056</v>
      </c>
    </row>
    <row r="14" spans="1:29" x14ac:dyDescent="0.35">
      <c r="C14" s="19" t="s">
        <v>39</v>
      </c>
      <c r="D14" s="19"/>
      <c r="E14" s="19">
        <f>-E12*$D$10</f>
        <v>-743104.79375000007</v>
      </c>
      <c r="F14" s="19">
        <f t="shared" ref="F14:AC14" si="2">-F12*$D$10</f>
        <v>-732173.22312801599</v>
      </c>
      <c r="G14" s="19">
        <f t="shared" si="2"/>
        <v>-720421.78470938315</v>
      </c>
      <c r="H14" s="19">
        <f t="shared" si="2"/>
        <v>-707788.98840935284</v>
      </c>
      <c r="I14" s="19">
        <f t="shared" si="2"/>
        <v>-694208.73238682013</v>
      </c>
      <c r="J14" s="19">
        <f t="shared" si="2"/>
        <v>-679609.95716259757</v>
      </c>
      <c r="K14" s="19">
        <f t="shared" si="2"/>
        <v>-663916.27379655826</v>
      </c>
      <c r="L14" s="19">
        <f t="shared" si="2"/>
        <v>-647045.56417806621</v>
      </c>
      <c r="M14" s="19">
        <f t="shared" si="2"/>
        <v>-628909.55133818707</v>
      </c>
      <c r="N14" s="19">
        <f t="shared" si="2"/>
        <v>-609413.33753531706</v>
      </c>
      <c r="O14" s="19">
        <f t="shared" si="2"/>
        <v>-588454.90769723174</v>
      </c>
      <c r="P14" s="19">
        <f t="shared" si="2"/>
        <v>-565924.59562129003</v>
      </c>
      <c r="Q14" s="19">
        <f t="shared" si="2"/>
        <v>-541704.51013965276</v>
      </c>
      <c r="R14" s="19">
        <f t="shared" si="2"/>
        <v>-515667.91824689257</v>
      </c>
      <c r="S14" s="19">
        <f t="shared" si="2"/>
        <v>-487678.58196217549</v>
      </c>
      <c r="T14" s="19">
        <f t="shared" si="2"/>
        <v>-457590.04545610456</v>
      </c>
      <c r="U14" s="19">
        <f t="shared" si="2"/>
        <v>-425244.86871207837</v>
      </c>
      <c r="V14" s="19">
        <f t="shared" si="2"/>
        <v>-390473.80371225014</v>
      </c>
      <c r="W14" s="19">
        <f t="shared" si="2"/>
        <v>-353094.90883743489</v>
      </c>
      <c r="X14" s="19">
        <f t="shared" si="2"/>
        <v>-312912.59684700839</v>
      </c>
      <c r="Y14" s="19">
        <f t="shared" si="2"/>
        <v>-269716.61145729996</v>
      </c>
      <c r="Z14" s="19">
        <f t="shared" si="2"/>
        <v>-223280.92716336341</v>
      </c>
      <c r="AA14" s="19">
        <f t="shared" si="2"/>
        <v>-173362.56654738158</v>
      </c>
      <c r="AB14" s="19">
        <f t="shared" si="2"/>
        <v>-119700.3288852011</v>
      </c>
      <c r="AC14" s="19">
        <f t="shared" si="2"/>
        <v>-62013.423398357118</v>
      </c>
    </row>
    <row r="15" spans="1:29" x14ac:dyDescent="0.35">
      <c r="C15" s="19" t="s">
        <v>37</v>
      </c>
      <c r="D15" s="19"/>
      <c r="E15" s="20">
        <f>E12+E13</f>
        <v>9762309.6417068802</v>
      </c>
      <c r="F15" s="20">
        <f t="shared" ref="F15:AC15" si="3">F12+F13</f>
        <v>9605623.7961251084</v>
      </c>
      <c r="G15" s="20">
        <f t="shared" si="3"/>
        <v>9437186.5121247042</v>
      </c>
      <c r="H15" s="20">
        <f t="shared" si="3"/>
        <v>9256116.4318242688</v>
      </c>
      <c r="I15" s="20">
        <f t="shared" si="3"/>
        <v>9061466.0955013018</v>
      </c>
      <c r="J15" s="20">
        <f t="shared" si="3"/>
        <v>8852216.9839541111</v>
      </c>
      <c r="K15" s="20">
        <f t="shared" si="3"/>
        <v>8627274.1890408825</v>
      </c>
      <c r="L15" s="20">
        <f t="shared" si="3"/>
        <v>8385460.6845091609</v>
      </c>
      <c r="M15" s="20">
        <f t="shared" si="3"/>
        <v>8125511.1671375604</v>
      </c>
      <c r="N15" s="20">
        <f t="shared" si="3"/>
        <v>7846065.4359630896</v>
      </c>
      <c r="O15" s="20">
        <f t="shared" si="3"/>
        <v>7545661.2749505341</v>
      </c>
      <c r="P15" s="20">
        <f t="shared" si="3"/>
        <v>7222726.8018620368</v>
      </c>
      <c r="Q15" s="20">
        <f t="shared" si="3"/>
        <v>6875572.2432919014</v>
      </c>
      <c r="R15" s="20">
        <f t="shared" si="3"/>
        <v>6502381.0928290067</v>
      </c>
      <c r="S15" s="20">
        <f t="shared" si="3"/>
        <v>6101200.6060813945</v>
      </c>
      <c r="T15" s="20">
        <f t="shared" si="3"/>
        <v>5669931.5828277115</v>
      </c>
      <c r="U15" s="20">
        <f t="shared" si="3"/>
        <v>5206317.3828300023</v>
      </c>
      <c r="V15" s="20">
        <f t="shared" si="3"/>
        <v>4707932.1178324651</v>
      </c>
      <c r="W15" s="20">
        <f t="shared" si="3"/>
        <v>4172167.957960112</v>
      </c>
      <c r="X15" s="20">
        <f t="shared" si="3"/>
        <v>3596221.486097333</v>
      </c>
      <c r="Y15" s="20">
        <f t="shared" si="3"/>
        <v>2977079.0288448455</v>
      </c>
      <c r="Z15" s="20">
        <f t="shared" si="3"/>
        <v>2311500.887298421</v>
      </c>
      <c r="AA15" s="20">
        <f t="shared" si="3"/>
        <v>1596004.3851360148</v>
      </c>
      <c r="AB15" s="20">
        <f t="shared" si="3"/>
        <v>826845.64531142823</v>
      </c>
      <c r="AC15" s="20">
        <f t="shared" si="3"/>
        <v>-2.3283064365386963E-9</v>
      </c>
    </row>
    <row r="16" spans="1:29" x14ac:dyDescent="0.35">
      <c r="C16" s="19"/>
      <c r="D16" s="19"/>
      <c r="E16" s="19">
        <f>PMT(D10,25,D9)</f>
        <v>-888859.06870978768</v>
      </c>
      <c r="F16" s="19">
        <f>E16</f>
        <v>-888859.06870978768</v>
      </c>
      <c r="G16" s="19">
        <f t="shared" ref="G16:AC16" si="4">F16</f>
        <v>-888859.06870978768</v>
      </c>
      <c r="H16" s="19">
        <f t="shared" si="4"/>
        <v>-888859.06870978768</v>
      </c>
      <c r="I16" s="19">
        <f t="shared" si="4"/>
        <v>-888859.06870978768</v>
      </c>
      <c r="J16" s="19">
        <f t="shared" si="4"/>
        <v>-888859.06870978768</v>
      </c>
      <c r="K16" s="19">
        <f t="shared" si="4"/>
        <v>-888859.06870978768</v>
      </c>
      <c r="L16" s="19">
        <f t="shared" si="4"/>
        <v>-888859.06870978768</v>
      </c>
      <c r="M16" s="19">
        <f t="shared" si="4"/>
        <v>-888859.06870978768</v>
      </c>
      <c r="N16" s="19">
        <f t="shared" si="4"/>
        <v>-888859.06870978768</v>
      </c>
      <c r="O16" s="19">
        <f t="shared" si="4"/>
        <v>-888859.06870978768</v>
      </c>
      <c r="P16" s="19">
        <f t="shared" si="4"/>
        <v>-888859.06870978768</v>
      </c>
      <c r="Q16" s="19">
        <f t="shared" si="4"/>
        <v>-888859.06870978768</v>
      </c>
      <c r="R16" s="19">
        <f t="shared" si="4"/>
        <v>-888859.06870978768</v>
      </c>
      <c r="S16" s="19">
        <f t="shared" si="4"/>
        <v>-888859.06870978768</v>
      </c>
      <c r="T16" s="19">
        <f t="shared" si="4"/>
        <v>-888859.06870978768</v>
      </c>
      <c r="U16" s="19">
        <f t="shared" si="4"/>
        <v>-888859.06870978768</v>
      </c>
      <c r="V16" s="19">
        <f t="shared" si="4"/>
        <v>-888859.06870978768</v>
      </c>
      <c r="W16" s="19">
        <f t="shared" si="4"/>
        <v>-888859.06870978768</v>
      </c>
      <c r="X16" s="19">
        <f t="shared" si="4"/>
        <v>-888859.06870978768</v>
      </c>
      <c r="Y16" s="19">
        <f t="shared" si="4"/>
        <v>-888859.06870978768</v>
      </c>
      <c r="Z16" s="19">
        <f t="shared" si="4"/>
        <v>-888859.06870978768</v>
      </c>
      <c r="AA16" s="19">
        <f t="shared" si="4"/>
        <v>-888859.06870978768</v>
      </c>
      <c r="AB16" s="19">
        <f t="shared" si="4"/>
        <v>-888859.06870978768</v>
      </c>
      <c r="AC16" s="19">
        <f t="shared" si="4"/>
        <v>-888859.06870978768</v>
      </c>
    </row>
    <row r="17" spans="3:29" x14ac:dyDescent="0.35">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row>
    <row r="18" spans="3:29" x14ac:dyDescent="0.35">
      <c r="E18" s="4">
        <f>E16-E14</f>
        <v>-145754.27495978761</v>
      </c>
      <c r="F18" s="4">
        <f t="shared" ref="F18:P18" si="5">F13+-F16</f>
        <v>732173.22312801599</v>
      </c>
      <c r="G18" s="4">
        <f t="shared" si="5"/>
        <v>720421.78470938315</v>
      </c>
      <c r="H18" s="4">
        <f t="shared" si="5"/>
        <v>707788.98840935284</v>
      </c>
      <c r="I18" s="4">
        <f t="shared" si="5"/>
        <v>694208.73238682013</v>
      </c>
      <c r="J18" s="4">
        <f t="shared" si="5"/>
        <v>679609.95716259757</v>
      </c>
      <c r="K18" s="4">
        <f t="shared" si="5"/>
        <v>663916.27379655826</v>
      </c>
      <c r="L18" s="4">
        <f t="shared" si="5"/>
        <v>647045.56417806621</v>
      </c>
      <c r="M18" s="4">
        <f t="shared" si="5"/>
        <v>628909.55133818707</v>
      </c>
      <c r="N18" s="4">
        <f t="shared" si="5"/>
        <v>609413.33753531706</v>
      </c>
      <c r="O18" s="4">
        <f t="shared" si="5"/>
        <v>588454.90769723174</v>
      </c>
      <c r="P18" s="4">
        <f t="shared" si="5"/>
        <v>565924.59562129003</v>
      </c>
    </row>
  </sheetData>
  <sheetProtection algorithmName="SHA-512" hashValue="Ay1gIhzCYACpKTHyQGcPg0YNg1bWEcybhb/bkVMMD3vhLKPQLxd4KKYWFFzBz+ozX3Sz1wSqeHRx5zz8ACxgeg==" saltValue="zQw7CrL+o+34FJr0gbbTVg==" spinCount="100000" sheet="1" objects="1" scenarios="1" selectLockedCells="1" selectUnlockedCell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3DDD-5C2B-4983-A798-214F1DCDEA38}">
  <dimension ref="A1:AD46"/>
  <sheetViews>
    <sheetView topLeftCell="E1" workbookViewId="0">
      <selection activeCell="D8" sqref="D8"/>
    </sheetView>
  </sheetViews>
  <sheetFormatPr defaultColWidth="9.1796875" defaultRowHeight="13" x14ac:dyDescent="0.3"/>
  <cols>
    <col min="1" max="2" width="9.1796875" style="35"/>
    <col min="3" max="4" width="10.7265625" style="35" customWidth="1"/>
    <col min="5" max="5" width="9.81640625" style="35" bestFit="1" customWidth="1"/>
    <col min="6" max="6" width="10.7265625" style="35" customWidth="1"/>
    <col min="7" max="7" width="10" style="35" customWidth="1"/>
    <col min="8" max="8" width="9.81640625" style="35" customWidth="1"/>
    <col min="9" max="9" width="9.7265625" style="35" customWidth="1"/>
    <col min="10" max="11" width="10.26953125" style="35" customWidth="1"/>
    <col min="12" max="13" width="10" style="35" customWidth="1"/>
    <col min="14" max="14" width="10.1796875" style="35" customWidth="1"/>
    <col min="15" max="15" width="9.81640625" style="35" customWidth="1"/>
    <col min="16" max="16" width="10.26953125" style="35" customWidth="1"/>
    <col min="17" max="18" width="9.81640625" style="35" customWidth="1"/>
    <col min="19" max="19" width="10.453125" style="35" customWidth="1"/>
    <col min="20" max="21" width="10.1796875" style="35" customWidth="1"/>
    <col min="22" max="22" width="9.81640625" style="35" customWidth="1"/>
    <col min="23" max="23" width="9.7265625" style="35" customWidth="1"/>
    <col min="24" max="24" width="10" style="35" customWidth="1"/>
    <col min="25" max="28" width="10.453125" style="35" customWidth="1"/>
    <col min="29" max="29" width="9.1796875" style="35"/>
    <col min="30" max="30" width="11.1796875" style="35" bestFit="1" customWidth="1"/>
    <col min="31" max="16384" width="9.1796875" style="35"/>
  </cols>
  <sheetData>
    <row r="1" spans="1:30" x14ac:dyDescent="0.3">
      <c r="A1" s="33" t="s">
        <v>16</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row>
    <row r="2" spans="1:30" x14ac:dyDescent="0.3">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x14ac:dyDescent="0.3">
      <c r="A3" s="34"/>
      <c r="B3" s="34"/>
      <c r="C3" s="34"/>
      <c r="D3" s="423" t="s">
        <v>7</v>
      </c>
      <c r="E3" s="423"/>
      <c r="F3" s="423"/>
      <c r="G3" s="423"/>
      <c r="H3" s="423"/>
      <c r="I3" s="423"/>
      <c r="J3" s="423"/>
      <c r="K3" s="423"/>
      <c r="L3" s="423"/>
      <c r="M3" s="423"/>
      <c r="N3" s="423"/>
      <c r="O3" s="423"/>
      <c r="P3" s="423"/>
      <c r="Q3" s="423"/>
      <c r="R3" s="423"/>
      <c r="S3" s="423"/>
      <c r="T3" s="423"/>
      <c r="U3" s="423"/>
      <c r="V3" s="423"/>
      <c r="W3" s="423"/>
      <c r="X3" s="423"/>
      <c r="Y3" s="423"/>
      <c r="Z3" s="423"/>
      <c r="AA3" s="423"/>
      <c r="AB3" s="423"/>
      <c r="AC3" s="84"/>
      <c r="AD3" s="34"/>
    </row>
    <row r="4" spans="1:30" x14ac:dyDescent="0.3">
      <c r="A4" s="34"/>
      <c r="B4" s="34"/>
      <c r="C4" s="34" t="s">
        <v>7</v>
      </c>
      <c r="D4" s="37">
        <v>1</v>
      </c>
      <c r="E4" s="37">
        <v>2</v>
      </c>
      <c r="F4" s="37">
        <v>3</v>
      </c>
      <c r="G4" s="37">
        <v>4</v>
      </c>
      <c r="H4" s="37">
        <v>5</v>
      </c>
      <c r="I4" s="37">
        <v>6</v>
      </c>
      <c r="J4" s="37">
        <v>7</v>
      </c>
      <c r="K4" s="37">
        <v>8</v>
      </c>
      <c r="L4" s="37">
        <v>9</v>
      </c>
      <c r="M4" s="37">
        <v>10</v>
      </c>
      <c r="N4" s="37">
        <v>11</v>
      </c>
      <c r="O4" s="37">
        <v>12</v>
      </c>
      <c r="P4" s="37">
        <v>13</v>
      </c>
      <c r="Q4" s="37">
        <v>14</v>
      </c>
      <c r="R4" s="37">
        <v>15</v>
      </c>
      <c r="S4" s="37">
        <v>16</v>
      </c>
      <c r="T4" s="37">
        <v>17</v>
      </c>
      <c r="U4" s="37">
        <v>18</v>
      </c>
      <c r="V4" s="37">
        <v>19</v>
      </c>
      <c r="W4" s="37">
        <v>20</v>
      </c>
      <c r="X4" s="37">
        <v>21</v>
      </c>
      <c r="Y4" s="37">
        <v>22</v>
      </c>
      <c r="Z4" s="37">
        <v>23</v>
      </c>
      <c r="AA4" s="37">
        <v>24</v>
      </c>
      <c r="AB4" s="37">
        <v>25</v>
      </c>
      <c r="AC4" s="84"/>
      <c r="AD4" s="37" t="s">
        <v>46</v>
      </c>
    </row>
    <row r="5" spans="1:30" x14ac:dyDescent="0.3">
      <c r="A5" s="38"/>
      <c r="B5" s="38"/>
      <c r="C5" s="38"/>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3">
      <c r="A6" s="39" t="s">
        <v>17</v>
      </c>
      <c r="B6" s="34"/>
      <c r="C6" s="34"/>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x14ac:dyDescent="0.3">
      <c r="A7" s="34" t="s">
        <v>3</v>
      </c>
      <c r="B7" s="34"/>
      <c r="C7" s="34"/>
      <c r="D7" s="40">
        <f>'100% Wind Summary'!M5*'100% Wind Summary'!M6/100</f>
        <v>840000</v>
      </c>
      <c r="E7" s="40">
        <f>D7*(1+'100% Wind Summary'!$R$12)*E44</f>
        <v>840000</v>
      </c>
      <c r="F7" s="40">
        <f>E7*(1+'100% Wind Summary'!$R$12)*F44</f>
        <v>840000</v>
      </c>
      <c r="G7" s="40">
        <f>F7*(1+'100% Wind Summary'!$R$12)*G44</f>
        <v>840000</v>
      </c>
      <c r="H7" s="40">
        <f>G7*(1+'100% Wind Summary'!$R$12)*H44</f>
        <v>840000</v>
      </c>
      <c r="I7" s="40">
        <f>H7*(1+'100% Wind Summary'!$R$12)*I44</f>
        <v>840000</v>
      </c>
      <c r="J7" s="40">
        <f>I7*(1+'100% Wind Summary'!$R$12)*J44</f>
        <v>840000</v>
      </c>
      <c r="K7" s="40">
        <f>J7*(1+'100% Wind Summary'!$R$12)*K44</f>
        <v>840000</v>
      </c>
      <c r="L7" s="40">
        <f>K7*(1+'100% Wind Summary'!$R$12)*L44</f>
        <v>840000</v>
      </c>
      <c r="M7" s="40">
        <f>L7*(1+'100% Wind Summary'!$R$12)*M44</f>
        <v>840000</v>
      </c>
      <c r="N7" s="40">
        <f>M7*(1+'100% Wind Summary'!$R$12)*N44</f>
        <v>840000</v>
      </c>
      <c r="O7" s="40">
        <f>N7*(1+'100% Wind Summary'!$R$12)*O44</f>
        <v>840000</v>
      </c>
      <c r="P7" s="40">
        <f>O7*(1+'100% Wind Summary'!$R$12)*P44</f>
        <v>840000</v>
      </c>
      <c r="Q7" s="40">
        <f>P7*(1+'100% Wind Summary'!$R$12)*Q44</f>
        <v>840000</v>
      </c>
      <c r="R7" s="40">
        <f>Q7*(1+'100% Wind Summary'!$R$12)*R44</f>
        <v>840000</v>
      </c>
      <c r="S7" s="40">
        <f>R7*(1+'100% Wind Summary'!$R$12)*S44</f>
        <v>840000</v>
      </c>
      <c r="T7" s="40">
        <f>S7*(1+'100% Wind Summary'!$R$12)*T44</f>
        <v>840000</v>
      </c>
      <c r="U7" s="40">
        <f>T7*(1+'100% Wind Summary'!$R$12)*U44</f>
        <v>840000</v>
      </c>
      <c r="V7" s="40">
        <f>U7*(1+'100% Wind Summary'!$R$12)*V44</f>
        <v>840000</v>
      </c>
      <c r="W7" s="40">
        <f>V7*(1+'100% Wind Summary'!$R$12)*W44</f>
        <v>840000</v>
      </c>
      <c r="X7" s="40">
        <f>W7*(1+'100% Wind Summary'!$R$12)*X44</f>
        <v>840000</v>
      </c>
      <c r="Y7" s="40">
        <f>X7*(1+'100% Wind Summary'!$R$12)*Y44</f>
        <v>840000</v>
      </c>
      <c r="Z7" s="40">
        <f>Y7*(1+'100% Wind Summary'!$R$12)*Z44</f>
        <v>840000</v>
      </c>
      <c r="AA7" s="40">
        <f>Z7*(1+'100% Wind Summary'!$R$12)*AA44</f>
        <v>840000</v>
      </c>
      <c r="AB7" s="40">
        <f>AA7*(1+'100% Wind Summary'!$R$12)*AB44</f>
        <v>840000</v>
      </c>
      <c r="AC7" s="40"/>
      <c r="AD7" s="40">
        <f>SUM(D7:AC7)</f>
        <v>21000000</v>
      </c>
    </row>
    <row r="8" spans="1:30" x14ac:dyDescent="0.3">
      <c r="A8" s="34" t="s">
        <v>23</v>
      </c>
      <c r="B8" s="34"/>
      <c r="C8" s="34"/>
      <c r="D8" s="47">
        <f>-IF('100% Wind Summary'!$M$18&gt;'Generation &amp; Ops Scenarios'!$H$45, ('100% Wind Summary'!$M$18-'Generation &amp; Ops Scenarios'!$H45)*'100% Wind Summary'!$H$23/100, 0)</f>
        <v>0</v>
      </c>
      <c r="E8" s="47">
        <f>-IF('100% Wind Summary'!$M$18&gt;'Generation &amp; Ops Scenarios'!$H$45, ('100% Wind Summary'!$M$18-'Generation &amp; Ops Scenarios'!$H45)*'100% Wind Summary'!$H$23/100, 0)</f>
        <v>0</v>
      </c>
      <c r="F8" s="47">
        <f>-IF('100% Wind Summary'!$M$18&gt;'Generation &amp; Ops Scenarios'!$H$45, ('100% Wind Summary'!$M$18-'Generation &amp; Ops Scenarios'!$H45)*'100% Wind Summary'!$H$23/100, 0)</f>
        <v>0</v>
      </c>
      <c r="G8" s="47">
        <f>-IF('100% Wind Summary'!$M$18&gt;'Generation &amp; Ops Scenarios'!$H$45, ('100% Wind Summary'!$M$18-'Generation &amp; Ops Scenarios'!$H45)*'100% Wind Summary'!$H$23/100, 0)</f>
        <v>0</v>
      </c>
      <c r="H8" s="47">
        <f>-IF('100% Wind Summary'!$M$18&gt;'Generation &amp; Ops Scenarios'!$H$45, ('100% Wind Summary'!$M$18-'Generation &amp; Ops Scenarios'!$H45)*'100% Wind Summary'!$H$23/100, 0)</f>
        <v>0</v>
      </c>
      <c r="I8" s="47">
        <f>-IF('100% Wind Summary'!$M$18&gt;'Generation &amp; Ops Scenarios'!$H$45, ('100% Wind Summary'!$M$18-'Generation &amp; Ops Scenarios'!$H45)*'100% Wind Summary'!$H$23/100, 0)</f>
        <v>0</v>
      </c>
      <c r="J8" s="47">
        <f>-IF('100% Wind Summary'!$M$18&gt;'Generation &amp; Ops Scenarios'!$H$45, ('100% Wind Summary'!$M$18-'Generation &amp; Ops Scenarios'!$H45)*'100% Wind Summary'!$H$23/100, 0)</f>
        <v>0</v>
      </c>
      <c r="K8" s="47">
        <f>-IF('100% Wind Summary'!$M$18&gt;'Generation &amp; Ops Scenarios'!$H$45, ('100% Wind Summary'!$M$18-'Generation &amp; Ops Scenarios'!$H45)*'100% Wind Summary'!$H$23/100, 0)</f>
        <v>0</v>
      </c>
      <c r="L8" s="47">
        <f>-IF('100% Wind Summary'!$M$18&gt;'Generation &amp; Ops Scenarios'!$H$45, ('100% Wind Summary'!$M$18-'Generation &amp; Ops Scenarios'!$H45)*'100% Wind Summary'!$H$23/100, 0)</f>
        <v>0</v>
      </c>
      <c r="M8" s="47">
        <f>-IF('100% Wind Summary'!$M$18&gt;'Generation &amp; Ops Scenarios'!$H$45, ('100% Wind Summary'!$M$18-'Generation &amp; Ops Scenarios'!$H45)*'100% Wind Summary'!$H$23/100, 0)</f>
        <v>0</v>
      </c>
      <c r="N8" s="47">
        <f>-IF('100% Wind Summary'!$M$18&gt;'Generation &amp; Ops Scenarios'!$H$45, ('100% Wind Summary'!$M$18-'Generation &amp; Ops Scenarios'!$H45)*'100% Wind Summary'!$H$23/100, 0)</f>
        <v>0</v>
      </c>
      <c r="O8" s="47">
        <f>-IF('100% Wind Summary'!$M$18&gt;'Generation &amp; Ops Scenarios'!$H$45, ('100% Wind Summary'!$M$18-'Generation &amp; Ops Scenarios'!$H45)*'100% Wind Summary'!$H$23/100, 0)</f>
        <v>0</v>
      </c>
      <c r="P8" s="47">
        <f>-IF('100% Wind Summary'!$M$18&gt;'Generation &amp; Ops Scenarios'!$H$45, ('100% Wind Summary'!$M$18-'Generation &amp; Ops Scenarios'!$H45)*'100% Wind Summary'!$H$23/100, 0)</f>
        <v>0</v>
      </c>
      <c r="Q8" s="47">
        <f>-IF('100% Wind Summary'!$M$18&gt;'Generation &amp; Ops Scenarios'!$H$45, ('100% Wind Summary'!$M$18-'Generation &amp; Ops Scenarios'!$H45)*'100% Wind Summary'!$H$23/100, 0)</f>
        <v>0</v>
      </c>
      <c r="R8" s="47">
        <f>-IF('100% Wind Summary'!$M$18&gt;'Generation &amp; Ops Scenarios'!$H$45, ('100% Wind Summary'!$M$18-'Generation &amp; Ops Scenarios'!$H45)*'100% Wind Summary'!$H$23/100, 0)</f>
        <v>0</v>
      </c>
      <c r="S8" s="47">
        <f>-IF('100% Wind Summary'!$M$18&gt;'Generation &amp; Ops Scenarios'!$H$45, ('100% Wind Summary'!$M$18-'Generation &amp; Ops Scenarios'!$H45)*'100% Wind Summary'!$H$23/100, 0)</f>
        <v>0</v>
      </c>
      <c r="T8" s="47">
        <f>-IF('100% Wind Summary'!$M$18&gt;'Generation &amp; Ops Scenarios'!$H$45, ('100% Wind Summary'!$M$18-'Generation &amp; Ops Scenarios'!$H45)*'100% Wind Summary'!$H$23/100, 0)</f>
        <v>0</v>
      </c>
      <c r="U8" s="47">
        <f>-IF('100% Wind Summary'!$M$18&gt;'Generation &amp; Ops Scenarios'!$H$45, ('100% Wind Summary'!$M$18-'Generation &amp; Ops Scenarios'!$H45)*'100% Wind Summary'!$H$23/100, 0)</f>
        <v>0</v>
      </c>
      <c r="V8" s="47">
        <f>-IF('100% Wind Summary'!$M$18&gt;'Generation &amp; Ops Scenarios'!$H$45, ('100% Wind Summary'!$M$18-'Generation &amp; Ops Scenarios'!$H45)*'100% Wind Summary'!$H$23/100, 0)</f>
        <v>0</v>
      </c>
      <c r="W8" s="47">
        <f>-IF('100% Wind Summary'!$M$18&gt;'Generation &amp; Ops Scenarios'!$H$45, ('100% Wind Summary'!$M$18-'Generation &amp; Ops Scenarios'!$H45)*'100% Wind Summary'!$H$23/100, 0)</f>
        <v>0</v>
      </c>
      <c r="X8" s="47">
        <f>-IF('100% Wind Summary'!$M$18&gt;'Generation &amp; Ops Scenarios'!$H$45, ('100% Wind Summary'!$M$18-'Generation &amp; Ops Scenarios'!$H45)*'100% Wind Summary'!$H$23/100, 0)</f>
        <v>0</v>
      </c>
      <c r="Y8" s="47">
        <f>-IF('100% Wind Summary'!$M$18&gt;'Generation &amp; Ops Scenarios'!$H$45, ('100% Wind Summary'!$M$18-'Generation &amp; Ops Scenarios'!$H45)*'100% Wind Summary'!$H$23/100, 0)</f>
        <v>0</v>
      </c>
      <c r="Z8" s="47">
        <f>-IF('100% Wind Summary'!$M$18&gt;'Generation &amp; Ops Scenarios'!$H$45, ('100% Wind Summary'!$M$18-'Generation &amp; Ops Scenarios'!$H45)*'100% Wind Summary'!$H$23/100, 0)</f>
        <v>0</v>
      </c>
      <c r="AA8" s="47">
        <f>-IF('100% Wind Summary'!$M$18&gt;'Generation &amp; Ops Scenarios'!$H$45, ('100% Wind Summary'!$M$18-'Generation &amp; Ops Scenarios'!$H45)*'100% Wind Summary'!$H$23/100, 0)</f>
        <v>0</v>
      </c>
      <c r="AB8" s="47">
        <f>-IF('100% Wind Summary'!$M$18&gt;'Generation &amp; Ops Scenarios'!$H$45, ('100% Wind Summary'!$M$18-'Generation &amp; Ops Scenarios'!$H45)*'100% Wind Summary'!$H$23/100, 0)</f>
        <v>0</v>
      </c>
      <c r="AC8" s="40"/>
      <c r="AD8" s="40">
        <f>SUM(D8:AC8)</f>
        <v>0</v>
      </c>
    </row>
    <row r="9" spans="1:30" x14ac:dyDescent="0.3">
      <c r="A9" s="34" t="s">
        <v>24</v>
      </c>
      <c r="B9" s="34"/>
      <c r="C9" s="34"/>
      <c r="D9" s="40">
        <f>-'100% Wind Summary'!H16</f>
        <v>-374026.2391666667</v>
      </c>
      <c r="E9" s="40">
        <f>D9*E44</f>
        <v>-374026.2391666667</v>
      </c>
      <c r="F9" s="40">
        <f t="shared" ref="F9:AB9" si="0">E9*F44</f>
        <v>-374026.2391666667</v>
      </c>
      <c r="G9" s="40">
        <f t="shared" si="0"/>
        <v>-374026.2391666667</v>
      </c>
      <c r="H9" s="40">
        <f t="shared" si="0"/>
        <v>-374026.2391666667</v>
      </c>
      <c r="I9" s="40">
        <f t="shared" si="0"/>
        <v>-374026.2391666667</v>
      </c>
      <c r="J9" s="40">
        <f t="shared" si="0"/>
        <v>-374026.2391666667</v>
      </c>
      <c r="K9" s="40">
        <f t="shared" si="0"/>
        <v>-374026.2391666667</v>
      </c>
      <c r="L9" s="40">
        <f t="shared" si="0"/>
        <v>-374026.2391666667</v>
      </c>
      <c r="M9" s="40">
        <f t="shared" si="0"/>
        <v>-374026.2391666667</v>
      </c>
      <c r="N9" s="40">
        <f t="shared" si="0"/>
        <v>-374026.2391666667</v>
      </c>
      <c r="O9" s="40">
        <f t="shared" si="0"/>
        <v>-374026.2391666667</v>
      </c>
      <c r="P9" s="40">
        <f t="shared" si="0"/>
        <v>-374026.2391666667</v>
      </c>
      <c r="Q9" s="40">
        <f t="shared" si="0"/>
        <v>-374026.2391666667</v>
      </c>
      <c r="R9" s="40">
        <f t="shared" si="0"/>
        <v>-374026.2391666667</v>
      </c>
      <c r="S9" s="40">
        <f t="shared" si="0"/>
        <v>-374026.2391666667</v>
      </c>
      <c r="T9" s="40">
        <f t="shared" si="0"/>
        <v>-374026.2391666667</v>
      </c>
      <c r="U9" s="40">
        <f t="shared" si="0"/>
        <v>-374026.2391666667</v>
      </c>
      <c r="V9" s="40">
        <f t="shared" si="0"/>
        <v>-374026.2391666667</v>
      </c>
      <c r="W9" s="40">
        <f t="shared" si="0"/>
        <v>-374026.2391666667</v>
      </c>
      <c r="X9" s="40">
        <f t="shared" si="0"/>
        <v>-374026.2391666667</v>
      </c>
      <c r="Y9" s="40">
        <f t="shared" si="0"/>
        <v>-374026.2391666667</v>
      </c>
      <c r="Z9" s="40">
        <f t="shared" si="0"/>
        <v>-374026.2391666667</v>
      </c>
      <c r="AA9" s="40">
        <f t="shared" si="0"/>
        <v>-374026.2391666667</v>
      </c>
      <c r="AB9" s="40">
        <f t="shared" si="0"/>
        <v>-374026.2391666667</v>
      </c>
      <c r="AC9" s="40"/>
      <c r="AD9" s="40"/>
    </row>
    <row r="10" spans="1:30" x14ac:dyDescent="0.3">
      <c r="A10" s="34"/>
      <c r="B10" s="34"/>
      <c r="C10" s="34"/>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0" x14ac:dyDescent="0.3">
      <c r="A11" s="34" t="s">
        <v>18</v>
      </c>
      <c r="B11" s="34"/>
      <c r="C11" s="34"/>
      <c r="D11" s="41">
        <f>SUM(D7:D10)</f>
        <v>465973.7608333333</v>
      </c>
      <c r="E11" s="41">
        <f>SUM(E7:E10)</f>
        <v>465973.7608333333</v>
      </c>
      <c r="F11" s="41">
        <f t="shared" ref="F11:AD11" si="1">SUM(F7:F10)</f>
        <v>465973.7608333333</v>
      </c>
      <c r="G11" s="41">
        <f t="shared" si="1"/>
        <v>465973.7608333333</v>
      </c>
      <c r="H11" s="41">
        <f t="shared" si="1"/>
        <v>465973.7608333333</v>
      </c>
      <c r="I11" s="41">
        <f t="shared" si="1"/>
        <v>465973.7608333333</v>
      </c>
      <c r="J11" s="41">
        <f t="shared" si="1"/>
        <v>465973.7608333333</v>
      </c>
      <c r="K11" s="41">
        <f t="shared" si="1"/>
        <v>465973.7608333333</v>
      </c>
      <c r="L11" s="41">
        <f t="shared" si="1"/>
        <v>465973.7608333333</v>
      </c>
      <c r="M11" s="41">
        <f t="shared" si="1"/>
        <v>465973.7608333333</v>
      </c>
      <c r="N11" s="41">
        <f t="shared" si="1"/>
        <v>465973.7608333333</v>
      </c>
      <c r="O11" s="41">
        <f t="shared" si="1"/>
        <v>465973.7608333333</v>
      </c>
      <c r="P11" s="41">
        <f t="shared" si="1"/>
        <v>465973.7608333333</v>
      </c>
      <c r="Q11" s="41">
        <f t="shared" si="1"/>
        <v>465973.7608333333</v>
      </c>
      <c r="R11" s="41">
        <f t="shared" si="1"/>
        <v>465973.7608333333</v>
      </c>
      <c r="S11" s="41">
        <f t="shared" si="1"/>
        <v>465973.7608333333</v>
      </c>
      <c r="T11" s="41">
        <f t="shared" si="1"/>
        <v>465973.7608333333</v>
      </c>
      <c r="U11" s="41">
        <f t="shared" si="1"/>
        <v>465973.7608333333</v>
      </c>
      <c r="V11" s="41">
        <f t="shared" si="1"/>
        <v>465973.7608333333</v>
      </c>
      <c r="W11" s="41">
        <f t="shared" si="1"/>
        <v>465973.7608333333</v>
      </c>
      <c r="X11" s="41">
        <f t="shared" si="1"/>
        <v>465973.7608333333</v>
      </c>
      <c r="Y11" s="41">
        <f t="shared" si="1"/>
        <v>465973.7608333333</v>
      </c>
      <c r="Z11" s="41">
        <f t="shared" si="1"/>
        <v>465973.7608333333</v>
      </c>
      <c r="AA11" s="41">
        <f t="shared" si="1"/>
        <v>465973.7608333333</v>
      </c>
      <c r="AB11" s="41">
        <f t="shared" si="1"/>
        <v>465973.7608333333</v>
      </c>
      <c r="AC11" s="40"/>
      <c r="AD11" s="41">
        <f t="shared" si="1"/>
        <v>21000000</v>
      </c>
    </row>
    <row r="12" spans="1:30" x14ac:dyDescent="0.3">
      <c r="A12" s="34"/>
      <c r="B12" s="34"/>
      <c r="C12" s="34"/>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row>
    <row r="13" spans="1:30" x14ac:dyDescent="0.3">
      <c r="A13" s="34" t="s">
        <v>19</v>
      </c>
      <c r="B13" s="34"/>
      <c r="C13" s="34"/>
      <c r="D13" s="40">
        <f>'100% Wind Interest Calculations'!E14</f>
        <v>-743104.79375000007</v>
      </c>
      <c r="E13" s="40">
        <f>'100% Wind Interest Calculations'!F14</f>
        <v>-732173.22312801599</v>
      </c>
      <c r="F13" s="40">
        <f>'100% Wind Interest Calculations'!G14</f>
        <v>-720421.78470938315</v>
      </c>
      <c r="G13" s="40">
        <f>'100% Wind Interest Calculations'!H14</f>
        <v>-707788.98840935284</v>
      </c>
      <c r="H13" s="40">
        <f>'100% Wind Interest Calculations'!I14</f>
        <v>-694208.73238682013</v>
      </c>
      <c r="I13" s="40">
        <f>'100% Wind Interest Calculations'!J14</f>
        <v>-679609.95716259757</v>
      </c>
      <c r="J13" s="40">
        <f>'100% Wind Interest Calculations'!K14</f>
        <v>-663916.27379655826</v>
      </c>
      <c r="K13" s="40">
        <f>'100% Wind Interest Calculations'!L14</f>
        <v>-647045.56417806621</v>
      </c>
      <c r="L13" s="40">
        <f>'100% Wind Interest Calculations'!M14</f>
        <v>-628909.55133818707</v>
      </c>
      <c r="M13" s="40">
        <f>'100% Wind Interest Calculations'!N14</f>
        <v>-609413.33753531706</v>
      </c>
      <c r="N13" s="40">
        <f>'100% Wind Interest Calculations'!O14</f>
        <v>-588454.90769723174</v>
      </c>
      <c r="O13" s="40">
        <f>'100% Wind Interest Calculations'!P14</f>
        <v>-565924.59562129003</v>
      </c>
      <c r="P13" s="40">
        <f>'100% Wind Interest Calculations'!Q14</f>
        <v>-541704.51013965276</v>
      </c>
      <c r="Q13" s="40">
        <f>'100% Wind Interest Calculations'!R14</f>
        <v>-515667.91824689257</v>
      </c>
      <c r="R13" s="40">
        <f>'100% Wind Interest Calculations'!S14</f>
        <v>-487678.58196217549</v>
      </c>
      <c r="S13" s="40">
        <f>'100% Wind Interest Calculations'!T14</f>
        <v>-457590.04545610456</v>
      </c>
      <c r="T13" s="40">
        <f>'100% Wind Interest Calculations'!U14</f>
        <v>-425244.86871207837</v>
      </c>
      <c r="U13" s="40">
        <f>'100% Wind Interest Calculations'!V14</f>
        <v>-390473.80371225014</v>
      </c>
      <c r="V13" s="40">
        <f>'100% Wind Interest Calculations'!W14</f>
        <v>-353094.90883743489</v>
      </c>
      <c r="W13" s="40">
        <f>'100% Wind Interest Calculations'!X14</f>
        <v>-312912.59684700839</v>
      </c>
      <c r="X13" s="40">
        <f>'100% Wind Interest Calculations'!Y14</f>
        <v>-269716.61145729996</v>
      </c>
      <c r="Y13" s="40">
        <f>'100% Wind Interest Calculations'!Z14</f>
        <v>-223280.92716336341</v>
      </c>
      <c r="Z13" s="40">
        <f>'100% Wind Interest Calculations'!AA14</f>
        <v>-173362.56654738158</v>
      </c>
      <c r="AA13" s="40">
        <f>'100% Wind Interest Calculations'!AB14</f>
        <v>-119700.3288852011</v>
      </c>
      <c r="AB13" s="40">
        <f>'100% Wind Interest Calculations'!AC14</f>
        <v>-62013.423398357118</v>
      </c>
      <c r="AC13" s="40"/>
      <c r="AD13" s="40">
        <f t="shared" ref="AD13" si="2">SUM(D13:AC13)</f>
        <v>-12313412.801078022</v>
      </c>
    </row>
    <row r="14" spans="1:30" x14ac:dyDescent="0.3">
      <c r="A14" s="34"/>
      <c r="B14" s="34"/>
      <c r="C14" s="34"/>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5" spans="1:30" x14ac:dyDescent="0.3">
      <c r="A15" s="34" t="s">
        <v>41</v>
      </c>
      <c r="B15" s="34"/>
      <c r="C15" s="34"/>
      <c r="D15" s="42">
        <f t="shared" ref="D15:AB15" si="3">SUM(D11:D14)</f>
        <v>-277131.03291666677</v>
      </c>
      <c r="E15" s="42">
        <f t="shared" si="3"/>
        <v>-266199.46229468269</v>
      </c>
      <c r="F15" s="42">
        <f t="shared" si="3"/>
        <v>-254448.02387604985</v>
      </c>
      <c r="G15" s="42">
        <f t="shared" si="3"/>
        <v>-241815.22757601953</v>
      </c>
      <c r="H15" s="42">
        <f t="shared" si="3"/>
        <v>-228234.97155348683</v>
      </c>
      <c r="I15" s="42">
        <f t="shared" si="3"/>
        <v>-213636.19632926426</v>
      </c>
      <c r="J15" s="42">
        <f t="shared" si="3"/>
        <v>-197942.51296322496</v>
      </c>
      <c r="K15" s="42">
        <f t="shared" si="3"/>
        <v>-181071.80334473291</v>
      </c>
      <c r="L15" s="42">
        <f t="shared" si="3"/>
        <v>-162935.79050485377</v>
      </c>
      <c r="M15" s="42">
        <f t="shared" si="3"/>
        <v>-143439.57670198375</v>
      </c>
      <c r="N15" s="42">
        <f t="shared" si="3"/>
        <v>-122481.14686389844</v>
      </c>
      <c r="O15" s="42">
        <f t="shared" si="3"/>
        <v>-99950.83478795673</v>
      </c>
      <c r="P15" s="42">
        <f t="shared" si="3"/>
        <v>-75730.749306319456</v>
      </c>
      <c r="Q15" s="42">
        <f t="shared" si="3"/>
        <v>-49694.157413559267</v>
      </c>
      <c r="R15" s="42">
        <f t="shared" si="3"/>
        <v>-21704.821128842188</v>
      </c>
      <c r="S15" s="42">
        <f t="shared" si="3"/>
        <v>8383.715377228742</v>
      </c>
      <c r="T15" s="42">
        <f t="shared" si="3"/>
        <v>40728.892121254932</v>
      </c>
      <c r="U15" s="42">
        <f t="shared" si="3"/>
        <v>75499.957121083164</v>
      </c>
      <c r="V15" s="42">
        <f t="shared" si="3"/>
        <v>112878.85199589841</v>
      </c>
      <c r="W15" s="42">
        <f t="shared" si="3"/>
        <v>153061.16398632491</v>
      </c>
      <c r="X15" s="42">
        <f t="shared" si="3"/>
        <v>196257.14937603334</v>
      </c>
      <c r="Y15" s="42">
        <f t="shared" si="3"/>
        <v>242692.8336699699</v>
      </c>
      <c r="Z15" s="42">
        <f t="shared" si="3"/>
        <v>292611.19428595173</v>
      </c>
      <c r="AA15" s="42">
        <f t="shared" si="3"/>
        <v>346273.43194813223</v>
      </c>
      <c r="AB15" s="42">
        <f t="shared" si="3"/>
        <v>403960.33743497619</v>
      </c>
      <c r="AC15" s="40"/>
      <c r="AD15" s="42">
        <f>SUM(AD11:AD14)</f>
        <v>8686587.1989219785</v>
      </c>
    </row>
    <row r="16" spans="1:30" x14ac:dyDescent="0.3">
      <c r="A16" s="34"/>
      <c r="B16" s="34"/>
      <c r="C16" s="34"/>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x14ac:dyDescent="0.3">
      <c r="A17" s="39" t="s">
        <v>20</v>
      </c>
      <c r="B17" s="34"/>
      <c r="C17" s="34"/>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row>
    <row r="18" spans="1:30" x14ac:dyDescent="0.3">
      <c r="A18" s="34" t="s">
        <v>21</v>
      </c>
      <c r="B18" s="34"/>
      <c r="C18" s="34"/>
      <c r="D18" s="40">
        <f>-'100% Wind Summary'!B22</f>
        <v>-9908063.9166666679</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f t="shared" ref="AD18:AD19" si="4">SUM(D18:AC18)</f>
        <v>-9908063.9166666679</v>
      </c>
    </row>
    <row r="19" spans="1:30" x14ac:dyDescent="0.3">
      <c r="A19" s="34" t="s">
        <v>40</v>
      </c>
      <c r="B19" s="34"/>
      <c r="C19" s="34"/>
      <c r="D19" s="40">
        <f>'100% Wind Interest Calculations'!D9</f>
        <v>9908063.9166666679</v>
      </c>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f t="shared" si="4"/>
        <v>9908063.9166666679</v>
      </c>
    </row>
    <row r="20" spans="1:30" x14ac:dyDescent="0.3">
      <c r="A20" s="34"/>
      <c r="B20" s="34"/>
      <c r="C20" s="34"/>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3">
      <c r="A21" s="34"/>
      <c r="B21" s="34"/>
      <c r="C21" s="34"/>
      <c r="D21" s="41">
        <f t="shared" ref="D21:AB21" si="5">SUM(D18:D20)</f>
        <v>0</v>
      </c>
      <c r="E21" s="41">
        <f t="shared" si="5"/>
        <v>0</v>
      </c>
      <c r="F21" s="41">
        <f t="shared" si="5"/>
        <v>0</v>
      </c>
      <c r="G21" s="41">
        <f t="shared" si="5"/>
        <v>0</v>
      </c>
      <c r="H21" s="41">
        <f t="shared" si="5"/>
        <v>0</v>
      </c>
      <c r="I21" s="41">
        <f t="shared" si="5"/>
        <v>0</v>
      </c>
      <c r="J21" s="41">
        <f t="shared" si="5"/>
        <v>0</v>
      </c>
      <c r="K21" s="41">
        <f t="shared" si="5"/>
        <v>0</v>
      </c>
      <c r="L21" s="41">
        <f t="shared" si="5"/>
        <v>0</v>
      </c>
      <c r="M21" s="41">
        <f t="shared" si="5"/>
        <v>0</v>
      </c>
      <c r="N21" s="41">
        <f t="shared" si="5"/>
        <v>0</v>
      </c>
      <c r="O21" s="41">
        <f t="shared" si="5"/>
        <v>0</v>
      </c>
      <c r="P21" s="41">
        <f t="shared" si="5"/>
        <v>0</v>
      </c>
      <c r="Q21" s="41">
        <f t="shared" si="5"/>
        <v>0</v>
      </c>
      <c r="R21" s="41">
        <f t="shared" si="5"/>
        <v>0</v>
      </c>
      <c r="S21" s="41">
        <f t="shared" si="5"/>
        <v>0</v>
      </c>
      <c r="T21" s="41">
        <f t="shared" si="5"/>
        <v>0</v>
      </c>
      <c r="U21" s="41">
        <f t="shared" si="5"/>
        <v>0</v>
      </c>
      <c r="V21" s="41">
        <f t="shared" si="5"/>
        <v>0</v>
      </c>
      <c r="W21" s="41">
        <f t="shared" si="5"/>
        <v>0</v>
      </c>
      <c r="X21" s="41">
        <f t="shared" si="5"/>
        <v>0</v>
      </c>
      <c r="Y21" s="41">
        <f t="shared" si="5"/>
        <v>0</v>
      </c>
      <c r="Z21" s="41">
        <f t="shared" si="5"/>
        <v>0</v>
      </c>
      <c r="AA21" s="41">
        <f t="shared" si="5"/>
        <v>0</v>
      </c>
      <c r="AB21" s="41">
        <f t="shared" si="5"/>
        <v>0</v>
      </c>
      <c r="AC21" s="40"/>
      <c r="AD21" s="41">
        <f>SUM(AD18:AD20)</f>
        <v>0</v>
      </c>
    </row>
    <row r="22" spans="1:30" x14ac:dyDescent="0.3">
      <c r="A22" s="34"/>
      <c r="B22" s="34"/>
      <c r="C22" s="34"/>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30" x14ac:dyDescent="0.3">
      <c r="A23" s="34" t="s">
        <v>22</v>
      </c>
      <c r="B23" s="34"/>
      <c r="C23" s="34"/>
      <c r="D23" s="40">
        <f>'100% Wind Interest Calculations'!E13</f>
        <v>-145754.27495978761</v>
      </c>
      <c r="E23" s="40">
        <f>'100% Wind Interest Calculations'!F13</f>
        <v>-156685.84558177169</v>
      </c>
      <c r="F23" s="40">
        <f>'100% Wind Interest Calculations'!G13</f>
        <v>-168437.28400040453</v>
      </c>
      <c r="G23" s="40">
        <f>'100% Wind Interest Calculations'!H13</f>
        <v>-181070.08030043484</v>
      </c>
      <c r="H23" s="40">
        <f>'100% Wind Interest Calculations'!I13</f>
        <v>-194650.33632296755</v>
      </c>
      <c r="I23" s="40">
        <f>'100% Wind Interest Calculations'!J13</f>
        <v>-209249.11154719011</v>
      </c>
      <c r="J23" s="40">
        <f>'100% Wind Interest Calculations'!K13</f>
        <v>-224942.79491322942</v>
      </c>
      <c r="K23" s="40">
        <f>'100% Wind Interest Calculations'!L13</f>
        <v>-241813.50453172147</v>
      </c>
      <c r="L23" s="40">
        <f>'100% Wind Interest Calculations'!M13</f>
        <v>-259949.51737160061</v>
      </c>
      <c r="M23" s="40">
        <f>'100% Wind Interest Calculations'!N13</f>
        <v>-279445.73117447062</v>
      </c>
      <c r="N23" s="40">
        <f>'100% Wind Interest Calculations'!O13</f>
        <v>-300404.16101255594</v>
      </c>
      <c r="O23" s="40">
        <f>'100% Wind Interest Calculations'!P13</f>
        <v>-322934.47308849765</v>
      </c>
      <c r="P23" s="40">
        <f>'100% Wind Interest Calculations'!Q13</f>
        <v>-347154.55857013492</v>
      </c>
      <c r="Q23" s="40">
        <f>'100% Wind Interest Calculations'!R13</f>
        <v>-373191.15046289511</v>
      </c>
      <c r="R23" s="40">
        <f>'100% Wind Interest Calculations'!S13</f>
        <v>-401180.48674761219</v>
      </c>
      <c r="S23" s="40">
        <f>'100% Wind Interest Calculations'!T13</f>
        <v>-431269.02325368312</v>
      </c>
      <c r="T23" s="40">
        <f>'100% Wind Interest Calculations'!U13</f>
        <v>-463614.19999770931</v>
      </c>
      <c r="U23" s="40">
        <f>'100% Wind Interest Calculations'!V13</f>
        <v>-498385.26499753754</v>
      </c>
      <c r="V23" s="40">
        <f>'100% Wind Interest Calculations'!W13</f>
        <v>-535764.15987235284</v>
      </c>
      <c r="W23" s="40">
        <f>'100% Wind Interest Calculations'!X13</f>
        <v>-575946.47186277923</v>
      </c>
      <c r="X23" s="40">
        <f>'100% Wind Interest Calculations'!Y13</f>
        <v>-619142.45725248777</v>
      </c>
      <c r="Y23" s="40">
        <f>'100% Wind Interest Calculations'!Z13</f>
        <v>-665578.14154642425</v>
      </c>
      <c r="Z23" s="40">
        <f>'100% Wind Interest Calculations'!AA13</f>
        <v>-715496.5021624061</v>
      </c>
      <c r="AA23" s="40">
        <f>'100% Wind Interest Calculations'!AB13</f>
        <v>-769158.73982458655</v>
      </c>
      <c r="AB23" s="40">
        <f>'100% Wind Interest Calculations'!AC13</f>
        <v>-826845.64531143056</v>
      </c>
      <c r="AC23" s="40"/>
      <c r="AD23" s="40">
        <f>SUM(D23:AC23)</f>
        <v>-9908063.9166666716</v>
      </c>
    </row>
    <row r="24" spans="1:30" x14ac:dyDescent="0.3">
      <c r="A24" s="34"/>
      <c r="B24" s="34"/>
      <c r="C24" s="34"/>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3">
      <c r="A25" s="34"/>
      <c r="B25" s="34"/>
      <c r="C25" s="34"/>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x14ac:dyDescent="0.3">
      <c r="A26" s="34" t="s">
        <v>42</v>
      </c>
      <c r="B26" s="34"/>
      <c r="C26" s="34"/>
      <c r="D26" s="41">
        <f t="shared" ref="D26:AB26" si="6">D15+D21+D23</f>
        <v>-422885.30787645438</v>
      </c>
      <c r="E26" s="41">
        <f t="shared" si="6"/>
        <v>-422885.30787645438</v>
      </c>
      <c r="F26" s="41">
        <f t="shared" si="6"/>
        <v>-422885.30787645438</v>
      </c>
      <c r="G26" s="41">
        <f t="shared" si="6"/>
        <v>-422885.30787645438</v>
      </c>
      <c r="H26" s="41">
        <f t="shared" si="6"/>
        <v>-422885.30787645438</v>
      </c>
      <c r="I26" s="41">
        <f t="shared" si="6"/>
        <v>-422885.30787645438</v>
      </c>
      <c r="J26" s="41">
        <f t="shared" si="6"/>
        <v>-422885.30787645438</v>
      </c>
      <c r="K26" s="41">
        <f t="shared" si="6"/>
        <v>-422885.30787645438</v>
      </c>
      <c r="L26" s="41">
        <f t="shared" si="6"/>
        <v>-422885.30787645438</v>
      </c>
      <c r="M26" s="41">
        <f t="shared" si="6"/>
        <v>-422885.30787645438</v>
      </c>
      <c r="N26" s="41">
        <f t="shared" si="6"/>
        <v>-422885.30787645438</v>
      </c>
      <c r="O26" s="41">
        <f t="shared" si="6"/>
        <v>-422885.30787645438</v>
      </c>
      <c r="P26" s="41">
        <f t="shared" si="6"/>
        <v>-422885.30787645438</v>
      </c>
      <c r="Q26" s="41">
        <f t="shared" si="6"/>
        <v>-422885.30787645438</v>
      </c>
      <c r="R26" s="41">
        <f t="shared" si="6"/>
        <v>-422885.30787645438</v>
      </c>
      <c r="S26" s="41">
        <f t="shared" si="6"/>
        <v>-422885.30787645438</v>
      </c>
      <c r="T26" s="41">
        <f t="shared" si="6"/>
        <v>-422885.30787645438</v>
      </c>
      <c r="U26" s="41">
        <f t="shared" si="6"/>
        <v>-422885.30787645438</v>
      </c>
      <c r="V26" s="41">
        <f t="shared" si="6"/>
        <v>-422885.30787645443</v>
      </c>
      <c r="W26" s="41">
        <f t="shared" si="6"/>
        <v>-422885.30787645432</v>
      </c>
      <c r="X26" s="41">
        <f t="shared" si="6"/>
        <v>-422885.30787645443</v>
      </c>
      <c r="Y26" s="41">
        <f t="shared" si="6"/>
        <v>-422885.30787645432</v>
      </c>
      <c r="Z26" s="41">
        <f t="shared" si="6"/>
        <v>-422885.30787645438</v>
      </c>
      <c r="AA26" s="41">
        <f t="shared" si="6"/>
        <v>-422885.30787645432</v>
      </c>
      <c r="AB26" s="41">
        <f t="shared" si="6"/>
        <v>-422885.30787645438</v>
      </c>
      <c r="AC26" s="40"/>
      <c r="AD26" s="41">
        <f>AD23+AD15</f>
        <v>-1221476.7177446932</v>
      </c>
    </row>
    <row r="27" spans="1:30" x14ac:dyDescent="0.3">
      <c r="A27" s="34"/>
      <c r="B27" s="34"/>
      <c r="C27" s="34"/>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3">
      <c r="A28" s="34" t="s">
        <v>43</v>
      </c>
      <c r="B28" s="34"/>
      <c r="C28" s="34"/>
      <c r="D28" s="40"/>
      <c r="E28" s="40">
        <f>D30</f>
        <v>-422885.30787645438</v>
      </c>
      <c r="F28" s="40">
        <f t="shared" ref="F28:AB28" si="7">E30</f>
        <v>-845770.61575290875</v>
      </c>
      <c r="G28" s="40">
        <f t="shared" si="7"/>
        <v>-1268655.9236293631</v>
      </c>
      <c r="H28" s="40">
        <f t="shared" si="7"/>
        <v>-1691541.2315058175</v>
      </c>
      <c r="I28" s="40">
        <f t="shared" si="7"/>
        <v>-2114426.5393822719</v>
      </c>
      <c r="J28" s="40">
        <f t="shared" si="7"/>
        <v>-2537311.8472587261</v>
      </c>
      <c r="K28" s="40">
        <f t="shared" si="7"/>
        <v>-2960197.1551351803</v>
      </c>
      <c r="L28" s="40">
        <f t="shared" si="7"/>
        <v>-3383082.4630116345</v>
      </c>
      <c r="M28" s="40">
        <f t="shared" si="7"/>
        <v>-3805967.7708880887</v>
      </c>
      <c r="N28" s="40">
        <f t="shared" si="7"/>
        <v>-4228853.0787645429</v>
      </c>
      <c r="O28" s="40">
        <f t="shared" si="7"/>
        <v>-4651738.3866409976</v>
      </c>
      <c r="P28" s="40">
        <f t="shared" si="7"/>
        <v>-5074623.6945174523</v>
      </c>
      <c r="Q28" s="40">
        <f t="shared" si="7"/>
        <v>-5497509.0023939069</v>
      </c>
      <c r="R28" s="40">
        <f t="shared" si="7"/>
        <v>-5920394.3102703616</v>
      </c>
      <c r="S28" s="40">
        <f t="shared" si="7"/>
        <v>-6343279.6181468163</v>
      </c>
      <c r="T28" s="40">
        <f t="shared" si="7"/>
        <v>-6766164.9260232709</v>
      </c>
      <c r="U28" s="40">
        <f t="shared" si="7"/>
        <v>-7189050.2338997256</v>
      </c>
      <c r="V28" s="40">
        <f t="shared" si="7"/>
        <v>-7611935.5417761803</v>
      </c>
      <c r="W28" s="40">
        <f t="shared" si="7"/>
        <v>-8034820.8496526349</v>
      </c>
      <c r="X28" s="40">
        <f t="shared" si="7"/>
        <v>-8457706.1575290896</v>
      </c>
      <c r="Y28" s="40">
        <f t="shared" si="7"/>
        <v>-8880591.4654055443</v>
      </c>
      <c r="Z28" s="40">
        <f t="shared" si="7"/>
        <v>-9303476.7732819989</v>
      </c>
      <c r="AA28" s="40">
        <f t="shared" si="7"/>
        <v>-9726362.0811584536</v>
      </c>
      <c r="AB28" s="40">
        <f t="shared" si="7"/>
        <v>-10149247.389034908</v>
      </c>
      <c r="AC28" s="40"/>
      <c r="AD28" s="40">
        <f>D28</f>
        <v>0</v>
      </c>
    </row>
    <row r="29" spans="1:30" x14ac:dyDescent="0.3">
      <c r="A29" s="34"/>
      <c r="B29" s="34"/>
      <c r="C29" s="34"/>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ht="13.5" thickBot="1" x14ac:dyDescent="0.35">
      <c r="A30" s="34" t="s">
        <v>44</v>
      </c>
      <c r="B30" s="34"/>
      <c r="C30" s="34"/>
      <c r="D30" s="43">
        <f>SUM(D26:D29)</f>
        <v>-422885.30787645438</v>
      </c>
      <c r="E30" s="43">
        <f>SUM(E26:E29)</f>
        <v>-845770.61575290875</v>
      </c>
      <c r="F30" s="43">
        <f t="shared" ref="F30:AD30" si="8">SUM(F26:F29)</f>
        <v>-1268655.9236293631</v>
      </c>
      <c r="G30" s="43">
        <f t="shared" si="8"/>
        <v>-1691541.2315058175</v>
      </c>
      <c r="H30" s="43">
        <f t="shared" si="8"/>
        <v>-2114426.5393822719</v>
      </c>
      <c r="I30" s="43">
        <f t="shared" si="8"/>
        <v>-2537311.8472587261</v>
      </c>
      <c r="J30" s="43">
        <f t="shared" si="8"/>
        <v>-2960197.1551351803</v>
      </c>
      <c r="K30" s="43">
        <f t="shared" si="8"/>
        <v>-3383082.4630116345</v>
      </c>
      <c r="L30" s="43">
        <f t="shared" si="8"/>
        <v>-3805967.7708880887</v>
      </c>
      <c r="M30" s="43">
        <f t="shared" si="8"/>
        <v>-4228853.0787645429</v>
      </c>
      <c r="N30" s="43">
        <f t="shared" si="8"/>
        <v>-4651738.3866409976</v>
      </c>
      <c r="O30" s="43">
        <f t="shared" si="8"/>
        <v>-5074623.6945174523</v>
      </c>
      <c r="P30" s="43">
        <f t="shared" si="8"/>
        <v>-5497509.0023939069</v>
      </c>
      <c r="Q30" s="43">
        <f t="shared" si="8"/>
        <v>-5920394.3102703616</v>
      </c>
      <c r="R30" s="43">
        <f t="shared" si="8"/>
        <v>-6343279.6181468163</v>
      </c>
      <c r="S30" s="43">
        <f t="shared" si="8"/>
        <v>-6766164.9260232709</v>
      </c>
      <c r="T30" s="43">
        <f t="shared" si="8"/>
        <v>-7189050.2338997256</v>
      </c>
      <c r="U30" s="43">
        <f t="shared" si="8"/>
        <v>-7611935.5417761803</v>
      </c>
      <c r="V30" s="43">
        <f t="shared" si="8"/>
        <v>-8034820.8496526349</v>
      </c>
      <c r="W30" s="43">
        <f t="shared" si="8"/>
        <v>-8457706.1575290896</v>
      </c>
      <c r="X30" s="43">
        <f t="shared" si="8"/>
        <v>-8880591.4654055443</v>
      </c>
      <c r="Y30" s="43">
        <f t="shared" si="8"/>
        <v>-9303476.7732819989</v>
      </c>
      <c r="Z30" s="43">
        <f t="shared" si="8"/>
        <v>-9726362.0811584536</v>
      </c>
      <c r="AA30" s="43">
        <f t="shared" si="8"/>
        <v>-10149247.389034908</v>
      </c>
      <c r="AB30" s="43">
        <f t="shared" si="8"/>
        <v>-10572132.696911363</v>
      </c>
      <c r="AC30" s="40"/>
      <c r="AD30" s="43">
        <f t="shared" si="8"/>
        <v>-1221476.7177446932</v>
      </c>
    </row>
    <row r="34" spans="1:28" x14ac:dyDescent="0.3">
      <c r="A34" s="35" t="s">
        <v>78</v>
      </c>
    </row>
    <row r="36" spans="1:28" x14ac:dyDescent="0.3">
      <c r="A36" s="35" t="s">
        <v>79</v>
      </c>
      <c r="D36" s="34">
        <f>D11</f>
        <v>465973.7608333333</v>
      </c>
      <c r="E36" s="34">
        <f t="shared" ref="E36:AB36" si="9">E11</f>
        <v>465973.7608333333</v>
      </c>
      <c r="F36" s="34">
        <f t="shared" si="9"/>
        <v>465973.7608333333</v>
      </c>
      <c r="G36" s="34">
        <f t="shared" si="9"/>
        <v>465973.7608333333</v>
      </c>
      <c r="H36" s="34">
        <f t="shared" si="9"/>
        <v>465973.7608333333</v>
      </c>
      <c r="I36" s="34">
        <f t="shared" si="9"/>
        <v>465973.7608333333</v>
      </c>
      <c r="J36" s="34">
        <f t="shared" si="9"/>
        <v>465973.7608333333</v>
      </c>
      <c r="K36" s="34">
        <f t="shared" si="9"/>
        <v>465973.7608333333</v>
      </c>
      <c r="L36" s="34">
        <f t="shared" si="9"/>
        <v>465973.7608333333</v>
      </c>
      <c r="M36" s="34">
        <f t="shared" si="9"/>
        <v>465973.7608333333</v>
      </c>
      <c r="N36" s="34">
        <f t="shared" si="9"/>
        <v>465973.7608333333</v>
      </c>
      <c r="O36" s="34">
        <f t="shared" si="9"/>
        <v>465973.7608333333</v>
      </c>
      <c r="P36" s="34">
        <f t="shared" si="9"/>
        <v>465973.7608333333</v>
      </c>
      <c r="Q36" s="34">
        <f t="shared" si="9"/>
        <v>465973.7608333333</v>
      </c>
      <c r="R36" s="34">
        <f t="shared" si="9"/>
        <v>465973.7608333333</v>
      </c>
      <c r="S36" s="34">
        <f t="shared" si="9"/>
        <v>465973.7608333333</v>
      </c>
      <c r="T36" s="34">
        <f t="shared" si="9"/>
        <v>465973.7608333333</v>
      </c>
      <c r="U36" s="34">
        <f t="shared" si="9"/>
        <v>465973.7608333333</v>
      </c>
      <c r="V36" s="34">
        <f t="shared" si="9"/>
        <v>465973.7608333333</v>
      </c>
      <c r="W36" s="34">
        <f t="shared" si="9"/>
        <v>465973.7608333333</v>
      </c>
      <c r="X36" s="34">
        <f t="shared" si="9"/>
        <v>465973.7608333333</v>
      </c>
      <c r="Y36" s="34">
        <f t="shared" si="9"/>
        <v>465973.7608333333</v>
      </c>
      <c r="Z36" s="34">
        <f t="shared" si="9"/>
        <v>465973.7608333333</v>
      </c>
      <c r="AA36" s="34">
        <f t="shared" si="9"/>
        <v>465973.7608333333</v>
      </c>
      <c r="AB36" s="34">
        <f t="shared" si="9"/>
        <v>465973.7608333333</v>
      </c>
    </row>
    <row r="37" spans="1:28" x14ac:dyDescent="0.3">
      <c r="A37" s="35" t="s">
        <v>80</v>
      </c>
      <c r="D37" s="34">
        <f>-D23-D13</f>
        <v>888859.06870978768</v>
      </c>
      <c r="E37" s="34">
        <f t="shared" ref="E37:AB37" si="10">-E23-E13</f>
        <v>888859.06870978768</v>
      </c>
      <c r="F37" s="34">
        <f t="shared" si="10"/>
        <v>888859.06870978768</v>
      </c>
      <c r="G37" s="34">
        <f t="shared" si="10"/>
        <v>888859.06870978768</v>
      </c>
      <c r="H37" s="34">
        <f t="shared" si="10"/>
        <v>888859.06870978768</v>
      </c>
      <c r="I37" s="34">
        <f t="shared" si="10"/>
        <v>888859.06870978768</v>
      </c>
      <c r="J37" s="34">
        <f t="shared" si="10"/>
        <v>888859.06870978768</v>
      </c>
      <c r="K37" s="34">
        <f t="shared" si="10"/>
        <v>888859.06870978768</v>
      </c>
      <c r="L37" s="34">
        <f t="shared" si="10"/>
        <v>888859.06870978768</v>
      </c>
      <c r="M37" s="34">
        <f t="shared" si="10"/>
        <v>888859.06870978768</v>
      </c>
      <c r="N37" s="34">
        <f t="shared" si="10"/>
        <v>888859.06870978768</v>
      </c>
      <c r="O37" s="34">
        <f t="shared" si="10"/>
        <v>888859.06870978768</v>
      </c>
      <c r="P37" s="34">
        <f t="shared" si="10"/>
        <v>888859.06870978768</v>
      </c>
      <c r="Q37" s="34">
        <f t="shared" si="10"/>
        <v>888859.06870978768</v>
      </c>
      <c r="R37" s="34">
        <f t="shared" si="10"/>
        <v>888859.06870978768</v>
      </c>
      <c r="S37" s="34">
        <f t="shared" si="10"/>
        <v>888859.06870978768</v>
      </c>
      <c r="T37" s="34">
        <f t="shared" si="10"/>
        <v>888859.06870978768</v>
      </c>
      <c r="U37" s="34">
        <f t="shared" si="10"/>
        <v>888859.06870978768</v>
      </c>
      <c r="V37" s="34">
        <f t="shared" si="10"/>
        <v>888859.06870978768</v>
      </c>
      <c r="W37" s="34">
        <f t="shared" si="10"/>
        <v>888859.06870978768</v>
      </c>
      <c r="X37" s="34">
        <f t="shared" si="10"/>
        <v>888859.06870978768</v>
      </c>
      <c r="Y37" s="34">
        <f t="shared" si="10"/>
        <v>888859.06870978768</v>
      </c>
      <c r="Z37" s="34">
        <f t="shared" si="10"/>
        <v>888859.06870978768</v>
      </c>
      <c r="AA37" s="34">
        <f t="shared" si="10"/>
        <v>888859.06870978768</v>
      </c>
      <c r="AB37" s="34">
        <f t="shared" si="10"/>
        <v>888859.06870978768</v>
      </c>
    </row>
    <row r="39" spans="1:28" x14ac:dyDescent="0.3">
      <c r="A39" s="35" t="s">
        <v>81</v>
      </c>
      <c r="D39" s="44">
        <f>D36/D37</f>
        <v>0.52423806791971161</v>
      </c>
      <c r="E39" s="44">
        <f t="shared" ref="E39:W39" si="11">E36/E37</f>
        <v>0.52423806791971161</v>
      </c>
      <c r="F39" s="44">
        <f t="shared" si="11"/>
        <v>0.52423806791971161</v>
      </c>
      <c r="G39" s="44">
        <f t="shared" si="11"/>
        <v>0.52423806791971161</v>
      </c>
      <c r="H39" s="44">
        <f t="shared" si="11"/>
        <v>0.52423806791971161</v>
      </c>
      <c r="I39" s="44">
        <f t="shared" si="11"/>
        <v>0.52423806791971161</v>
      </c>
      <c r="J39" s="44">
        <f t="shared" si="11"/>
        <v>0.52423806791971161</v>
      </c>
      <c r="K39" s="44">
        <f t="shared" si="11"/>
        <v>0.52423806791971161</v>
      </c>
      <c r="L39" s="44">
        <f t="shared" si="11"/>
        <v>0.52423806791971161</v>
      </c>
      <c r="M39" s="44">
        <f t="shared" si="11"/>
        <v>0.52423806791971161</v>
      </c>
      <c r="N39" s="44">
        <f t="shared" si="11"/>
        <v>0.52423806791971161</v>
      </c>
      <c r="O39" s="44">
        <f t="shared" si="11"/>
        <v>0.52423806791971161</v>
      </c>
      <c r="P39" s="44">
        <f t="shared" si="11"/>
        <v>0.52423806791971161</v>
      </c>
      <c r="Q39" s="44">
        <f t="shared" si="11"/>
        <v>0.52423806791971161</v>
      </c>
      <c r="R39" s="44">
        <f t="shared" si="11"/>
        <v>0.52423806791971161</v>
      </c>
      <c r="S39" s="44">
        <f t="shared" si="11"/>
        <v>0.52423806791971161</v>
      </c>
      <c r="T39" s="44">
        <f t="shared" si="11"/>
        <v>0.52423806791971161</v>
      </c>
      <c r="U39" s="44">
        <f t="shared" si="11"/>
        <v>0.52423806791971161</v>
      </c>
      <c r="V39" s="44">
        <f t="shared" si="11"/>
        <v>0.52423806791971161</v>
      </c>
      <c r="W39" s="44">
        <f t="shared" si="11"/>
        <v>0.52423806791971161</v>
      </c>
      <c r="X39" s="44"/>
      <c r="Y39" s="44"/>
      <c r="Z39" s="44"/>
      <c r="AA39" s="44"/>
      <c r="AB39" s="44"/>
    </row>
    <row r="43" spans="1:28" x14ac:dyDescent="0.3">
      <c r="A43" s="35" t="s">
        <v>192</v>
      </c>
    </row>
    <row r="44" spans="1:28" x14ac:dyDescent="0.3">
      <c r="A44" s="35" t="s">
        <v>193</v>
      </c>
      <c r="D44" s="85">
        <v>1</v>
      </c>
      <c r="E44" s="85">
        <f>D44+'100% Renewable Summary'!$R$10</f>
        <v>1</v>
      </c>
      <c r="F44" s="85">
        <f>E44+'100% Renewable Summary'!$R$10</f>
        <v>1</v>
      </c>
      <c r="G44" s="85">
        <f>F44+'100% Renewable Summary'!$R$10</f>
        <v>1</v>
      </c>
      <c r="H44" s="85">
        <f>G44+'100% Renewable Summary'!$R$10</f>
        <v>1</v>
      </c>
      <c r="I44" s="85">
        <f>H44+'100% Renewable Summary'!$R$10</f>
        <v>1</v>
      </c>
      <c r="J44" s="85">
        <f>I44+'100% Renewable Summary'!$R$10</f>
        <v>1</v>
      </c>
      <c r="K44" s="85">
        <f>J44+'100% Renewable Summary'!$R$10</f>
        <v>1</v>
      </c>
      <c r="L44" s="85">
        <f>K44+'100% Renewable Summary'!$R$10</f>
        <v>1</v>
      </c>
      <c r="M44" s="85">
        <f>L44+'100% Renewable Summary'!$R$10</f>
        <v>1</v>
      </c>
      <c r="N44" s="85">
        <f>M44+'100% Renewable Summary'!$R$10</f>
        <v>1</v>
      </c>
      <c r="O44" s="85">
        <f>N44+'100% Renewable Summary'!$R$10</f>
        <v>1</v>
      </c>
      <c r="P44" s="85">
        <f>O44+'100% Renewable Summary'!$R$10</f>
        <v>1</v>
      </c>
      <c r="Q44" s="85">
        <f>P44+'100% Renewable Summary'!$R$10</f>
        <v>1</v>
      </c>
      <c r="R44" s="85">
        <f>Q44+'100% Renewable Summary'!$R$10</f>
        <v>1</v>
      </c>
      <c r="S44" s="85">
        <f>R44+'100% Renewable Summary'!$R$10</f>
        <v>1</v>
      </c>
      <c r="T44" s="85">
        <f>S44+'100% Renewable Summary'!$R$10</f>
        <v>1</v>
      </c>
      <c r="U44" s="85">
        <f>T44+'100% Renewable Summary'!$R$10</f>
        <v>1</v>
      </c>
      <c r="V44" s="85">
        <f>U44+'100% Renewable Summary'!$R$10</f>
        <v>1</v>
      </c>
      <c r="W44" s="85">
        <f>V44+'100% Renewable Summary'!$R$10</f>
        <v>1</v>
      </c>
      <c r="X44" s="85">
        <f>W44+'100% Renewable Summary'!$R$10</f>
        <v>1</v>
      </c>
      <c r="Y44" s="85">
        <f>X44+'100% Renewable Summary'!$R$10</f>
        <v>1</v>
      </c>
      <c r="Z44" s="85">
        <f>Y44+'100% Renewable Summary'!$R$10</f>
        <v>1</v>
      </c>
      <c r="AA44" s="85">
        <f>Z44+'100% Renewable Summary'!$R$10</f>
        <v>1</v>
      </c>
      <c r="AB44" s="85">
        <f>AA44+'100% Renewable Summary'!$R$10</f>
        <v>1</v>
      </c>
    </row>
    <row r="45" spans="1:28" x14ac:dyDescent="0.3">
      <c r="A45" s="35" t="s">
        <v>4</v>
      </c>
      <c r="D45" s="85">
        <v>1</v>
      </c>
      <c r="E45" s="85">
        <f>D45+'100% Renewable Summary'!$R$11</f>
        <v>1</v>
      </c>
      <c r="F45" s="85">
        <f>E45+'100% Renewable Summary'!$R$11</f>
        <v>1</v>
      </c>
      <c r="G45" s="85">
        <f>F45+'100% Renewable Summary'!$R$11</f>
        <v>1</v>
      </c>
      <c r="H45" s="85">
        <f>G45+'100% Renewable Summary'!$R$11</f>
        <v>1</v>
      </c>
      <c r="I45" s="85">
        <f>H45+'100% Renewable Summary'!$R$11</f>
        <v>1</v>
      </c>
      <c r="J45" s="85">
        <f>I45+'100% Renewable Summary'!$R$11</f>
        <v>1</v>
      </c>
      <c r="K45" s="85">
        <f>J45+'100% Renewable Summary'!$R$11</f>
        <v>1</v>
      </c>
      <c r="L45" s="85">
        <f>K45+'100% Renewable Summary'!$R$11</f>
        <v>1</v>
      </c>
      <c r="M45" s="85">
        <f>L45+'100% Renewable Summary'!$R$11</f>
        <v>1</v>
      </c>
      <c r="N45" s="85">
        <f>M45+'100% Renewable Summary'!$R$11</f>
        <v>1</v>
      </c>
      <c r="O45" s="85">
        <f>N45+'100% Renewable Summary'!$R$11</f>
        <v>1</v>
      </c>
      <c r="P45" s="85">
        <f>O45+'100% Renewable Summary'!$R$11</f>
        <v>1</v>
      </c>
      <c r="Q45" s="85">
        <f>P45+'100% Renewable Summary'!$R$11</f>
        <v>1</v>
      </c>
      <c r="R45" s="85">
        <f>Q45+'100% Renewable Summary'!$R$11</f>
        <v>1</v>
      </c>
      <c r="S45" s="85">
        <f>R45+'100% Renewable Summary'!$R$11</f>
        <v>1</v>
      </c>
      <c r="T45" s="85">
        <f>S45+'100% Renewable Summary'!$R$11</f>
        <v>1</v>
      </c>
      <c r="U45" s="85">
        <f>T45+'100% Renewable Summary'!$R$11</f>
        <v>1</v>
      </c>
      <c r="V45" s="85">
        <f>U45+'100% Renewable Summary'!$R$11</f>
        <v>1</v>
      </c>
      <c r="W45" s="85">
        <f>V45+'100% Renewable Summary'!$R$11</f>
        <v>1</v>
      </c>
      <c r="X45" s="85">
        <f>W45+'100% Renewable Summary'!$R$11</f>
        <v>1</v>
      </c>
      <c r="Y45" s="85">
        <f>X45+'100% Renewable Summary'!$R$11</f>
        <v>1</v>
      </c>
      <c r="Z45" s="85">
        <f>Y45+'100% Renewable Summary'!$R$11</f>
        <v>1</v>
      </c>
      <c r="AA45" s="85">
        <f>Z45+'100% Renewable Summary'!$R$11</f>
        <v>1</v>
      </c>
      <c r="AB45" s="85">
        <f>AA45+'100% Renewable Summary'!$R$11</f>
        <v>1</v>
      </c>
    </row>
    <row r="46" spans="1:28" x14ac:dyDescent="0.3">
      <c r="A46" s="35" t="s">
        <v>163</v>
      </c>
      <c r="D46" s="85">
        <v>1</v>
      </c>
      <c r="E46" s="85">
        <f>D46+'100% Renewable Summary'!$R$12</f>
        <v>1</v>
      </c>
      <c r="F46" s="85">
        <f>E46+'100% Renewable Summary'!$R$12</f>
        <v>1</v>
      </c>
      <c r="G46" s="85">
        <f>F46+'100% Renewable Summary'!$R$12</f>
        <v>1</v>
      </c>
      <c r="H46" s="85">
        <f>G46+'100% Renewable Summary'!$R$12</f>
        <v>1</v>
      </c>
      <c r="I46" s="85">
        <f>H46+'100% Renewable Summary'!$R$12</f>
        <v>1</v>
      </c>
      <c r="J46" s="85">
        <f>I46+'100% Renewable Summary'!$R$12</f>
        <v>1</v>
      </c>
      <c r="K46" s="85">
        <f>J46+'100% Renewable Summary'!$R$12</f>
        <v>1</v>
      </c>
      <c r="L46" s="85">
        <f>K46+'100% Renewable Summary'!$R$12</f>
        <v>1</v>
      </c>
      <c r="M46" s="85">
        <f>L46+'100% Renewable Summary'!$R$12</f>
        <v>1</v>
      </c>
      <c r="N46" s="85">
        <f>M46+'100% Renewable Summary'!$R$12</f>
        <v>1</v>
      </c>
      <c r="O46" s="85">
        <f>N46+'100% Renewable Summary'!$R$12</f>
        <v>1</v>
      </c>
      <c r="P46" s="85">
        <f>O46+'100% Renewable Summary'!$R$12</f>
        <v>1</v>
      </c>
      <c r="Q46" s="85">
        <f>P46+'100% Renewable Summary'!$R$12</f>
        <v>1</v>
      </c>
      <c r="R46" s="85">
        <f>Q46+'100% Renewable Summary'!$R$12</f>
        <v>1</v>
      </c>
      <c r="S46" s="85">
        <f>R46+'100% Renewable Summary'!$R$12</f>
        <v>1</v>
      </c>
      <c r="T46" s="85">
        <f>S46+'100% Renewable Summary'!$R$12</f>
        <v>1</v>
      </c>
      <c r="U46" s="85">
        <f>T46+'100% Renewable Summary'!$R$12</f>
        <v>1</v>
      </c>
      <c r="V46" s="85">
        <f>U46+'100% Renewable Summary'!$R$12</f>
        <v>1</v>
      </c>
      <c r="W46" s="85">
        <f>V46+'100% Renewable Summary'!$R$12</f>
        <v>1</v>
      </c>
      <c r="X46" s="85">
        <f>W46+'100% Renewable Summary'!$R$12</f>
        <v>1</v>
      </c>
      <c r="Y46" s="85">
        <f>X46+'100% Renewable Summary'!$R$12</f>
        <v>1</v>
      </c>
      <c r="Z46" s="85">
        <f>Y46+'100% Renewable Summary'!$R$12</f>
        <v>1</v>
      </c>
      <c r="AA46" s="85">
        <f>Z46+'100% Renewable Summary'!$R$12</f>
        <v>1</v>
      </c>
      <c r="AB46" s="85">
        <f>AA46+'100% Renewable Summary'!$R$12</f>
        <v>1</v>
      </c>
    </row>
  </sheetData>
  <sheetProtection algorithmName="SHA-512" hashValue="a/NrYU08oQkhdnuyAHgr4A08DgMdMPiwDTqdc4Ca9XaxaJeclDZ6rI7gqvjHAq4KSnG+QL2lN3zEgsml7PfeMA==" saltValue="tjD7OF+KoMTalRZfY5DDBA==" spinCount="100000" sheet="1" objects="1" scenarios="1" selectLockedCells="1" selectUnlockedCells="1"/>
  <mergeCells count="1">
    <mergeCell ref="D3:A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43BF5-9C26-487E-9954-2F393465A1AC}">
  <sheetPr>
    <pageSetUpPr fitToPage="1"/>
  </sheetPr>
  <dimension ref="A1:Z65"/>
  <sheetViews>
    <sheetView topLeftCell="A4" zoomScale="89" zoomScaleNormal="89" workbookViewId="0">
      <selection activeCell="H15" sqref="H15"/>
    </sheetView>
  </sheetViews>
  <sheetFormatPr defaultColWidth="16.453125" defaultRowHeight="14.5" x14ac:dyDescent="0.35"/>
  <cols>
    <col min="1" max="1" width="39.54296875" style="89" customWidth="1"/>
    <col min="2" max="2" width="22.7265625" style="89" customWidth="1"/>
    <col min="3" max="3" width="11.1796875" style="90" customWidth="1"/>
    <col min="4" max="4" width="12.1796875" style="89" customWidth="1"/>
    <col min="5" max="5" width="15.453125" style="89" customWidth="1"/>
    <col min="6" max="6" width="10.81640625" style="89" customWidth="1"/>
    <col min="7" max="7" width="11.54296875" style="89" customWidth="1"/>
    <col min="8" max="9" width="14.26953125" style="89" customWidth="1"/>
    <col min="10" max="10" width="12" style="89" customWidth="1"/>
    <col min="11" max="11" width="13.7265625" style="89" customWidth="1"/>
    <col min="12" max="12" width="12.26953125" style="89" customWidth="1"/>
    <col min="13" max="13" width="10.81640625" style="89" customWidth="1"/>
    <col min="14" max="14" width="12" style="89" customWidth="1"/>
    <col min="15" max="15" width="10.81640625" style="89" customWidth="1"/>
    <col min="16" max="17" width="12.54296875" style="89" customWidth="1"/>
    <col min="18" max="18" width="11.54296875" style="89" customWidth="1"/>
    <col min="19" max="19" width="10.81640625" style="89" bestFit="1" customWidth="1"/>
    <col min="20" max="20" width="12.453125" style="89" customWidth="1"/>
    <col min="21" max="21" width="11.7265625" style="89" customWidth="1"/>
    <col min="22" max="16384" width="16.453125" style="89"/>
  </cols>
  <sheetData>
    <row r="1" spans="1:19" ht="21" x14ac:dyDescent="0.35">
      <c r="A1" s="326" t="s">
        <v>154</v>
      </c>
      <c r="B1" s="415" t="str">
        <f>'Generation &amp; Ops Scenarios'!B27</f>
        <v>100% Diesel (current)</v>
      </c>
      <c r="C1" s="416"/>
      <c r="D1" s="416"/>
    </row>
    <row r="2" spans="1:19" x14ac:dyDescent="0.35">
      <c r="A2" s="327" t="s">
        <v>152</v>
      </c>
      <c r="B2" s="328">
        <f>'Generation &amp; Ops Scenarios'!B35+'Generation &amp; Ops Scenarios'!B36+'Generation &amp; Ops Scenarios'!B37</f>
        <v>600</v>
      </c>
      <c r="C2" s="310"/>
      <c r="D2" s="310"/>
    </row>
    <row r="3" spans="1:19" ht="15" thickBot="1" x14ac:dyDescent="0.4"/>
    <row r="4" spans="1:19" ht="15" thickBot="1" x14ac:dyDescent="0.4">
      <c r="A4" s="417" t="s">
        <v>1</v>
      </c>
      <c r="B4" s="418"/>
      <c r="C4" s="89"/>
      <c r="D4" s="419" t="s">
        <v>2</v>
      </c>
      <c r="E4" s="420"/>
      <c r="F4" s="420"/>
      <c r="G4" s="420"/>
      <c r="H4" s="421"/>
      <c r="K4" s="419" t="s">
        <v>3</v>
      </c>
      <c r="L4" s="420"/>
      <c r="M4" s="421"/>
      <c r="P4" s="417" t="s">
        <v>77</v>
      </c>
      <c r="Q4" s="422"/>
      <c r="R4" s="418"/>
    </row>
    <row r="5" spans="1:19" x14ac:dyDescent="0.35">
      <c r="A5" s="89" t="s">
        <v>83</v>
      </c>
      <c r="B5" s="329">
        <f>'Generation &amp; Ops Scenarios'!B55</f>
        <v>90000</v>
      </c>
      <c r="C5" s="89"/>
      <c r="D5" s="413" t="s">
        <v>9</v>
      </c>
      <c r="E5" s="414"/>
      <c r="F5" s="161"/>
      <c r="G5" s="161"/>
      <c r="H5" s="311">
        <f>'Generation &amp; Ops Scenarios'!$D$13</f>
        <v>160000</v>
      </c>
      <c r="K5" s="295" t="s">
        <v>153</v>
      </c>
      <c r="L5" s="161"/>
      <c r="M5" s="56">
        <f>H21</f>
        <v>1400000</v>
      </c>
      <c r="P5" s="399" t="s">
        <v>25</v>
      </c>
      <c r="Q5" s="400"/>
      <c r="R5" s="86">
        <f>'Generation &amp; Ops Scenarios'!$B$11</f>
        <v>1</v>
      </c>
    </row>
    <row r="6" spans="1:19" x14ac:dyDescent="0.35">
      <c r="A6" s="89" t="s">
        <v>84</v>
      </c>
      <c r="B6" s="330">
        <f>'Generation &amp; Ops Scenarios'!B56</f>
        <v>0</v>
      </c>
      <c r="C6" s="89"/>
      <c r="D6" s="413" t="s">
        <v>10</v>
      </c>
      <c r="E6" s="414"/>
      <c r="F6" s="161"/>
      <c r="G6" s="161"/>
      <c r="H6" s="312">
        <f>'Generation &amp; Ops Scenarios'!$D$12</f>
        <v>40000</v>
      </c>
      <c r="K6" s="295" t="s">
        <v>15</v>
      </c>
      <c r="L6" s="313"/>
      <c r="M6" s="56">
        <f>'Generation &amp; Ops Scenarios'!B2</f>
        <v>60</v>
      </c>
      <c r="P6" s="399" t="s">
        <v>5</v>
      </c>
      <c r="Q6" s="400"/>
      <c r="R6" s="74">
        <f>'Generation &amp; Ops Scenarios'!B14</f>
        <v>7.4999999999999997E-2</v>
      </c>
    </row>
    <row r="7" spans="1:19" x14ac:dyDescent="0.35">
      <c r="A7" s="89" t="s">
        <v>85</v>
      </c>
      <c r="B7" s="330">
        <f>'Generation &amp; Ops Scenarios'!B57</f>
        <v>0</v>
      </c>
      <c r="C7" s="89"/>
      <c r="D7" s="413" t="s">
        <v>11</v>
      </c>
      <c r="E7" s="414"/>
      <c r="F7" s="161"/>
      <c r="G7" s="161"/>
      <c r="H7" s="300">
        <f>SUM(H5:H6)</f>
        <v>200000</v>
      </c>
      <c r="K7" s="295" t="s">
        <v>28</v>
      </c>
      <c r="L7" s="313"/>
      <c r="M7" s="314">
        <v>0</v>
      </c>
      <c r="P7" s="399" t="s">
        <v>26</v>
      </c>
      <c r="Q7" s="400"/>
      <c r="R7" s="87">
        <f>R5*B22</f>
        <v>2861023.916666667</v>
      </c>
    </row>
    <row r="8" spans="1:19" x14ac:dyDescent="0.35">
      <c r="A8" s="89" t="s">
        <v>86</v>
      </c>
      <c r="B8" s="330">
        <f>'Generation &amp; Ops Scenarios'!B58</f>
        <v>0</v>
      </c>
      <c r="C8" s="89"/>
      <c r="D8" s="413"/>
      <c r="E8" s="414"/>
      <c r="F8" s="161"/>
      <c r="G8" s="161"/>
      <c r="H8" s="300"/>
      <c r="K8" s="401" t="s">
        <v>72</v>
      </c>
      <c r="L8" s="402"/>
      <c r="M8" s="315">
        <f>'Generation &amp; Ops Scenarios'!$G$10</f>
        <v>0</v>
      </c>
      <c r="P8" s="399" t="s">
        <v>27</v>
      </c>
      <c r="Q8" s="400"/>
      <c r="R8" s="87">
        <f>'Generation &amp; Ops Scenarios'!$B$12</f>
        <v>25</v>
      </c>
    </row>
    <row r="9" spans="1:19" x14ac:dyDescent="0.35">
      <c r="A9" s="89" t="s">
        <v>87</v>
      </c>
      <c r="B9" s="330">
        <f>'Generation &amp; Ops Scenarios'!B59</f>
        <v>250000</v>
      </c>
      <c r="C9" s="89"/>
      <c r="D9" s="111" t="s">
        <v>103</v>
      </c>
      <c r="E9" s="161"/>
      <c r="F9" s="161"/>
      <c r="G9" s="161"/>
      <c r="H9" s="77">
        <f>B5*'Generation &amp; Ops Scenarios'!$B$20</f>
        <v>13500</v>
      </c>
      <c r="K9" s="401" t="s">
        <v>73</v>
      </c>
      <c r="L9" s="402"/>
      <c r="M9" s="315">
        <f>'Generation &amp; Ops Scenarios'!$G$11</f>
        <v>0</v>
      </c>
      <c r="P9" s="399" t="s">
        <v>53</v>
      </c>
      <c r="Q9" s="400"/>
      <c r="R9" s="87">
        <f>'Generation &amp; Ops Scenarios'!B13</f>
        <v>25</v>
      </c>
    </row>
    <row r="10" spans="1:19" x14ac:dyDescent="0.35">
      <c r="A10" s="89" t="s">
        <v>88</v>
      </c>
      <c r="B10" s="330">
        <f>SUM(B5:B9)*0.1</f>
        <v>34000</v>
      </c>
      <c r="C10" s="89"/>
      <c r="D10" s="111" t="s">
        <v>105</v>
      </c>
      <c r="E10" s="161"/>
      <c r="F10" s="161"/>
      <c r="G10" s="161"/>
      <c r="H10" s="77">
        <f>B7*'Generation &amp; Ops Scenarios'!$B$21</f>
        <v>0</v>
      </c>
      <c r="K10" s="401" t="s">
        <v>74</v>
      </c>
      <c r="L10" s="402"/>
      <c r="M10" s="315">
        <f>'Generation &amp; Ops Scenarios'!$G$12</f>
        <v>0</v>
      </c>
      <c r="P10" s="399" t="s">
        <v>56</v>
      </c>
      <c r="Q10" s="400"/>
      <c r="R10" s="74">
        <f>'Generation &amp; Ops Scenarios'!$G$16</f>
        <v>0</v>
      </c>
    </row>
    <row r="11" spans="1:19" ht="15" thickBot="1" x14ac:dyDescent="0.4">
      <c r="A11" s="89" t="s">
        <v>8</v>
      </c>
      <c r="B11" s="330">
        <f>SUM(B5:B10)*0.1</f>
        <v>37400</v>
      </c>
      <c r="C11" s="89"/>
      <c r="D11" s="111" t="s">
        <v>107</v>
      </c>
      <c r="E11" s="161"/>
      <c r="F11" s="161"/>
      <c r="G11" s="161"/>
      <c r="H11" s="77">
        <f>B6*'Generation &amp; Ops Scenarios'!$B$22</f>
        <v>0</v>
      </c>
      <c r="K11" s="411" t="s">
        <v>75</v>
      </c>
      <c r="L11" s="412"/>
      <c r="M11" s="316">
        <f>'Generation &amp; Ops Scenarios'!$G$13</f>
        <v>0</v>
      </c>
      <c r="P11" s="399" t="s">
        <v>55</v>
      </c>
      <c r="Q11" s="400"/>
      <c r="R11" s="74">
        <f>'Generation &amp; Ops Scenarios'!$G$17</f>
        <v>0</v>
      </c>
    </row>
    <row r="12" spans="1:19" ht="15" thickBot="1" x14ac:dyDescent="0.4">
      <c r="A12" s="89" t="s">
        <v>89</v>
      </c>
      <c r="B12" s="331">
        <f>SUM(B5:B11)</f>
        <v>411400</v>
      </c>
      <c r="C12" s="89"/>
      <c r="D12" s="111" t="s">
        <v>108</v>
      </c>
      <c r="E12" s="161"/>
      <c r="F12" s="161"/>
      <c r="G12" s="161"/>
      <c r="H12" s="77">
        <f>B8*'Generation &amp; Ops Scenarios'!B23</f>
        <v>0</v>
      </c>
      <c r="P12" s="403" t="s">
        <v>57</v>
      </c>
      <c r="Q12" s="404"/>
      <c r="R12" s="332">
        <f>'Generation &amp; Ops Scenarios'!$G$18</f>
        <v>0</v>
      </c>
    </row>
    <row r="13" spans="1:19" x14ac:dyDescent="0.35">
      <c r="B13" s="333"/>
      <c r="C13" s="89"/>
      <c r="D13" s="111" t="s">
        <v>109</v>
      </c>
      <c r="E13" s="161"/>
      <c r="F13" s="161"/>
      <c r="G13" s="161"/>
      <c r="H13" s="77">
        <f>B21*'Generation &amp; Ops Scenarios'!$B$24</f>
        <v>24496.23916666667</v>
      </c>
      <c r="K13" s="408" t="s">
        <v>230</v>
      </c>
      <c r="L13" s="409"/>
      <c r="M13" s="410"/>
    </row>
    <row r="14" spans="1:19" ht="15" thickBot="1" x14ac:dyDescent="0.4">
      <c r="A14" s="89" t="s">
        <v>166</v>
      </c>
      <c r="B14" s="330">
        <f>'Generation &amp; Ops Scenarios'!C64</f>
        <v>542630</v>
      </c>
      <c r="C14" s="89"/>
      <c r="D14" s="111" t="s">
        <v>162</v>
      </c>
      <c r="E14" s="161"/>
      <c r="F14" s="161"/>
      <c r="G14" s="161"/>
      <c r="H14" s="77">
        <f>'Generation &amp; Ops Scenarios'!B81*M5/100</f>
        <v>14000</v>
      </c>
      <c r="K14" s="405" t="s">
        <v>231</v>
      </c>
      <c r="L14" s="406"/>
      <c r="M14" s="407"/>
    </row>
    <row r="15" spans="1:19" x14ac:dyDescent="0.35">
      <c r="A15" s="89" t="s">
        <v>170</v>
      </c>
      <c r="B15" s="330">
        <f>'Generation &amp; Ops Scenarios'!C65</f>
        <v>359081.8</v>
      </c>
      <c r="C15" s="89"/>
      <c r="D15" s="111" t="s">
        <v>151</v>
      </c>
      <c r="E15" s="161"/>
      <c r="F15" s="161"/>
      <c r="G15" s="161"/>
      <c r="H15" s="56">
        <f>('Generation &amp; Ops Scenarios'!D15+('Generation &amp; Ops Scenarios'!D16*'Generation &amp; Ops Scenarios'!B37/100)+('Generation &amp; Ops Scenarios'!D17*'Generation &amp; Ops Scenarios'!B36/100))</f>
        <v>14000</v>
      </c>
      <c r="K15" s="292" t="s">
        <v>229</v>
      </c>
      <c r="L15" s="293"/>
      <c r="M15" s="294">
        <f>'Generation &amp; Ops Scenarios'!B48</f>
        <v>1492946.5240641711</v>
      </c>
    </row>
    <row r="16" spans="1:19" x14ac:dyDescent="0.35">
      <c r="A16" s="89" t="s">
        <v>175</v>
      </c>
      <c r="B16" s="330">
        <f>'Generation &amp; Ops Scenarios'!C66</f>
        <v>196652.5</v>
      </c>
      <c r="C16" s="89"/>
      <c r="D16" s="317" t="s">
        <v>14</v>
      </c>
      <c r="E16" s="318"/>
      <c r="F16" s="161"/>
      <c r="G16" s="161"/>
      <c r="H16" s="299">
        <f>SUM(H7:H15)</f>
        <v>265996.23916666664</v>
      </c>
      <c r="J16" s="161"/>
      <c r="K16" s="295" t="s">
        <v>232</v>
      </c>
      <c r="L16" s="163"/>
      <c r="M16" s="87">
        <f>'Generation &amp; Ops Scenarios'!B41+'Generation &amp; Ops Scenarios'!B43</f>
        <v>0</v>
      </c>
      <c r="N16" s="161"/>
      <c r="O16" s="161"/>
      <c r="P16" s="161"/>
      <c r="Q16" s="161"/>
      <c r="R16" s="161"/>
      <c r="S16" s="161"/>
    </row>
    <row r="17" spans="1:26" x14ac:dyDescent="0.35">
      <c r="A17" s="89" t="s">
        <v>174</v>
      </c>
      <c r="B17" s="330">
        <f>'Generation &amp; Ops Scenarios'!C67</f>
        <v>113166.53333333334</v>
      </c>
      <c r="C17" s="89"/>
      <c r="D17" s="319"/>
      <c r="E17" s="320"/>
      <c r="F17" s="161"/>
      <c r="G17" s="161"/>
      <c r="H17" s="300"/>
      <c r="J17" s="161"/>
      <c r="K17" s="295" t="s">
        <v>233</v>
      </c>
      <c r="L17" s="163"/>
      <c r="M17" s="87">
        <f>'Generation &amp; Ops Scenarios'!B41+'Generation &amp; Ops Scenarios'!B43</f>
        <v>0</v>
      </c>
      <c r="N17" s="161"/>
      <c r="O17" s="161"/>
      <c r="P17" s="161"/>
      <c r="Q17" s="161"/>
      <c r="R17" s="161"/>
      <c r="S17" s="161"/>
    </row>
    <row r="18" spans="1:26" ht="15" thickBot="1" x14ac:dyDescent="0.4">
      <c r="A18" s="89" t="s">
        <v>182</v>
      </c>
      <c r="B18" s="330">
        <f>'Generation &amp; Ops Scenarios'!C68</f>
        <v>855400</v>
      </c>
      <c r="C18" s="89"/>
      <c r="D18" s="317" t="s">
        <v>12</v>
      </c>
      <c r="E18" s="318"/>
      <c r="F18" s="161"/>
      <c r="G18" s="161"/>
      <c r="H18" s="301">
        <f>'Generation &amp; Ops Scenarios'!B17</f>
        <v>87</v>
      </c>
      <c r="J18" s="161"/>
      <c r="K18" s="296" t="s">
        <v>234</v>
      </c>
      <c r="L18" s="261"/>
      <c r="M18" s="297">
        <f>SUM(M15:M17)</f>
        <v>1492946.5240641711</v>
      </c>
      <c r="N18" s="161"/>
      <c r="O18" s="161"/>
      <c r="P18" s="161"/>
      <c r="Q18" s="161"/>
      <c r="R18" s="161"/>
      <c r="S18" s="161"/>
    </row>
    <row r="19" spans="1:26" x14ac:dyDescent="0.35">
      <c r="A19" s="89" t="s">
        <v>185</v>
      </c>
      <c r="B19" s="330">
        <f>'Generation &amp; Ops Scenarios'!C69</f>
        <v>160000</v>
      </c>
      <c r="C19" s="89"/>
      <c r="D19" s="317" t="s">
        <v>155</v>
      </c>
      <c r="E19" s="318"/>
      <c r="F19" s="161"/>
      <c r="G19" s="161"/>
      <c r="H19" s="302">
        <f>'Generation &amp; Ops Scenarios'!B18</f>
        <v>3.9583333333333335</v>
      </c>
      <c r="J19" s="161"/>
      <c r="K19" s="161"/>
      <c r="L19" s="161"/>
      <c r="M19" s="161"/>
      <c r="N19" s="161"/>
      <c r="O19" s="161"/>
      <c r="P19" s="161"/>
      <c r="Q19" s="161"/>
      <c r="R19" s="161"/>
      <c r="S19" s="161"/>
    </row>
    <row r="20" spans="1:26" x14ac:dyDescent="0.35">
      <c r="A20" s="89" t="s">
        <v>8</v>
      </c>
      <c r="B20" s="330">
        <f>SUM(B14:B19)*0.1</f>
        <v>222693.08333333337</v>
      </c>
      <c r="C20" s="89"/>
      <c r="D20" s="317"/>
      <c r="E20" s="318"/>
      <c r="F20" s="161"/>
      <c r="G20" s="161"/>
      <c r="H20" s="303"/>
      <c r="J20" s="161"/>
      <c r="K20" s="161"/>
      <c r="L20" s="161"/>
      <c r="M20" s="161"/>
      <c r="N20" s="161"/>
      <c r="O20" s="161"/>
      <c r="P20" s="161"/>
      <c r="Q20" s="161"/>
      <c r="R20" s="161"/>
      <c r="S20" s="161"/>
    </row>
    <row r="21" spans="1:26" x14ac:dyDescent="0.35">
      <c r="A21" s="89" t="s">
        <v>90</v>
      </c>
      <c r="B21" s="331">
        <f>SUM(B14:B20)</f>
        <v>2449623.916666667</v>
      </c>
      <c r="C21" s="89"/>
      <c r="D21" s="317" t="s">
        <v>13</v>
      </c>
      <c r="E21" s="318"/>
      <c r="F21" s="161"/>
      <c r="G21" s="161"/>
      <c r="H21" s="304">
        <f>'Generation &amp; Ops Scenarios'!B3</f>
        <v>1400000</v>
      </c>
      <c r="J21" s="161"/>
      <c r="K21" s="161"/>
      <c r="L21" s="161"/>
      <c r="M21" s="161"/>
      <c r="N21" s="161"/>
      <c r="O21" s="161"/>
      <c r="P21" s="161"/>
      <c r="Q21" s="161"/>
      <c r="R21" s="161"/>
      <c r="S21" s="161"/>
    </row>
    <row r="22" spans="1:26" ht="15" thickBot="1" x14ac:dyDescent="0.4">
      <c r="A22" s="108" t="s">
        <v>6</v>
      </c>
      <c r="B22" s="334">
        <f>B12+B21</f>
        <v>2861023.916666667</v>
      </c>
      <c r="C22" s="89"/>
      <c r="D22" s="317"/>
      <c r="E22" s="318"/>
      <c r="F22" s="161"/>
      <c r="G22" s="161"/>
      <c r="H22" s="305"/>
      <c r="J22" s="161"/>
      <c r="K22" s="161"/>
      <c r="L22" s="161"/>
      <c r="M22" s="161"/>
      <c r="N22" s="161"/>
      <c r="O22" s="161"/>
      <c r="P22" s="161"/>
      <c r="Q22" s="161"/>
      <c r="R22" s="161"/>
      <c r="S22" s="161"/>
    </row>
    <row r="23" spans="1:26" x14ac:dyDescent="0.35">
      <c r="A23" s="161"/>
      <c r="B23" s="335"/>
      <c r="C23" s="89"/>
      <c r="D23" s="322" t="s">
        <v>157</v>
      </c>
      <c r="E23" s="323"/>
      <c r="F23" s="161"/>
      <c r="G23" s="161"/>
      <c r="H23" s="290">
        <f>H18/H19</f>
        <v>21.978947368421053</v>
      </c>
      <c r="J23" s="161"/>
      <c r="K23" s="161"/>
      <c r="L23" s="161"/>
      <c r="M23" s="161"/>
      <c r="N23" s="161"/>
      <c r="O23" s="161"/>
      <c r="P23" s="161"/>
      <c r="Q23" s="161"/>
      <c r="R23" s="161"/>
      <c r="S23" s="161"/>
    </row>
    <row r="24" spans="1:26" ht="15" thickBot="1" x14ac:dyDescent="0.4">
      <c r="A24" s="161"/>
      <c r="B24" s="335"/>
      <c r="C24" s="89"/>
      <c r="D24" s="324" t="s">
        <v>235</v>
      </c>
      <c r="E24" s="325"/>
      <c r="F24" s="258"/>
      <c r="G24" s="258"/>
      <c r="H24" s="291">
        <f>H23*M18/H21</f>
        <v>23.438137911623979</v>
      </c>
      <c r="J24" s="161"/>
      <c r="K24" s="161"/>
      <c r="L24" s="161"/>
      <c r="M24" s="161"/>
      <c r="N24" s="161"/>
      <c r="O24" s="161"/>
      <c r="P24" s="161"/>
      <c r="Q24" s="161"/>
      <c r="R24" s="161"/>
      <c r="S24" s="161"/>
    </row>
    <row r="25" spans="1:26" x14ac:dyDescent="0.35">
      <c r="A25" s="161"/>
      <c r="B25" s="335"/>
      <c r="C25" s="89"/>
      <c r="D25" s="323"/>
      <c r="E25" s="336"/>
      <c r="F25" s="161"/>
      <c r="G25" s="161"/>
      <c r="H25" s="307"/>
      <c r="J25" s="161"/>
      <c r="K25" s="161"/>
      <c r="L25" s="161"/>
      <c r="M25" s="161"/>
      <c r="N25" s="161"/>
      <c r="O25" s="161"/>
      <c r="P25" s="161"/>
      <c r="Q25" s="161"/>
      <c r="R25" s="161"/>
      <c r="S25" s="161"/>
    </row>
    <row r="26" spans="1:26" ht="15" thickBot="1" x14ac:dyDescent="0.4"/>
    <row r="27" spans="1:26" ht="15" thickBot="1" x14ac:dyDescent="0.4">
      <c r="A27" s="165"/>
      <c r="B27" s="92" t="s">
        <v>7</v>
      </c>
      <c r="C27" s="93"/>
      <c r="D27" s="93"/>
      <c r="E27" s="93"/>
      <c r="F27" s="93"/>
      <c r="G27" s="93"/>
      <c r="H27" s="93"/>
      <c r="I27" s="93"/>
      <c r="J27" s="93"/>
      <c r="K27" s="93"/>
      <c r="L27" s="93"/>
      <c r="M27" s="93"/>
      <c r="N27" s="93"/>
      <c r="O27" s="93"/>
      <c r="P27" s="93"/>
      <c r="Q27" s="93"/>
      <c r="R27" s="93"/>
      <c r="S27" s="93"/>
      <c r="T27" s="93"/>
      <c r="U27" s="93"/>
      <c r="V27" s="93"/>
      <c r="W27" s="93"/>
      <c r="X27" s="93"/>
      <c r="Y27" s="93"/>
      <c r="Z27" s="94"/>
    </row>
    <row r="28" spans="1:26" x14ac:dyDescent="0.35">
      <c r="A28" s="111"/>
      <c r="B28" s="164">
        <v>1</v>
      </c>
      <c r="C28" s="164">
        <v>2</v>
      </c>
      <c r="D28" s="164">
        <v>3</v>
      </c>
      <c r="E28" s="164">
        <v>4</v>
      </c>
      <c r="F28" s="164">
        <v>5</v>
      </c>
      <c r="G28" s="164">
        <v>6</v>
      </c>
      <c r="H28" s="164">
        <v>7</v>
      </c>
      <c r="I28" s="164">
        <v>8</v>
      </c>
      <c r="J28" s="164">
        <v>9</v>
      </c>
      <c r="K28" s="164">
        <v>10</v>
      </c>
      <c r="L28" s="164">
        <v>11</v>
      </c>
      <c r="M28" s="164">
        <v>12</v>
      </c>
      <c r="N28" s="164">
        <v>13</v>
      </c>
      <c r="O28" s="164">
        <v>14</v>
      </c>
      <c r="P28" s="164">
        <v>15</v>
      </c>
      <c r="Q28" s="164">
        <v>16</v>
      </c>
      <c r="R28" s="164">
        <v>17</v>
      </c>
      <c r="S28" s="164">
        <v>18</v>
      </c>
      <c r="T28" s="164">
        <v>19</v>
      </c>
      <c r="U28" s="164">
        <v>20</v>
      </c>
      <c r="V28" s="164">
        <v>21</v>
      </c>
      <c r="W28" s="164">
        <v>22</v>
      </c>
      <c r="X28" s="164">
        <v>23</v>
      </c>
      <c r="Y28" s="164">
        <v>24</v>
      </c>
      <c r="Z28" s="164">
        <v>25</v>
      </c>
    </row>
    <row r="29" spans="1:26" x14ac:dyDescent="0.35">
      <c r="A29" s="97" t="s">
        <v>65</v>
      </c>
      <c r="B29" s="98">
        <f>'Diesel Profit and Loss'!D8</f>
        <v>840000</v>
      </c>
      <c r="C29" s="98">
        <f>'Diesel Profit and Loss'!E8</f>
        <v>840000</v>
      </c>
      <c r="D29" s="98">
        <f>'Diesel Profit and Loss'!F8</f>
        <v>840000</v>
      </c>
      <c r="E29" s="98">
        <f>'Diesel Profit and Loss'!G8</f>
        <v>840000</v>
      </c>
      <c r="F29" s="98">
        <f>'Diesel Profit and Loss'!H8</f>
        <v>840000</v>
      </c>
      <c r="G29" s="98">
        <f>'Diesel Profit and Loss'!I8</f>
        <v>840000</v>
      </c>
      <c r="H29" s="98">
        <f>'Diesel Profit and Loss'!J8</f>
        <v>840000</v>
      </c>
      <c r="I29" s="98">
        <f>'Diesel Profit and Loss'!K8</f>
        <v>840000</v>
      </c>
      <c r="J29" s="98">
        <f>'Diesel Profit and Loss'!L8</f>
        <v>840000</v>
      </c>
      <c r="K29" s="98">
        <f>'Diesel Profit and Loss'!M8</f>
        <v>840000</v>
      </c>
      <c r="L29" s="98">
        <f>'Diesel Profit and Loss'!N8</f>
        <v>840000</v>
      </c>
      <c r="M29" s="98">
        <f>'Diesel Profit and Loss'!O8</f>
        <v>840000</v>
      </c>
      <c r="N29" s="98">
        <f>'Diesel Profit and Loss'!P8</f>
        <v>840000</v>
      </c>
      <c r="O29" s="98">
        <f>'Diesel Profit and Loss'!Q8</f>
        <v>840000</v>
      </c>
      <c r="P29" s="98">
        <f>'Diesel Profit and Loss'!R8</f>
        <v>840000</v>
      </c>
      <c r="Q29" s="98">
        <f>'Diesel Profit and Loss'!S8</f>
        <v>840000</v>
      </c>
      <c r="R29" s="98">
        <f>'Diesel Profit and Loss'!T8</f>
        <v>840000</v>
      </c>
      <c r="S29" s="98">
        <f>'Diesel Profit and Loss'!U8</f>
        <v>840000</v>
      </c>
      <c r="T29" s="98">
        <f>'Diesel Profit and Loss'!V8</f>
        <v>840000</v>
      </c>
      <c r="U29" s="98">
        <f>'Diesel Profit and Loss'!W8</f>
        <v>840000</v>
      </c>
      <c r="V29" s="98">
        <f>'Diesel Profit and Loss'!X8</f>
        <v>840000</v>
      </c>
      <c r="W29" s="98">
        <f>'Diesel Profit and Loss'!Y8</f>
        <v>840000</v>
      </c>
      <c r="X29" s="98">
        <f>'Diesel Profit and Loss'!Z8</f>
        <v>840000</v>
      </c>
      <c r="Y29" s="98">
        <f>'Diesel Profit and Loss'!AA8</f>
        <v>840000</v>
      </c>
      <c r="Z29" s="98">
        <f>'Diesel Profit and Loss'!AB8</f>
        <v>840000</v>
      </c>
    </row>
    <row r="30" spans="1:26" x14ac:dyDescent="0.35">
      <c r="A30" s="99" t="s">
        <v>66</v>
      </c>
      <c r="B30" s="98">
        <f>'Diesel Profit and Loss'!D14</f>
        <v>-594130.16992940241</v>
      </c>
      <c r="C30" s="98">
        <f>'Diesel Profit and Loss'!E14</f>
        <v>-594130.16992940241</v>
      </c>
      <c r="D30" s="98">
        <f>'Diesel Profit and Loss'!F14</f>
        <v>-594130.16992940241</v>
      </c>
      <c r="E30" s="98">
        <f>'Diesel Profit and Loss'!G14</f>
        <v>-594130.16992940241</v>
      </c>
      <c r="F30" s="98">
        <f>'Diesel Profit and Loss'!H14</f>
        <v>-594130.16992940241</v>
      </c>
      <c r="G30" s="98">
        <f>'Diesel Profit and Loss'!I14</f>
        <v>-594130.16992940241</v>
      </c>
      <c r="H30" s="98">
        <f>'Diesel Profit and Loss'!J14</f>
        <v>-594130.16992940241</v>
      </c>
      <c r="I30" s="98">
        <f>'Diesel Profit and Loss'!K14</f>
        <v>-594130.16992940241</v>
      </c>
      <c r="J30" s="98">
        <f>'Diesel Profit and Loss'!L14</f>
        <v>-594130.16992940241</v>
      </c>
      <c r="K30" s="98">
        <f>'Diesel Profit and Loss'!M14</f>
        <v>-594130.16992940241</v>
      </c>
      <c r="L30" s="98">
        <f>'Diesel Profit and Loss'!N14</f>
        <v>-594130.16992940241</v>
      </c>
      <c r="M30" s="98">
        <f>'Diesel Profit and Loss'!O14</f>
        <v>-594130.16992940241</v>
      </c>
      <c r="N30" s="98">
        <f>'Diesel Profit and Loss'!P14</f>
        <v>-594130.16992940241</v>
      </c>
      <c r="O30" s="98">
        <f>'Diesel Profit and Loss'!Q14</f>
        <v>-594130.16992940241</v>
      </c>
      <c r="P30" s="98">
        <f>'Diesel Profit and Loss'!R14</f>
        <v>-594130.16992940241</v>
      </c>
      <c r="Q30" s="98">
        <f>'Diesel Profit and Loss'!S14</f>
        <v>-594130.16992940241</v>
      </c>
      <c r="R30" s="98">
        <f>'Diesel Profit and Loss'!T14</f>
        <v>-594130.16992940241</v>
      </c>
      <c r="S30" s="98">
        <f>'Diesel Profit and Loss'!U14</f>
        <v>-594130.16992940241</v>
      </c>
      <c r="T30" s="98">
        <f>'Diesel Profit and Loss'!V14</f>
        <v>-594130.16992940241</v>
      </c>
      <c r="U30" s="98">
        <f>'Diesel Profit and Loss'!W14</f>
        <v>-594130.16992940241</v>
      </c>
      <c r="V30" s="98">
        <f>'Diesel Profit and Loss'!X14</f>
        <v>-594130.16992940241</v>
      </c>
      <c r="W30" s="98">
        <f>'Diesel Profit and Loss'!Y14</f>
        <v>-594130.16992940241</v>
      </c>
      <c r="X30" s="98">
        <f>'Diesel Profit and Loss'!Z14</f>
        <v>-594130.16992940241</v>
      </c>
      <c r="Y30" s="98">
        <f>'Diesel Profit and Loss'!AA14</f>
        <v>-594130.16992940241</v>
      </c>
      <c r="Z30" s="98">
        <f>'Diesel Profit and Loss'!AB14</f>
        <v>-594130.16992940241</v>
      </c>
    </row>
    <row r="31" spans="1:26" x14ac:dyDescent="0.35">
      <c r="A31" s="100" t="s">
        <v>67</v>
      </c>
      <c r="B31" s="101">
        <f>SUM(B29:B30)</f>
        <v>245869.83007059759</v>
      </c>
      <c r="C31" s="101">
        <f t="shared" ref="C31:U31" si="0">SUM(C29:C30)</f>
        <v>245869.83007059759</v>
      </c>
      <c r="D31" s="101">
        <f t="shared" si="0"/>
        <v>245869.83007059759</v>
      </c>
      <c r="E31" s="101">
        <f t="shared" si="0"/>
        <v>245869.83007059759</v>
      </c>
      <c r="F31" s="101">
        <f t="shared" si="0"/>
        <v>245869.83007059759</v>
      </c>
      <c r="G31" s="101">
        <f t="shared" si="0"/>
        <v>245869.83007059759</v>
      </c>
      <c r="H31" s="101">
        <f t="shared" si="0"/>
        <v>245869.83007059759</v>
      </c>
      <c r="I31" s="101">
        <f t="shared" si="0"/>
        <v>245869.83007059759</v>
      </c>
      <c r="J31" s="101">
        <f t="shared" si="0"/>
        <v>245869.83007059759</v>
      </c>
      <c r="K31" s="101">
        <f t="shared" si="0"/>
        <v>245869.83007059759</v>
      </c>
      <c r="L31" s="101">
        <f t="shared" si="0"/>
        <v>245869.83007059759</v>
      </c>
      <c r="M31" s="101">
        <f t="shared" si="0"/>
        <v>245869.83007059759</v>
      </c>
      <c r="N31" s="101">
        <f t="shared" si="0"/>
        <v>245869.83007059759</v>
      </c>
      <c r="O31" s="101">
        <f t="shared" si="0"/>
        <v>245869.83007059759</v>
      </c>
      <c r="P31" s="101">
        <f t="shared" si="0"/>
        <v>245869.83007059759</v>
      </c>
      <c r="Q31" s="101">
        <f t="shared" si="0"/>
        <v>245869.83007059759</v>
      </c>
      <c r="R31" s="101">
        <f t="shared" si="0"/>
        <v>245869.83007059759</v>
      </c>
      <c r="S31" s="101">
        <f t="shared" si="0"/>
        <v>245869.83007059759</v>
      </c>
      <c r="T31" s="101">
        <f t="shared" si="0"/>
        <v>245869.83007059759</v>
      </c>
      <c r="U31" s="101">
        <f t="shared" si="0"/>
        <v>245869.83007059759</v>
      </c>
      <c r="V31" s="101">
        <f t="shared" ref="V31:Z31" si="1">SUM(V29:V30)</f>
        <v>245869.83007059759</v>
      </c>
      <c r="W31" s="101">
        <f t="shared" si="1"/>
        <v>245869.83007059759</v>
      </c>
      <c r="X31" s="101">
        <f t="shared" si="1"/>
        <v>245869.83007059759</v>
      </c>
      <c r="Y31" s="101">
        <f t="shared" si="1"/>
        <v>245869.83007059759</v>
      </c>
      <c r="Z31" s="101">
        <f t="shared" si="1"/>
        <v>245869.83007059759</v>
      </c>
    </row>
    <row r="32" spans="1:26" x14ac:dyDescent="0.35">
      <c r="A32" s="99" t="s">
        <v>68</v>
      </c>
      <c r="B32" s="98">
        <f>'Diesel Profit and Loss'!D19</f>
        <v>-114440.95666666668</v>
      </c>
      <c r="C32" s="98">
        <f>'Diesel Profit and Loss'!E19</f>
        <v>-114440.95666666668</v>
      </c>
      <c r="D32" s="98">
        <f>'Diesel Profit and Loss'!F19</f>
        <v>-114440.95666666668</v>
      </c>
      <c r="E32" s="98">
        <f>'Diesel Profit and Loss'!G19</f>
        <v>-114440.95666666668</v>
      </c>
      <c r="F32" s="98">
        <f>'Diesel Profit and Loss'!H19</f>
        <v>-114440.95666666668</v>
      </c>
      <c r="G32" s="98">
        <f>'Diesel Profit and Loss'!I19</f>
        <v>-114440.95666666668</v>
      </c>
      <c r="H32" s="98">
        <f>'Diesel Profit and Loss'!J19</f>
        <v>-114440.95666666668</v>
      </c>
      <c r="I32" s="98">
        <f>'Diesel Profit and Loss'!K19</f>
        <v>-114440.95666666668</v>
      </c>
      <c r="J32" s="98">
        <f>'Diesel Profit and Loss'!L19</f>
        <v>-114440.95666666668</v>
      </c>
      <c r="K32" s="98">
        <f>'Diesel Profit and Loss'!M19</f>
        <v>-114440.95666666668</v>
      </c>
      <c r="L32" s="98">
        <f>'Diesel Profit and Loss'!N19</f>
        <v>-114440.95666666668</v>
      </c>
      <c r="M32" s="98">
        <f>'Diesel Profit and Loss'!O19</f>
        <v>-114440.95666666668</v>
      </c>
      <c r="N32" s="98">
        <f>'Diesel Profit and Loss'!P19</f>
        <v>-114440.95666666668</v>
      </c>
      <c r="O32" s="98">
        <f>'Diesel Profit and Loss'!Q19</f>
        <v>-114440.95666666668</v>
      </c>
      <c r="P32" s="98">
        <f>'Diesel Profit and Loss'!R19</f>
        <v>-114440.95666666668</v>
      </c>
      <c r="Q32" s="98">
        <f>'Diesel Profit and Loss'!S19</f>
        <v>-114440.95666666668</v>
      </c>
      <c r="R32" s="98">
        <f>'Diesel Profit and Loss'!T19</f>
        <v>-114440.95666666668</v>
      </c>
      <c r="S32" s="98">
        <f>'Diesel Profit and Loss'!U19</f>
        <v>-114440.95666666668</v>
      </c>
      <c r="T32" s="98">
        <f>'Diesel Profit and Loss'!V19</f>
        <v>-114440.95666666668</v>
      </c>
      <c r="U32" s="98">
        <f>'Diesel Profit and Loss'!W19</f>
        <v>-114440.95666666668</v>
      </c>
      <c r="V32" s="98">
        <f>'Diesel Profit and Loss'!X19</f>
        <v>-114440.95666666668</v>
      </c>
      <c r="W32" s="98">
        <f>'Diesel Profit and Loss'!Y19</f>
        <v>-114440.95666666668</v>
      </c>
      <c r="X32" s="98">
        <f>'Diesel Profit and Loss'!Z19</f>
        <v>-114440.95666666668</v>
      </c>
      <c r="Y32" s="98">
        <f>'Diesel Profit and Loss'!AA19</f>
        <v>-114440.95666666668</v>
      </c>
      <c r="Z32" s="98">
        <f>'Diesel Profit and Loss'!AB19</f>
        <v>-114440.95666666668</v>
      </c>
    </row>
    <row r="33" spans="1:26" x14ac:dyDescent="0.35">
      <c r="A33" s="100" t="s">
        <v>64</v>
      </c>
      <c r="B33" s="101">
        <f>SUM(B31:B32)</f>
        <v>131428.87340393092</v>
      </c>
      <c r="C33" s="101">
        <f t="shared" ref="C33:U33" si="2">SUM(C31:C32)</f>
        <v>131428.87340393092</v>
      </c>
      <c r="D33" s="101">
        <f t="shared" si="2"/>
        <v>131428.87340393092</v>
      </c>
      <c r="E33" s="101">
        <f t="shared" si="2"/>
        <v>131428.87340393092</v>
      </c>
      <c r="F33" s="101">
        <f t="shared" si="2"/>
        <v>131428.87340393092</v>
      </c>
      <c r="G33" s="101">
        <f t="shared" si="2"/>
        <v>131428.87340393092</v>
      </c>
      <c r="H33" s="101">
        <f t="shared" si="2"/>
        <v>131428.87340393092</v>
      </c>
      <c r="I33" s="101">
        <f t="shared" si="2"/>
        <v>131428.87340393092</v>
      </c>
      <c r="J33" s="101">
        <f t="shared" si="2"/>
        <v>131428.87340393092</v>
      </c>
      <c r="K33" s="101">
        <f t="shared" si="2"/>
        <v>131428.87340393092</v>
      </c>
      <c r="L33" s="101">
        <f t="shared" si="2"/>
        <v>131428.87340393092</v>
      </c>
      <c r="M33" s="101">
        <f t="shared" si="2"/>
        <v>131428.87340393092</v>
      </c>
      <c r="N33" s="101">
        <f t="shared" si="2"/>
        <v>131428.87340393092</v>
      </c>
      <c r="O33" s="101">
        <f t="shared" si="2"/>
        <v>131428.87340393092</v>
      </c>
      <c r="P33" s="101">
        <f t="shared" si="2"/>
        <v>131428.87340393092</v>
      </c>
      <c r="Q33" s="101">
        <f t="shared" si="2"/>
        <v>131428.87340393092</v>
      </c>
      <c r="R33" s="101">
        <f t="shared" si="2"/>
        <v>131428.87340393092</v>
      </c>
      <c r="S33" s="101">
        <f t="shared" si="2"/>
        <v>131428.87340393092</v>
      </c>
      <c r="T33" s="101">
        <f t="shared" si="2"/>
        <v>131428.87340393092</v>
      </c>
      <c r="U33" s="101">
        <f t="shared" si="2"/>
        <v>131428.87340393092</v>
      </c>
      <c r="V33" s="101">
        <f t="shared" ref="V33:Z33" si="3">SUM(V31:V32)</f>
        <v>131428.87340393092</v>
      </c>
      <c r="W33" s="101">
        <f t="shared" si="3"/>
        <v>131428.87340393092</v>
      </c>
      <c r="X33" s="101">
        <f t="shared" si="3"/>
        <v>131428.87340393092</v>
      </c>
      <c r="Y33" s="101">
        <f t="shared" si="3"/>
        <v>131428.87340393092</v>
      </c>
      <c r="Z33" s="101">
        <f t="shared" si="3"/>
        <v>131428.87340393092</v>
      </c>
    </row>
    <row r="34" spans="1:26" x14ac:dyDescent="0.35">
      <c r="A34" s="95" t="s">
        <v>69</v>
      </c>
      <c r="B34" s="102">
        <f>'Diesel Profit and Loss'!D23</f>
        <v>-214576.79375000001</v>
      </c>
      <c r="C34" s="102">
        <f>'Diesel Profit and Loss'!E23</f>
        <v>-211420.2249935533</v>
      </c>
      <c r="D34" s="102">
        <f>'Diesel Profit and Loss'!F23</f>
        <v>-208026.9135803731</v>
      </c>
      <c r="E34" s="102">
        <f>'Diesel Profit and Loss'!G23</f>
        <v>-204379.10381120435</v>
      </c>
      <c r="F34" s="102">
        <f>'Diesel Profit and Loss'!H23</f>
        <v>-200457.70830934795</v>
      </c>
      <c r="G34" s="102">
        <f>'Diesel Profit and Loss'!I23</f>
        <v>-196242.20814485234</v>
      </c>
      <c r="H34" s="102">
        <f>'Diesel Profit and Loss'!J23</f>
        <v>-191710.54546801955</v>
      </c>
      <c r="I34" s="102">
        <f>'Diesel Profit and Loss'!K23</f>
        <v>-186839.00809042432</v>
      </c>
      <c r="J34" s="102">
        <f>'Diesel Profit and Loss'!L23</f>
        <v>-181602.10540950942</v>
      </c>
      <c r="K34" s="102">
        <f>'Diesel Profit and Loss'!M23</f>
        <v>-175972.43502752591</v>
      </c>
      <c r="L34" s="102">
        <f>'Diesel Profit and Loss'!N23</f>
        <v>-169920.53936689362</v>
      </c>
      <c r="M34" s="102">
        <f>'Diesel Profit and Loss'!O23</f>
        <v>-163414.7515317139</v>
      </c>
      <c r="N34" s="102">
        <f>'Diesel Profit and Loss'!P23</f>
        <v>-156421.02960889574</v>
      </c>
      <c r="O34" s="102">
        <f>'Diesel Profit and Loss'!Q23</f>
        <v>-148902.7785418662</v>
      </c>
      <c r="P34" s="102">
        <f>'Diesel Profit and Loss'!R23</f>
        <v>-140820.65864480945</v>
      </c>
      <c r="Q34" s="102">
        <f>'Diesel Profit and Loss'!S23</f>
        <v>-132132.37975547343</v>
      </c>
      <c r="R34" s="102">
        <f>'Diesel Profit and Loss'!T23</f>
        <v>-122792.47994943721</v>
      </c>
      <c r="S34" s="102">
        <f>'Diesel Profit and Loss'!U23</f>
        <v>-112752.08765794829</v>
      </c>
      <c r="T34" s="102">
        <f>'Diesel Profit and Loss'!V23</f>
        <v>-101958.66594459768</v>
      </c>
      <c r="U34" s="102">
        <f>'Diesel Profit and Loss'!W23</f>
        <v>-90355.737602745794</v>
      </c>
      <c r="V34" s="102">
        <f>'Diesel Profit and Loss'!X23</f>
        <v>-77882.589635255004</v>
      </c>
      <c r="W34" s="102">
        <f>'Diesel Profit and Loss'!Y23</f>
        <v>-64473.955570202415</v>
      </c>
      <c r="X34" s="102">
        <f>'Diesel Profit and Loss'!Z23</f>
        <v>-50059.673950270881</v>
      </c>
      <c r="Y34" s="102">
        <f>'Diesel Profit and Loss'!AA23</f>
        <v>-34564.321208844478</v>
      </c>
      <c r="Z34" s="102">
        <f>'Diesel Profit and Loss'!AB23</f>
        <v>-17906.817011811094</v>
      </c>
    </row>
    <row r="35" spans="1:26" ht="15" thickBot="1" x14ac:dyDescent="0.4">
      <c r="A35" s="103" t="s">
        <v>70</v>
      </c>
      <c r="B35" s="104">
        <f>SUM(B33:B34)</f>
        <v>-83147.920346069091</v>
      </c>
      <c r="C35" s="104">
        <f t="shared" ref="C35:U35" si="4">SUM(C33:C34)</f>
        <v>-79991.351589622383</v>
      </c>
      <c r="D35" s="104">
        <f t="shared" si="4"/>
        <v>-76598.040176442184</v>
      </c>
      <c r="E35" s="104">
        <f t="shared" si="4"/>
        <v>-72950.230407273426</v>
      </c>
      <c r="F35" s="104">
        <f t="shared" si="4"/>
        <v>-69028.834905417025</v>
      </c>
      <c r="G35" s="104">
        <f t="shared" si="4"/>
        <v>-64813.334740921418</v>
      </c>
      <c r="H35" s="104">
        <f t="shared" si="4"/>
        <v>-60281.672064088634</v>
      </c>
      <c r="I35" s="104">
        <f t="shared" si="4"/>
        <v>-55410.134686493402</v>
      </c>
      <c r="J35" s="104">
        <f t="shared" si="4"/>
        <v>-50173.232005578495</v>
      </c>
      <c r="K35" s="104">
        <f t="shared" si="4"/>
        <v>-44543.561623594986</v>
      </c>
      <c r="L35" s="104">
        <f t="shared" si="4"/>
        <v>-38491.665962962696</v>
      </c>
      <c r="M35" s="104">
        <f t="shared" si="4"/>
        <v>-31985.878127782984</v>
      </c>
      <c r="N35" s="104">
        <f t="shared" si="4"/>
        <v>-24992.15620496482</v>
      </c>
      <c r="O35" s="104">
        <f t="shared" si="4"/>
        <v>-17473.905137935275</v>
      </c>
      <c r="P35" s="104">
        <f t="shared" si="4"/>
        <v>-9391.7852408785257</v>
      </c>
      <c r="Q35" s="104">
        <f t="shared" si="4"/>
        <v>-703.50635154251358</v>
      </c>
      <c r="R35" s="104">
        <f t="shared" si="4"/>
        <v>8636.3934544937074</v>
      </c>
      <c r="S35" s="104">
        <f t="shared" si="4"/>
        <v>18676.785745982634</v>
      </c>
      <c r="T35" s="104">
        <f t="shared" si="4"/>
        <v>29470.207459333236</v>
      </c>
      <c r="U35" s="104">
        <f t="shared" si="4"/>
        <v>41073.135801185126</v>
      </c>
      <c r="V35" s="104">
        <f t="shared" ref="V35:Z35" si="5">SUM(V33:V34)</f>
        <v>53546.283768675916</v>
      </c>
      <c r="W35" s="104">
        <f t="shared" si="5"/>
        <v>66954.917833728512</v>
      </c>
      <c r="X35" s="104">
        <f t="shared" si="5"/>
        <v>81369.19945366004</v>
      </c>
      <c r="Y35" s="104">
        <f t="shared" si="5"/>
        <v>96864.552195086435</v>
      </c>
      <c r="Z35" s="104">
        <f t="shared" si="5"/>
        <v>113522.05639211982</v>
      </c>
    </row>
    <row r="36" spans="1:26" ht="15" thickBot="1" x14ac:dyDescent="0.4"/>
    <row r="37" spans="1:26" ht="15" thickBot="1" x14ac:dyDescent="0.4">
      <c r="A37" s="105" t="s">
        <v>71</v>
      </c>
      <c r="B37" s="106">
        <f>'Diesel Cash Flow'!D26</f>
        <v>-10794.547098691954</v>
      </c>
      <c r="C37" s="106">
        <f>'Diesel Cash Flow'!E26</f>
        <v>-10794.547098691954</v>
      </c>
      <c r="D37" s="106">
        <f>'Diesel Cash Flow'!F26</f>
        <v>-10794.547098691954</v>
      </c>
      <c r="E37" s="106">
        <f>'Diesel Cash Flow'!G26</f>
        <v>-10794.547098691954</v>
      </c>
      <c r="F37" s="106">
        <f>'Diesel Cash Flow'!H26</f>
        <v>-10794.547098691954</v>
      </c>
      <c r="G37" s="106">
        <f>'Diesel Cash Flow'!I26</f>
        <v>-10794.547098691954</v>
      </c>
      <c r="H37" s="106">
        <f>'Diesel Cash Flow'!J26</f>
        <v>-10794.547098691954</v>
      </c>
      <c r="I37" s="106">
        <f>'Diesel Cash Flow'!K26</f>
        <v>-10794.547098691954</v>
      </c>
      <c r="J37" s="106">
        <f>'Diesel Cash Flow'!L26</f>
        <v>-10794.547098691954</v>
      </c>
      <c r="K37" s="106">
        <f>'Diesel Cash Flow'!M26</f>
        <v>-10794.547098691954</v>
      </c>
      <c r="L37" s="106">
        <f>'Diesel Cash Flow'!N26</f>
        <v>-10794.547098691954</v>
      </c>
      <c r="M37" s="106">
        <f>'Diesel Cash Flow'!O26</f>
        <v>-10794.547098691954</v>
      </c>
      <c r="N37" s="106">
        <f>'Diesel Cash Flow'!P26</f>
        <v>-10794.547098691954</v>
      </c>
      <c r="O37" s="106">
        <f>'Diesel Cash Flow'!Q26</f>
        <v>-10794.547098691954</v>
      </c>
      <c r="P37" s="106">
        <f>'Diesel Cash Flow'!R26</f>
        <v>-10794.547098691954</v>
      </c>
      <c r="Q37" s="106">
        <f>'Diesel Cash Flow'!S26</f>
        <v>-10794.547098691954</v>
      </c>
      <c r="R37" s="106">
        <f>'Diesel Cash Flow'!T26</f>
        <v>-10794.547098691939</v>
      </c>
      <c r="S37" s="106">
        <f>'Diesel Cash Flow'!U26</f>
        <v>-10794.547098691954</v>
      </c>
      <c r="T37" s="106">
        <f>'Diesel Cash Flow'!V26</f>
        <v>-10794.547098691954</v>
      </c>
      <c r="U37" s="106">
        <f>'Diesel Cash Flow'!W26</f>
        <v>-10794.547098691954</v>
      </c>
      <c r="V37" s="106">
        <f>'Diesel Cash Flow'!X26</f>
        <v>-10794.547098691924</v>
      </c>
      <c r="W37" s="106">
        <f>'Diesel Cash Flow'!Y26</f>
        <v>-10794.547098691954</v>
      </c>
      <c r="X37" s="106">
        <f>'Diesel Cash Flow'!Z26</f>
        <v>-10794.547098691924</v>
      </c>
      <c r="Y37" s="106">
        <f>'Diesel Cash Flow'!AA26</f>
        <v>-10794.547098691954</v>
      </c>
      <c r="Z37" s="106">
        <f>'Diesel Cash Flow'!AB26</f>
        <v>-10794.547098691954</v>
      </c>
    </row>
    <row r="38" spans="1:26" ht="15" thickBot="1" x14ac:dyDescent="0.4"/>
    <row r="39" spans="1:26" ht="15" thickBot="1" x14ac:dyDescent="0.4">
      <c r="A39" s="397" t="s">
        <v>0</v>
      </c>
      <c r="B39" s="398"/>
    </row>
    <row r="40" spans="1:26" ht="15" thickBot="1" x14ac:dyDescent="0.4">
      <c r="A40" s="108" t="s">
        <v>58</v>
      </c>
      <c r="B40" s="109">
        <f>'Generation &amp; Ops Scenarios'!$G$20</f>
        <v>0.05</v>
      </c>
      <c r="E40" s="110"/>
    </row>
    <row r="41" spans="1:26" x14ac:dyDescent="0.35">
      <c r="A41" s="111" t="s">
        <v>59</v>
      </c>
      <c r="B41" s="112">
        <f>NPV(B40,'Diesel Cash Flow'!D26:M26)</f>
        <v>-83352.631376700214</v>
      </c>
    </row>
    <row r="42" spans="1:26" x14ac:dyDescent="0.35">
      <c r="A42" s="111" t="s">
        <v>60</v>
      </c>
      <c r="B42" s="112">
        <f>NPV(B40,'Diesel Cash Flow'!D26:R26)</f>
        <v>-112043.70756145689</v>
      </c>
    </row>
    <row r="43" spans="1:26" x14ac:dyDescent="0.35">
      <c r="A43" s="111" t="s">
        <v>62</v>
      </c>
      <c r="B43" s="112">
        <f>NPV(B40,'Diesel Cash Flow'!D26:W26)</f>
        <v>-134523.91649635378</v>
      </c>
    </row>
    <row r="44" spans="1:26" ht="15" thickBot="1" x14ac:dyDescent="0.4">
      <c r="A44" s="108" t="s">
        <v>61</v>
      </c>
      <c r="B44" s="113">
        <f>NPV(B40,'Diesel Cash Flow'!D26:AB26)</f>
        <v>-152137.74842452354</v>
      </c>
      <c r="D44" s="114"/>
    </row>
    <row r="46" spans="1:26" x14ac:dyDescent="0.35">
      <c r="A46" s="89" t="s">
        <v>82</v>
      </c>
      <c r="B46" s="115">
        <f>MIN('Mix 1 Cash Flow'!D39:W39)</f>
        <v>1.4635938230904266</v>
      </c>
    </row>
    <row r="47" spans="1:26" x14ac:dyDescent="0.35">
      <c r="A47" s="89" t="s">
        <v>121</v>
      </c>
      <c r="B47" s="268">
        <f>'Generation &amp; Ops Scenarios'!B41</f>
        <v>0</v>
      </c>
      <c r="C47" s="90">
        <f t="shared" ref="C47:C53" si="6">B47</f>
        <v>0</v>
      </c>
      <c r="D47" s="90">
        <f t="shared" ref="D47:U53" si="7">C47</f>
        <v>0</v>
      </c>
      <c r="E47" s="90">
        <f t="shared" si="7"/>
        <v>0</v>
      </c>
      <c r="F47" s="90">
        <f t="shared" si="7"/>
        <v>0</v>
      </c>
      <c r="G47" s="90">
        <f t="shared" si="7"/>
        <v>0</v>
      </c>
      <c r="H47" s="90">
        <f t="shared" si="7"/>
        <v>0</v>
      </c>
      <c r="I47" s="90">
        <f t="shared" si="7"/>
        <v>0</v>
      </c>
      <c r="J47" s="90">
        <f t="shared" si="7"/>
        <v>0</v>
      </c>
      <c r="K47" s="90">
        <f t="shared" ref="K47:K53" si="8">J47</f>
        <v>0</v>
      </c>
      <c r="L47" s="90">
        <f t="shared" si="7"/>
        <v>0</v>
      </c>
      <c r="M47" s="90">
        <f t="shared" si="7"/>
        <v>0</v>
      </c>
      <c r="N47" s="90">
        <f t="shared" ref="N47:N53" si="9">M47</f>
        <v>0</v>
      </c>
      <c r="O47" s="90">
        <f t="shared" si="7"/>
        <v>0</v>
      </c>
      <c r="P47" s="90">
        <f t="shared" si="7"/>
        <v>0</v>
      </c>
      <c r="Q47" s="90">
        <f t="shared" si="7"/>
        <v>0</v>
      </c>
      <c r="R47" s="90">
        <f t="shared" si="7"/>
        <v>0</v>
      </c>
      <c r="S47" s="90">
        <f t="shared" si="7"/>
        <v>0</v>
      </c>
      <c r="T47" s="90">
        <f t="shared" si="7"/>
        <v>0</v>
      </c>
      <c r="U47" s="90">
        <f t="shared" si="7"/>
        <v>0</v>
      </c>
      <c r="V47" s="90">
        <f t="shared" ref="V47:V53" si="10">U47</f>
        <v>0</v>
      </c>
      <c r="W47" s="90">
        <f t="shared" ref="W47:W53" si="11">V47</f>
        <v>0</v>
      </c>
      <c r="X47" s="90">
        <f t="shared" ref="X47:X53" si="12">W47</f>
        <v>0</v>
      </c>
      <c r="Y47" s="90">
        <f t="shared" ref="Y47:Y53" si="13">X47</f>
        <v>0</v>
      </c>
      <c r="Z47" s="90">
        <f t="shared" ref="Z47:Z53" si="14">Y47</f>
        <v>0</v>
      </c>
    </row>
    <row r="48" spans="1:26" x14ac:dyDescent="0.35">
      <c r="A48" s="89" t="s">
        <v>122</v>
      </c>
      <c r="B48" s="268">
        <f>'Generation &amp; Ops Scenarios'!B42</f>
        <v>0</v>
      </c>
      <c r="C48" s="90">
        <f t="shared" si="6"/>
        <v>0</v>
      </c>
      <c r="D48" s="90">
        <f t="shared" ref="D48:R48" si="15">C48</f>
        <v>0</v>
      </c>
      <c r="E48" s="90">
        <f t="shared" si="15"/>
        <v>0</v>
      </c>
      <c r="F48" s="90">
        <f t="shared" si="15"/>
        <v>0</v>
      </c>
      <c r="G48" s="90">
        <f t="shared" si="15"/>
        <v>0</v>
      </c>
      <c r="H48" s="90">
        <f t="shared" si="15"/>
        <v>0</v>
      </c>
      <c r="I48" s="90">
        <f t="shared" si="15"/>
        <v>0</v>
      </c>
      <c r="J48" s="90">
        <f t="shared" si="15"/>
        <v>0</v>
      </c>
      <c r="K48" s="90">
        <f t="shared" si="8"/>
        <v>0</v>
      </c>
      <c r="L48" s="90">
        <f t="shared" si="15"/>
        <v>0</v>
      </c>
      <c r="M48" s="90">
        <f t="shared" si="15"/>
        <v>0</v>
      </c>
      <c r="N48" s="90">
        <f t="shared" si="9"/>
        <v>0</v>
      </c>
      <c r="O48" s="90">
        <f t="shared" si="15"/>
        <v>0</v>
      </c>
      <c r="P48" s="90">
        <f t="shared" si="15"/>
        <v>0</v>
      </c>
      <c r="Q48" s="90">
        <f t="shared" si="15"/>
        <v>0</v>
      </c>
      <c r="R48" s="90">
        <f t="shared" si="15"/>
        <v>0</v>
      </c>
      <c r="S48" s="90">
        <f t="shared" si="7"/>
        <v>0</v>
      </c>
      <c r="T48" s="90">
        <f t="shared" si="7"/>
        <v>0</v>
      </c>
      <c r="U48" s="90">
        <f t="shared" si="7"/>
        <v>0</v>
      </c>
      <c r="V48" s="90">
        <f t="shared" si="10"/>
        <v>0</v>
      </c>
      <c r="W48" s="90">
        <f t="shared" si="11"/>
        <v>0</v>
      </c>
      <c r="X48" s="90">
        <f t="shared" si="12"/>
        <v>0</v>
      </c>
      <c r="Y48" s="90">
        <f t="shared" si="13"/>
        <v>0</v>
      </c>
      <c r="Z48" s="90">
        <f t="shared" si="14"/>
        <v>0</v>
      </c>
    </row>
    <row r="49" spans="1:26" x14ac:dyDescent="0.35">
      <c r="A49" s="89" t="s">
        <v>123</v>
      </c>
      <c r="B49" s="268">
        <f>'Generation &amp; Ops Scenarios'!B43</f>
        <v>0</v>
      </c>
      <c r="C49" s="90">
        <f t="shared" si="6"/>
        <v>0</v>
      </c>
      <c r="D49" s="90">
        <f t="shared" si="7"/>
        <v>0</v>
      </c>
      <c r="E49" s="90">
        <f t="shared" si="7"/>
        <v>0</v>
      </c>
      <c r="F49" s="90">
        <f t="shared" si="7"/>
        <v>0</v>
      </c>
      <c r="G49" s="90">
        <f t="shared" si="7"/>
        <v>0</v>
      </c>
      <c r="H49" s="90">
        <f t="shared" si="7"/>
        <v>0</v>
      </c>
      <c r="I49" s="90">
        <f t="shared" si="7"/>
        <v>0</v>
      </c>
      <c r="J49" s="90">
        <f t="shared" si="7"/>
        <v>0</v>
      </c>
      <c r="K49" s="90">
        <f t="shared" si="8"/>
        <v>0</v>
      </c>
      <c r="L49" s="90">
        <f t="shared" si="7"/>
        <v>0</v>
      </c>
      <c r="M49" s="90">
        <f t="shared" si="7"/>
        <v>0</v>
      </c>
      <c r="N49" s="90">
        <f t="shared" si="9"/>
        <v>0</v>
      </c>
      <c r="O49" s="90">
        <f t="shared" si="7"/>
        <v>0</v>
      </c>
      <c r="P49" s="90">
        <f t="shared" si="7"/>
        <v>0</v>
      </c>
      <c r="Q49" s="90">
        <f t="shared" si="7"/>
        <v>0</v>
      </c>
      <c r="R49" s="90">
        <f t="shared" si="7"/>
        <v>0</v>
      </c>
      <c r="S49" s="90">
        <f t="shared" si="7"/>
        <v>0</v>
      </c>
      <c r="T49" s="90">
        <f t="shared" si="7"/>
        <v>0</v>
      </c>
      <c r="U49" s="90">
        <f t="shared" si="7"/>
        <v>0</v>
      </c>
      <c r="V49" s="90">
        <f t="shared" si="10"/>
        <v>0</v>
      </c>
      <c r="W49" s="90">
        <f t="shared" si="11"/>
        <v>0</v>
      </c>
      <c r="X49" s="90">
        <f t="shared" si="12"/>
        <v>0</v>
      </c>
      <c r="Y49" s="90">
        <f t="shared" si="13"/>
        <v>0</v>
      </c>
      <c r="Z49" s="90">
        <f t="shared" si="14"/>
        <v>0</v>
      </c>
    </row>
    <row r="50" spans="1:26" x14ac:dyDescent="0.35">
      <c r="A50" s="89" t="s">
        <v>124</v>
      </c>
      <c r="B50" s="268">
        <f>'Generation &amp; Ops Scenarios'!B44</f>
        <v>0</v>
      </c>
      <c r="C50" s="90">
        <f t="shared" si="6"/>
        <v>0</v>
      </c>
      <c r="D50" s="90">
        <f t="shared" si="7"/>
        <v>0</v>
      </c>
      <c r="E50" s="90">
        <f t="shared" si="7"/>
        <v>0</v>
      </c>
      <c r="F50" s="90">
        <f t="shared" si="7"/>
        <v>0</v>
      </c>
      <c r="G50" s="90">
        <f t="shared" si="7"/>
        <v>0</v>
      </c>
      <c r="H50" s="90">
        <f t="shared" si="7"/>
        <v>0</v>
      </c>
      <c r="I50" s="90">
        <f t="shared" si="7"/>
        <v>0</v>
      </c>
      <c r="J50" s="90">
        <f t="shared" si="7"/>
        <v>0</v>
      </c>
      <c r="K50" s="90">
        <f t="shared" si="8"/>
        <v>0</v>
      </c>
      <c r="L50" s="90">
        <f t="shared" si="7"/>
        <v>0</v>
      </c>
      <c r="M50" s="90">
        <f t="shared" si="7"/>
        <v>0</v>
      </c>
      <c r="N50" s="90">
        <f t="shared" si="9"/>
        <v>0</v>
      </c>
      <c r="O50" s="90">
        <f t="shared" si="7"/>
        <v>0</v>
      </c>
      <c r="P50" s="90">
        <f t="shared" si="7"/>
        <v>0</v>
      </c>
      <c r="Q50" s="90">
        <f t="shared" si="7"/>
        <v>0</v>
      </c>
      <c r="R50" s="90">
        <f t="shared" si="7"/>
        <v>0</v>
      </c>
      <c r="S50" s="90">
        <f t="shared" si="7"/>
        <v>0</v>
      </c>
      <c r="T50" s="90">
        <f t="shared" si="7"/>
        <v>0</v>
      </c>
      <c r="U50" s="90">
        <f t="shared" si="7"/>
        <v>0</v>
      </c>
      <c r="V50" s="90">
        <f t="shared" si="10"/>
        <v>0</v>
      </c>
      <c r="W50" s="90">
        <f t="shared" si="11"/>
        <v>0</v>
      </c>
      <c r="X50" s="90">
        <f t="shared" si="12"/>
        <v>0</v>
      </c>
      <c r="Y50" s="90">
        <f t="shared" si="13"/>
        <v>0</v>
      </c>
      <c r="Z50" s="90">
        <f t="shared" si="14"/>
        <v>0</v>
      </c>
    </row>
    <row r="51" spans="1:26" x14ac:dyDescent="0.35">
      <c r="A51" s="89" t="s">
        <v>125</v>
      </c>
      <c r="B51" s="268">
        <f>'Generation &amp; Ops Scenarios'!B45</f>
        <v>0</v>
      </c>
      <c r="C51" s="90">
        <f t="shared" si="6"/>
        <v>0</v>
      </c>
      <c r="D51" s="90">
        <f t="shared" si="7"/>
        <v>0</v>
      </c>
      <c r="E51" s="90">
        <f t="shared" si="7"/>
        <v>0</v>
      </c>
      <c r="F51" s="90">
        <f t="shared" si="7"/>
        <v>0</v>
      </c>
      <c r="G51" s="90">
        <f t="shared" si="7"/>
        <v>0</v>
      </c>
      <c r="H51" s="90">
        <f t="shared" si="7"/>
        <v>0</v>
      </c>
      <c r="I51" s="90">
        <f t="shared" si="7"/>
        <v>0</v>
      </c>
      <c r="J51" s="90">
        <f t="shared" si="7"/>
        <v>0</v>
      </c>
      <c r="K51" s="90">
        <f t="shared" si="8"/>
        <v>0</v>
      </c>
      <c r="L51" s="90">
        <f t="shared" si="7"/>
        <v>0</v>
      </c>
      <c r="M51" s="90">
        <f t="shared" si="7"/>
        <v>0</v>
      </c>
      <c r="N51" s="90">
        <f t="shared" si="9"/>
        <v>0</v>
      </c>
      <c r="O51" s="90">
        <f t="shared" si="7"/>
        <v>0</v>
      </c>
      <c r="P51" s="90">
        <f t="shared" si="7"/>
        <v>0</v>
      </c>
      <c r="Q51" s="90">
        <f t="shared" si="7"/>
        <v>0</v>
      </c>
      <c r="R51" s="90">
        <f t="shared" si="7"/>
        <v>0</v>
      </c>
      <c r="S51" s="90">
        <f t="shared" si="7"/>
        <v>0</v>
      </c>
      <c r="T51" s="90">
        <f t="shared" si="7"/>
        <v>0</v>
      </c>
      <c r="U51" s="90">
        <f t="shared" si="7"/>
        <v>0</v>
      </c>
      <c r="V51" s="90">
        <f t="shared" si="10"/>
        <v>0</v>
      </c>
      <c r="W51" s="90">
        <f t="shared" si="11"/>
        <v>0</v>
      </c>
      <c r="X51" s="90">
        <f t="shared" si="12"/>
        <v>0</v>
      </c>
      <c r="Y51" s="90">
        <f t="shared" si="13"/>
        <v>0</v>
      </c>
      <c r="Z51" s="90">
        <f t="shared" si="14"/>
        <v>0</v>
      </c>
    </row>
    <row r="52" spans="1:26" x14ac:dyDescent="0.35">
      <c r="A52" s="89" t="s">
        <v>126</v>
      </c>
      <c r="B52" s="268">
        <f>'Generation &amp; Ops Scenarios'!B46</f>
        <v>0</v>
      </c>
      <c r="C52" s="90">
        <f t="shared" si="6"/>
        <v>0</v>
      </c>
      <c r="D52" s="90">
        <f t="shared" si="7"/>
        <v>0</v>
      </c>
      <c r="E52" s="90">
        <f t="shared" si="7"/>
        <v>0</v>
      </c>
      <c r="F52" s="90">
        <f t="shared" si="7"/>
        <v>0</v>
      </c>
      <c r="G52" s="90">
        <f t="shared" si="7"/>
        <v>0</v>
      </c>
      <c r="H52" s="90">
        <f t="shared" si="7"/>
        <v>0</v>
      </c>
      <c r="I52" s="90">
        <f t="shared" si="7"/>
        <v>0</v>
      </c>
      <c r="J52" s="90">
        <f t="shared" si="7"/>
        <v>0</v>
      </c>
      <c r="K52" s="90">
        <f t="shared" si="8"/>
        <v>0</v>
      </c>
      <c r="L52" s="90">
        <f t="shared" si="7"/>
        <v>0</v>
      </c>
      <c r="M52" s="90">
        <f t="shared" si="7"/>
        <v>0</v>
      </c>
      <c r="N52" s="90">
        <f t="shared" si="9"/>
        <v>0</v>
      </c>
      <c r="O52" s="90">
        <f t="shared" si="7"/>
        <v>0</v>
      </c>
      <c r="P52" s="90">
        <f t="shared" si="7"/>
        <v>0</v>
      </c>
      <c r="Q52" s="90">
        <f t="shared" si="7"/>
        <v>0</v>
      </c>
      <c r="R52" s="90">
        <f t="shared" si="7"/>
        <v>0</v>
      </c>
      <c r="S52" s="90">
        <f t="shared" si="7"/>
        <v>0</v>
      </c>
      <c r="T52" s="90">
        <f t="shared" si="7"/>
        <v>0</v>
      </c>
      <c r="U52" s="90">
        <f t="shared" si="7"/>
        <v>0</v>
      </c>
      <c r="V52" s="90">
        <f t="shared" si="10"/>
        <v>0</v>
      </c>
      <c r="W52" s="90">
        <f t="shared" si="11"/>
        <v>0</v>
      </c>
      <c r="X52" s="90">
        <f t="shared" si="12"/>
        <v>0</v>
      </c>
      <c r="Y52" s="90">
        <f t="shared" si="13"/>
        <v>0</v>
      </c>
      <c r="Z52" s="90">
        <f t="shared" si="14"/>
        <v>0</v>
      </c>
    </row>
    <row r="53" spans="1:26" x14ac:dyDescent="0.35">
      <c r="A53" s="89" t="s">
        <v>127</v>
      </c>
      <c r="B53" s="268">
        <f>'Generation &amp; Ops Scenarios'!B47</f>
        <v>0</v>
      </c>
      <c r="C53" s="90">
        <f t="shared" si="6"/>
        <v>0</v>
      </c>
      <c r="D53" s="90">
        <f t="shared" si="7"/>
        <v>0</v>
      </c>
      <c r="E53" s="90">
        <f t="shared" si="7"/>
        <v>0</v>
      </c>
      <c r="F53" s="90">
        <f t="shared" si="7"/>
        <v>0</v>
      </c>
      <c r="G53" s="90">
        <f t="shared" si="7"/>
        <v>0</v>
      </c>
      <c r="H53" s="90">
        <f t="shared" si="7"/>
        <v>0</v>
      </c>
      <c r="I53" s="90">
        <f t="shared" si="7"/>
        <v>0</v>
      </c>
      <c r="J53" s="90">
        <f t="shared" si="7"/>
        <v>0</v>
      </c>
      <c r="K53" s="90">
        <f t="shared" si="8"/>
        <v>0</v>
      </c>
      <c r="L53" s="90">
        <f t="shared" si="7"/>
        <v>0</v>
      </c>
      <c r="M53" s="90">
        <f t="shared" si="7"/>
        <v>0</v>
      </c>
      <c r="N53" s="90">
        <f t="shared" si="9"/>
        <v>0</v>
      </c>
      <c r="O53" s="90">
        <f t="shared" si="7"/>
        <v>0</v>
      </c>
      <c r="P53" s="90">
        <f t="shared" si="7"/>
        <v>0</v>
      </c>
      <c r="Q53" s="90">
        <f t="shared" si="7"/>
        <v>0</v>
      </c>
      <c r="R53" s="90">
        <f t="shared" si="7"/>
        <v>0</v>
      </c>
      <c r="S53" s="90">
        <f t="shared" si="7"/>
        <v>0</v>
      </c>
      <c r="T53" s="90">
        <f t="shared" si="7"/>
        <v>0</v>
      </c>
      <c r="U53" s="90">
        <f t="shared" si="7"/>
        <v>0</v>
      </c>
      <c r="V53" s="90">
        <f t="shared" si="10"/>
        <v>0</v>
      </c>
      <c r="W53" s="90">
        <f t="shared" si="11"/>
        <v>0</v>
      </c>
      <c r="X53" s="90">
        <f t="shared" si="12"/>
        <v>0</v>
      </c>
      <c r="Y53" s="90">
        <f t="shared" si="13"/>
        <v>0</v>
      </c>
      <c r="Z53" s="90">
        <f t="shared" si="14"/>
        <v>0</v>
      </c>
    </row>
    <row r="54" spans="1:26" x14ac:dyDescent="0.35">
      <c r="A54" s="89" t="s">
        <v>237</v>
      </c>
      <c r="B54" s="268">
        <f>B57-B51</f>
        <v>1400000</v>
      </c>
      <c r="C54" s="268">
        <f t="shared" ref="C54:U54" si="16">C57-C51</f>
        <v>1400000</v>
      </c>
      <c r="D54" s="268">
        <f t="shared" si="16"/>
        <v>1400000</v>
      </c>
      <c r="E54" s="268">
        <f t="shared" si="16"/>
        <v>1400000</v>
      </c>
      <c r="F54" s="268">
        <f t="shared" si="16"/>
        <v>1400000</v>
      </c>
      <c r="G54" s="268">
        <f t="shared" si="16"/>
        <v>1400000</v>
      </c>
      <c r="H54" s="268">
        <f t="shared" si="16"/>
        <v>1400000</v>
      </c>
      <c r="I54" s="268">
        <f t="shared" si="16"/>
        <v>1400000</v>
      </c>
      <c r="J54" s="268">
        <f t="shared" si="16"/>
        <v>1400000</v>
      </c>
      <c r="K54" s="268">
        <f t="shared" si="16"/>
        <v>1400000</v>
      </c>
      <c r="L54" s="268">
        <f t="shared" si="16"/>
        <v>1400000</v>
      </c>
      <c r="M54" s="268">
        <f>M57-M51</f>
        <v>1400000</v>
      </c>
      <c r="N54" s="268">
        <f t="shared" si="16"/>
        <v>1400000</v>
      </c>
      <c r="O54" s="268">
        <f t="shared" si="16"/>
        <v>1400000</v>
      </c>
      <c r="P54" s="268">
        <f t="shared" si="16"/>
        <v>1400000</v>
      </c>
      <c r="Q54" s="268">
        <f t="shared" si="16"/>
        <v>1400000</v>
      </c>
      <c r="R54" s="268">
        <f t="shared" si="16"/>
        <v>1400000</v>
      </c>
      <c r="S54" s="268">
        <f t="shared" si="16"/>
        <v>1400000</v>
      </c>
      <c r="T54" s="349">
        <f t="shared" si="16"/>
        <v>1400000</v>
      </c>
      <c r="U54" s="349">
        <f t="shared" si="16"/>
        <v>1400000</v>
      </c>
      <c r="V54" s="349">
        <f t="shared" ref="V54:Z54" si="17">V57-V51</f>
        <v>1400000</v>
      </c>
      <c r="W54" s="349">
        <f t="shared" si="17"/>
        <v>1400000</v>
      </c>
      <c r="X54" s="349">
        <f t="shared" si="17"/>
        <v>1400000</v>
      </c>
      <c r="Y54" s="349">
        <f t="shared" si="17"/>
        <v>1400000</v>
      </c>
      <c r="Z54" s="349">
        <f t="shared" si="17"/>
        <v>1400000</v>
      </c>
    </row>
    <row r="55" spans="1:26" x14ac:dyDescent="0.35">
      <c r="B55" s="115"/>
      <c r="F55" s="166"/>
    </row>
    <row r="57" spans="1:26" x14ac:dyDescent="0.35">
      <c r="A57" s="89" t="s">
        <v>236</v>
      </c>
      <c r="B57" s="350">
        <f>M5</f>
        <v>1400000</v>
      </c>
      <c r="C57" s="46">
        <f>B57*(1+'Diesel Summary'!$M$8)</f>
        <v>1400000</v>
      </c>
      <c r="D57" s="46">
        <f>C57*(1+'Diesel Summary'!$M$8)</f>
        <v>1400000</v>
      </c>
      <c r="E57" s="46">
        <f>D57*(1+'Diesel Summary'!$M$8)</f>
        <v>1400000</v>
      </c>
      <c r="F57" s="46">
        <f>E57*(1+'Diesel Summary'!$M$8)</f>
        <v>1400000</v>
      </c>
      <c r="G57" s="46">
        <f>F57*(1+'Diesel Summary'!$M$8)</f>
        <v>1400000</v>
      </c>
      <c r="H57" s="46">
        <f>G57*(1+'Diesel Summary'!$M$8)</f>
        <v>1400000</v>
      </c>
      <c r="I57" s="46">
        <f>H57*(1+'Diesel Summary'!$M$8)</f>
        <v>1400000</v>
      </c>
      <c r="J57" s="46">
        <f>I57*(1+'Diesel Summary'!$M$8)</f>
        <v>1400000</v>
      </c>
      <c r="K57" s="46">
        <f>J57*(1+'Diesel Summary'!$M$8)</f>
        <v>1400000</v>
      </c>
      <c r="L57" s="46">
        <f>K57*(1+'Diesel Summary'!$M$8)</f>
        <v>1400000</v>
      </c>
      <c r="M57" s="46">
        <f>L57*(1+'Diesel Summary'!$M$8)</f>
        <v>1400000</v>
      </c>
      <c r="N57" s="46">
        <f>M57*(1+'Diesel Summary'!$M$8)</f>
        <v>1400000</v>
      </c>
      <c r="O57" s="46">
        <f>N57*(1+'Diesel Summary'!$M$8)</f>
        <v>1400000</v>
      </c>
      <c r="P57" s="46">
        <f>O57*(1+'Diesel Summary'!$M$8)</f>
        <v>1400000</v>
      </c>
      <c r="Q57" s="46">
        <f>P57*(1+'Diesel Summary'!$M$8)</f>
        <v>1400000</v>
      </c>
      <c r="R57" s="46">
        <f>Q57*(1+'Diesel Summary'!$M$8)</f>
        <v>1400000</v>
      </c>
      <c r="S57" s="46">
        <f>R57*(1+'Diesel Summary'!$M$8)</f>
        <v>1400000</v>
      </c>
      <c r="T57" s="46">
        <f>S57*(1+'Diesel Summary'!$M$8)</f>
        <v>1400000</v>
      </c>
      <c r="U57" s="46">
        <f>T57*(1+'Diesel Summary'!$M$8)</f>
        <v>1400000</v>
      </c>
      <c r="V57" s="46">
        <f>U57*(1+'Diesel Summary'!$M$8)</f>
        <v>1400000</v>
      </c>
      <c r="W57" s="46">
        <f>V57*(1+'Diesel Summary'!$M$8)</f>
        <v>1400000</v>
      </c>
      <c r="X57" s="46">
        <f>W57*(1+'Diesel Summary'!$M$8)</f>
        <v>1400000</v>
      </c>
      <c r="Y57" s="46">
        <f>X57*(1+'Diesel Summary'!$M$8)</f>
        <v>1400000</v>
      </c>
      <c r="Z57" s="46">
        <f>Y57*(1+'Diesel Summary'!$M$8)</f>
        <v>1400000</v>
      </c>
    </row>
    <row r="59" spans="1:26" x14ac:dyDescent="0.35">
      <c r="A59" s="89" t="s">
        <v>134</v>
      </c>
      <c r="B59" s="115">
        <f>-'Diesel Cash Flow'!D8/'Diesel Summary'!B57*100</f>
        <v>23.438137911623979</v>
      </c>
      <c r="C59" s="115">
        <f>-'Diesel Cash Flow'!E8/'Diesel Summary'!C57*100</f>
        <v>23.438137911623979</v>
      </c>
      <c r="D59" s="115">
        <f>-'Diesel Cash Flow'!F8/'Diesel Summary'!D57*100</f>
        <v>23.438137911623979</v>
      </c>
      <c r="E59" s="115">
        <f>-'Diesel Cash Flow'!G8/'Diesel Summary'!E57*100</f>
        <v>23.438137911623979</v>
      </c>
      <c r="F59" s="115">
        <f>-'Diesel Cash Flow'!H8/'Diesel Summary'!F57*100</f>
        <v>23.438137911623979</v>
      </c>
      <c r="G59" s="115">
        <f>-'Diesel Cash Flow'!I8/'Diesel Summary'!G57*100</f>
        <v>23.438137911623979</v>
      </c>
      <c r="H59" s="115">
        <f>-'Diesel Cash Flow'!J8/'Diesel Summary'!H57*100</f>
        <v>23.438137911623979</v>
      </c>
      <c r="I59" s="115">
        <f>-'Diesel Cash Flow'!K8/'Diesel Summary'!I57*100</f>
        <v>23.438137911623979</v>
      </c>
      <c r="J59" s="115">
        <f>-'Diesel Cash Flow'!L8/'Diesel Summary'!J57*100</f>
        <v>23.438137911623979</v>
      </c>
      <c r="K59" s="115">
        <f>-'Diesel Cash Flow'!M8/'Diesel Summary'!K57*100</f>
        <v>23.438137911623979</v>
      </c>
      <c r="L59" s="115">
        <f>-'Diesel Cash Flow'!N8/'Diesel Summary'!L57*100</f>
        <v>23.438137911623979</v>
      </c>
      <c r="M59" s="115">
        <f>-'Diesel Cash Flow'!O8/'Diesel Summary'!M57*100</f>
        <v>23.438137911623979</v>
      </c>
      <c r="N59" s="115">
        <f>-'Diesel Cash Flow'!P8/'Diesel Summary'!N57*100</f>
        <v>23.438137911623979</v>
      </c>
      <c r="O59" s="115">
        <f>-'Diesel Cash Flow'!Q8/'Diesel Summary'!O57*100</f>
        <v>23.438137911623979</v>
      </c>
      <c r="P59" s="115">
        <f>-'Diesel Cash Flow'!R8/'Diesel Summary'!P57*100</f>
        <v>23.438137911623979</v>
      </c>
      <c r="Q59" s="115">
        <f>-'Diesel Cash Flow'!S8/'Diesel Summary'!Q57*100</f>
        <v>23.438137911623979</v>
      </c>
      <c r="R59" s="115">
        <f>-'Diesel Cash Flow'!T8/'Diesel Summary'!R57*100</f>
        <v>23.438137911623979</v>
      </c>
      <c r="S59" s="115">
        <f>-'Diesel Cash Flow'!U8/'Diesel Summary'!S57*100</f>
        <v>23.438137911623979</v>
      </c>
      <c r="T59" s="115">
        <f>-'Diesel Cash Flow'!V8/'Diesel Summary'!T57*100</f>
        <v>23.438137911623979</v>
      </c>
      <c r="U59" s="115">
        <f>-'Diesel Cash Flow'!W8/'Diesel Summary'!U57*100</f>
        <v>23.438137911623979</v>
      </c>
      <c r="V59" s="115">
        <f>-'Diesel Cash Flow'!X8/'Diesel Summary'!V57*100</f>
        <v>23.438137911623979</v>
      </c>
      <c r="W59" s="115">
        <f>-'Diesel Cash Flow'!Y8/'Diesel Summary'!W57*100</f>
        <v>23.438137911623979</v>
      </c>
      <c r="X59" s="115">
        <f>-'Diesel Cash Flow'!Z8/'Diesel Summary'!X57*100</f>
        <v>23.438137911623979</v>
      </c>
      <c r="Y59" s="115">
        <f>-'Diesel Cash Flow'!AA8/'Diesel Summary'!Y57*100</f>
        <v>23.438137911623979</v>
      </c>
      <c r="Z59" s="115">
        <f>-'Diesel Cash Flow'!AB8/'Diesel Summary'!Z57*100</f>
        <v>23.438137911623979</v>
      </c>
    </row>
    <row r="60" spans="1:26" x14ac:dyDescent="0.35">
      <c r="A60" s="89" t="s">
        <v>159</v>
      </c>
      <c r="B60" s="115">
        <f>-'Diesel Interest Calculations'!E14/'Diesel Summary'!B57*100</f>
        <v>15.326913839285716</v>
      </c>
      <c r="C60" s="115">
        <f>-'Diesel Interest Calculations'!F14/'Diesel Summary'!C57*100</f>
        <v>15.101444642396663</v>
      </c>
      <c r="D60" s="115">
        <f>-'Diesel Interest Calculations'!G14/'Diesel Summary'!D57*100</f>
        <v>14.859065255740935</v>
      </c>
      <c r="E60" s="115">
        <f>-'Diesel Interest Calculations'!H14/'Diesel Summary'!E57*100</f>
        <v>14.598507415086024</v>
      </c>
      <c r="F60" s="115">
        <f>-'Diesel Interest Calculations'!I14/'Diesel Summary'!F57*100</f>
        <v>14.318407736381996</v>
      </c>
      <c r="G60" s="115">
        <f>-'Diesel Interest Calculations'!J14/'Diesel Summary'!G57*100</f>
        <v>14.017300581775165</v>
      </c>
      <c r="H60" s="115">
        <f>-'Diesel Interest Calculations'!K14/'Diesel Summary'!H57*100</f>
        <v>13.693610390572825</v>
      </c>
      <c r="I60" s="115">
        <f>-'Diesel Interest Calculations'!L14/'Diesel Summary'!I57*100</f>
        <v>13.345643435030308</v>
      </c>
      <c r="J60" s="115">
        <f>-'Diesel Interest Calculations'!M14/'Diesel Summary'!J57*100</f>
        <v>12.9715789578221</v>
      </c>
      <c r="K60" s="115">
        <f>-'Diesel Interest Calculations'!N14/'Diesel Summary'!K57*100</f>
        <v>12.569459644823278</v>
      </c>
      <c r="L60" s="115">
        <f>-'Diesel Interest Calculations'!O14/'Diesel Summary'!L57*100</f>
        <v>12.137181383349544</v>
      </c>
      <c r="M60" s="115">
        <f>-'Diesel Interest Calculations'!P14/'Diesel Summary'!M57*100</f>
        <v>11.672482252265279</v>
      </c>
      <c r="N60" s="115">
        <f>-'Diesel Interest Calculations'!Q14/'Diesel Summary'!N57*100</f>
        <v>11.172930686349696</v>
      </c>
      <c r="O60" s="115">
        <f>-'Diesel Interest Calculations'!R14/'Diesel Summary'!O57*100</f>
        <v>10.635912752990443</v>
      </c>
      <c r="P60" s="115">
        <f>-'Diesel Interest Calculations'!S14/'Diesel Summary'!P57*100</f>
        <v>10.058618474629247</v>
      </c>
      <c r="Q60" s="115">
        <f>-'Diesel Interest Calculations'!T14/'Diesel Summary'!Q57*100</f>
        <v>9.4380271253909598</v>
      </c>
      <c r="R60" s="115">
        <f>-'Diesel Interest Calculations'!U14/'Diesel Summary'!R57*100</f>
        <v>8.7708914249598013</v>
      </c>
      <c r="S60" s="115">
        <f>-'Diesel Interest Calculations'!V14/'Diesel Summary'!S57*100</f>
        <v>8.0537205469963062</v>
      </c>
      <c r="T60" s="115">
        <f>-'Diesel Interest Calculations'!W14/'Diesel Summary'!T57*100</f>
        <v>7.2827618531855487</v>
      </c>
      <c r="U60" s="115">
        <f>-'Diesel Interest Calculations'!X14/'Diesel Summary'!U57*100</f>
        <v>6.4539812573389854</v>
      </c>
      <c r="V60" s="115">
        <f>-'Diesel Interest Calculations'!Y14/'Diesel Summary'!V57*100</f>
        <v>5.5630421168039295</v>
      </c>
      <c r="W60" s="115">
        <f>-'Diesel Interest Calculations'!Z14/'Diesel Summary'!W57*100</f>
        <v>4.6052825407287434</v>
      </c>
      <c r="X60" s="115">
        <f>-'Diesel Interest Calculations'!AA14/'Diesel Summary'!X57*100</f>
        <v>3.57569099644792</v>
      </c>
      <c r="Y60" s="115">
        <f>-'Diesel Interest Calculations'!AB14/'Diesel Summary'!Y57*100</f>
        <v>2.4688800863460343</v>
      </c>
      <c r="Z60" s="115">
        <f>-'Diesel Interest Calculations'!AC14/'Diesel Summary'!Z57*100</f>
        <v>1.2790583579865067</v>
      </c>
    </row>
    <row r="61" spans="1:26" x14ac:dyDescent="0.35">
      <c r="A61" s="89" t="s">
        <v>160</v>
      </c>
      <c r="B61" s="244">
        <f>-'Diesel Interest Calculations'!E13/B57*100</f>
        <v>3.0062559585206849</v>
      </c>
      <c r="C61" s="244">
        <f>-'Diesel Interest Calculations'!F13/C57*100</f>
        <v>3.2317251554097348</v>
      </c>
      <c r="D61" s="244">
        <f>-'Diesel Interest Calculations'!G13/D57*100</f>
        <v>3.4741045420654633</v>
      </c>
      <c r="E61" s="244">
        <f>-'Diesel Interest Calculations'!H13/E57*100</f>
        <v>3.7346623827203751</v>
      </c>
      <c r="F61" s="244">
        <f>-'Diesel Interest Calculations'!I13/F57*100</f>
        <v>4.0147620614244044</v>
      </c>
      <c r="G61" s="244">
        <f>-'Diesel Interest Calculations'!J13/G57*100</f>
        <v>4.3158692160312322</v>
      </c>
      <c r="H61" s="244">
        <f>-'Diesel Interest Calculations'!K13/H57*100</f>
        <v>4.6395594072335751</v>
      </c>
      <c r="I61" s="244">
        <f>-'Diesel Interest Calculations'!L13/I57*100</f>
        <v>4.9875263627760908</v>
      </c>
      <c r="J61" s="244">
        <f>-'Diesel Interest Calculations'!M13/J57*100</f>
        <v>5.3615908399842986</v>
      </c>
      <c r="K61" s="244">
        <f>-'Diesel Interest Calculations'!N13/K57*100</f>
        <v>5.7637101529831209</v>
      </c>
      <c r="L61" s="244">
        <f>-'Diesel Interest Calculations'!O13/L57*100</f>
        <v>6.1959884144568562</v>
      </c>
      <c r="M61" s="244">
        <f>-'Diesel Interest Calculations'!P13/M57*100</f>
        <v>6.6606875455411201</v>
      </c>
      <c r="N61" s="244">
        <f>-'Diesel Interest Calculations'!Q13/N57*100</f>
        <v>7.1602391114567041</v>
      </c>
      <c r="O61" s="244">
        <f>-'Diesel Interest Calculations'!R13/O57*100</f>
        <v>7.6972570448159567</v>
      </c>
      <c r="P61" s="244">
        <f>-'Diesel Interest Calculations'!S13/P57*100</f>
        <v>8.2745513231771533</v>
      </c>
      <c r="Q61" s="244">
        <f>-'Diesel Interest Calculations'!T13/Q57*100</f>
        <v>8.8951426724154405</v>
      </c>
      <c r="R61" s="244">
        <f>-'Diesel Interest Calculations'!U13/R57*100</f>
        <v>9.562278372846599</v>
      </c>
      <c r="S61" s="244">
        <f>-'Diesel Interest Calculations'!V13/S57*100</f>
        <v>10.279449250810094</v>
      </c>
      <c r="T61" s="244">
        <f>-'Diesel Interest Calculations'!W13/T57*100</f>
        <v>11.050407944620851</v>
      </c>
      <c r="U61" s="244">
        <f>-'Diesel Interest Calculations'!X13/U57*100</f>
        <v>11.879188540467414</v>
      </c>
      <c r="V61" s="244">
        <f>-'Diesel Interest Calculations'!Y13/V57*100</f>
        <v>12.770127681002469</v>
      </c>
      <c r="W61" s="244">
        <f>-'Diesel Interest Calculations'!Z13/W57*100</f>
        <v>13.727887257077656</v>
      </c>
      <c r="X61" s="244">
        <f>-'Diesel Interest Calculations'!AA13/X57*100</f>
        <v>14.757478801358479</v>
      </c>
      <c r="Y61" s="244">
        <f>-'Diesel Interest Calculations'!AB13/Y57*100</f>
        <v>15.864289711460366</v>
      </c>
      <c r="Z61" s="244">
        <f>-'Diesel Interest Calculations'!AC13/Z57*100</f>
        <v>17.054111439819891</v>
      </c>
    </row>
    <row r="62" spans="1:26" x14ac:dyDescent="0.35">
      <c r="A62" s="89" t="s">
        <v>161</v>
      </c>
      <c r="B62" s="351">
        <f>-'Diesel Cash Flow'!D9/'Diesel Summary'!B57*100</f>
        <v>18.999731369047616</v>
      </c>
      <c r="C62" s="351">
        <f>-'Diesel Cash Flow'!E9/'Diesel Summary'!C57*100</f>
        <v>18.999731369047616</v>
      </c>
      <c r="D62" s="351">
        <f>-'Diesel Cash Flow'!F9/'Diesel Summary'!D57*100</f>
        <v>18.999731369047616</v>
      </c>
      <c r="E62" s="351">
        <f>-'Diesel Cash Flow'!G9/'Diesel Summary'!E57*100</f>
        <v>18.999731369047616</v>
      </c>
      <c r="F62" s="351">
        <f>-'Diesel Cash Flow'!H9/'Diesel Summary'!F57*100</f>
        <v>18.999731369047616</v>
      </c>
      <c r="G62" s="351">
        <f>-'Diesel Cash Flow'!I9/'Diesel Summary'!G57*100</f>
        <v>18.999731369047616</v>
      </c>
      <c r="H62" s="351">
        <f>-'Diesel Cash Flow'!J9/'Diesel Summary'!H57*100</f>
        <v>18.999731369047616</v>
      </c>
      <c r="I62" s="351">
        <f>-'Diesel Cash Flow'!K9/'Diesel Summary'!I57*100</f>
        <v>18.999731369047616</v>
      </c>
      <c r="J62" s="351">
        <f>-'Diesel Cash Flow'!L9/'Diesel Summary'!J57*100</f>
        <v>18.999731369047616</v>
      </c>
      <c r="K62" s="351">
        <f>-'Diesel Cash Flow'!M9/'Diesel Summary'!K57*100</f>
        <v>18.999731369047616</v>
      </c>
      <c r="L62" s="351">
        <f>-'Diesel Cash Flow'!N9/'Diesel Summary'!L57*100</f>
        <v>18.999731369047616</v>
      </c>
      <c r="M62" s="351">
        <f>-'Diesel Cash Flow'!O9/'Diesel Summary'!M57*100</f>
        <v>18.999731369047616</v>
      </c>
      <c r="N62" s="351">
        <f>-'Diesel Cash Flow'!P9/'Diesel Summary'!N57*100</f>
        <v>18.999731369047616</v>
      </c>
      <c r="O62" s="351">
        <f>-'Diesel Cash Flow'!Q9/'Diesel Summary'!O57*100</f>
        <v>18.999731369047616</v>
      </c>
      <c r="P62" s="351">
        <f>-'Diesel Cash Flow'!R9/'Diesel Summary'!P57*100</f>
        <v>18.999731369047616</v>
      </c>
      <c r="Q62" s="351">
        <f>-'Diesel Cash Flow'!S9/'Diesel Summary'!Q57*100</f>
        <v>18.999731369047616</v>
      </c>
      <c r="R62" s="351">
        <f>-'Diesel Cash Flow'!T9/'Diesel Summary'!R57*100</f>
        <v>18.999731369047616</v>
      </c>
      <c r="S62" s="351">
        <f>-'Diesel Cash Flow'!U9/'Diesel Summary'!S57*100</f>
        <v>18.999731369047616</v>
      </c>
      <c r="T62" s="351">
        <f>-'Diesel Cash Flow'!V9/'Diesel Summary'!T57*100</f>
        <v>18.999731369047616</v>
      </c>
      <c r="U62" s="351">
        <f>-'Diesel Cash Flow'!W9/'Diesel Summary'!U57*100</f>
        <v>18.999731369047616</v>
      </c>
      <c r="V62" s="351">
        <f>-'Diesel Cash Flow'!X9/'Diesel Summary'!V57*100</f>
        <v>18.999731369047616</v>
      </c>
      <c r="W62" s="351">
        <f>-'Diesel Cash Flow'!Y9/'Diesel Summary'!W57*100</f>
        <v>18.999731369047616</v>
      </c>
      <c r="X62" s="351">
        <f>-'Diesel Cash Flow'!Z9/'Diesel Summary'!X57*100</f>
        <v>18.999731369047616</v>
      </c>
      <c r="Y62" s="351">
        <f>-'Diesel Cash Flow'!AA9/'Diesel Summary'!Y57*100</f>
        <v>18.999731369047616</v>
      </c>
      <c r="Z62" s="351">
        <f>-'Diesel Cash Flow'!AB9/'Diesel Summary'!Z57*100</f>
        <v>18.999731369047616</v>
      </c>
    </row>
    <row r="63" spans="1:26" x14ac:dyDescent="0.35">
      <c r="B63" s="115">
        <f>SUM(B59:B62)</f>
        <v>60.77103907847799</v>
      </c>
      <c r="C63" s="115">
        <f t="shared" ref="C63:U63" si="18">SUM(C59:C62)</f>
        <v>60.77103907847799</v>
      </c>
      <c r="D63" s="115">
        <f t="shared" si="18"/>
        <v>60.77103907847799</v>
      </c>
      <c r="E63" s="115">
        <f t="shared" si="18"/>
        <v>60.77103907847799</v>
      </c>
      <c r="F63" s="115">
        <f t="shared" si="18"/>
        <v>60.771039078477997</v>
      </c>
      <c r="G63" s="115">
        <f t="shared" si="18"/>
        <v>60.77103907847799</v>
      </c>
      <c r="H63" s="115">
        <f t="shared" si="18"/>
        <v>60.771039078477997</v>
      </c>
      <c r="I63" s="115">
        <f t="shared" si="18"/>
        <v>60.77103907847799</v>
      </c>
      <c r="J63" s="115">
        <f t="shared" si="18"/>
        <v>60.77103907847799</v>
      </c>
      <c r="K63" s="115">
        <f t="shared" si="18"/>
        <v>60.771039078477997</v>
      </c>
      <c r="L63" s="115">
        <f t="shared" si="18"/>
        <v>60.771039078477997</v>
      </c>
      <c r="M63" s="115">
        <f t="shared" si="18"/>
        <v>60.771039078477997</v>
      </c>
      <c r="N63" s="115">
        <f t="shared" si="18"/>
        <v>60.771039078477997</v>
      </c>
      <c r="O63" s="115">
        <f t="shared" si="18"/>
        <v>60.77103907847799</v>
      </c>
      <c r="P63" s="115">
        <f t="shared" si="18"/>
        <v>60.77103907847799</v>
      </c>
      <c r="Q63" s="115">
        <f t="shared" si="18"/>
        <v>60.771039078477997</v>
      </c>
      <c r="R63" s="115">
        <f t="shared" si="18"/>
        <v>60.771039078477997</v>
      </c>
      <c r="S63" s="115">
        <f t="shared" si="18"/>
        <v>60.771039078477997</v>
      </c>
      <c r="T63" s="115">
        <f t="shared" si="18"/>
        <v>60.77103907847799</v>
      </c>
      <c r="U63" s="115">
        <f t="shared" si="18"/>
        <v>60.77103907847799</v>
      </c>
      <c r="V63" s="115">
        <f t="shared" ref="V63:Z63" si="19">SUM(V59:V62)</f>
        <v>60.771039078477997</v>
      </c>
      <c r="W63" s="115">
        <f t="shared" si="19"/>
        <v>60.771039078477997</v>
      </c>
      <c r="X63" s="115">
        <f t="shared" si="19"/>
        <v>60.771039078477997</v>
      </c>
      <c r="Y63" s="115">
        <f t="shared" si="19"/>
        <v>60.77103907847799</v>
      </c>
      <c r="Z63" s="115">
        <f t="shared" si="19"/>
        <v>60.77103907847799</v>
      </c>
    </row>
    <row r="64" spans="1:26" x14ac:dyDescent="0.35">
      <c r="A64" s="89" t="s">
        <v>142</v>
      </c>
      <c r="B64" s="244">
        <f>B65-B63</f>
        <v>-0.77103907847799036</v>
      </c>
      <c r="C64" s="244">
        <f t="shared" ref="C64:U64" si="20">C65-C63</f>
        <v>-0.77103907847799036</v>
      </c>
      <c r="D64" s="244">
        <f t="shared" si="20"/>
        <v>-0.77103907847799036</v>
      </c>
      <c r="E64" s="244">
        <f t="shared" si="20"/>
        <v>-0.77103907847799036</v>
      </c>
      <c r="F64" s="244">
        <f t="shared" si="20"/>
        <v>-0.77103907847799746</v>
      </c>
      <c r="G64" s="244">
        <f t="shared" si="20"/>
        <v>-0.77103907847799036</v>
      </c>
      <c r="H64" s="244">
        <f t="shared" si="20"/>
        <v>-0.77103907847799746</v>
      </c>
      <c r="I64" s="244">
        <f t="shared" si="20"/>
        <v>-0.77103907847799036</v>
      </c>
      <c r="J64" s="244">
        <f t="shared" si="20"/>
        <v>-0.77103907847799036</v>
      </c>
      <c r="K64" s="244">
        <f t="shared" si="20"/>
        <v>-0.77103907847799746</v>
      </c>
      <c r="L64" s="244">
        <f t="shared" si="20"/>
        <v>-0.77103907847799746</v>
      </c>
      <c r="M64" s="244">
        <f t="shared" si="20"/>
        <v>-0.77103907847799746</v>
      </c>
      <c r="N64" s="244">
        <f t="shared" si="20"/>
        <v>-0.77103907847799746</v>
      </c>
      <c r="O64" s="244">
        <f t="shared" si="20"/>
        <v>-0.77103907847799036</v>
      </c>
      <c r="P64" s="244">
        <f t="shared" si="20"/>
        <v>-0.77103907847799036</v>
      </c>
      <c r="Q64" s="244">
        <f t="shared" si="20"/>
        <v>-0.77103907847799746</v>
      </c>
      <c r="R64" s="244">
        <f t="shared" si="20"/>
        <v>-0.77103907847799746</v>
      </c>
      <c r="S64" s="244">
        <f t="shared" si="20"/>
        <v>-0.77103907847799746</v>
      </c>
      <c r="T64" s="244">
        <f t="shared" si="20"/>
        <v>-0.77103907847799036</v>
      </c>
      <c r="U64" s="244">
        <f t="shared" si="20"/>
        <v>-0.77103907847799036</v>
      </c>
      <c r="V64" s="244">
        <f t="shared" ref="V64:Z64" si="21">V65-V63</f>
        <v>-0.77103907847799746</v>
      </c>
      <c r="W64" s="244">
        <f t="shared" si="21"/>
        <v>-0.77103907847799746</v>
      </c>
      <c r="X64" s="244">
        <f t="shared" si="21"/>
        <v>-0.77103907847799746</v>
      </c>
      <c r="Y64" s="244">
        <f t="shared" si="21"/>
        <v>-0.77103907847799036</v>
      </c>
      <c r="Z64" s="244">
        <f t="shared" si="21"/>
        <v>-0.77103907847799036</v>
      </c>
    </row>
    <row r="65" spans="1:26" x14ac:dyDescent="0.35">
      <c r="A65" s="89" t="s">
        <v>163</v>
      </c>
      <c r="B65" s="352">
        <f t="shared" ref="B65:Z65" si="22">$M$6</f>
        <v>60</v>
      </c>
      <c r="C65" s="352">
        <f t="shared" si="22"/>
        <v>60</v>
      </c>
      <c r="D65" s="352">
        <f t="shared" si="22"/>
        <v>60</v>
      </c>
      <c r="E65" s="352">
        <f t="shared" si="22"/>
        <v>60</v>
      </c>
      <c r="F65" s="352">
        <f t="shared" si="22"/>
        <v>60</v>
      </c>
      <c r="G65" s="352">
        <f t="shared" si="22"/>
        <v>60</v>
      </c>
      <c r="H65" s="352">
        <f t="shared" si="22"/>
        <v>60</v>
      </c>
      <c r="I65" s="352">
        <f t="shared" si="22"/>
        <v>60</v>
      </c>
      <c r="J65" s="352">
        <f t="shared" si="22"/>
        <v>60</v>
      </c>
      <c r="K65" s="352">
        <f t="shared" si="22"/>
        <v>60</v>
      </c>
      <c r="L65" s="352">
        <f t="shared" si="22"/>
        <v>60</v>
      </c>
      <c r="M65" s="352">
        <f t="shared" si="22"/>
        <v>60</v>
      </c>
      <c r="N65" s="352">
        <f t="shared" si="22"/>
        <v>60</v>
      </c>
      <c r="O65" s="352">
        <f t="shared" si="22"/>
        <v>60</v>
      </c>
      <c r="P65" s="352">
        <f t="shared" si="22"/>
        <v>60</v>
      </c>
      <c r="Q65" s="352">
        <f t="shared" si="22"/>
        <v>60</v>
      </c>
      <c r="R65" s="352">
        <f t="shared" si="22"/>
        <v>60</v>
      </c>
      <c r="S65" s="352">
        <f t="shared" si="22"/>
        <v>60</v>
      </c>
      <c r="T65" s="352">
        <f t="shared" si="22"/>
        <v>60</v>
      </c>
      <c r="U65" s="352">
        <f t="shared" si="22"/>
        <v>60</v>
      </c>
      <c r="V65" s="352">
        <f t="shared" si="22"/>
        <v>60</v>
      </c>
      <c r="W65" s="352">
        <f t="shared" si="22"/>
        <v>60</v>
      </c>
      <c r="X65" s="352">
        <f t="shared" si="22"/>
        <v>60</v>
      </c>
      <c r="Y65" s="352">
        <f t="shared" si="22"/>
        <v>60</v>
      </c>
      <c r="Z65" s="352">
        <f t="shared" si="22"/>
        <v>60</v>
      </c>
    </row>
  </sheetData>
  <sheetProtection algorithmName="SHA-512" hashValue="w2EcA+PzyWQrsKW5Ko3s4o89R8U3Vq5mZPaIRDVtnLBE87s0hwa9mQZf0t2BXamISAfcJO4WM501JmeUAcDscQ==" saltValue="TR/D1EpbvcOsBNWkf8VcZw==" spinCount="100000" sheet="1" objects="1" scenarios="1" selectLockedCells="1" selectUnlockedCells="1"/>
  <mergeCells count="24">
    <mergeCell ref="D5:E5"/>
    <mergeCell ref="P5:Q5"/>
    <mergeCell ref="B1:D1"/>
    <mergeCell ref="A4:B4"/>
    <mergeCell ref="D4:H4"/>
    <mergeCell ref="K4:M4"/>
    <mergeCell ref="P4:R4"/>
    <mergeCell ref="D6:E6"/>
    <mergeCell ref="P6:Q6"/>
    <mergeCell ref="D7:E7"/>
    <mergeCell ref="P7:Q7"/>
    <mergeCell ref="D8:E8"/>
    <mergeCell ref="P8:Q8"/>
    <mergeCell ref="K8:L8"/>
    <mergeCell ref="A39:B39"/>
    <mergeCell ref="P9:Q9"/>
    <mergeCell ref="P10:Q10"/>
    <mergeCell ref="P11:Q11"/>
    <mergeCell ref="K9:L9"/>
    <mergeCell ref="P12:Q12"/>
    <mergeCell ref="K14:M14"/>
    <mergeCell ref="K13:M13"/>
    <mergeCell ref="K10:L10"/>
    <mergeCell ref="K11:L11"/>
  </mergeCells>
  <pageMargins left="0.7" right="0.7" top="0.75" bottom="0.75" header="0.3" footer="0.3"/>
  <pageSetup paperSize="8" scale="51" orientation="landscape" r:id="rId1"/>
  <extLst>
    <ext xmlns:x14="http://schemas.microsoft.com/office/spreadsheetml/2009/9/main" uri="{78C0D931-6437-407d-A8EE-F0AAD7539E65}">
      <x14:conditionalFormattings>
        <x14:conditionalFormatting xmlns:xm="http://schemas.microsoft.com/office/excel/2006/main">
          <x14:cfRule type="cellIs" priority="2" operator="greaterThan" id="{8C229802-4CF6-45C0-8D82-978A9E643FBE}">
            <xm:f>'Generation &amp; Ops Scenarios'!$C$35*8760*0.3</xm:f>
            <x14:dxf>
              <font>
                <color rgb="FFFF0000"/>
              </font>
              <fill>
                <patternFill>
                  <bgColor theme="5" tint="0.79998168889431442"/>
                </patternFill>
              </fill>
            </x14:dxf>
          </x14:cfRule>
          <xm:sqref>B54:Z54</xm:sqref>
        </x14:conditionalFormatting>
        <x14:conditionalFormatting xmlns:xm="http://schemas.microsoft.com/office/excel/2006/main">
          <x14:cfRule type="cellIs" priority="8" operator="greaterThan" id="{3FB9DAA6-B392-4106-BC5B-F761AACF1A9E}">
            <xm:f>'Generation &amp; Ops Scenarios'!$C$35*8760*0.3+$B$51</xm:f>
            <x14:dxf>
              <font>
                <color rgb="FFFF0000"/>
              </font>
              <fill>
                <patternFill>
                  <bgColor theme="5" tint="0.79998168889431442"/>
                </patternFill>
              </fill>
            </x14:dxf>
          </x14:cfRule>
          <xm:sqref>B57:Z57</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3D376-D546-44EF-A42E-4CB5C21464BB}">
  <dimension ref="A1:AD27"/>
  <sheetViews>
    <sheetView workbookViewId="0">
      <selection activeCell="H9" sqref="H9"/>
    </sheetView>
  </sheetViews>
  <sheetFormatPr defaultRowHeight="14.5" x14ac:dyDescent="0.35"/>
  <cols>
    <col min="3" max="3" width="5.453125" customWidth="1"/>
    <col min="4" max="28" width="9.453125" bestFit="1" customWidth="1"/>
    <col min="30" max="30" width="11.54296875" customWidth="1"/>
  </cols>
  <sheetData>
    <row r="1" spans="1:30" x14ac:dyDescent="0.35">
      <c r="A1" s="16" t="s">
        <v>45</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1:30" x14ac:dyDescent="0.35">
      <c r="A2" s="4"/>
      <c r="B2" s="4"/>
      <c r="C2" s="4"/>
      <c r="D2" s="17"/>
      <c r="E2" s="17"/>
      <c r="F2" s="17"/>
      <c r="G2" s="17"/>
      <c r="H2" s="17"/>
      <c r="I2" s="17"/>
      <c r="J2" s="17"/>
      <c r="K2" s="17"/>
      <c r="L2" s="17"/>
      <c r="M2" s="17"/>
      <c r="N2" s="17"/>
      <c r="O2" s="17"/>
      <c r="P2" s="17"/>
      <c r="Q2" s="17"/>
      <c r="R2" s="17"/>
      <c r="S2" s="17"/>
      <c r="T2" s="17"/>
      <c r="U2" s="17"/>
      <c r="V2" s="17"/>
      <c r="W2" s="17"/>
      <c r="X2" s="17"/>
      <c r="Y2" s="17"/>
      <c r="Z2" s="17"/>
      <c r="AA2" s="17"/>
      <c r="AB2" s="17"/>
      <c r="AC2" s="17"/>
      <c r="AD2" s="4"/>
    </row>
    <row r="3" spans="1:30" x14ac:dyDescent="0.35">
      <c r="A3" s="4"/>
      <c r="B3" s="4"/>
      <c r="C3" s="4"/>
      <c r="D3" s="17">
        <v>1</v>
      </c>
      <c r="E3" s="17">
        <v>2</v>
      </c>
      <c r="F3" s="17">
        <v>3</v>
      </c>
      <c r="G3" s="17">
        <v>4</v>
      </c>
      <c r="H3" s="17">
        <v>5</v>
      </c>
      <c r="I3" s="17">
        <v>6</v>
      </c>
      <c r="J3" s="17">
        <v>7</v>
      </c>
      <c r="K3" s="17">
        <v>8</v>
      </c>
      <c r="L3" s="17">
        <v>9</v>
      </c>
      <c r="M3" s="17">
        <v>10</v>
      </c>
      <c r="N3" s="17">
        <v>11</v>
      </c>
      <c r="O3" s="17">
        <v>12</v>
      </c>
      <c r="P3" s="17">
        <v>13</v>
      </c>
      <c r="Q3" s="17">
        <v>14</v>
      </c>
      <c r="R3" s="17">
        <v>15</v>
      </c>
      <c r="S3" s="17">
        <v>16</v>
      </c>
      <c r="T3" s="17">
        <v>17</v>
      </c>
      <c r="U3" s="17">
        <v>18</v>
      </c>
      <c r="V3" s="17">
        <v>19</v>
      </c>
      <c r="W3" s="17">
        <v>20</v>
      </c>
      <c r="X3" s="17">
        <v>21</v>
      </c>
      <c r="Y3" s="17">
        <v>22</v>
      </c>
      <c r="Z3" s="17">
        <v>23</v>
      </c>
      <c r="AA3" s="17">
        <v>24</v>
      </c>
      <c r="AB3" s="17">
        <v>25</v>
      </c>
      <c r="AC3" s="17"/>
      <c r="AD3" s="17" t="s">
        <v>46</v>
      </c>
    </row>
    <row r="4" spans="1:30" ht="15.5" x14ac:dyDescent="0.35">
      <c r="A4" s="18" t="s">
        <v>3</v>
      </c>
      <c r="B4" s="18"/>
      <c r="C4" s="18"/>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5">
      <c r="A5" s="4" t="s">
        <v>76</v>
      </c>
      <c r="B5" s="4"/>
      <c r="C5" s="4"/>
      <c r="D5" s="19">
        <f>'100% Wind Cash Flow'!D7</f>
        <v>840000</v>
      </c>
      <c r="E5" s="19">
        <f>'100% Wind Cash Flow'!E7</f>
        <v>840000</v>
      </c>
      <c r="F5" s="19">
        <f>'100% Wind Cash Flow'!F7</f>
        <v>840000</v>
      </c>
      <c r="G5" s="19">
        <f>'100% Wind Cash Flow'!G7</f>
        <v>840000</v>
      </c>
      <c r="H5" s="19">
        <f>'100% Wind Cash Flow'!H7</f>
        <v>840000</v>
      </c>
      <c r="I5" s="19">
        <f>'100% Wind Cash Flow'!I7</f>
        <v>840000</v>
      </c>
      <c r="J5" s="19">
        <f>'100% Wind Cash Flow'!J7</f>
        <v>840000</v>
      </c>
      <c r="K5" s="19">
        <f>'100% Wind Cash Flow'!K7</f>
        <v>840000</v>
      </c>
      <c r="L5" s="19">
        <f>'100% Wind Cash Flow'!L7</f>
        <v>840000</v>
      </c>
      <c r="M5" s="19">
        <f>'100% Wind Cash Flow'!M7</f>
        <v>840000</v>
      </c>
      <c r="N5" s="19">
        <f>'100% Wind Cash Flow'!N7</f>
        <v>840000</v>
      </c>
      <c r="O5" s="19">
        <f>'100% Wind Cash Flow'!O7</f>
        <v>840000</v>
      </c>
      <c r="P5" s="19">
        <f>'100% Wind Cash Flow'!P7</f>
        <v>840000</v>
      </c>
      <c r="Q5" s="19">
        <f>'100% Wind Cash Flow'!Q7</f>
        <v>840000</v>
      </c>
      <c r="R5" s="19">
        <f>'100% Wind Cash Flow'!R7</f>
        <v>840000</v>
      </c>
      <c r="S5" s="19">
        <f>'100% Wind Cash Flow'!S7</f>
        <v>840000</v>
      </c>
      <c r="T5" s="19">
        <f>'100% Wind Cash Flow'!T7</f>
        <v>840000</v>
      </c>
      <c r="U5" s="19">
        <f>'100% Wind Cash Flow'!U7</f>
        <v>840000</v>
      </c>
      <c r="V5" s="19">
        <f>'100% Wind Cash Flow'!V7</f>
        <v>840000</v>
      </c>
      <c r="W5" s="19">
        <f>'100% Wind Cash Flow'!W7</f>
        <v>840000</v>
      </c>
      <c r="X5" s="19">
        <f>'100% Wind Cash Flow'!X7</f>
        <v>840000</v>
      </c>
      <c r="Y5" s="19">
        <f>'100% Wind Cash Flow'!Y7</f>
        <v>840000</v>
      </c>
      <c r="Z5" s="19">
        <f>'100% Wind Cash Flow'!Z7</f>
        <v>840000</v>
      </c>
      <c r="AA5" s="19">
        <f>'100% Wind Cash Flow'!AA7</f>
        <v>840000</v>
      </c>
      <c r="AB5" s="19">
        <f>'100% Wind Cash Flow'!AB7</f>
        <v>840000</v>
      </c>
      <c r="AC5" s="19"/>
      <c r="AD5" s="19">
        <f>SUM(D5:AC5)</f>
        <v>21000000</v>
      </c>
    </row>
    <row r="6" spans="1:30" x14ac:dyDescent="0.35">
      <c r="A6" s="4" t="s">
        <v>52</v>
      </c>
      <c r="B6" s="4"/>
      <c r="C6" s="4"/>
      <c r="D6" s="19">
        <v>0</v>
      </c>
      <c r="E6" s="19">
        <v>0</v>
      </c>
      <c r="F6" s="19">
        <v>0</v>
      </c>
      <c r="G6" s="19">
        <v>0</v>
      </c>
      <c r="H6" s="19">
        <v>0</v>
      </c>
      <c r="I6" s="19">
        <v>0</v>
      </c>
      <c r="J6" s="19">
        <v>0</v>
      </c>
      <c r="K6" s="19">
        <v>0</v>
      </c>
      <c r="L6" s="19">
        <v>0</v>
      </c>
      <c r="M6" s="19">
        <v>0</v>
      </c>
      <c r="N6" s="19">
        <v>0</v>
      </c>
      <c r="O6" s="19">
        <v>0</v>
      </c>
      <c r="P6" s="19">
        <v>0</v>
      </c>
      <c r="Q6" s="19">
        <v>0</v>
      </c>
      <c r="R6" s="19">
        <v>0</v>
      </c>
      <c r="S6" s="19">
        <v>0</v>
      </c>
      <c r="T6" s="19">
        <v>0</v>
      </c>
      <c r="U6" s="19">
        <v>0</v>
      </c>
      <c r="V6" s="19">
        <v>0</v>
      </c>
      <c r="W6" s="19">
        <v>0</v>
      </c>
      <c r="X6" s="19">
        <v>0</v>
      </c>
      <c r="Y6" s="19">
        <v>0</v>
      </c>
      <c r="Z6" s="19">
        <v>0</v>
      </c>
      <c r="AA6" s="19">
        <v>0</v>
      </c>
      <c r="AB6" s="19">
        <v>0</v>
      </c>
      <c r="AC6" s="19"/>
      <c r="AD6" s="19">
        <f t="shared" ref="AD6" si="0">SUM(D6:AC6)</f>
        <v>0</v>
      </c>
    </row>
    <row r="7" spans="1:30" x14ac:dyDescent="0.35">
      <c r="A7" s="4"/>
      <c r="B7" s="4"/>
      <c r="C7" s="4"/>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ht="15" thickBot="1" x14ac:dyDescent="0.4">
      <c r="A8" s="4" t="s">
        <v>47</v>
      </c>
      <c r="B8" s="4"/>
      <c r="C8" s="4"/>
      <c r="D8" s="24">
        <f t="shared" ref="D8:AB8" si="1">SUM(D5:D7)</f>
        <v>840000</v>
      </c>
      <c r="E8" s="24">
        <f t="shared" si="1"/>
        <v>840000</v>
      </c>
      <c r="F8" s="24">
        <f t="shared" si="1"/>
        <v>840000</v>
      </c>
      <c r="G8" s="24">
        <f t="shared" si="1"/>
        <v>840000</v>
      </c>
      <c r="H8" s="24">
        <f t="shared" si="1"/>
        <v>840000</v>
      </c>
      <c r="I8" s="24">
        <f t="shared" si="1"/>
        <v>840000</v>
      </c>
      <c r="J8" s="24">
        <f t="shared" si="1"/>
        <v>840000</v>
      </c>
      <c r="K8" s="24">
        <f t="shared" si="1"/>
        <v>840000</v>
      </c>
      <c r="L8" s="24">
        <f t="shared" si="1"/>
        <v>840000</v>
      </c>
      <c r="M8" s="24">
        <f t="shared" si="1"/>
        <v>840000</v>
      </c>
      <c r="N8" s="24">
        <f t="shared" si="1"/>
        <v>840000</v>
      </c>
      <c r="O8" s="24">
        <f t="shared" si="1"/>
        <v>840000</v>
      </c>
      <c r="P8" s="24">
        <f t="shared" si="1"/>
        <v>840000</v>
      </c>
      <c r="Q8" s="24">
        <f t="shared" si="1"/>
        <v>840000</v>
      </c>
      <c r="R8" s="24">
        <f t="shared" si="1"/>
        <v>840000</v>
      </c>
      <c r="S8" s="24">
        <f t="shared" si="1"/>
        <v>840000</v>
      </c>
      <c r="T8" s="24">
        <f t="shared" si="1"/>
        <v>840000</v>
      </c>
      <c r="U8" s="24">
        <f t="shared" si="1"/>
        <v>840000</v>
      </c>
      <c r="V8" s="24">
        <f t="shared" si="1"/>
        <v>840000</v>
      </c>
      <c r="W8" s="24">
        <f t="shared" si="1"/>
        <v>840000</v>
      </c>
      <c r="X8" s="24">
        <f t="shared" si="1"/>
        <v>840000</v>
      </c>
      <c r="Y8" s="24">
        <f t="shared" si="1"/>
        <v>840000</v>
      </c>
      <c r="Z8" s="24">
        <f t="shared" si="1"/>
        <v>840000</v>
      </c>
      <c r="AA8" s="24">
        <f t="shared" si="1"/>
        <v>840000</v>
      </c>
      <c r="AB8" s="24">
        <f t="shared" si="1"/>
        <v>840000</v>
      </c>
      <c r="AC8" s="19"/>
      <c r="AD8" s="24">
        <f>SUM(AD5:AD7)</f>
        <v>21000000</v>
      </c>
    </row>
    <row r="9" spans="1:30" ht="15" thickTop="1" x14ac:dyDescent="0.35">
      <c r="A9" s="4"/>
      <c r="B9" s="4"/>
      <c r="C9" s="4"/>
      <c r="D9" s="19"/>
      <c r="E9" s="19"/>
      <c r="F9" s="19"/>
      <c r="G9" s="19"/>
      <c r="H9" s="19"/>
      <c r="I9" s="19"/>
      <c r="J9" s="19"/>
      <c r="K9" s="19"/>
      <c r="L9" s="19"/>
      <c r="M9" s="19"/>
      <c r="N9" s="19"/>
      <c r="O9" s="19"/>
      <c r="P9" s="19"/>
      <c r="Q9" s="19"/>
      <c r="R9" s="19"/>
      <c r="S9" s="19"/>
      <c r="T9" s="19"/>
      <c r="U9" s="19"/>
      <c r="V9" s="19"/>
      <c r="W9" s="19"/>
      <c r="X9" s="19"/>
      <c r="Y9" s="19"/>
      <c r="Z9" s="19"/>
      <c r="AA9" s="19"/>
      <c r="AB9" s="19"/>
      <c r="AC9" s="19"/>
      <c r="AD9" s="19"/>
    </row>
    <row r="10" spans="1:30" x14ac:dyDescent="0.35">
      <c r="A10" s="4"/>
      <c r="B10" s="4"/>
      <c r="C10" s="4"/>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0" ht="15.5" x14ac:dyDescent="0.35">
      <c r="A11" s="18" t="s">
        <v>2</v>
      </c>
      <c r="B11" s="18"/>
      <c r="C11" s="18"/>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row>
    <row r="12" spans="1:30" x14ac:dyDescent="0.35">
      <c r="A12" s="4" t="s">
        <v>4</v>
      </c>
      <c r="B12" s="4"/>
      <c r="C12" s="4"/>
      <c r="D12" s="19">
        <f>'100% Wind Cash Flow'!D8</f>
        <v>0</v>
      </c>
      <c r="E12" s="19">
        <f>'100% Wind Cash Flow'!E8</f>
        <v>0</v>
      </c>
      <c r="F12" s="19">
        <f>'100% Wind Cash Flow'!F8</f>
        <v>0</v>
      </c>
      <c r="G12" s="19">
        <f>'100% Wind Cash Flow'!G8</f>
        <v>0</v>
      </c>
      <c r="H12" s="19">
        <f>'100% Wind Cash Flow'!H8</f>
        <v>0</v>
      </c>
      <c r="I12" s="19">
        <f>'100% Wind Cash Flow'!I8</f>
        <v>0</v>
      </c>
      <c r="J12" s="19">
        <f>'100% Wind Cash Flow'!J8</f>
        <v>0</v>
      </c>
      <c r="K12" s="19">
        <f>'100% Wind Cash Flow'!K8</f>
        <v>0</v>
      </c>
      <c r="L12" s="19">
        <f>'100% Wind Cash Flow'!L8</f>
        <v>0</v>
      </c>
      <c r="M12" s="19">
        <f>'100% Wind Cash Flow'!M8</f>
        <v>0</v>
      </c>
      <c r="N12" s="19">
        <f>'100% Wind Cash Flow'!N8</f>
        <v>0</v>
      </c>
      <c r="O12" s="19">
        <f>'100% Wind Cash Flow'!O8</f>
        <v>0</v>
      </c>
      <c r="P12" s="19">
        <f>'100% Wind Cash Flow'!P8</f>
        <v>0</v>
      </c>
      <c r="Q12" s="19">
        <f>'100% Wind Cash Flow'!Q8</f>
        <v>0</v>
      </c>
      <c r="R12" s="19">
        <f>'100% Wind Cash Flow'!R8</f>
        <v>0</v>
      </c>
      <c r="S12" s="19">
        <f>'100% Wind Cash Flow'!S8</f>
        <v>0</v>
      </c>
      <c r="T12" s="19">
        <f>'100% Wind Cash Flow'!T8</f>
        <v>0</v>
      </c>
      <c r="U12" s="19">
        <f>'100% Wind Cash Flow'!U8</f>
        <v>0</v>
      </c>
      <c r="V12" s="19">
        <f>'100% Wind Cash Flow'!V8</f>
        <v>0</v>
      </c>
      <c r="W12" s="19">
        <f>'100% Wind Cash Flow'!W8</f>
        <v>0</v>
      </c>
      <c r="X12" s="19">
        <f>'100% Wind Cash Flow'!X8</f>
        <v>0</v>
      </c>
      <c r="Y12" s="19">
        <f>'100% Wind Cash Flow'!Y8</f>
        <v>0</v>
      </c>
      <c r="Z12" s="19">
        <f>'100% Wind Cash Flow'!Z8</f>
        <v>0</v>
      </c>
      <c r="AA12" s="19">
        <f>'100% Wind Cash Flow'!AA8</f>
        <v>0</v>
      </c>
      <c r="AB12" s="19">
        <f>'100% Wind Cash Flow'!AB8</f>
        <v>0</v>
      </c>
      <c r="AC12" s="19"/>
      <c r="AD12" s="19">
        <f t="shared" ref="AD12:AD13" si="2">SUM(D12:AC12)</f>
        <v>0</v>
      </c>
    </row>
    <row r="13" spans="1:30" x14ac:dyDescent="0.35">
      <c r="A13" s="4" t="s">
        <v>2</v>
      </c>
      <c r="B13" s="4"/>
      <c r="C13" s="4"/>
      <c r="D13" s="19">
        <f>'100% Wind Cash Flow'!D9</f>
        <v>-374026.2391666667</v>
      </c>
      <c r="E13" s="19">
        <f>'100% Wind Cash Flow'!E9</f>
        <v>-374026.2391666667</v>
      </c>
      <c r="F13" s="19">
        <f>'100% Wind Cash Flow'!F9</f>
        <v>-374026.2391666667</v>
      </c>
      <c r="G13" s="19">
        <f>'100% Wind Cash Flow'!G9</f>
        <v>-374026.2391666667</v>
      </c>
      <c r="H13" s="19">
        <f>'100% Wind Cash Flow'!H9</f>
        <v>-374026.2391666667</v>
      </c>
      <c r="I13" s="19">
        <f>'100% Wind Cash Flow'!I9</f>
        <v>-374026.2391666667</v>
      </c>
      <c r="J13" s="19">
        <f>'100% Wind Cash Flow'!J9</f>
        <v>-374026.2391666667</v>
      </c>
      <c r="K13" s="19">
        <f>'100% Wind Cash Flow'!K9</f>
        <v>-374026.2391666667</v>
      </c>
      <c r="L13" s="19">
        <f>'100% Wind Cash Flow'!L9</f>
        <v>-374026.2391666667</v>
      </c>
      <c r="M13" s="19">
        <f>'100% Wind Cash Flow'!M9</f>
        <v>-374026.2391666667</v>
      </c>
      <c r="N13" s="19">
        <f>'100% Wind Cash Flow'!N9</f>
        <v>-374026.2391666667</v>
      </c>
      <c r="O13" s="19">
        <f>'100% Wind Cash Flow'!O9</f>
        <v>-374026.2391666667</v>
      </c>
      <c r="P13" s="19">
        <f>'100% Wind Cash Flow'!P9</f>
        <v>-374026.2391666667</v>
      </c>
      <c r="Q13" s="19">
        <f>'100% Wind Cash Flow'!Q9</f>
        <v>-374026.2391666667</v>
      </c>
      <c r="R13" s="19">
        <f>'100% Wind Cash Flow'!R9</f>
        <v>-374026.2391666667</v>
      </c>
      <c r="S13" s="19">
        <f>'100% Wind Cash Flow'!S9</f>
        <v>-374026.2391666667</v>
      </c>
      <c r="T13" s="19">
        <f>'100% Wind Cash Flow'!T9</f>
        <v>-374026.2391666667</v>
      </c>
      <c r="U13" s="19">
        <f>'100% Wind Cash Flow'!U9</f>
        <v>-374026.2391666667</v>
      </c>
      <c r="V13" s="19">
        <f>'100% Wind Cash Flow'!V9</f>
        <v>-374026.2391666667</v>
      </c>
      <c r="W13" s="19">
        <f>'100% Wind Cash Flow'!W9</f>
        <v>-374026.2391666667</v>
      </c>
      <c r="X13" s="19">
        <f>'100% Wind Cash Flow'!X9</f>
        <v>-374026.2391666667</v>
      </c>
      <c r="Y13" s="19">
        <f>'100% Wind Cash Flow'!Y9</f>
        <v>-374026.2391666667</v>
      </c>
      <c r="Z13" s="19">
        <f>'100% Wind Cash Flow'!Z9</f>
        <v>-374026.2391666667</v>
      </c>
      <c r="AA13" s="19">
        <f>'100% Wind Cash Flow'!AA9</f>
        <v>-374026.2391666667</v>
      </c>
      <c r="AB13" s="19">
        <f>'100% Wind Cash Flow'!AB9</f>
        <v>-374026.2391666667</v>
      </c>
      <c r="AC13" s="19"/>
      <c r="AD13" s="19">
        <f t="shared" si="2"/>
        <v>-9350655.979166666</v>
      </c>
    </row>
    <row r="14" spans="1:30" ht="15" thickBot="1" x14ac:dyDescent="0.4">
      <c r="A14" s="4" t="s">
        <v>48</v>
      </c>
      <c r="B14" s="4"/>
      <c r="C14" s="4"/>
      <c r="D14" s="24">
        <f t="shared" ref="D14:AB14" si="3">SUM(D12:D13)</f>
        <v>-374026.2391666667</v>
      </c>
      <c r="E14" s="24">
        <f t="shared" si="3"/>
        <v>-374026.2391666667</v>
      </c>
      <c r="F14" s="24">
        <f t="shared" si="3"/>
        <v>-374026.2391666667</v>
      </c>
      <c r="G14" s="24">
        <f t="shared" si="3"/>
        <v>-374026.2391666667</v>
      </c>
      <c r="H14" s="24">
        <f t="shared" si="3"/>
        <v>-374026.2391666667</v>
      </c>
      <c r="I14" s="24">
        <f t="shared" si="3"/>
        <v>-374026.2391666667</v>
      </c>
      <c r="J14" s="24">
        <f t="shared" si="3"/>
        <v>-374026.2391666667</v>
      </c>
      <c r="K14" s="24">
        <f t="shared" si="3"/>
        <v>-374026.2391666667</v>
      </c>
      <c r="L14" s="24">
        <f t="shared" si="3"/>
        <v>-374026.2391666667</v>
      </c>
      <c r="M14" s="24">
        <f t="shared" si="3"/>
        <v>-374026.2391666667</v>
      </c>
      <c r="N14" s="24">
        <f t="shared" si="3"/>
        <v>-374026.2391666667</v>
      </c>
      <c r="O14" s="24">
        <f t="shared" si="3"/>
        <v>-374026.2391666667</v>
      </c>
      <c r="P14" s="24">
        <f t="shared" si="3"/>
        <v>-374026.2391666667</v>
      </c>
      <c r="Q14" s="24">
        <f t="shared" si="3"/>
        <v>-374026.2391666667</v>
      </c>
      <c r="R14" s="24">
        <f t="shared" si="3"/>
        <v>-374026.2391666667</v>
      </c>
      <c r="S14" s="24">
        <f t="shared" si="3"/>
        <v>-374026.2391666667</v>
      </c>
      <c r="T14" s="24">
        <f t="shared" si="3"/>
        <v>-374026.2391666667</v>
      </c>
      <c r="U14" s="24">
        <f t="shared" si="3"/>
        <v>-374026.2391666667</v>
      </c>
      <c r="V14" s="24">
        <f t="shared" si="3"/>
        <v>-374026.2391666667</v>
      </c>
      <c r="W14" s="24">
        <f t="shared" si="3"/>
        <v>-374026.2391666667</v>
      </c>
      <c r="X14" s="24">
        <f t="shared" si="3"/>
        <v>-374026.2391666667</v>
      </c>
      <c r="Y14" s="24">
        <f t="shared" si="3"/>
        <v>-374026.2391666667</v>
      </c>
      <c r="Z14" s="24">
        <f t="shared" si="3"/>
        <v>-374026.2391666667</v>
      </c>
      <c r="AA14" s="24">
        <f t="shared" si="3"/>
        <v>-374026.2391666667</v>
      </c>
      <c r="AB14" s="24">
        <f t="shared" si="3"/>
        <v>-374026.2391666667</v>
      </c>
      <c r="AC14" s="19"/>
      <c r="AD14" s="24">
        <f>SUM(AD12:AD13)</f>
        <v>-9350655.979166666</v>
      </c>
    </row>
    <row r="15" spans="1:30" ht="15" thickTop="1" x14ac:dyDescent="0.35">
      <c r="A15" s="4"/>
      <c r="B15" s="4"/>
      <c r="C15" s="4"/>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row>
    <row r="16" spans="1:30" x14ac:dyDescent="0.35">
      <c r="A16" s="16" t="s">
        <v>49</v>
      </c>
      <c r="B16" s="16"/>
      <c r="C16" s="16"/>
      <c r="D16" s="25">
        <f>D8+D14</f>
        <v>465973.7608333333</v>
      </c>
      <c r="E16" s="25">
        <f t="shared" ref="E16:AB16" si="4">E8+E14</f>
        <v>465973.7608333333</v>
      </c>
      <c r="F16" s="25">
        <f t="shared" si="4"/>
        <v>465973.7608333333</v>
      </c>
      <c r="G16" s="25">
        <f t="shared" si="4"/>
        <v>465973.7608333333</v>
      </c>
      <c r="H16" s="25">
        <f t="shared" si="4"/>
        <v>465973.7608333333</v>
      </c>
      <c r="I16" s="25">
        <f t="shared" si="4"/>
        <v>465973.7608333333</v>
      </c>
      <c r="J16" s="25">
        <f t="shared" si="4"/>
        <v>465973.7608333333</v>
      </c>
      <c r="K16" s="25">
        <f t="shared" si="4"/>
        <v>465973.7608333333</v>
      </c>
      <c r="L16" s="25">
        <f t="shared" si="4"/>
        <v>465973.7608333333</v>
      </c>
      <c r="M16" s="25">
        <f t="shared" si="4"/>
        <v>465973.7608333333</v>
      </c>
      <c r="N16" s="25">
        <f t="shared" si="4"/>
        <v>465973.7608333333</v>
      </c>
      <c r="O16" s="25">
        <f t="shared" si="4"/>
        <v>465973.7608333333</v>
      </c>
      <c r="P16" s="25">
        <f t="shared" si="4"/>
        <v>465973.7608333333</v>
      </c>
      <c r="Q16" s="25">
        <f t="shared" si="4"/>
        <v>465973.7608333333</v>
      </c>
      <c r="R16" s="25">
        <f t="shared" si="4"/>
        <v>465973.7608333333</v>
      </c>
      <c r="S16" s="25">
        <f t="shared" si="4"/>
        <v>465973.7608333333</v>
      </c>
      <c r="T16" s="25">
        <f t="shared" si="4"/>
        <v>465973.7608333333</v>
      </c>
      <c r="U16" s="25">
        <f t="shared" si="4"/>
        <v>465973.7608333333</v>
      </c>
      <c r="V16" s="25">
        <f t="shared" si="4"/>
        <v>465973.7608333333</v>
      </c>
      <c r="W16" s="25">
        <f t="shared" si="4"/>
        <v>465973.7608333333</v>
      </c>
      <c r="X16" s="25">
        <f t="shared" si="4"/>
        <v>465973.7608333333</v>
      </c>
      <c r="Y16" s="25">
        <f t="shared" si="4"/>
        <v>465973.7608333333</v>
      </c>
      <c r="Z16" s="25">
        <f t="shared" si="4"/>
        <v>465973.7608333333</v>
      </c>
      <c r="AA16" s="25">
        <f t="shared" si="4"/>
        <v>465973.7608333333</v>
      </c>
      <c r="AB16" s="25">
        <f t="shared" si="4"/>
        <v>465973.7608333333</v>
      </c>
      <c r="AC16" s="26"/>
      <c r="AD16" s="25">
        <f>AD8-AD14</f>
        <v>30350655.979166664</v>
      </c>
    </row>
    <row r="17" spans="1:30" x14ac:dyDescent="0.35">
      <c r="A17" s="14"/>
      <c r="B17" s="14"/>
      <c r="C17" s="14"/>
      <c r="D17" s="27">
        <f t="shared" ref="D17:AB17" si="5">D16/D8</f>
        <v>0.55473066765873014</v>
      </c>
      <c r="E17" s="27">
        <f t="shared" si="5"/>
        <v>0.55473066765873014</v>
      </c>
      <c r="F17" s="27">
        <f t="shared" si="5"/>
        <v>0.55473066765873014</v>
      </c>
      <c r="G17" s="27">
        <f t="shared" si="5"/>
        <v>0.55473066765873014</v>
      </c>
      <c r="H17" s="27">
        <f t="shared" si="5"/>
        <v>0.55473066765873014</v>
      </c>
      <c r="I17" s="27">
        <f t="shared" si="5"/>
        <v>0.55473066765873014</v>
      </c>
      <c r="J17" s="27">
        <f t="shared" si="5"/>
        <v>0.55473066765873014</v>
      </c>
      <c r="K17" s="27">
        <f t="shared" si="5"/>
        <v>0.55473066765873014</v>
      </c>
      <c r="L17" s="27">
        <f t="shared" si="5"/>
        <v>0.55473066765873014</v>
      </c>
      <c r="M17" s="27">
        <f t="shared" si="5"/>
        <v>0.55473066765873014</v>
      </c>
      <c r="N17" s="27">
        <f t="shared" si="5"/>
        <v>0.55473066765873014</v>
      </c>
      <c r="O17" s="27">
        <f t="shared" si="5"/>
        <v>0.55473066765873014</v>
      </c>
      <c r="P17" s="27">
        <f t="shared" si="5"/>
        <v>0.55473066765873014</v>
      </c>
      <c r="Q17" s="27">
        <f t="shared" si="5"/>
        <v>0.55473066765873014</v>
      </c>
      <c r="R17" s="27">
        <f t="shared" si="5"/>
        <v>0.55473066765873014</v>
      </c>
      <c r="S17" s="27">
        <f t="shared" si="5"/>
        <v>0.55473066765873014</v>
      </c>
      <c r="T17" s="27">
        <f t="shared" si="5"/>
        <v>0.55473066765873014</v>
      </c>
      <c r="U17" s="27">
        <f t="shared" si="5"/>
        <v>0.55473066765873014</v>
      </c>
      <c r="V17" s="27">
        <f t="shared" si="5"/>
        <v>0.55473066765873014</v>
      </c>
      <c r="W17" s="27">
        <f t="shared" si="5"/>
        <v>0.55473066765873014</v>
      </c>
      <c r="X17" s="27">
        <f t="shared" si="5"/>
        <v>0.55473066765873014</v>
      </c>
      <c r="Y17" s="27">
        <f t="shared" si="5"/>
        <v>0.55473066765873014</v>
      </c>
      <c r="Z17" s="27">
        <f t="shared" si="5"/>
        <v>0.55473066765873014</v>
      </c>
      <c r="AA17" s="27">
        <f t="shared" si="5"/>
        <v>0.55473066765873014</v>
      </c>
      <c r="AB17" s="27">
        <f t="shared" si="5"/>
        <v>0.55473066765873014</v>
      </c>
      <c r="AC17" s="27"/>
      <c r="AD17" s="27">
        <f>AD16/AD8</f>
        <v>1.4452693323412698</v>
      </c>
    </row>
    <row r="18" spans="1:30" x14ac:dyDescent="0.35">
      <c r="A18" s="4"/>
      <c r="B18" s="4"/>
      <c r="C18" s="4"/>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x14ac:dyDescent="0.35">
      <c r="A19" s="4" t="s">
        <v>63</v>
      </c>
      <c r="B19" s="4"/>
      <c r="C19" s="4"/>
      <c r="D19" s="19">
        <f>-'100% Wind Summary'!$R$7/'100% Wind Summary'!$R$9</f>
        <v>-396322.5566666667</v>
      </c>
      <c r="E19" s="19">
        <f>-'100% Wind Summary'!$R$7/'100% Wind Summary'!$R$9</f>
        <v>-396322.5566666667</v>
      </c>
      <c r="F19" s="19">
        <f>-'100% Wind Summary'!$R$7/'100% Wind Summary'!$R$9</f>
        <v>-396322.5566666667</v>
      </c>
      <c r="G19" s="19">
        <f>-'100% Wind Summary'!$R$7/'100% Wind Summary'!$R$9</f>
        <v>-396322.5566666667</v>
      </c>
      <c r="H19" s="19">
        <f>-'100% Wind Summary'!$R$7/'100% Wind Summary'!$R$9</f>
        <v>-396322.5566666667</v>
      </c>
      <c r="I19" s="19">
        <f>-'100% Wind Summary'!$R$7/'100% Wind Summary'!$R$9</f>
        <v>-396322.5566666667</v>
      </c>
      <c r="J19" s="19">
        <f>-'100% Wind Summary'!$R$7/'100% Wind Summary'!$R$9</f>
        <v>-396322.5566666667</v>
      </c>
      <c r="K19" s="19">
        <f>-'100% Wind Summary'!$R$7/'100% Wind Summary'!$R$9</f>
        <v>-396322.5566666667</v>
      </c>
      <c r="L19" s="19">
        <f>-'100% Wind Summary'!$R$7/'100% Wind Summary'!$R$9</f>
        <v>-396322.5566666667</v>
      </c>
      <c r="M19" s="19">
        <f>-'100% Wind Summary'!$R$7/'100% Wind Summary'!$R$9</f>
        <v>-396322.5566666667</v>
      </c>
      <c r="N19" s="19">
        <f>-'100% Wind Summary'!$R$7/'100% Wind Summary'!$R$9</f>
        <v>-396322.5566666667</v>
      </c>
      <c r="O19" s="19">
        <f>-'100% Wind Summary'!$R$7/'100% Wind Summary'!$R$9</f>
        <v>-396322.5566666667</v>
      </c>
      <c r="P19" s="19">
        <f>-'100% Wind Summary'!$R$7/'100% Wind Summary'!$R$9</f>
        <v>-396322.5566666667</v>
      </c>
      <c r="Q19" s="19">
        <f>-'100% Wind Summary'!$R$7/'100% Wind Summary'!$R$9</f>
        <v>-396322.5566666667</v>
      </c>
      <c r="R19" s="19">
        <f>-'100% Wind Summary'!$R$7/'100% Wind Summary'!$R$9</f>
        <v>-396322.5566666667</v>
      </c>
      <c r="S19" s="19">
        <f>-'100% Wind Summary'!$R$7/'100% Wind Summary'!$R$9</f>
        <v>-396322.5566666667</v>
      </c>
      <c r="T19" s="19">
        <f>-'100% Wind Summary'!$R$7/'100% Wind Summary'!$R$9</f>
        <v>-396322.5566666667</v>
      </c>
      <c r="U19" s="19">
        <f>-'100% Wind Summary'!$R$7/'100% Wind Summary'!$R$9</f>
        <v>-396322.5566666667</v>
      </c>
      <c r="V19" s="19">
        <f>-'100% Wind Summary'!$R$7/'100% Wind Summary'!$R$9</f>
        <v>-396322.5566666667</v>
      </c>
      <c r="W19" s="19">
        <f>-'100% Wind Summary'!$R$7/'100% Wind Summary'!$R$9</f>
        <v>-396322.5566666667</v>
      </c>
      <c r="X19" s="19">
        <f>-'100% Wind Summary'!$R$7/'100% Wind Summary'!$R$9</f>
        <v>-396322.5566666667</v>
      </c>
      <c r="Y19" s="19">
        <f>-'100% Wind Summary'!$R$7/'100% Wind Summary'!$R$9</f>
        <v>-396322.5566666667</v>
      </c>
      <c r="Z19" s="19">
        <f>-'100% Wind Summary'!$R$7/'100% Wind Summary'!$R$9</f>
        <v>-396322.5566666667</v>
      </c>
      <c r="AA19" s="19">
        <f>-'100% Wind Summary'!$R$7/'100% Wind Summary'!$R$9</f>
        <v>-396322.5566666667</v>
      </c>
      <c r="AB19" s="19">
        <f>-'100% Wind Summary'!$R$7/'100% Wind Summary'!$R$9</f>
        <v>-396322.5566666667</v>
      </c>
      <c r="AC19" s="19"/>
      <c r="AD19" s="19">
        <f t="shared" ref="AD19" si="6">SUM(D19:AC19)</f>
        <v>-9908063.9166666679</v>
      </c>
    </row>
    <row r="20" spans="1:30" x14ac:dyDescent="0.35">
      <c r="A20" s="4"/>
      <c r="B20" s="4"/>
      <c r="C20" s="4"/>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1:30" x14ac:dyDescent="0.35">
      <c r="A21" s="16" t="s">
        <v>50</v>
      </c>
      <c r="B21" s="16"/>
      <c r="C21" s="16"/>
      <c r="D21" s="25">
        <f>+D16+D19</f>
        <v>69651.204166666605</v>
      </c>
      <c r="E21" s="25">
        <f t="shared" ref="E21:AB21" si="7">+E16+E19</f>
        <v>69651.204166666605</v>
      </c>
      <c r="F21" s="25">
        <f t="shared" si="7"/>
        <v>69651.204166666605</v>
      </c>
      <c r="G21" s="25">
        <f t="shared" si="7"/>
        <v>69651.204166666605</v>
      </c>
      <c r="H21" s="25">
        <f t="shared" si="7"/>
        <v>69651.204166666605</v>
      </c>
      <c r="I21" s="25">
        <f t="shared" si="7"/>
        <v>69651.204166666605</v>
      </c>
      <c r="J21" s="25">
        <f t="shared" si="7"/>
        <v>69651.204166666605</v>
      </c>
      <c r="K21" s="25">
        <f t="shared" si="7"/>
        <v>69651.204166666605</v>
      </c>
      <c r="L21" s="25">
        <f t="shared" si="7"/>
        <v>69651.204166666605</v>
      </c>
      <c r="M21" s="25">
        <f t="shared" si="7"/>
        <v>69651.204166666605</v>
      </c>
      <c r="N21" s="25">
        <f t="shared" si="7"/>
        <v>69651.204166666605</v>
      </c>
      <c r="O21" s="25">
        <f t="shared" si="7"/>
        <v>69651.204166666605</v>
      </c>
      <c r="P21" s="25">
        <f t="shared" si="7"/>
        <v>69651.204166666605</v>
      </c>
      <c r="Q21" s="25">
        <f t="shared" si="7"/>
        <v>69651.204166666605</v>
      </c>
      <c r="R21" s="25">
        <f t="shared" si="7"/>
        <v>69651.204166666605</v>
      </c>
      <c r="S21" s="25">
        <f t="shared" si="7"/>
        <v>69651.204166666605</v>
      </c>
      <c r="T21" s="25">
        <f t="shared" si="7"/>
        <v>69651.204166666605</v>
      </c>
      <c r="U21" s="25">
        <f t="shared" si="7"/>
        <v>69651.204166666605</v>
      </c>
      <c r="V21" s="25">
        <f t="shared" si="7"/>
        <v>69651.204166666605</v>
      </c>
      <c r="W21" s="25">
        <f t="shared" si="7"/>
        <v>69651.204166666605</v>
      </c>
      <c r="X21" s="25">
        <f t="shared" si="7"/>
        <v>69651.204166666605</v>
      </c>
      <c r="Y21" s="25">
        <f t="shared" si="7"/>
        <v>69651.204166666605</v>
      </c>
      <c r="Z21" s="25">
        <f t="shared" si="7"/>
        <v>69651.204166666605</v>
      </c>
      <c r="AA21" s="25">
        <f t="shared" si="7"/>
        <v>69651.204166666605</v>
      </c>
      <c r="AB21" s="25">
        <f t="shared" si="7"/>
        <v>69651.204166666605</v>
      </c>
      <c r="AC21" s="26"/>
      <c r="AD21" s="25">
        <f t="shared" ref="AD21" si="8">+AD16-AD19</f>
        <v>40258719.895833328</v>
      </c>
    </row>
    <row r="22" spans="1:30" x14ac:dyDescent="0.35">
      <c r="A22" s="4"/>
      <c r="B22" s="4"/>
      <c r="C22" s="4"/>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1:30" x14ac:dyDescent="0.35">
      <c r="A23" s="4" t="s">
        <v>51</v>
      </c>
      <c r="B23" s="4"/>
      <c r="C23" s="4"/>
      <c r="D23" s="19">
        <f>'100% Wind Interest Calculations'!E14</f>
        <v>-743104.79375000007</v>
      </c>
      <c r="E23" s="19">
        <f>'100% Wind Interest Calculations'!F14</f>
        <v>-732173.22312801599</v>
      </c>
      <c r="F23" s="19">
        <f>'100% Wind Interest Calculations'!G14</f>
        <v>-720421.78470938315</v>
      </c>
      <c r="G23" s="19">
        <f>'100% Wind Interest Calculations'!H14</f>
        <v>-707788.98840935284</v>
      </c>
      <c r="H23" s="19">
        <f>'100% Wind Interest Calculations'!I14</f>
        <v>-694208.73238682013</v>
      </c>
      <c r="I23" s="19">
        <f>'100% Wind Interest Calculations'!J14</f>
        <v>-679609.95716259757</v>
      </c>
      <c r="J23" s="19">
        <f>'100% Wind Interest Calculations'!K14</f>
        <v>-663916.27379655826</v>
      </c>
      <c r="K23" s="19">
        <f>'100% Wind Interest Calculations'!L14</f>
        <v>-647045.56417806621</v>
      </c>
      <c r="L23" s="19">
        <f>'100% Wind Interest Calculations'!M14</f>
        <v>-628909.55133818707</v>
      </c>
      <c r="M23" s="19">
        <f>'100% Wind Interest Calculations'!N14</f>
        <v>-609413.33753531706</v>
      </c>
      <c r="N23" s="19">
        <f>'100% Wind Interest Calculations'!O14</f>
        <v>-588454.90769723174</v>
      </c>
      <c r="O23" s="19">
        <f>'100% Wind Interest Calculations'!P14</f>
        <v>-565924.59562129003</v>
      </c>
      <c r="P23" s="19">
        <f>'100% Wind Interest Calculations'!Q14</f>
        <v>-541704.51013965276</v>
      </c>
      <c r="Q23" s="19">
        <f>'100% Wind Interest Calculations'!R14</f>
        <v>-515667.91824689257</v>
      </c>
      <c r="R23" s="19">
        <f>'100% Wind Interest Calculations'!S14</f>
        <v>-487678.58196217549</v>
      </c>
      <c r="S23" s="19">
        <f>'100% Wind Interest Calculations'!T14</f>
        <v>-457590.04545610456</v>
      </c>
      <c r="T23" s="19">
        <f>'100% Wind Interest Calculations'!U14</f>
        <v>-425244.86871207837</v>
      </c>
      <c r="U23" s="19">
        <f>'100% Wind Interest Calculations'!V14</f>
        <v>-390473.80371225014</v>
      </c>
      <c r="V23" s="19">
        <f>'100% Wind Interest Calculations'!W14</f>
        <v>-353094.90883743489</v>
      </c>
      <c r="W23" s="19">
        <f>'100% Wind Interest Calculations'!X14</f>
        <v>-312912.59684700839</v>
      </c>
      <c r="X23" s="19">
        <f>'100% Wind Interest Calculations'!Y14</f>
        <v>-269716.61145729996</v>
      </c>
      <c r="Y23" s="19">
        <f>'100% Wind Interest Calculations'!Z14</f>
        <v>-223280.92716336341</v>
      </c>
      <c r="Z23" s="19">
        <f>'100% Wind Interest Calculations'!AA14</f>
        <v>-173362.56654738158</v>
      </c>
      <c r="AA23" s="19">
        <f>'100% Wind Interest Calculations'!AB14</f>
        <v>-119700.3288852011</v>
      </c>
      <c r="AB23" s="19">
        <f>'100% Wind Interest Calculations'!AC14</f>
        <v>-62013.423398357118</v>
      </c>
      <c r="AC23" s="19"/>
      <c r="AD23" s="19">
        <f t="shared" ref="AD23" si="9">SUM(D23:AC23)</f>
        <v>-12313412.801078022</v>
      </c>
    </row>
    <row r="24" spans="1:30" x14ac:dyDescent="0.35">
      <c r="A24" s="4"/>
      <c r="B24" s="4"/>
      <c r="C24" s="4"/>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15" thickBot="1" x14ac:dyDescent="0.4">
      <c r="A25" s="16" t="s">
        <v>54</v>
      </c>
      <c r="B25" s="16"/>
      <c r="C25" s="16"/>
      <c r="D25" s="28">
        <f>+D21+D23</f>
        <v>-673453.58958333347</v>
      </c>
      <c r="E25" s="28">
        <f t="shared" ref="E25:AB25" si="10">+E21+E23</f>
        <v>-662522.01896134939</v>
      </c>
      <c r="F25" s="28">
        <f t="shared" si="10"/>
        <v>-650770.58054271655</v>
      </c>
      <c r="G25" s="28">
        <f t="shared" si="10"/>
        <v>-638137.78424268623</v>
      </c>
      <c r="H25" s="28">
        <f t="shared" si="10"/>
        <v>-624557.52822015353</v>
      </c>
      <c r="I25" s="28">
        <f t="shared" si="10"/>
        <v>-609958.75299593096</v>
      </c>
      <c r="J25" s="28">
        <f t="shared" si="10"/>
        <v>-594265.06962989166</v>
      </c>
      <c r="K25" s="28">
        <f t="shared" si="10"/>
        <v>-577394.36001139961</v>
      </c>
      <c r="L25" s="28">
        <f t="shared" si="10"/>
        <v>-559258.34717152047</v>
      </c>
      <c r="M25" s="28">
        <f t="shared" si="10"/>
        <v>-539762.13336865045</v>
      </c>
      <c r="N25" s="28">
        <f t="shared" si="10"/>
        <v>-518803.70353056514</v>
      </c>
      <c r="O25" s="28">
        <f t="shared" si="10"/>
        <v>-496273.39145462343</v>
      </c>
      <c r="P25" s="28">
        <f t="shared" si="10"/>
        <v>-472053.30597298616</v>
      </c>
      <c r="Q25" s="28">
        <f t="shared" si="10"/>
        <v>-446016.71408022597</v>
      </c>
      <c r="R25" s="28">
        <f t="shared" si="10"/>
        <v>-418027.37779550889</v>
      </c>
      <c r="S25" s="28">
        <f t="shared" si="10"/>
        <v>-387938.84128943796</v>
      </c>
      <c r="T25" s="28">
        <f t="shared" si="10"/>
        <v>-355593.66454541177</v>
      </c>
      <c r="U25" s="28">
        <f t="shared" si="10"/>
        <v>-320822.59954558354</v>
      </c>
      <c r="V25" s="28">
        <f t="shared" si="10"/>
        <v>-283443.70467076829</v>
      </c>
      <c r="W25" s="28">
        <f t="shared" si="10"/>
        <v>-243261.39268034179</v>
      </c>
      <c r="X25" s="28">
        <f t="shared" si="10"/>
        <v>-200065.40729063336</v>
      </c>
      <c r="Y25" s="28">
        <f t="shared" si="10"/>
        <v>-153629.7229966968</v>
      </c>
      <c r="Z25" s="28">
        <f t="shared" si="10"/>
        <v>-103711.36238071497</v>
      </c>
      <c r="AA25" s="28">
        <f t="shared" si="10"/>
        <v>-50049.124718534498</v>
      </c>
      <c r="AB25" s="28">
        <f t="shared" si="10"/>
        <v>7637.780768309487</v>
      </c>
      <c r="AC25" s="19"/>
      <c r="AD25" s="25">
        <f t="shared" ref="AD25" si="11">+AD21-AD23</f>
        <v>52572132.69691135</v>
      </c>
    </row>
    <row r="26" spans="1:30" ht="15" thickTop="1" x14ac:dyDescent="0.35">
      <c r="A26" s="4"/>
      <c r="B26" s="4"/>
      <c r="C26" s="4"/>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row>
    <row r="27" spans="1:30" x14ac:dyDescent="0.35">
      <c r="D27" s="45">
        <f>D25/3000000*100</f>
        <v>-22.448452986111114</v>
      </c>
      <c r="E27" s="45">
        <f t="shared" ref="E27:AB27" si="12">E25/3000000*100</f>
        <v>-22.084067298711645</v>
      </c>
      <c r="F27" s="45">
        <f t="shared" si="12"/>
        <v>-21.692352684757218</v>
      </c>
      <c r="G27" s="45">
        <f t="shared" si="12"/>
        <v>-21.271259474756206</v>
      </c>
      <c r="H27" s="45">
        <f t="shared" si="12"/>
        <v>-20.818584274005119</v>
      </c>
      <c r="I27" s="45">
        <f t="shared" si="12"/>
        <v>-20.331958433197698</v>
      </c>
      <c r="J27" s="45">
        <f t="shared" si="12"/>
        <v>-19.808835654329719</v>
      </c>
      <c r="K27" s="45">
        <f t="shared" si="12"/>
        <v>-19.246478667046656</v>
      </c>
      <c r="L27" s="45">
        <f t="shared" si="12"/>
        <v>-18.641944905717349</v>
      </c>
      <c r="M27" s="45">
        <f t="shared" si="12"/>
        <v>-17.99207111228835</v>
      </c>
      <c r="N27" s="45">
        <f t="shared" si="12"/>
        <v>-17.29345678435217</v>
      </c>
      <c r="O27" s="45">
        <f t="shared" si="12"/>
        <v>-16.542446381820781</v>
      </c>
      <c r="P27" s="45">
        <f t="shared" si="12"/>
        <v>-15.735110199099539</v>
      </c>
      <c r="Q27" s="45">
        <f t="shared" si="12"/>
        <v>-14.867223802674198</v>
      </c>
      <c r="R27" s="45">
        <f t="shared" si="12"/>
        <v>-13.934245926516963</v>
      </c>
      <c r="S27" s="45">
        <f t="shared" si="12"/>
        <v>-12.931294709647931</v>
      </c>
      <c r="T27" s="45">
        <f t="shared" si="12"/>
        <v>-11.853122151513725</v>
      </c>
      <c r="U27" s="45">
        <f t="shared" si="12"/>
        <v>-10.69408665151945</v>
      </c>
      <c r="V27" s="45">
        <f t="shared" si="12"/>
        <v>-9.4481234890256101</v>
      </c>
      <c r="W27" s="45">
        <f t="shared" si="12"/>
        <v>-8.108713089344727</v>
      </c>
      <c r="X27" s="45">
        <f t="shared" si="12"/>
        <v>-6.6688469096877787</v>
      </c>
      <c r="Y27" s="45">
        <f t="shared" si="12"/>
        <v>-5.1209907665565604</v>
      </c>
      <c r="Z27" s="45">
        <f t="shared" si="12"/>
        <v>-3.4570454126904986</v>
      </c>
      <c r="AA27" s="45">
        <f t="shared" si="12"/>
        <v>-1.6683041572844832</v>
      </c>
      <c r="AB27" s="45">
        <f t="shared" si="12"/>
        <v>0.25459269227698289</v>
      </c>
    </row>
  </sheetData>
  <sheetProtection algorithmName="SHA-512" hashValue="f/SsFYS4oa0dbQUbmpo99h/kE+QxlIcUk7bmM1gcs9/6JEdsW4XfSIkQTKzoluBaB5VPKe2aL8e+lJ6aLVf/FQ==" saltValue="weENXQl7LjtJssVnitM2gw==" spinCount="100000" sheet="1" objects="1" scenarios="1" selectLockedCells="1" selectUnlockedCells="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5EF21-9A70-42CB-B7EE-14238B0ECDF1}">
  <dimension ref="A1:U70"/>
  <sheetViews>
    <sheetView topLeftCell="B1" workbookViewId="0">
      <selection activeCell="J22" sqref="J22"/>
    </sheetView>
  </sheetViews>
  <sheetFormatPr defaultColWidth="16.453125" defaultRowHeight="14.5" x14ac:dyDescent="0.35"/>
  <cols>
    <col min="1" max="1" width="39.54296875" customWidth="1"/>
    <col min="2" max="2" width="22.7265625" customWidth="1"/>
    <col min="3" max="3" width="10.54296875" style="1" customWidth="1"/>
    <col min="4" max="4" width="12.1796875" customWidth="1"/>
    <col min="5" max="5" width="15.453125" customWidth="1"/>
    <col min="6" max="6" width="10.81640625" customWidth="1"/>
    <col min="7" max="7" width="11.54296875" customWidth="1"/>
    <col min="8" max="9" width="14.26953125" customWidth="1"/>
    <col min="10" max="10" width="12" customWidth="1"/>
    <col min="11" max="11" width="13.7265625" customWidth="1"/>
    <col min="12" max="12" width="12.26953125" customWidth="1"/>
    <col min="13" max="13" width="10.81640625" customWidth="1"/>
    <col min="14" max="14" width="10.7265625" customWidth="1"/>
    <col min="15" max="15" width="10.81640625" customWidth="1"/>
    <col min="16" max="16" width="10.453125" customWidth="1"/>
    <col min="17" max="17" width="12.54296875" customWidth="1"/>
    <col min="18" max="18" width="11.54296875" customWidth="1"/>
    <col min="19" max="19" width="10.81640625" bestFit="1" customWidth="1"/>
    <col min="20" max="20" width="12.453125" customWidth="1"/>
    <col min="21" max="21" width="11.7265625" customWidth="1"/>
  </cols>
  <sheetData>
    <row r="1" spans="1:19" ht="21" x14ac:dyDescent="0.35">
      <c r="A1" s="58" t="s">
        <v>154</v>
      </c>
      <c r="B1" s="126" t="str">
        <f>'Generation &amp; Ops Scenarios'!I27</f>
        <v>100% Solar &amp; Storage</v>
      </c>
      <c r="C1" s="127"/>
      <c r="D1" s="127"/>
    </row>
    <row r="2" spans="1:19" x14ac:dyDescent="0.35">
      <c r="A2" s="29" t="s">
        <v>152</v>
      </c>
      <c r="B2" s="30">
        <f>'Generation &amp; Ops Scenarios'!I5+'Generation &amp; Ops Scenarios'!I36+'Generation &amp; Ops Scenarios'!I37</f>
        <v>1500</v>
      </c>
      <c r="C2" s="8"/>
      <c r="D2" s="8"/>
    </row>
    <row r="3" spans="1:19" ht="15" thickBot="1" x14ac:dyDescent="0.4"/>
    <row r="4" spans="1:19" ht="15" thickBot="1" x14ac:dyDescent="0.4">
      <c r="A4" s="426" t="s">
        <v>1</v>
      </c>
      <c r="B4" s="427"/>
      <c r="C4"/>
      <c r="D4" s="428" t="s">
        <v>2</v>
      </c>
      <c r="E4" s="429"/>
      <c r="F4" s="429"/>
      <c r="G4" s="429"/>
      <c r="H4" s="430"/>
      <c r="K4" s="428" t="s">
        <v>3</v>
      </c>
      <c r="L4" s="429"/>
      <c r="M4" s="430"/>
      <c r="P4" s="426" t="s">
        <v>77</v>
      </c>
      <c r="Q4" s="431"/>
      <c r="R4" s="427"/>
    </row>
    <row r="5" spans="1:19" x14ac:dyDescent="0.35">
      <c r="A5" t="s">
        <v>83</v>
      </c>
      <c r="B5" s="63">
        <f>'Generation &amp; Ops Scenarios'!I55</f>
        <v>0</v>
      </c>
      <c r="C5"/>
      <c r="D5" s="432" t="s">
        <v>9</v>
      </c>
      <c r="E5" s="433"/>
      <c r="F5" s="52"/>
      <c r="G5" s="52"/>
      <c r="H5" s="75">
        <f>'Generation &amp; Ops Scenarios'!$D$13</f>
        <v>160000</v>
      </c>
      <c r="K5" s="9" t="s">
        <v>153</v>
      </c>
      <c r="L5" s="52"/>
      <c r="M5" s="7">
        <f>'Generation &amp; Ops Scenarios'!B3</f>
        <v>1400000</v>
      </c>
      <c r="P5" s="434" t="s">
        <v>25</v>
      </c>
      <c r="Q5" s="435"/>
      <c r="R5" s="86">
        <f>'Generation &amp; Ops Scenarios'!$B$11</f>
        <v>1</v>
      </c>
    </row>
    <row r="6" spans="1:19" x14ac:dyDescent="0.35">
      <c r="A6" t="s">
        <v>84</v>
      </c>
      <c r="B6" s="64">
        <f>'Generation &amp; Ops Scenarios'!I56</f>
        <v>0</v>
      </c>
      <c r="C6"/>
      <c r="D6" s="432" t="s">
        <v>10</v>
      </c>
      <c r="E6" s="433"/>
      <c r="F6" s="52"/>
      <c r="G6" s="52"/>
      <c r="H6" s="76">
        <f>'Generation &amp; Ops Scenarios'!$D$12</f>
        <v>40000</v>
      </c>
      <c r="K6" s="9" t="s">
        <v>15</v>
      </c>
      <c r="L6" s="60"/>
      <c r="M6" s="56">
        <f>'Generation &amp; Ops Scenarios'!$B$2</f>
        <v>60</v>
      </c>
      <c r="P6" s="434" t="s">
        <v>5</v>
      </c>
      <c r="Q6" s="435"/>
      <c r="R6" s="74">
        <f>'Generation &amp; Ops Scenarios'!B14</f>
        <v>7.4999999999999997E-2</v>
      </c>
    </row>
    <row r="7" spans="1:19" x14ac:dyDescent="0.35">
      <c r="A7" t="s">
        <v>85</v>
      </c>
      <c r="B7" s="64">
        <f>'Generation &amp; Ops Scenarios'!I57</f>
        <v>1950000</v>
      </c>
      <c r="C7"/>
      <c r="D7" s="432" t="s">
        <v>11</v>
      </c>
      <c r="E7" s="433"/>
      <c r="F7" s="52"/>
      <c r="G7" s="52"/>
      <c r="H7" s="10">
        <f>SUM(H5:H6)</f>
        <v>200000</v>
      </c>
      <c r="K7" s="9" t="s">
        <v>28</v>
      </c>
      <c r="L7" s="60"/>
      <c r="M7" s="11">
        <v>0</v>
      </c>
      <c r="P7" s="434" t="s">
        <v>26</v>
      </c>
      <c r="Q7" s="435"/>
      <c r="R7" s="6">
        <f>R5*B22</f>
        <v>11057563.916666668</v>
      </c>
    </row>
    <row r="8" spans="1:19" x14ac:dyDescent="0.35">
      <c r="A8" t="s">
        <v>86</v>
      </c>
      <c r="B8" s="64">
        <f>'Generation &amp; Ops Scenarios'!I58</f>
        <v>5064000</v>
      </c>
      <c r="C8"/>
      <c r="D8" s="432"/>
      <c r="E8" s="433"/>
      <c r="F8" s="52"/>
      <c r="G8" s="52"/>
      <c r="H8" s="10"/>
      <c r="K8" s="436" t="s">
        <v>72</v>
      </c>
      <c r="L8" s="437"/>
      <c r="M8" s="32">
        <f>'Generation &amp; Ops Scenarios'!$G$10</f>
        <v>0</v>
      </c>
      <c r="P8" s="434" t="s">
        <v>27</v>
      </c>
      <c r="Q8" s="435"/>
      <c r="R8" s="88">
        <f>'Generation &amp; Ops Scenarios'!$B$12</f>
        <v>25</v>
      </c>
    </row>
    <row r="9" spans="1:19" x14ac:dyDescent="0.35">
      <c r="A9" t="s">
        <v>87</v>
      </c>
      <c r="B9" s="64">
        <f>'Generation &amp; Ops Scenarios'!I59</f>
        <v>100000</v>
      </c>
      <c r="C9"/>
      <c r="D9" s="49" t="s">
        <v>103</v>
      </c>
      <c r="E9" s="52"/>
      <c r="F9" s="52"/>
      <c r="G9" s="52"/>
      <c r="H9" s="54">
        <f>B5*'Generation &amp; Ops Scenarios'!$B$20</f>
        <v>0</v>
      </c>
      <c r="K9" s="436" t="s">
        <v>73</v>
      </c>
      <c r="L9" s="437"/>
      <c r="M9" s="32">
        <f>'Generation &amp; Ops Scenarios'!$G$11</f>
        <v>0</v>
      </c>
      <c r="P9" s="434" t="s">
        <v>53</v>
      </c>
      <c r="Q9" s="435"/>
      <c r="R9" s="6">
        <f>'Generation &amp; Ops Scenarios'!B13</f>
        <v>25</v>
      </c>
    </row>
    <row r="10" spans="1:19" x14ac:dyDescent="0.35">
      <c r="A10" t="s">
        <v>88</v>
      </c>
      <c r="B10" s="64">
        <f>SUM(B5:B9)*0.1</f>
        <v>711400</v>
      </c>
      <c r="C10"/>
      <c r="D10" s="49" t="s">
        <v>105</v>
      </c>
      <c r="E10" s="52"/>
      <c r="F10" s="52"/>
      <c r="G10" s="52"/>
      <c r="H10" s="54">
        <f>B7*'Generation &amp; Ops Scenarios'!$B$21</f>
        <v>19500</v>
      </c>
      <c r="K10" s="436" t="s">
        <v>74</v>
      </c>
      <c r="L10" s="437"/>
      <c r="M10" s="32">
        <f>'Generation &amp; Ops Scenarios'!$G$12</f>
        <v>0</v>
      </c>
      <c r="P10" s="434" t="s">
        <v>56</v>
      </c>
      <c r="Q10" s="435"/>
      <c r="R10" s="15">
        <f>'Generation &amp; Ops Scenarios'!$G$16</f>
        <v>0</v>
      </c>
    </row>
    <row r="11" spans="1:19" ht="15" thickBot="1" x14ac:dyDescent="0.4">
      <c r="A11" t="s">
        <v>8</v>
      </c>
      <c r="B11" s="64">
        <f>SUM(B5:B10)*0.1</f>
        <v>782540</v>
      </c>
      <c r="C11"/>
      <c r="D11" s="49" t="s">
        <v>107</v>
      </c>
      <c r="E11" s="52"/>
      <c r="F11" s="52"/>
      <c r="G11" s="52"/>
      <c r="H11" s="54">
        <f>B6*'Generation &amp; Ops Scenarios'!$B$22</f>
        <v>0</v>
      </c>
      <c r="K11" s="438" t="s">
        <v>75</v>
      </c>
      <c r="L11" s="439"/>
      <c r="M11" s="61">
        <f>'Generation &amp; Ops Scenarios'!$G$13</f>
        <v>0</v>
      </c>
      <c r="P11" s="434" t="s">
        <v>55</v>
      </c>
      <c r="Q11" s="435"/>
      <c r="R11" s="15">
        <f>'Generation &amp; Ops Scenarios'!$G$17</f>
        <v>0</v>
      </c>
    </row>
    <row r="12" spans="1:19" ht="15" thickBot="1" x14ac:dyDescent="0.4">
      <c r="A12" t="s">
        <v>89</v>
      </c>
      <c r="B12" s="65">
        <f>SUM(B5:B11)</f>
        <v>8607940</v>
      </c>
      <c r="C12"/>
      <c r="D12" s="49" t="s">
        <v>108</v>
      </c>
      <c r="E12" s="52"/>
      <c r="F12" s="52"/>
      <c r="G12" s="52"/>
      <c r="H12" s="54">
        <f>B8*'Generation &amp; Ops Scenarios'!B23</f>
        <v>101280</v>
      </c>
      <c r="P12" s="440" t="s">
        <v>57</v>
      </c>
      <c r="Q12" s="441"/>
      <c r="R12" s="62">
        <f>'Generation &amp; Ops Scenarios'!$G$18</f>
        <v>0</v>
      </c>
    </row>
    <row r="13" spans="1:19" x14ac:dyDescent="0.35">
      <c r="B13" s="66"/>
      <c r="C13"/>
      <c r="D13" s="49" t="s">
        <v>109</v>
      </c>
      <c r="E13" s="52"/>
      <c r="F13" s="52"/>
      <c r="G13" s="161"/>
      <c r="H13" s="77">
        <f>B21*'Generation &amp; Ops Scenarios'!$B$24</f>
        <v>24496.23916666667</v>
      </c>
      <c r="I13" s="89"/>
      <c r="J13" s="89"/>
      <c r="K13" s="408" t="s">
        <v>230</v>
      </c>
      <c r="L13" s="409"/>
      <c r="M13" s="410"/>
      <c r="N13" s="89"/>
      <c r="O13" s="89"/>
    </row>
    <row r="14" spans="1:19" ht="15" thickBot="1" x14ac:dyDescent="0.4">
      <c r="A14" t="s">
        <v>166</v>
      </c>
      <c r="B14" s="64">
        <f>'Generation &amp; Ops Scenarios'!I64</f>
        <v>542630</v>
      </c>
      <c r="C14"/>
      <c r="D14" s="49" t="s">
        <v>162</v>
      </c>
      <c r="E14" s="52"/>
      <c r="F14" s="52"/>
      <c r="G14" s="161"/>
      <c r="H14" s="77">
        <f>'Generation &amp; Ops Scenarios'!B81*M5/100</f>
        <v>14000</v>
      </c>
      <c r="I14" s="89"/>
      <c r="J14" s="89"/>
      <c r="K14" s="405" t="s">
        <v>231</v>
      </c>
      <c r="L14" s="406"/>
      <c r="M14" s="407"/>
      <c r="N14" s="89"/>
      <c r="O14" s="89"/>
    </row>
    <row r="15" spans="1:19" x14ac:dyDescent="0.35">
      <c r="A15" t="s">
        <v>170</v>
      </c>
      <c r="B15" s="64">
        <f>'Generation &amp; Ops Scenarios'!I65</f>
        <v>359081.8</v>
      </c>
      <c r="C15"/>
      <c r="D15" s="49" t="s">
        <v>151</v>
      </c>
      <c r="E15" s="52"/>
      <c r="F15" s="52"/>
      <c r="G15" s="161"/>
      <c r="H15" s="56">
        <f>('Generation &amp; Ops Scenarios'!D15+('Generation &amp; Ops Scenarios'!D16*'Generation &amp; Ops Scenarios'!I37/100)+('Generation &amp; Ops Scenarios'!D17*'Generation &amp; Ops Scenarios'!I36/100))</f>
        <v>15500</v>
      </c>
      <c r="I15" s="89"/>
      <c r="J15" s="89"/>
      <c r="K15" s="292" t="s">
        <v>229</v>
      </c>
      <c r="L15" s="293"/>
      <c r="M15" s="294">
        <f>'Generation &amp; Ops Scenarios'!I48</f>
        <v>0</v>
      </c>
      <c r="N15" s="89"/>
      <c r="O15" s="89"/>
    </row>
    <row r="16" spans="1:19" x14ac:dyDescent="0.35">
      <c r="A16" t="s">
        <v>175</v>
      </c>
      <c r="B16" s="64">
        <f>'Generation &amp; Ops Scenarios'!I66</f>
        <v>196652.5</v>
      </c>
      <c r="C16"/>
      <c r="D16" s="80" t="s">
        <v>14</v>
      </c>
      <c r="E16" s="81"/>
      <c r="F16" s="52"/>
      <c r="G16" s="161"/>
      <c r="H16" s="299">
        <f>SUM(H7:H15)</f>
        <v>374776.2391666667</v>
      </c>
      <c r="I16" s="89"/>
      <c r="J16" s="161"/>
      <c r="K16" s="295" t="s">
        <v>232</v>
      </c>
      <c r="L16" s="163"/>
      <c r="M16" s="87">
        <f>MIN('Generation &amp; Ops Scenarios'!I41+'Generation &amp; Ops Scenarios'!I43,'Generation &amp; Ops Scenarios'!I29)</f>
        <v>1456000</v>
      </c>
      <c r="N16" s="161"/>
      <c r="O16" s="161"/>
      <c r="P16" s="52"/>
      <c r="Q16" s="52"/>
      <c r="R16" s="52"/>
      <c r="S16" s="52"/>
    </row>
    <row r="17" spans="1:21" x14ac:dyDescent="0.35">
      <c r="A17" t="s">
        <v>174</v>
      </c>
      <c r="B17" s="64">
        <f>'Generation &amp; Ops Scenarios'!I67</f>
        <v>113166.53333333334</v>
      </c>
      <c r="C17"/>
      <c r="D17" s="82"/>
      <c r="E17" s="83"/>
      <c r="F17" s="52"/>
      <c r="G17" s="161"/>
      <c r="H17" s="300"/>
      <c r="I17" s="89"/>
      <c r="J17" s="161"/>
      <c r="K17" s="295" t="s">
        <v>233</v>
      </c>
      <c r="L17" s="163"/>
      <c r="M17" s="87">
        <f>'Generation &amp; Ops Scenarios'!I42</f>
        <v>0</v>
      </c>
      <c r="N17" s="161"/>
      <c r="O17" s="161"/>
      <c r="P17" s="52"/>
      <c r="Q17" s="52"/>
      <c r="R17" s="52"/>
      <c r="S17" s="52"/>
    </row>
    <row r="18" spans="1:21" ht="15" thickBot="1" x14ac:dyDescent="0.4">
      <c r="A18" t="s">
        <v>182</v>
      </c>
      <c r="B18" s="64">
        <f>'Generation &amp; Ops Scenarios'!I68</f>
        <v>855400</v>
      </c>
      <c r="C18"/>
      <c r="D18" s="80" t="s">
        <v>12</v>
      </c>
      <c r="E18" s="81"/>
      <c r="F18" s="52"/>
      <c r="G18" s="161"/>
      <c r="H18" s="301">
        <f>'Generation &amp; Ops Scenarios'!B17</f>
        <v>87</v>
      </c>
      <c r="I18" s="89"/>
      <c r="J18" s="161"/>
      <c r="K18" s="296" t="s">
        <v>234</v>
      </c>
      <c r="L18" s="261"/>
      <c r="M18" s="297">
        <f>SUM(M15:M17)</f>
        <v>1456000</v>
      </c>
      <c r="N18" s="161"/>
      <c r="O18" s="161"/>
      <c r="P18" s="52"/>
      <c r="Q18" s="52"/>
      <c r="R18" s="52"/>
      <c r="S18" s="52"/>
    </row>
    <row r="19" spans="1:21" x14ac:dyDescent="0.35">
      <c r="A19" t="s">
        <v>185</v>
      </c>
      <c r="B19" s="64">
        <f>'Generation &amp; Ops Scenarios'!I69</f>
        <v>160000</v>
      </c>
      <c r="C19"/>
      <c r="D19" s="80" t="s">
        <v>155</v>
      </c>
      <c r="E19" s="81"/>
      <c r="F19" s="52"/>
      <c r="G19" s="161"/>
      <c r="H19" s="302">
        <f>'Generation &amp; Ops Scenarios'!B18</f>
        <v>3.9583333333333335</v>
      </c>
      <c r="I19" s="89"/>
      <c r="J19" s="161"/>
      <c r="K19" s="161"/>
      <c r="L19" s="161"/>
      <c r="M19" s="161"/>
      <c r="N19" s="161"/>
      <c r="O19" s="161"/>
      <c r="P19" s="52"/>
      <c r="Q19" s="52"/>
      <c r="R19" s="52"/>
      <c r="S19" s="52"/>
    </row>
    <row r="20" spans="1:21" x14ac:dyDescent="0.35">
      <c r="A20" t="s">
        <v>8</v>
      </c>
      <c r="B20" s="64">
        <f>SUM(B14:B19)*0.1</f>
        <v>222693.08333333337</v>
      </c>
      <c r="C20"/>
      <c r="D20" s="80"/>
      <c r="E20" s="81"/>
      <c r="F20" s="52"/>
      <c r="G20" s="161"/>
      <c r="H20" s="303"/>
      <c r="I20" s="89"/>
      <c r="J20" s="161"/>
      <c r="K20" s="161"/>
      <c r="L20" s="161"/>
      <c r="M20" s="161"/>
      <c r="N20" s="161"/>
      <c r="O20" s="161"/>
      <c r="P20" s="52"/>
      <c r="Q20" s="52"/>
      <c r="R20" s="52"/>
      <c r="S20" s="52"/>
    </row>
    <row r="21" spans="1:21" x14ac:dyDescent="0.35">
      <c r="A21" t="s">
        <v>90</v>
      </c>
      <c r="B21" s="65">
        <f>SUM(B14:B20)</f>
        <v>2449623.916666667</v>
      </c>
      <c r="C21"/>
      <c r="D21" s="80" t="s">
        <v>13</v>
      </c>
      <c r="E21" s="81"/>
      <c r="F21" s="52"/>
      <c r="G21" s="161"/>
      <c r="H21" s="304">
        <f>'Generation &amp; Ops Scenarios'!B3</f>
        <v>1400000</v>
      </c>
      <c r="I21" s="89"/>
      <c r="J21" s="161"/>
      <c r="K21" s="161"/>
      <c r="L21" s="161"/>
      <c r="M21" s="161"/>
      <c r="N21" s="161"/>
      <c r="O21" s="161"/>
      <c r="P21" s="52"/>
      <c r="Q21" s="52"/>
      <c r="R21" s="52"/>
      <c r="S21" s="52"/>
    </row>
    <row r="22" spans="1:21" ht="15" thickBot="1" x14ac:dyDescent="0.4">
      <c r="A22" s="2" t="s">
        <v>6</v>
      </c>
      <c r="B22" s="23">
        <f>B12+B21</f>
        <v>11057563.916666668</v>
      </c>
      <c r="C22"/>
      <c r="D22" s="80"/>
      <c r="E22" s="81"/>
      <c r="F22" s="52"/>
      <c r="G22" s="161"/>
      <c r="H22" s="305"/>
      <c r="I22" s="89"/>
      <c r="J22" s="161"/>
      <c r="K22" s="161"/>
      <c r="L22" s="161"/>
      <c r="M22" s="161"/>
      <c r="N22" s="161"/>
      <c r="O22" s="161"/>
      <c r="P22" s="52"/>
      <c r="Q22" s="52"/>
      <c r="R22" s="52"/>
      <c r="S22" s="52"/>
    </row>
    <row r="23" spans="1:21" x14ac:dyDescent="0.35">
      <c r="A23" s="52"/>
      <c r="B23" s="57"/>
      <c r="C23"/>
      <c r="D23" s="72" t="s">
        <v>157</v>
      </c>
      <c r="E23" s="69"/>
      <c r="F23" s="52"/>
      <c r="G23" s="161"/>
      <c r="H23" s="290">
        <f>H18/H19</f>
        <v>21.978947368421053</v>
      </c>
      <c r="I23" s="89"/>
      <c r="J23" s="161"/>
      <c r="K23" s="161"/>
      <c r="L23" s="161"/>
      <c r="M23" s="161"/>
      <c r="N23" s="161"/>
      <c r="O23" s="161"/>
      <c r="P23" s="52"/>
      <c r="Q23" s="52"/>
      <c r="R23" s="52"/>
      <c r="S23" s="52"/>
    </row>
    <row r="24" spans="1:21" ht="15" thickBot="1" x14ac:dyDescent="0.4">
      <c r="A24" s="52"/>
      <c r="B24" s="57"/>
      <c r="C24"/>
      <c r="D24" s="71" t="s">
        <v>156</v>
      </c>
      <c r="E24" s="73"/>
      <c r="F24" s="3"/>
      <c r="G24" s="258"/>
      <c r="H24" s="291">
        <f>-'100% Solar Cash Flow'!D8/H21*100</f>
        <v>0</v>
      </c>
      <c r="I24" s="306">
        <f>H24/$M$5*100</f>
        <v>0</v>
      </c>
      <c r="J24" s="161"/>
      <c r="K24" s="161"/>
      <c r="L24" s="161"/>
      <c r="M24" s="161"/>
      <c r="N24" s="161"/>
      <c r="O24" s="161"/>
      <c r="P24" s="52"/>
      <c r="Q24" s="52"/>
      <c r="R24" s="52"/>
      <c r="S24" s="52"/>
    </row>
    <row r="25" spans="1:21" x14ac:dyDescent="0.35">
      <c r="A25" s="52"/>
      <c r="B25" s="57"/>
      <c r="C25"/>
      <c r="D25" s="69"/>
      <c r="E25" s="70"/>
      <c r="F25" s="52"/>
      <c r="G25" s="52"/>
      <c r="H25" s="68"/>
      <c r="J25" s="52"/>
      <c r="K25" s="52"/>
      <c r="L25" s="52"/>
      <c r="M25" s="52"/>
      <c r="N25" s="52"/>
      <c r="O25" s="52"/>
      <c r="P25" s="52"/>
      <c r="Q25" s="52"/>
      <c r="R25" s="52"/>
      <c r="S25" s="52"/>
    </row>
    <row r="26" spans="1:21" s="89" customFormat="1" ht="14.15" customHeight="1" thickBot="1" x14ac:dyDescent="0.4">
      <c r="C26" s="90"/>
    </row>
    <row r="27" spans="1:21" s="89" customFormat="1" ht="15" thickBot="1" x14ac:dyDescent="0.4">
      <c r="A27" s="91"/>
      <c r="B27" s="92" t="s">
        <v>7</v>
      </c>
      <c r="C27" s="93"/>
      <c r="D27" s="93"/>
      <c r="E27" s="93"/>
      <c r="F27" s="93"/>
      <c r="G27" s="93"/>
      <c r="H27" s="93"/>
      <c r="I27" s="93"/>
      <c r="J27" s="93"/>
      <c r="K27" s="93"/>
      <c r="L27" s="93"/>
      <c r="M27" s="93"/>
      <c r="N27" s="93"/>
      <c r="O27" s="93"/>
      <c r="P27" s="93"/>
      <c r="Q27" s="93"/>
      <c r="R27" s="93"/>
      <c r="S27" s="93"/>
      <c r="T27" s="93"/>
      <c r="U27" s="94"/>
    </row>
    <row r="28" spans="1:21" s="89" customFormat="1" x14ac:dyDescent="0.35">
      <c r="A28" s="95"/>
      <c r="B28" s="96">
        <v>1</v>
      </c>
      <c r="C28" s="96">
        <v>2</v>
      </c>
      <c r="D28" s="96">
        <v>3</v>
      </c>
      <c r="E28" s="96">
        <v>4</v>
      </c>
      <c r="F28" s="96">
        <v>5</v>
      </c>
      <c r="G28" s="96">
        <v>6</v>
      </c>
      <c r="H28" s="96">
        <v>7</v>
      </c>
      <c r="I28" s="96">
        <v>8</v>
      </c>
      <c r="J28" s="96">
        <v>9</v>
      </c>
      <c r="K28" s="96">
        <v>10</v>
      </c>
      <c r="L28" s="96">
        <v>11</v>
      </c>
      <c r="M28" s="96">
        <v>12</v>
      </c>
      <c r="N28" s="96">
        <v>13</v>
      </c>
      <c r="O28" s="96">
        <v>14</v>
      </c>
      <c r="P28" s="96">
        <v>15</v>
      </c>
      <c r="Q28" s="96">
        <v>16</v>
      </c>
      <c r="R28" s="96">
        <v>17</v>
      </c>
      <c r="S28" s="96">
        <v>18</v>
      </c>
      <c r="T28" s="96">
        <v>19</v>
      </c>
      <c r="U28" s="96">
        <v>20</v>
      </c>
    </row>
    <row r="29" spans="1:21" s="89" customFormat="1" x14ac:dyDescent="0.35">
      <c r="A29" s="97" t="s">
        <v>65</v>
      </c>
      <c r="B29" s="98">
        <f>'100% Solar Profit and Loss'!D8</f>
        <v>840000</v>
      </c>
      <c r="C29" s="98">
        <f>'100% Solar Profit and Loss'!E8</f>
        <v>840000</v>
      </c>
      <c r="D29" s="98">
        <f>'100% Solar Profit and Loss'!F8</f>
        <v>840000</v>
      </c>
      <c r="E29" s="98">
        <f>'100% Solar Profit and Loss'!G8</f>
        <v>840000</v>
      </c>
      <c r="F29" s="98">
        <f>'100% Solar Profit and Loss'!H8</f>
        <v>840000</v>
      </c>
      <c r="G29" s="98">
        <f>'100% Solar Profit and Loss'!I8</f>
        <v>840000</v>
      </c>
      <c r="H29" s="98">
        <f>'100% Solar Profit and Loss'!J8</f>
        <v>840000</v>
      </c>
      <c r="I29" s="98">
        <f>'100% Solar Profit and Loss'!K8</f>
        <v>840000</v>
      </c>
      <c r="J29" s="98">
        <f>'100% Solar Profit and Loss'!L8</f>
        <v>840000</v>
      </c>
      <c r="K29" s="98">
        <f>'100% Solar Profit and Loss'!M8</f>
        <v>840000</v>
      </c>
      <c r="L29" s="98">
        <f>'100% Solar Profit and Loss'!N8</f>
        <v>840000</v>
      </c>
      <c r="M29" s="98">
        <f>'100% Solar Profit and Loss'!O8</f>
        <v>840000</v>
      </c>
      <c r="N29" s="98">
        <f>'100% Solar Profit and Loss'!P8</f>
        <v>840000</v>
      </c>
      <c r="O29" s="98">
        <f>'100% Solar Profit and Loss'!Q8</f>
        <v>840000</v>
      </c>
      <c r="P29" s="98">
        <f>'100% Solar Profit and Loss'!R8</f>
        <v>840000</v>
      </c>
      <c r="Q29" s="98">
        <f>'100% Solar Profit and Loss'!S8</f>
        <v>840000</v>
      </c>
      <c r="R29" s="98">
        <f>'100% Solar Profit and Loss'!T8</f>
        <v>840000</v>
      </c>
      <c r="S29" s="98">
        <f>'100% Solar Profit and Loss'!U8</f>
        <v>840000</v>
      </c>
      <c r="T29" s="98">
        <f>'100% Solar Profit and Loss'!V8</f>
        <v>840000</v>
      </c>
      <c r="U29" s="98">
        <f>'100% Solar Profit and Loss'!W8</f>
        <v>840000</v>
      </c>
    </row>
    <row r="30" spans="1:21" s="89" customFormat="1" x14ac:dyDescent="0.35">
      <c r="A30" s="99" t="s">
        <v>66</v>
      </c>
      <c r="B30" s="98">
        <f>'100% Solar Profit and Loss'!D14</f>
        <v>-374776.2391666667</v>
      </c>
      <c r="C30" s="98">
        <f>'100% Solar Profit and Loss'!E14</f>
        <v>-374776.2391666667</v>
      </c>
      <c r="D30" s="98">
        <f>'100% Solar Profit and Loss'!F14</f>
        <v>-374776.2391666667</v>
      </c>
      <c r="E30" s="98">
        <f>'100% Solar Profit and Loss'!G14</f>
        <v>-374776.2391666667</v>
      </c>
      <c r="F30" s="98">
        <f>'100% Solar Profit and Loss'!H14</f>
        <v>-374776.2391666667</v>
      </c>
      <c r="G30" s="98">
        <f>'100% Solar Profit and Loss'!I14</f>
        <v>-374776.2391666667</v>
      </c>
      <c r="H30" s="98">
        <f>'100% Solar Profit and Loss'!J14</f>
        <v>-374776.2391666667</v>
      </c>
      <c r="I30" s="98">
        <f>'100% Solar Profit and Loss'!K14</f>
        <v>-374776.2391666667</v>
      </c>
      <c r="J30" s="98">
        <f>'100% Solar Profit and Loss'!L14</f>
        <v>-374776.2391666667</v>
      </c>
      <c r="K30" s="98">
        <f>'100% Solar Profit and Loss'!M14</f>
        <v>-374776.2391666667</v>
      </c>
      <c r="L30" s="98">
        <f>'100% Solar Profit and Loss'!N14</f>
        <v>-374776.2391666667</v>
      </c>
      <c r="M30" s="98">
        <f>'100% Solar Profit and Loss'!O14</f>
        <v>-374776.2391666667</v>
      </c>
      <c r="N30" s="98">
        <f>'100% Solar Profit and Loss'!P14</f>
        <v>-374776.2391666667</v>
      </c>
      <c r="O30" s="98">
        <f>'100% Solar Profit and Loss'!Q14</f>
        <v>-374776.2391666667</v>
      </c>
      <c r="P30" s="98">
        <f>'100% Solar Profit and Loss'!R14</f>
        <v>-374776.2391666667</v>
      </c>
      <c r="Q30" s="98">
        <f>'100% Solar Profit and Loss'!S14</f>
        <v>-374776.2391666667</v>
      </c>
      <c r="R30" s="98">
        <f>'100% Solar Profit and Loss'!T14</f>
        <v>-374776.2391666667</v>
      </c>
      <c r="S30" s="98">
        <f>'100% Solar Profit and Loss'!U14</f>
        <v>-374776.2391666667</v>
      </c>
      <c r="T30" s="98">
        <f>'100% Solar Profit and Loss'!V14</f>
        <v>-374776.2391666667</v>
      </c>
      <c r="U30" s="98">
        <f>'100% Solar Profit and Loss'!W14</f>
        <v>-374776.2391666667</v>
      </c>
    </row>
    <row r="31" spans="1:21" s="89" customFormat="1" x14ac:dyDescent="0.35">
      <c r="A31" s="100" t="s">
        <v>67</v>
      </c>
      <c r="B31" s="101">
        <f>SUM(B29:B30)</f>
        <v>465223.7608333333</v>
      </c>
      <c r="C31" s="101">
        <f t="shared" ref="C31:U31" si="0">SUM(C29:C30)</f>
        <v>465223.7608333333</v>
      </c>
      <c r="D31" s="101">
        <f t="shared" si="0"/>
        <v>465223.7608333333</v>
      </c>
      <c r="E31" s="101">
        <f t="shared" si="0"/>
        <v>465223.7608333333</v>
      </c>
      <c r="F31" s="101">
        <f t="shared" si="0"/>
        <v>465223.7608333333</v>
      </c>
      <c r="G31" s="101">
        <f t="shared" si="0"/>
        <v>465223.7608333333</v>
      </c>
      <c r="H31" s="101">
        <f t="shared" si="0"/>
        <v>465223.7608333333</v>
      </c>
      <c r="I31" s="101">
        <f t="shared" si="0"/>
        <v>465223.7608333333</v>
      </c>
      <c r="J31" s="101">
        <f t="shared" si="0"/>
        <v>465223.7608333333</v>
      </c>
      <c r="K31" s="101">
        <f t="shared" si="0"/>
        <v>465223.7608333333</v>
      </c>
      <c r="L31" s="101">
        <f t="shared" si="0"/>
        <v>465223.7608333333</v>
      </c>
      <c r="M31" s="101">
        <f t="shared" si="0"/>
        <v>465223.7608333333</v>
      </c>
      <c r="N31" s="101">
        <f t="shared" si="0"/>
        <v>465223.7608333333</v>
      </c>
      <c r="O31" s="101">
        <f t="shared" si="0"/>
        <v>465223.7608333333</v>
      </c>
      <c r="P31" s="101">
        <f t="shared" si="0"/>
        <v>465223.7608333333</v>
      </c>
      <c r="Q31" s="101">
        <f t="shared" si="0"/>
        <v>465223.7608333333</v>
      </c>
      <c r="R31" s="101">
        <f t="shared" si="0"/>
        <v>465223.7608333333</v>
      </c>
      <c r="S31" s="101">
        <f t="shared" si="0"/>
        <v>465223.7608333333</v>
      </c>
      <c r="T31" s="101">
        <f t="shared" si="0"/>
        <v>465223.7608333333</v>
      </c>
      <c r="U31" s="101">
        <f t="shared" si="0"/>
        <v>465223.7608333333</v>
      </c>
    </row>
    <row r="32" spans="1:21" s="89" customFormat="1" x14ac:dyDescent="0.35">
      <c r="A32" s="99" t="s">
        <v>68</v>
      </c>
      <c r="B32" s="98">
        <f>'100% Solar Profit and Loss'!D19</f>
        <v>-442302.5566666667</v>
      </c>
      <c r="C32" s="98">
        <f>'100% Solar Profit and Loss'!E19</f>
        <v>-442302.5566666667</v>
      </c>
      <c r="D32" s="98">
        <f>'100% Solar Profit and Loss'!F19</f>
        <v>-442302.5566666667</v>
      </c>
      <c r="E32" s="98">
        <f>'100% Solar Profit and Loss'!G19</f>
        <v>-442302.5566666667</v>
      </c>
      <c r="F32" s="98">
        <f>'100% Solar Profit and Loss'!H19</f>
        <v>-442302.5566666667</v>
      </c>
      <c r="G32" s="98">
        <f>'100% Solar Profit and Loss'!I19</f>
        <v>-442302.5566666667</v>
      </c>
      <c r="H32" s="98">
        <f>'100% Solar Profit and Loss'!J19</f>
        <v>-442302.5566666667</v>
      </c>
      <c r="I32" s="98">
        <f>'100% Solar Profit and Loss'!K19</f>
        <v>-442302.5566666667</v>
      </c>
      <c r="J32" s="98">
        <f>'100% Solar Profit and Loss'!L19</f>
        <v>-442302.5566666667</v>
      </c>
      <c r="K32" s="98">
        <f>'100% Solar Profit and Loss'!M19</f>
        <v>-442302.5566666667</v>
      </c>
      <c r="L32" s="98">
        <f>'100% Solar Profit and Loss'!N19</f>
        <v>-442302.5566666667</v>
      </c>
      <c r="M32" s="98">
        <f>'100% Solar Profit and Loss'!O19</f>
        <v>-442302.5566666667</v>
      </c>
      <c r="N32" s="98">
        <f>'100% Solar Profit and Loss'!P19</f>
        <v>-442302.5566666667</v>
      </c>
      <c r="O32" s="98">
        <f>'100% Solar Profit and Loss'!Q19</f>
        <v>-442302.5566666667</v>
      </c>
      <c r="P32" s="98">
        <f>'100% Solar Profit and Loss'!R19</f>
        <v>-442302.5566666667</v>
      </c>
      <c r="Q32" s="98">
        <f>'100% Solar Profit and Loss'!S19</f>
        <v>-442302.5566666667</v>
      </c>
      <c r="R32" s="98">
        <f>'100% Solar Profit and Loss'!T19</f>
        <v>-442302.5566666667</v>
      </c>
      <c r="S32" s="98">
        <f>'100% Solar Profit and Loss'!U19</f>
        <v>-442302.5566666667</v>
      </c>
      <c r="T32" s="98">
        <f>'100% Solar Profit and Loss'!V19</f>
        <v>-442302.5566666667</v>
      </c>
      <c r="U32" s="98">
        <f>'100% Solar Profit and Loss'!W19</f>
        <v>-442302.5566666667</v>
      </c>
    </row>
    <row r="33" spans="1:21" s="89" customFormat="1" x14ac:dyDescent="0.35">
      <c r="A33" s="100" t="s">
        <v>64</v>
      </c>
      <c r="B33" s="101">
        <f>SUM(B31:B32)</f>
        <v>22921.204166666605</v>
      </c>
      <c r="C33" s="101">
        <f t="shared" ref="C33:U33" si="1">SUM(C31:C32)</f>
        <v>22921.204166666605</v>
      </c>
      <c r="D33" s="101">
        <f t="shared" si="1"/>
        <v>22921.204166666605</v>
      </c>
      <c r="E33" s="101">
        <f t="shared" si="1"/>
        <v>22921.204166666605</v>
      </c>
      <c r="F33" s="101">
        <f t="shared" si="1"/>
        <v>22921.204166666605</v>
      </c>
      <c r="G33" s="101">
        <f t="shared" si="1"/>
        <v>22921.204166666605</v>
      </c>
      <c r="H33" s="101">
        <f t="shared" si="1"/>
        <v>22921.204166666605</v>
      </c>
      <c r="I33" s="101">
        <f t="shared" si="1"/>
        <v>22921.204166666605</v>
      </c>
      <c r="J33" s="101">
        <f t="shared" si="1"/>
        <v>22921.204166666605</v>
      </c>
      <c r="K33" s="101">
        <f t="shared" si="1"/>
        <v>22921.204166666605</v>
      </c>
      <c r="L33" s="101">
        <f t="shared" si="1"/>
        <v>22921.204166666605</v>
      </c>
      <c r="M33" s="101">
        <f t="shared" si="1"/>
        <v>22921.204166666605</v>
      </c>
      <c r="N33" s="101">
        <f t="shared" si="1"/>
        <v>22921.204166666605</v>
      </c>
      <c r="O33" s="101">
        <f t="shared" si="1"/>
        <v>22921.204166666605</v>
      </c>
      <c r="P33" s="101">
        <f t="shared" si="1"/>
        <v>22921.204166666605</v>
      </c>
      <c r="Q33" s="101">
        <f t="shared" si="1"/>
        <v>22921.204166666605</v>
      </c>
      <c r="R33" s="101">
        <f t="shared" si="1"/>
        <v>22921.204166666605</v>
      </c>
      <c r="S33" s="101">
        <f t="shared" si="1"/>
        <v>22921.204166666605</v>
      </c>
      <c r="T33" s="101">
        <f t="shared" si="1"/>
        <v>22921.204166666605</v>
      </c>
      <c r="U33" s="101">
        <f t="shared" si="1"/>
        <v>22921.204166666605</v>
      </c>
    </row>
    <row r="34" spans="1:21" s="89" customFormat="1" x14ac:dyDescent="0.35">
      <c r="A34" s="95" t="s">
        <v>69</v>
      </c>
      <c r="B34" s="102">
        <f>'100% Solar Profit and Loss'!D23</f>
        <v>-829317.29375000007</v>
      </c>
      <c r="C34" s="102">
        <f>'100% Solar Profit and Loss'!E23</f>
        <v>-817117.47934843821</v>
      </c>
      <c r="D34" s="102">
        <f>'100% Solar Profit and Loss'!F23</f>
        <v>-804002.67886675929</v>
      </c>
      <c r="E34" s="102">
        <f>'100% Solar Profit and Loss'!G23</f>
        <v>-789904.2683489545</v>
      </c>
      <c r="F34" s="102">
        <f>'100% Solar Profit and Loss'!H23</f>
        <v>-774748.47704231436</v>
      </c>
      <c r="G34" s="102">
        <f>'100% Solar Profit and Loss'!I23</f>
        <v>-758456.00138767611</v>
      </c>
      <c r="H34" s="102">
        <f>'100% Solar Profit and Loss'!J23</f>
        <v>-740941.59005894011</v>
      </c>
      <c r="I34" s="102">
        <f>'100% Solar Profit and Loss'!K23</f>
        <v>-722113.5978805488</v>
      </c>
      <c r="J34" s="102">
        <f>'100% Solar Profit and Loss'!L23</f>
        <v>-701873.50628877815</v>
      </c>
      <c r="K34" s="102">
        <f>'100% Solar Profit and Loss'!M23</f>
        <v>-680115.4078276247</v>
      </c>
      <c r="L34" s="102">
        <f>'100% Solar Profit and Loss'!N23</f>
        <v>-656725.45198188478</v>
      </c>
      <c r="M34" s="102">
        <f>'100% Solar Profit and Loss'!O23</f>
        <v>-631581.24944771442</v>
      </c>
      <c r="N34" s="102">
        <f>'100% Solar Profit and Loss'!P23</f>
        <v>-604551.23172348132</v>
      </c>
      <c r="O34" s="102">
        <f>'100% Solar Profit and Loss'!Q23</f>
        <v>-575493.96266993065</v>
      </c>
      <c r="P34" s="102">
        <f>'100% Solar Profit and Loss'!R23</f>
        <v>-544257.39843736368</v>
      </c>
      <c r="Q34" s="102">
        <f>'100% Solar Profit and Loss'!S23</f>
        <v>-510678.09188735427</v>
      </c>
      <c r="R34" s="102">
        <f>'100% Solar Profit and Loss'!T23</f>
        <v>-474580.33734609402</v>
      </c>
      <c r="S34" s="102">
        <f>'100% Solar Profit and Loss'!U23</f>
        <v>-435775.25121423934</v>
      </c>
      <c r="T34" s="102">
        <f>'100% Solar Profit and Loss'!V23</f>
        <v>-394059.78362249554</v>
      </c>
      <c r="U34" s="102">
        <f>'100% Solar Profit and Loss'!W23</f>
        <v>-349215.65596137097</v>
      </c>
    </row>
    <row r="35" spans="1:21" s="89" customFormat="1" ht="15" thickBot="1" x14ac:dyDescent="0.4">
      <c r="A35" s="103" t="s">
        <v>70</v>
      </c>
      <c r="B35" s="104">
        <f>SUM(B33:B34)</f>
        <v>-806396.08958333347</v>
      </c>
      <c r="C35" s="104">
        <f t="shared" ref="C35:U35" si="2">SUM(C33:C34)</f>
        <v>-794196.27518177161</v>
      </c>
      <c r="D35" s="104">
        <f t="shared" si="2"/>
        <v>-781081.47470009269</v>
      </c>
      <c r="E35" s="104">
        <f t="shared" si="2"/>
        <v>-766983.0641822879</v>
      </c>
      <c r="F35" s="104">
        <f t="shared" si="2"/>
        <v>-751827.27287564776</v>
      </c>
      <c r="G35" s="104">
        <f t="shared" si="2"/>
        <v>-735534.7972210095</v>
      </c>
      <c r="H35" s="104">
        <f t="shared" si="2"/>
        <v>-718020.38589227351</v>
      </c>
      <c r="I35" s="104">
        <f t="shared" si="2"/>
        <v>-699192.39371388219</v>
      </c>
      <c r="J35" s="104">
        <f t="shared" si="2"/>
        <v>-678952.30212211155</v>
      </c>
      <c r="K35" s="104">
        <f t="shared" si="2"/>
        <v>-657194.2036609581</v>
      </c>
      <c r="L35" s="104">
        <f t="shared" si="2"/>
        <v>-633804.24781521817</v>
      </c>
      <c r="M35" s="104">
        <f t="shared" si="2"/>
        <v>-608660.04528104782</v>
      </c>
      <c r="N35" s="104">
        <f t="shared" si="2"/>
        <v>-581630.02755681472</v>
      </c>
      <c r="O35" s="104">
        <f t="shared" si="2"/>
        <v>-552572.75850326405</v>
      </c>
      <c r="P35" s="104">
        <f t="shared" si="2"/>
        <v>-521336.19427069707</v>
      </c>
      <c r="Q35" s="104">
        <f t="shared" si="2"/>
        <v>-487756.88772068766</v>
      </c>
      <c r="R35" s="104">
        <f t="shared" si="2"/>
        <v>-451659.13317942742</v>
      </c>
      <c r="S35" s="104">
        <f t="shared" si="2"/>
        <v>-412854.04704757273</v>
      </c>
      <c r="T35" s="104">
        <f t="shared" si="2"/>
        <v>-371138.57945582893</v>
      </c>
      <c r="U35" s="104">
        <f t="shared" si="2"/>
        <v>-326294.45179470436</v>
      </c>
    </row>
    <row r="36" spans="1:21" s="89" customFormat="1" ht="15" thickBot="1" x14ac:dyDescent="0.4">
      <c r="C36" s="90"/>
    </row>
    <row r="37" spans="1:21" s="89" customFormat="1" ht="15" thickBot="1" x14ac:dyDescent="0.4">
      <c r="A37" s="105" t="s">
        <v>71</v>
      </c>
      <c r="B37" s="106">
        <f>'100% Solar Cash Flow'!D26</f>
        <v>-526757.72493749019</v>
      </c>
      <c r="C37" s="106">
        <f>'100% Solar Cash Flow'!E26</f>
        <v>-526757.72493749019</v>
      </c>
      <c r="D37" s="106">
        <f>'100% Solar Cash Flow'!F26</f>
        <v>-526757.72493749019</v>
      </c>
      <c r="E37" s="106">
        <f>'100% Solar Cash Flow'!G26</f>
        <v>-526757.72493749019</v>
      </c>
      <c r="F37" s="106">
        <f>'100% Solar Cash Flow'!H26</f>
        <v>-526757.72493749019</v>
      </c>
      <c r="G37" s="106">
        <f>'100% Solar Cash Flow'!I26</f>
        <v>-526757.72493749019</v>
      </c>
      <c r="H37" s="106">
        <f>'100% Solar Cash Flow'!J26</f>
        <v>-526757.72493749019</v>
      </c>
      <c r="I37" s="106">
        <f>'100% Solar Cash Flow'!K26</f>
        <v>-526757.72493749019</v>
      </c>
      <c r="J37" s="106">
        <f>'100% Solar Cash Flow'!L26</f>
        <v>-526757.72493749019</v>
      </c>
      <c r="K37" s="106">
        <f>'100% Solar Cash Flow'!M26</f>
        <v>-526757.72493749019</v>
      </c>
      <c r="L37" s="106">
        <f>'100% Solar Cash Flow'!N26</f>
        <v>-526757.72493749019</v>
      </c>
      <c r="M37" s="106">
        <f>'100% Solar Cash Flow'!O26</f>
        <v>-526757.72493749019</v>
      </c>
      <c r="N37" s="106">
        <f>'100% Solar Cash Flow'!P26</f>
        <v>-526757.72493749019</v>
      </c>
      <c r="O37" s="106">
        <f>'100% Solar Cash Flow'!Q26</f>
        <v>-526757.72493749019</v>
      </c>
      <c r="P37" s="106">
        <f>'100% Solar Cash Flow'!R26</f>
        <v>-526757.72493749019</v>
      </c>
      <c r="Q37" s="106">
        <f>'100% Solar Cash Flow'!S26</f>
        <v>-526757.72493749019</v>
      </c>
      <c r="R37" s="106">
        <f>'100% Solar Cash Flow'!T26</f>
        <v>-526757.72493749019</v>
      </c>
      <c r="S37" s="106">
        <f>'100% Solar Cash Flow'!U26</f>
        <v>-526757.72493749019</v>
      </c>
      <c r="T37" s="106">
        <f>'100% Solar Cash Flow'!V26</f>
        <v>-526757.72493749007</v>
      </c>
      <c r="U37" s="107">
        <f>'100% Solar Cash Flow'!W26</f>
        <v>-526757.72493749007</v>
      </c>
    </row>
    <row r="38" spans="1:21" s="89" customFormat="1" ht="15" thickBot="1" x14ac:dyDescent="0.4">
      <c r="C38" s="90"/>
    </row>
    <row r="39" spans="1:21" s="89" customFormat="1" ht="15" thickBot="1" x14ac:dyDescent="0.4">
      <c r="A39" s="397" t="s">
        <v>0</v>
      </c>
      <c r="B39" s="398"/>
      <c r="C39" s="90"/>
    </row>
    <row r="40" spans="1:21" s="89" customFormat="1" ht="15" thickBot="1" x14ac:dyDescent="0.4">
      <c r="A40" s="108" t="s">
        <v>58</v>
      </c>
      <c r="B40" s="109">
        <f>'Generation &amp; Ops Scenarios'!$G$20</f>
        <v>0.05</v>
      </c>
      <c r="C40" s="90"/>
      <c r="E40" s="110"/>
    </row>
    <row r="41" spans="1:21" s="89" customFormat="1" x14ac:dyDescent="0.35">
      <c r="A41" s="111" t="s">
        <v>59</v>
      </c>
      <c r="B41" s="112">
        <f>NPV(B40,'100% Solar Cash Flow'!D26:M26)</f>
        <v>-4067483.5238677422</v>
      </c>
      <c r="C41" s="90"/>
    </row>
    <row r="42" spans="1:21" s="89" customFormat="1" x14ac:dyDescent="0.35">
      <c r="A42" s="111" t="s">
        <v>60</v>
      </c>
      <c r="B42" s="112">
        <f>NPV(B40,'100% Solar Cash Flow'!D26:R26)</f>
        <v>-5467565.05382114</v>
      </c>
      <c r="C42" s="90"/>
    </row>
    <row r="43" spans="1:21" s="89" customFormat="1" x14ac:dyDescent="0.35">
      <c r="A43" s="111" t="s">
        <v>62</v>
      </c>
      <c r="B43" s="112">
        <f>NPV(B40,'100% Solar Cash Flow'!D26:W26)</f>
        <v>-6564565.5677288212</v>
      </c>
      <c r="C43" s="90"/>
    </row>
    <row r="44" spans="1:21" s="89" customFormat="1" ht="15" thickBot="1" x14ac:dyDescent="0.4">
      <c r="A44" s="108" t="s">
        <v>61</v>
      </c>
      <c r="B44" s="113">
        <f>NPV(B40,'100% Solar Cash Flow'!D26:AB26)</f>
        <v>-7424094.1750048343</v>
      </c>
      <c r="C44" s="90"/>
      <c r="D44" s="114"/>
    </row>
    <row r="45" spans="1:21" s="89" customFormat="1" x14ac:dyDescent="0.35">
      <c r="C45" s="90"/>
    </row>
    <row r="46" spans="1:21" s="89" customFormat="1" x14ac:dyDescent="0.35">
      <c r="A46" s="89" t="s">
        <v>82</v>
      </c>
      <c r="B46" s="115">
        <f>MIN('100% Solar Cash Flow'!D39:W39)</f>
        <v>0.46898431826258247</v>
      </c>
      <c r="C46" s="90"/>
    </row>
    <row r="47" spans="1:21" s="89" customFormat="1" x14ac:dyDescent="0.35">
      <c r="A47" s="116" t="s">
        <v>121</v>
      </c>
      <c r="B47" s="117">
        <f>'Generation &amp; Ops Scenarios'!C41</f>
        <v>328500</v>
      </c>
      <c r="C47" s="118">
        <f t="shared" ref="C47:C53" si="3">B47</f>
        <v>328500</v>
      </c>
      <c r="D47" s="118">
        <f t="shared" ref="D47:S53" si="4">C47</f>
        <v>328500</v>
      </c>
      <c r="E47" s="118">
        <f t="shared" si="4"/>
        <v>328500</v>
      </c>
      <c r="F47" s="118">
        <f t="shared" si="4"/>
        <v>328500</v>
      </c>
      <c r="G47" s="118">
        <f t="shared" si="4"/>
        <v>328500</v>
      </c>
      <c r="H47" s="118">
        <f t="shared" si="4"/>
        <v>328500</v>
      </c>
      <c r="I47" s="118">
        <f t="shared" si="4"/>
        <v>328500</v>
      </c>
      <c r="J47" s="118">
        <f t="shared" si="4"/>
        <v>328500</v>
      </c>
      <c r="K47" s="118">
        <f t="shared" ref="K47:K53" si="5">J47</f>
        <v>328500</v>
      </c>
      <c r="L47" s="118">
        <f t="shared" si="4"/>
        <v>328500</v>
      </c>
      <c r="M47" s="118">
        <f t="shared" si="4"/>
        <v>328500</v>
      </c>
      <c r="N47" s="118">
        <f t="shared" ref="N47:N53" si="6">M47</f>
        <v>328500</v>
      </c>
      <c r="O47" s="118">
        <f t="shared" si="4"/>
        <v>328500</v>
      </c>
      <c r="P47" s="118">
        <f t="shared" si="4"/>
        <v>328500</v>
      </c>
      <c r="Q47" s="118">
        <f t="shared" si="4"/>
        <v>328500</v>
      </c>
      <c r="R47" s="118">
        <f t="shared" si="4"/>
        <v>328500</v>
      </c>
      <c r="S47" s="118">
        <f t="shared" si="4"/>
        <v>328500</v>
      </c>
      <c r="T47" s="118">
        <f t="shared" ref="S47:U53" si="7">S47</f>
        <v>328500</v>
      </c>
      <c r="U47" s="118">
        <f t="shared" si="7"/>
        <v>328500</v>
      </c>
    </row>
    <row r="48" spans="1:21" s="89" customFormat="1" x14ac:dyDescent="0.35">
      <c r="A48" s="116" t="s">
        <v>122</v>
      </c>
      <c r="B48" s="117">
        <f>'Generation &amp; Ops Scenarios'!C42</f>
        <v>1024920</v>
      </c>
      <c r="C48" s="118">
        <f t="shared" si="3"/>
        <v>1024920</v>
      </c>
      <c r="D48" s="118">
        <f t="shared" si="4"/>
        <v>1024920</v>
      </c>
      <c r="E48" s="118">
        <f t="shared" si="4"/>
        <v>1024920</v>
      </c>
      <c r="F48" s="118">
        <f t="shared" si="4"/>
        <v>1024920</v>
      </c>
      <c r="G48" s="118">
        <f t="shared" si="4"/>
        <v>1024920</v>
      </c>
      <c r="H48" s="118">
        <f t="shared" si="4"/>
        <v>1024920</v>
      </c>
      <c r="I48" s="118">
        <f t="shared" si="4"/>
        <v>1024920</v>
      </c>
      <c r="J48" s="118">
        <f t="shared" si="4"/>
        <v>1024920</v>
      </c>
      <c r="K48" s="118">
        <f t="shared" si="5"/>
        <v>1024920</v>
      </c>
      <c r="L48" s="118">
        <f t="shared" si="4"/>
        <v>1024920</v>
      </c>
      <c r="M48" s="118">
        <f t="shared" si="4"/>
        <v>1024920</v>
      </c>
      <c r="N48" s="118">
        <f t="shared" si="6"/>
        <v>1024920</v>
      </c>
      <c r="O48" s="118">
        <f t="shared" si="4"/>
        <v>1024920</v>
      </c>
      <c r="P48" s="118">
        <f t="shared" si="4"/>
        <v>1024920</v>
      </c>
      <c r="Q48" s="118">
        <f t="shared" si="4"/>
        <v>1024920</v>
      </c>
      <c r="R48" s="118">
        <f t="shared" si="4"/>
        <v>1024920</v>
      </c>
      <c r="S48" s="118">
        <f t="shared" si="7"/>
        <v>1024920</v>
      </c>
      <c r="T48" s="118">
        <f t="shared" si="7"/>
        <v>1024920</v>
      </c>
      <c r="U48" s="118">
        <f t="shared" si="7"/>
        <v>1024920</v>
      </c>
    </row>
    <row r="49" spans="1:21" s="89" customFormat="1" x14ac:dyDescent="0.35">
      <c r="A49" s="116" t="s">
        <v>123</v>
      </c>
      <c r="B49" s="117">
        <f>'Generation &amp; Ops Scenarios'!C43</f>
        <v>0</v>
      </c>
      <c r="C49" s="118">
        <f t="shared" si="3"/>
        <v>0</v>
      </c>
      <c r="D49" s="118">
        <f t="shared" si="4"/>
        <v>0</v>
      </c>
      <c r="E49" s="118">
        <f t="shared" si="4"/>
        <v>0</v>
      </c>
      <c r="F49" s="118">
        <f t="shared" si="4"/>
        <v>0</v>
      </c>
      <c r="G49" s="118">
        <f t="shared" si="4"/>
        <v>0</v>
      </c>
      <c r="H49" s="118">
        <f t="shared" si="4"/>
        <v>0</v>
      </c>
      <c r="I49" s="118">
        <f t="shared" si="4"/>
        <v>0</v>
      </c>
      <c r="J49" s="118">
        <f t="shared" si="4"/>
        <v>0</v>
      </c>
      <c r="K49" s="118">
        <f t="shared" si="5"/>
        <v>0</v>
      </c>
      <c r="L49" s="118">
        <f t="shared" si="4"/>
        <v>0</v>
      </c>
      <c r="M49" s="118">
        <f t="shared" si="4"/>
        <v>0</v>
      </c>
      <c r="N49" s="118">
        <f t="shared" si="6"/>
        <v>0</v>
      </c>
      <c r="O49" s="118">
        <f t="shared" si="4"/>
        <v>0</v>
      </c>
      <c r="P49" s="118">
        <f t="shared" si="4"/>
        <v>0</v>
      </c>
      <c r="Q49" s="118">
        <f t="shared" si="4"/>
        <v>0</v>
      </c>
      <c r="R49" s="118">
        <f t="shared" si="4"/>
        <v>0</v>
      </c>
      <c r="S49" s="118">
        <f t="shared" si="4"/>
        <v>0</v>
      </c>
      <c r="T49" s="118">
        <f t="shared" si="7"/>
        <v>0</v>
      </c>
      <c r="U49" s="118">
        <f t="shared" si="7"/>
        <v>0</v>
      </c>
    </row>
    <row r="50" spans="1:21" s="89" customFormat="1" x14ac:dyDescent="0.35">
      <c r="A50" s="116" t="s">
        <v>124</v>
      </c>
      <c r="B50" s="117">
        <f>'Generation &amp; Ops Scenarios'!C44</f>
        <v>0</v>
      </c>
      <c r="C50" s="118">
        <f t="shared" si="3"/>
        <v>0</v>
      </c>
      <c r="D50" s="118">
        <f t="shared" si="4"/>
        <v>0</v>
      </c>
      <c r="E50" s="118">
        <f t="shared" si="4"/>
        <v>0</v>
      </c>
      <c r="F50" s="118">
        <f t="shared" si="4"/>
        <v>0</v>
      </c>
      <c r="G50" s="118">
        <f t="shared" si="4"/>
        <v>0</v>
      </c>
      <c r="H50" s="118">
        <f t="shared" si="4"/>
        <v>0</v>
      </c>
      <c r="I50" s="118">
        <f t="shared" si="4"/>
        <v>0</v>
      </c>
      <c r="J50" s="118">
        <f t="shared" si="4"/>
        <v>0</v>
      </c>
      <c r="K50" s="118">
        <f t="shared" si="5"/>
        <v>0</v>
      </c>
      <c r="L50" s="118">
        <f t="shared" si="4"/>
        <v>0</v>
      </c>
      <c r="M50" s="118">
        <f t="shared" si="4"/>
        <v>0</v>
      </c>
      <c r="N50" s="118">
        <f t="shared" si="6"/>
        <v>0</v>
      </c>
      <c r="O50" s="118">
        <f t="shared" si="4"/>
        <v>0</v>
      </c>
      <c r="P50" s="118">
        <f t="shared" si="4"/>
        <v>0</v>
      </c>
      <c r="Q50" s="118">
        <f t="shared" si="4"/>
        <v>0</v>
      </c>
      <c r="R50" s="118">
        <f t="shared" si="4"/>
        <v>0</v>
      </c>
      <c r="S50" s="118">
        <f t="shared" si="4"/>
        <v>0</v>
      </c>
      <c r="T50" s="118">
        <f t="shared" si="7"/>
        <v>0</v>
      </c>
      <c r="U50" s="118">
        <f t="shared" si="7"/>
        <v>0</v>
      </c>
    </row>
    <row r="51" spans="1:21" s="89" customFormat="1" x14ac:dyDescent="0.35">
      <c r="A51" s="116" t="s">
        <v>125</v>
      </c>
      <c r="B51" s="117">
        <f>'Generation &amp; Ops Scenarios'!C45</f>
        <v>1353420</v>
      </c>
      <c r="C51" s="118">
        <f t="shared" si="3"/>
        <v>1353420</v>
      </c>
      <c r="D51" s="118">
        <f t="shared" si="4"/>
        <v>1353420</v>
      </c>
      <c r="E51" s="118">
        <f t="shared" si="4"/>
        <v>1353420</v>
      </c>
      <c r="F51" s="118">
        <f t="shared" si="4"/>
        <v>1353420</v>
      </c>
      <c r="G51" s="118">
        <f t="shared" si="4"/>
        <v>1353420</v>
      </c>
      <c r="H51" s="118">
        <f t="shared" si="4"/>
        <v>1353420</v>
      </c>
      <c r="I51" s="118">
        <f t="shared" si="4"/>
        <v>1353420</v>
      </c>
      <c r="J51" s="118">
        <f t="shared" si="4"/>
        <v>1353420</v>
      </c>
      <c r="K51" s="118">
        <f t="shared" si="5"/>
        <v>1353420</v>
      </c>
      <c r="L51" s="118">
        <f t="shared" si="4"/>
        <v>1353420</v>
      </c>
      <c r="M51" s="118">
        <f t="shared" si="4"/>
        <v>1353420</v>
      </c>
      <c r="N51" s="118">
        <f t="shared" si="6"/>
        <v>1353420</v>
      </c>
      <c r="O51" s="118">
        <f t="shared" si="4"/>
        <v>1353420</v>
      </c>
      <c r="P51" s="118">
        <f t="shared" si="4"/>
        <v>1353420</v>
      </c>
      <c r="Q51" s="118">
        <f t="shared" si="4"/>
        <v>1353420</v>
      </c>
      <c r="R51" s="118">
        <f t="shared" si="4"/>
        <v>1353420</v>
      </c>
      <c r="S51" s="118">
        <f t="shared" si="4"/>
        <v>1353420</v>
      </c>
      <c r="T51" s="118">
        <f t="shared" si="7"/>
        <v>1353420</v>
      </c>
      <c r="U51" s="118">
        <f t="shared" si="7"/>
        <v>1353420</v>
      </c>
    </row>
    <row r="52" spans="1:21" s="89" customFormat="1" x14ac:dyDescent="0.35">
      <c r="A52" s="116" t="s">
        <v>126</v>
      </c>
      <c r="B52" s="117">
        <f>'Generation &amp; Ops Scenarios'!C46</f>
        <v>0</v>
      </c>
      <c r="C52" s="118">
        <f t="shared" si="3"/>
        <v>0</v>
      </c>
      <c r="D52" s="118">
        <f t="shared" si="4"/>
        <v>0</v>
      </c>
      <c r="E52" s="118">
        <f t="shared" si="4"/>
        <v>0</v>
      </c>
      <c r="F52" s="118">
        <f t="shared" si="4"/>
        <v>0</v>
      </c>
      <c r="G52" s="118">
        <f t="shared" si="4"/>
        <v>0</v>
      </c>
      <c r="H52" s="118">
        <f t="shared" si="4"/>
        <v>0</v>
      </c>
      <c r="I52" s="118">
        <f t="shared" si="4"/>
        <v>0</v>
      </c>
      <c r="J52" s="118">
        <f t="shared" si="4"/>
        <v>0</v>
      </c>
      <c r="K52" s="118">
        <f t="shared" si="5"/>
        <v>0</v>
      </c>
      <c r="L52" s="118">
        <f t="shared" si="4"/>
        <v>0</v>
      </c>
      <c r="M52" s="118">
        <f t="shared" si="4"/>
        <v>0</v>
      </c>
      <c r="N52" s="118">
        <f t="shared" si="6"/>
        <v>0</v>
      </c>
      <c r="O52" s="118">
        <f t="shared" si="4"/>
        <v>0</v>
      </c>
      <c r="P52" s="118">
        <f t="shared" si="4"/>
        <v>0</v>
      </c>
      <c r="Q52" s="118">
        <f t="shared" si="4"/>
        <v>0</v>
      </c>
      <c r="R52" s="118">
        <f t="shared" si="4"/>
        <v>0</v>
      </c>
      <c r="S52" s="118">
        <f t="shared" si="4"/>
        <v>0</v>
      </c>
      <c r="T52" s="118">
        <f t="shared" si="7"/>
        <v>0</v>
      </c>
      <c r="U52" s="118">
        <f t="shared" si="7"/>
        <v>0</v>
      </c>
    </row>
    <row r="53" spans="1:21" s="89" customFormat="1" x14ac:dyDescent="0.35">
      <c r="A53" s="116" t="s">
        <v>127</v>
      </c>
      <c r="B53" s="117">
        <f>'Generation &amp; Ops Scenarios'!C47</f>
        <v>0</v>
      </c>
      <c r="C53" s="118">
        <f t="shared" si="3"/>
        <v>0</v>
      </c>
      <c r="D53" s="118">
        <f t="shared" si="4"/>
        <v>0</v>
      </c>
      <c r="E53" s="118">
        <f t="shared" si="4"/>
        <v>0</v>
      </c>
      <c r="F53" s="118">
        <f t="shared" si="4"/>
        <v>0</v>
      </c>
      <c r="G53" s="118">
        <f t="shared" si="4"/>
        <v>0</v>
      </c>
      <c r="H53" s="118">
        <f t="shared" si="4"/>
        <v>0</v>
      </c>
      <c r="I53" s="118">
        <f t="shared" si="4"/>
        <v>0</v>
      </c>
      <c r="J53" s="118">
        <f t="shared" si="4"/>
        <v>0</v>
      </c>
      <c r="K53" s="118">
        <f t="shared" si="5"/>
        <v>0</v>
      </c>
      <c r="L53" s="118">
        <f t="shared" si="4"/>
        <v>0</v>
      </c>
      <c r="M53" s="118">
        <f t="shared" si="4"/>
        <v>0</v>
      </c>
      <c r="N53" s="118">
        <f t="shared" si="6"/>
        <v>0</v>
      </c>
      <c r="O53" s="118">
        <f t="shared" si="4"/>
        <v>0</v>
      </c>
      <c r="P53" s="118">
        <f t="shared" si="4"/>
        <v>0</v>
      </c>
      <c r="Q53" s="118">
        <f t="shared" si="4"/>
        <v>0</v>
      </c>
      <c r="R53" s="118">
        <f t="shared" si="4"/>
        <v>0</v>
      </c>
      <c r="S53" s="118">
        <f t="shared" si="4"/>
        <v>0</v>
      </c>
      <c r="T53" s="118">
        <f t="shared" si="7"/>
        <v>0</v>
      </c>
      <c r="U53" s="118">
        <f t="shared" si="7"/>
        <v>0</v>
      </c>
    </row>
    <row r="54" spans="1:21" s="89" customFormat="1" x14ac:dyDescent="0.35">
      <c r="A54" s="116" t="s">
        <v>128</v>
      </c>
      <c r="B54" s="117">
        <f>B57-B51</f>
        <v>46580</v>
      </c>
      <c r="C54" s="117">
        <f t="shared" ref="C54:U54" si="8">C57-C51</f>
        <v>46580</v>
      </c>
      <c r="D54" s="117">
        <f t="shared" si="8"/>
        <v>46580</v>
      </c>
      <c r="E54" s="117">
        <f t="shared" si="8"/>
        <v>46580</v>
      </c>
      <c r="F54" s="117">
        <f t="shared" si="8"/>
        <v>46580</v>
      </c>
      <c r="G54" s="117">
        <f t="shared" si="8"/>
        <v>46580</v>
      </c>
      <c r="H54" s="117">
        <f t="shared" si="8"/>
        <v>46580</v>
      </c>
      <c r="I54" s="117">
        <f t="shared" si="8"/>
        <v>46580</v>
      </c>
      <c r="J54" s="117">
        <f t="shared" si="8"/>
        <v>46580</v>
      </c>
      <c r="K54" s="117">
        <f t="shared" si="8"/>
        <v>46580</v>
      </c>
      <c r="L54" s="117">
        <f t="shared" si="8"/>
        <v>46580</v>
      </c>
      <c r="M54" s="117">
        <f>M57-M51</f>
        <v>46580</v>
      </c>
      <c r="N54" s="117">
        <f t="shared" si="8"/>
        <v>46580</v>
      </c>
      <c r="O54" s="117">
        <f t="shared" si="8"/>
        <v>46580</v>
      </c>
      <c r="P54" s="117">
        <f t="shared" si="8"/>
        <v>46580</v>
      </c>
      <c r="Q54" s="117">
        <f t="shared" si="8"/>
        <v>46580</v>
      </c>
      <c r="R54" s="117">
        <f t="shared" si="8"/>
        <v>46580</v>
      </c>
      <c r="S54" s="117">
        <f t="shared" si="8"/>
        <v>46580</v>
      </c>
      <c r="T54" s="119">
        <f t="shared" si="8"/>
        <v>46580</v>
      </c>
      <c r="U54" s="119">
        <f t="shared" si="8"/>
        <v>46580</v>
      </c>
    </row>
    <row r="55" spans="1:21" s="89" customFormat="1" x14ac:dyDescent="0.35">
      <c r="A55" s="116"/>
      <c r="B55" s="120"/>
      <c r="C55" s="118"/>
      <c r="D55" s="116"/>
      <c r="E55" s="116"/>
      <c r="F55" s="121"/>
      <c r="G55" s="116"/>
      <c r="H55" s="116"/>
      <c r="I55" s="116"/>
      <c r="J55" s="116"/>
      <c r="K55" s="116"/>
      <c r="L55" s="116"/>
      <c r="M55" s="116"/>
      <c r="N55" s="116"/>
      <c r="O55" s="116"/>
      <c r="P55" s="116"/>
      <c r="Q55" s="116"/>
      <c r="R55" s="116"/>
      <c r="S55" s="116"/>
      <c r="T55" s="116"/>
      <c r="U55" s="116"/>
    </row>
    <row r="56" spans="1:21" s="89" customFormat="1" x14ac:dyDescent="0.35">
      <c r="A56" s="116"/>
      <c r="B56" s="116"/>
      <c r="C56" s="118"/>
      <c r="D56" s="116"/>
      <c r="E56" s="116"/>
      <c r="F56" s="116"/>
      <c r="G56" s="116"/>
      <c r="H56" s="116"/>
      <c r="I56" s="116"/>
      <c r="J56" s="116"/>
      <c r="K56" s="116"/>
      <c r="L56" s="116"/>
      <c r="M56" s="116"/>
      <c r="N56" s="116"/>
      <c r="O56" s="116"/>
      <c r="P56" s="116"/>
      <c r="Q56" s="116"/>
      <c r="R56" s="116"/>
      <c r="S56" s="116"/>
      <c r="T56" s="116"/>
      <c r="U56" s="116"/>
    </row>
    <row r="57" spans="1:21" s="89" customFormat="1" x14ac:dyDescent="0.35">
      <c r="A57" s="116" t="s">
        <v>158</v>
      </c>
      <c r="B57" s="122">
        <f>M5</f>
        <v>1400000</v>
      </c>
      <c r="C57" s="123">
        <f>B57*(1+'100% Solar Summary'!$M$8)</f>
        <v>1400000</v>
      </c>
      <c r="D57" s="123">
        <f>C57*(1+'100% Solar Summary'!$M$8)</f>
        <v>1400000</v>
      </c>
      <c r="E57" s="123">
        <f>D57*(1+'100% Solar Summary'!$M$8)</f>
        <v>1400000</v>
      </c>
      <c r="F57" s="123">
        <f>E57*(1+'100% Solar Summary'!$M$8)</f>
        <v>1400000</v>
      </c>
      <c r="G57" s="123">
        <f>F57*(1+'100% Solar Summary'!$M$9)</f>
        <v>1400000</v>
      </c>
      <c r="H57" s="123">
        <f>G57*(1+'100% Solar Summary'!$M$9)</f>
        <v>1400000</v>
      </c>
      <c r="I57" s="123">
        <f>H57*(1+'100% Solar Summary'!$M$9)</f>
        <v>1400000</v>
      </c>
      <c r="J57" s="123">
        <f>I57*(1+'100% Solar Summary'!$M$9)</f>
        <v>1400000</v>
      </c>
      <c r="K57" s="123">
        <f>J57*(1+'100% Solar Summary'!$M$9)</f>
        <v>1400000</v>
      </c>
      <c r="L57" s="123">
        <f>K57*(1+'100% Solar Summary'!$M$10)</f>
        <v>1400000</v>
      </c>
      <c r="M57" s="123">
        <f>L57*(1+'100% Solar Summary'!$M$10)</f>
        <v>1400000</v>
      </c>
      <c r="N57" s="123">
        <f>M57*(1+'100% Solar Summary'!$M$10)</f>
        <v>1400000</v>
      </c>
      <c r="O57" s="123">
        <f>N57*(1+'100% Solar Summary'!$M$10)</f>
        <v>1400000</v>
      </c>
      <c r="P57" s="123">
        <f>O57*(1+'100% Solar Summary'!$M$10)</f>
        <v>1400000</v>
      </c>
      <c r="Q57" s="123">
        <f>P57*(1+'100% Solar Summary'!$M$11)</f>
        <v>1400000</v>
      </c>
      <c r="R57" s="123">
        <f>Q57*(1+'100% Solar Summary'!$M$11)</f>
        <v>1400000</v>
      </c>
      <c r="S57" s="123">
        <f>R57*(1+'100% Solar Summary'!$M$11)</f>
        <v>1400000</v>
      </c>
      <c r="T57" s="123">
        <f>S57*(1+'100% Solar Summary'!$M$11)</f>
        <v>1400000</v>
      </c>
      <c r="U57" s="123">
        <f>T57*(1+'100% Solar Summary'!$M$11)</f>
        <v>1400000</v>
      </c>
    </row>
    <row r="58" spans="1:21" s="89" customFormat="1" x14ac:dyDescent="0.35">
      <c r="A58" s="116"/>
      <c r="B58" s="116"/>
      <c r="C58" s="118"/>
      <c r="D58" s="116"/>
      <c r="E58" s="116"/>
      <c r="F58" s="116"/>
      <c r="G58" s="116"/>
      <c r="H58" s="116"/>
      <c r="I58" s="116"/>
      <c r="J58" s="116"/>
      <c r="K58" s="116"/>
      <c r="L58" s="116"/>
      <c r="M58" s="116"/>
      <c r="N58" s="116"/>
      <c r="O58" s="116"/>
      <c r="P58" s="116"/>
      <c r="Q58" s="116"/>
      <c r="R58" s="116"/>
      <c r="S58" s="116"/>
      <c r="T58" s="116"/>
      <c r="U58" s="116"/>
    </row>
    <row r="59" spans="1:21" s="89" customFormat="1" x14ac:dyDescent="0.35">
      <c r="A59" s="116" t="s">
        <v>134</v>
      </c>
      <c r="B59" s="120">
        <f>-'100% Solar Cash Flow'!C8/$B$57*100</f>
        <v>0</v>
      </c>
      <c r="C59" s="120">
        <f>-'100% Solar Cash Flow'!D8/$B$57*100</f>
        <v>0</v>
      </c>
      <c r="D59" s="120">
        <f>-'100% Solar Cash Flow'!F8/$B$57*100</f>
        <v>0</v>
      </c>
      <c r="E59" s="120">
        <f>-'100% Wind Cash Flow'!G8/$B$57*100</f>
        <v>0</v>
      </c>
      <c r="F59" s="120">
        <f>-'100% Wind Cash Flow'!H8/$B$57*100</f>
        <v>0</v>
      </c>
      <c r="G59" s="120">
        <f>-'100% Wind Cash Flow'!I8/$B$57*100</f>
        <v>0</v>
      </c>
      <c r="H59" s="120">
        <f>-'100% Wind Cash Flow'!J8/$B$57*100</f>
        <v>0</v>
      </c>
      <c r="I59" s="120">
        <f>-'100% Wind Cash Flow'!K8/$B$57*100</f>
        <v>0</v>
      </c>
      <c r="J59" s="120">
        <f>-'100% Wind Cash Flow'!L8/$B$57*100</f>
        <v>0</v>
      </c>
      <c r="K59" s="120">
        <f>-'100% Wind Cash Flow'!M8/$B$57*100</f>
        <v>0</v>
      </c>
      <c r="L59" s="120">
        <f>-'100% Wind Cash Flow'!N8/$B$57*100</f>
        <v>0</v>
      </c>
      <c r="M59" s="120">
        <f>-'100% Wind Cash Flow'!O8/$B$57*100</f>
        <v>0</v>
      </c>
      <c r="N59" s="120">
        <f>-'100% Wind Cash Flow'!P8/$B$57*100</f>
        <v>0</v>
      </c>
      <c r="O59" s="120">
        <f>-'100% Wind Cash Flow'!Q8/$B$57*100</f>
        <v>0</v>
      </c>
      <c r="P59" s="120">
        <f>-'100% Wind Cash Flow'!R8/$B$57*100</f>
        <v>0</v>
      </c>
      <c r="Q59" s="120">
        <f>-'100% Wind Cash Flow'!S8/$B$57*100</f>
        <v>0</v>
      </c>
      <c r="R59" s="120">
        <f>-'100% Wind Cash Flow'!T8/$B$57*100</f>
        <v>0</v>
      </c>
      <c r="S59" s="120">
        <f>-'100% Wind Cash Flow'!U8/$B$57*100</f>
        <v>0</v>
      </c>
      <c r="T59" s="120">
        <f>-'100% Wind Cash Flow'!V8/$B$57*100</f>
        <v>0</v>
      </c>
      <c r="U59" s="120">
        <f>-'100% Wind Cash Flow'!W8/$B$57*100</f>
        <v>0</v>
      </c>
    </row>
    <row r="60" spans="1:21" s="89" customFormat="1" x14ac:dyDescent="0.35">
      <c r="A60" s="116" t="s">
        <v>159</v>
      </c>
      <c r="B60" s="120">
        <f>-'100% Solar Interest Calculation'!E14/B57*100</f>
        <v>59.236949553571435</v>
      </c>
      <c r="C60" s="120">
        <f>-'100% Solar Interest Calculation'!F14/C57*100</f>
        <v>58.365534239174153</v>
      </c>
      <c r="D60" s="120">
        <f>-'100% Solar Interest Calculation'!G14/D57*100</f>
        <v>57.428762776197097</v>
      </c>
      <c r="E60" s="120">
        <f>-'100% Solar Interest Calculation'!H14/E57*100</f>
        <v>56.421733453496749</v>
      </c>
      <c r="F60" s="120">
        <f>-'100% Solar Interest Calculation'!I14/F57*100</f>
        <v>55.339176931593883</v>
      </c>
      <c r="G60" s="120">
        <f>-'100% Solar Interest Calculation'!J14/G57*100</f>
        <v>54.1754286705483</v>
      </c>
      <c r="H60" s="120">
        <f>-'100% Solar Interest Calculation'!K14/H57*100</f>
        <v>52.924399289924295</v>
      </c>
      <c r="I60" s="120">
        <f>-'100% Solar Interest Calculation'!L14/I57*100</f>
        <v>51.579542705753489</v>
      </c>
      <c r="J60" s="120">
        <f>-'100% Solar Interest Calculation'!M14/J57*100</f>
        <v>50.133821877769869</v>
      </c>
      <c r="K60" s="120">
        <f>-'100% Solar Interest Calculation'!N14/K57*100</f>
        <v>48.579671987687476</v>
      </c>
      <c r="L60" s="120">
        <f>-'100% Solar Interest Calculation'!O14/L57*100</f>
        <v>46.90896085584891</v>
      </c>
      <c r="M60" s="120">
        <f>-'100% Solar Interest Calculation'!P14/M57*100</f>
        <v>45.112946389122463</v>
      </c>
      <c r="N60" s="120">
        <f>-'100% Solar Interest Calculation'!Q14/N57*100</f>
        <v>43.182230837391522</v>
      </c>
      <c r="O60" s="120">
        <f>-'100% Solar Interest Calculation'!R14/O57*100</f>
        <v>41.106711619280759</v>
      </c>
      <c r="P60" s="120">
        <f>-'100% Solar Interest Calculation'!S14/P57*100</f>
        <v>38.87552845981169</v>
      </c>
      <c r="Q60" s="120">
        <f>-'100% Solar Interest Calculation'!T14/Q57*100</f>
        <v>36.477006563382446</v>
      </c>
      <c r="R60" s="120">
        <f>-'100% Solar Interest Calculation'!U14/R57*100</f>
        <v>33.898595524721003</v>
      </c>
      <c r="S60" s="120">
        <f>-'100% Solar Interest Calculation'!V14/S57*100</f>
        <v>31.12680365815995</v>
      </c>
      <c r="T60" s="120">
        <f>-'100% Solar Interest Calculation'!W14/T57*100</f>
        <v>28.147127401606824</v>
      </c>
      <c r="U60" s="120">
        <f>-'100% Solar Interest Calculation'!X14/U57*100</f>
        <v>24.943975425812212</v>
      </c>
    </row>
    <row r="61" spans="1:21" s="89" customFormat="1" x14ac:dyDescent="0.35">
      <c r="A61" s="116" t="s">
        <v>160</v>
      </c>
      <c r="B61" s="124">
        <f>-'100% Solar Interest Calculation'!E13/B57*100</f>
        <v>11.61887085863024</v>
      </c>
      <c r="C61" s="124">
        <f>-'100% Solar Interest Calculation'!F13/C57*100</f>
        <v>12.490286173027517</v>
      </c>
      <c r="D61" s="124">
        <f>-'100% Solar Interest Calculation'!G13/D57*100</f>
        <v>13.427057636004584</v>
      </c>
      <c r="E61" s="124">
        <f>-'100% Solar Interest Calculation'!H13/E57*100</f>
        <v>14.434086958704922</v>
      </c>
      <c r="F61" s="124">
        <f>-'100% Solar Interest Calculation'!I13/F57*100</f>
        <v>15.516643480607792</v>
      </c>
      <c r="G61" s="124">
        <f>-'100% Solar Interest Calculation'!J13/G57*100</f>
        <v>16.680391741653381</v>
      </c>
      <c r="H61" s="124">
        <f>-'100% Solar Interest Calculation'!K13/H57*100</f>
        <v>17.931421122277381</v>
      </c>
      <c r="I61" s="124">
        <f>-'100% Solar Interest Calculation'!L13/I57*100</f>
        <v>19.276277706448187</v>
      </c>
      <c r="J61" s="124">
        <f>-'100% Solar Interest Calculation'!M13/J57*100</f>
        <v>20.721998534431808</v>
      </c>
      <c r="K61" s="124">
        <f>-'100% Solar Interest Calculation'!N13/K57*100</f>
        <v>22.276148424514194</v>
      </c>
      <c r="L61" s="124">
        <f>-'100% Solar Interest Calculation'!O13/L57*100</f>
        <v>23.946859556352763</v>
      </c>
      <c r="M61" s="124">
        <f>-'100% Solar Interest Calculation'!P13/M57*100</f>
        <v>25.742874023079214</v>
      </c>
      <c r="N61" s="124">
        <f>-'100% Solar Interest Calculation'!Q13/N57*100</f>
        <v>27.673589574810155</v>
      </c>
      <c r="O61" s="124">
        <f>-'100% Solar Interest Calculation'!R13/O57*100</f>
        <v>29.749108792920914</v>
      </c>
      <c r="P61" s="124">
        <f>-'100% Solar Interest Calculation'!S13/P57*100</f>
        <v>31.980291952389983</v>
      </c>
      <c r="Q61" s="124">
        <f>-'100% Solar Interest Calculation'!T13/Q57*100</f>
        <v>34.378813848819227</v>
      </c>
      <c r="R61" s="124">
        <f>-'100% Solar Interest Calculation'!U13/R57*100</f>
        <v>36.95722488748067</v>
      </c>
      <c r="S61" s="124">
        <f>-'100% Solar Interest Calculation'!V13/S57*100</f>
        <v>39.729016754041723</v>
      </c>
      <c r="T61" s="124">
        <f>-'100% Solar Interest Calculation'!W13/T57*100</f>
        <v>42.708693010594843</v>
      </c>
      <c r="U61" s="124">
        <f>-'100% Solar Interest Calculation'!X13/U57*100</f>
        <v>45.911844986389454</v>
      </c>
    </row>
    <row r="62" spans="1:21" s="89" customFormat="1" x14ac:dyDescent="0.35">
      <c r="A62" s="116" t="s">
        <v>161</v>
      </c>
      <c r="B62" s="120">
        <f>-'100% Solar Cash Flow'!D9/B57*100</f>
        <v>26.769731369047623</v>
      </c>
      <c r="C62" s="120">
        <f>-'100% Solar Cash Flow'!E9/C57*100</f>
        <v>26.769731369047623</v>
      </c>
      <c r="D62" s="120">
        <f>-'100% Solar Cash Flow'!F9/D57*100</f>
        <v>26.769731369047623</v>
      </c>
      <c r="E62" s="120">
        <f>-'100% Solar Cash Flow'!G9/E57*100</f>
        <v>26.769731369047623</v>
      </c>
      <c r="F62" s="120">
        <f>-'100% Solar Cash Flow'!H9/F57*100</f>
        <v>26.769731369047623</v>
      </c>
      <c r="G62" s="120">
        <f>-'100% Solar Cash Flow'!I9/G57*100</f>
        <v>26.769731369047623</v>
      </c>
      <c r="H62" s="120">
        <f>-'100% Solar Cash Flow'!J9/H57*100</f>
        <v>26.769731369047623</v>
      </c>
      <c r="I62" s="120">
        <f>-'100% Solar Cash Flow'!K9/I57*100</f>
        <v>26.769731369047623</v>
      </c>
      <c r="J62" s="120">
        <f>-'100% Solar Cash Flow'!L9/J57*100</f>
        <v>26.769731369047623</v>
      </c>
      <c r="K62" s="120">
        <f>-'100% Solar Cash Flow'!M9/K57*100</f>
        <v>26.769731369047623</v>
      </c>
      <c r="L62" s="120">
        <f>-'100% Solar Cash Flow'!N9/L57*100</f>
        <v>26.769731369047623</v>
      </c>
      <c r="M62" s="120">
        <f>-'100% Solar Cash Flow'!O9/M57*100</f>
        <v>26.769731369047623</v>
      </c>
      <c r="N62" s="120">
        <f>-'100% Solar Cash Flow'!P9/N57*100</f>
        <v>26.769731369047623</v>
      </c>
      <c r="O62" s="120">
        <f>-'100% Solar Cash Flow'!Q9/O57*100</f>
        <v>26.769731369047623</v>
      </c>
      <c r="P62" s="120">
        <f>-'100% Solar Cash Flow'!R9/P57*100</f>
        <v>26.769731369047623</v>
      </c>
      <c r="Q62" s="120">
        <f>-'100% Solar Cash Flow'!S9/Q57*100</f>
        <v>26.769731369047623</v>
      </c>
      <c r="R62" s="120">
        <f>-'100% Solar Cash Flow'!T9/R57*100</f>
        <v>26.769731369047623</v>
      </c>
      <c r="S62" s="120">
        <f>-'100% Solar Cash Flow'!U9/S57*100</f>
        <v>26.769731369047623</v>
      </c>
      <c r="T62" s="120">
        <f>-'100% Solar Cash Flow'!V9/T57*100</f>
        <v>26.769731369047623</v>
      </c>
      <c r="U62" s="120">
        <f>-'100% Solar Cash Flow'!W9/U57*100</f>
        <v>26.769731369047623</v>
      </c>
    </row>
    <row r="63" spans="1:21" s="89" customFormat="1" x14ac:dyDescent="0.35">
      <c r="A63" s="116"/>
      <c r="B63" s="120">
        <f>SUM(B59:B62)</f>
        <v>97.6255517812493</v>
      </c>
      <c r="C63" s="120">
        <f t="shared" ref="C63:U63" si="9">SUM(C59:C62)</f>
        <v>97.625551781249285</v>
      </c>
      <c r="D63" s="120">
        <f t="shared" si="9"/>
        <v>97.6255517812493</v>
      </c>
      <c r="E63" s="120">
        <f t="shared" si="9"/>
        <v>97.625551781249285</v>
      </c>
      <c r="F63" s="120">
        <f t="shared" si="9"/>
        <v>97.6255517812493</v>
      </c>
      <c r="G63" s="120">
        <f t="shared" si="9"/>
        <v>97.6255517812493</v>
      </c>
      <c r="H63" s="120">
        <f t="shared" si="9"/>
        <v>97.6255517812493</v>
      </c>
      <c r="I63" s="120">
        <f t="shared" si="9"/>
        <v>97.6255517812493</v>
      </c>
      <c r="J63" s="120">
        <f t="shared" si="9"/>
        <v>97.6255517812493</v>
      </c>
      <c r="K63" s="120">
        <f t="shared" si="9"/>
        <v>97.625551781249285</v>
      </c>
      <c r="L63" s="120">
        <f t="shared" si="9"/>
        <v>97.625551781249285</v>
      </c>
      <c r="M63" s="120">
        <f t="shared" si="9"/>
        <v>97.6255517812493</v>
      </c>
      <c r="N63" s="120">
        <f t="shared" si="9"/>
        <v>97.6255517812493</v>
      </c>
      <c r="O63" s="120">
        <f t="shared" si="9"/>
        <v>97.625551781249285</v>
      </c>
      <c r="P63" s="120">
        <f t="shared" si="9"/>
        <v>97.625551781249285</v>
      </c>
      <c r="Q63" s="120">
        <f t="shared" si="9"/>
        <v>97.625551781249285</v>
      </c>
      <c r="R63" s="120">
        <f t="shared" si="9"/>
        <v>97.625551781249285</v>
      </c>
      <c r="S63" s="120">
        <f t="shared" si="9"/>
        <v>97.625551781249285</v>
      </c>
      <c r="T63" s="120">
        <f t="shared" si="9"/>
        <v>97.625551781249285</v>
      </c>
      <c r="U63" s="120">
        <f t="shared" si="9"/>
        <v>97.625551781249285</v>
      </c>
    </row>
    <row r="64" spans="1:21" s="89" customFormat="1" x14ac:dyDescent="0.35">
      <c r="A64" s="116" t="s">
        <v>142</v>
      </c>
      <c r="B64" s="124">
        <f>B65-B63</f>
        <v>-37.6255517812493</v>
      </c>
      <c r="C64" s="124">
        <f t="shared" ref="C64:U64" si="10">C65-C63</f>
        <v>-37.625551781249285</v>
      </c>
      <c r="D64" s="124">
        <f t="shared" si="10"/>
        <v>-37.6255517812493</v>
      </c>
      <c r="E64" s="124">
        <f t="shared" si="10"/>
        <v>-37.625551781249285</v>
      </c>
      <c r="F64" s="124">
        <f t="shared" si="10"/>
        <v>-37.6255517812493</v>
      </c>
      <c r="G64" s="124">
        <f t="shared" si="10"/>
        <v>-37.6255517812493</v>
      </c>
      <c r="H64" s="124">
        <f t="shared" si="10"/>
        <v>-37.6255517812493</v>
      </c>
      <c r="I64" s="124">
        <f t="shared" si="10"/>
        <v>-37.6255517812493</v>
      </c>
      <c r="J64" s="124">
        <f t="shared" si="10"/>
        <v>-37.6255517812493</v>
      </c>
      <c r="K64" s="124">
        <f t="shared" si="10"/>
        <v>-37.625551781249285</v>
      </c>
      <c r="L64" s="124">
        <f t="shared" si="10"/>
        <v>-37.625551781249285</v>
      </c>
      <c r="M64" s="124">
        <f t="shared" si="10"/>
        <v>-37.6255517812493</v>
      </c>
      <c r="N64" s="124">
        <f t="shared" si="10"/>
        <v>-37.6255517812493</v>
      </c>
      <c r="O64" s="124">
        <f t="shared" si="10"/>
        <v>-37.625551781249285</v>
      </c>
      <c r="P64" s="124">
        <f t="shared" si="10"/>
        <v>-37.625551781249285</v>
      </c>
      <c r="Q64" s="124">
        <f t="shared" si="10"/>
        <v>-37.625551781249285</v>
      </c>
      <c r="R64" s="124">
        <f t="shared" si="10"/>
        <v>-37.625551781249285</v>
      </c>
      <c r="S64" s="124">
        <f t="shared" si="10"/>
        <v>-37.625551781249285</v>
      </c>
      <c r="T64" s="124">
        <f t="shared" si="10"/>
        <v>-37.625551781249285</v>
      </c>
      <c r="U64" s="124">
        <f t="shared" si="10"/>
        <v>-37.625551781249285</v>
      </c>
    </row>
    <row r="65" spans="1:21" s="89" customFormat="1" x14ac:dyDescent="0.35">
      <c r="A65" s="116" t="s">
        <v>163</v>
      </c>
      <c r="B65" s="125">
        <f t="shared" ref="B65:U65" si="11">$M$6</f>
        <v>60</v>
      </c>
      <c r="C65" s="125">
        <f t="shared" si="11"/>
        <v>60</v>
      </c>
      <c r="D65" s="125">
        <f t="shared" si="11"/>
        <v>60</v>
      </c>
      <c r="E65" s="125">
        <f t="shared" si="11"/>
        <v>60</v>
      </c>
      <c r="F65" s="125">
        <f t="shared" si="11"/>
        <v>60</v>
      </c>
      <c r="G65" s="125">
        <f t="shared" si="11"/>
        <v>60</v>
      </c>
      <c r="H65" s="125">
        <f t="shared" si="11"/>
        <v>60</v>
      </c>
      <c r="I65" s="125">
        <f t="shared" si="11"/>
        <v>60</v>
      </c>
      <c r="J65" s="125">
        <f t="shared" si="11"/>
        <v>60</v>
      </c>
      <c r="K65" s="125">
        <f t="shared" si="11"/>
        <v>60</v>
      </c>
      <c r="L65" s="125">
        <f t="shared" si="11"/>
        <v>60</v>
      </c>
      <c r="M65" s="125">
        <f t="shared" si="11"/>
        <v>60</v>
      </c>
      <c r="N65" s="125">
        <f t="shared" si="11"/>
        <v>60</v>
      </c>
      <c r="O65" s="125">
        <f t="shared" si="11"/>
        <v>60</v>
      </c>
      <c r="P65" s="125">
        <f t="shared" si="11"/>
        <v>60</v>
      </c>
      <c r="Q65" s="125">
        <f t="shared" si="11"/>
        <v>60</v>
      </c>
      <c r="R65" s="125">
        <f t="shared" si="11"/>
        <v>60</v>
      </c>
      <c r="S65" s="125">
        <f t="shared" si="11"/>
        <v>60</v>
      </c>
      <c r="T65" s="125">
        <f t="shared" si="11"/>
        <v>60</v>
      </c>
      <c r="U65" s="125">
        <f t="shared" si="11"/>
        <v>60</v>
      </c>
    </row>
    <row r="66" spans="1:21" s="89" customFormat="1" x14ac:dyDescent="0.35">
      <c r="C66" s="90"/>
    </row>
    <row r="67" spans="1:21" s="89" customFormat="1" x14ac:dyDescent="0.35">
      <c r="C67" s="90"/>
    </row>
    <row r="68" spans="1:21" s="89" customFormat="1" x14ac:dyDescent="0.35">
      <c r="C68" s="90"/>
    </row>
    <row r="69" spans="1:21" s="89" customFormat="1" x14ac:dyDescent="0.35">
      <c r="C69" s="90"/>
    </row>
    <row r="70" spans="1:21" s="89" customFormat="1" x14ac:dyDescent="0.35">
      <c r="C70" s="90"/>
    </row>
  </sheetData>
  <sheetProtection algorithmName="SHA-512" hashValue="yzNE/gn/k00iJAcdtwSdIHetqOsHtCsJSRbK2KCeEyjLhP+20Futwmf7Yw1QuK72cyNC/KC/iqrg/9/yX9LcwQ==" saltValue="yXB/mIELCXtkKQp7PNAh9Q==" spinCount="100000" sheet="1" objects="1" scenarios="1" selectLockedCells="1" selectUnlockedCells="1"/>
  <mergeCells count="23">
    <mergeCell ref="K10:L10"/>
    <mergeCell ref="K11:L11"/>
    <mergeCell ref="A39:B39"/>
    <mergeCell ref="P9:Q9"/>
    <mergeCell ref="P10:Q10"/>
    <mergeCell ref="P11:Q11"/>
    <mergeCell ref="K9:L9"/>
    <mergeCell ref="P12:Q12"/>
    <mergeCell ref="K13:M13"/>
    <mergeCell ref="K14:M14"/>
    <mergeCell ref="D6:E6"/>
    <mergeCell ref="P6:Q6"/>
    <mergeCell ref="D7:E7"/>
    <mergeCell ref="P7:Q7"/>
    <mergeCell ref="D8:E8"/>
    <mergeCell ref="P8:Q8"/>
    <mergeCell ref="K8:L8"/>
    <mergeCell ref="A4:B4"/>
    <mergeCell ref="D4:H4"/>
    <mergeCell ref="K4:M4"/>
    <mergeCell ref="P4:R4"/>
    <mergeCell ref="D5:E5"/>
    <mergeCell ref="P5:Q5"/>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greaterThan" id="{C05E2E47-BB5F-4F62-9C64-4448C9D955DB}">
            <xm:f>'Generation &amp; Ops Scenarios'!$C$35*8760*0.3</xm:f>
            <x14:dxf>
              <font>
                <color rgb="FFFF0000"/>
              </font>
              <fill>
                <patternFill>
                  <bgColor theme="5" tint="0.79998168889431442"/>
                </patternFill>
              </fill>
            </x14:dxf>
          </x14:cfRule>
          <xm:sqref>B54:U54</xm:sqref>
        </x14:conditionalFormatting>
        <x14:conditionalFormatting xmlns:xm="http://schemas.microsoft.com/office/excel/2006/main">
          <x14:cfRule type="cellIs" priority="2" operator="greaterThan" id="{DD02308C-0C29-40DD-A9B5-E483B79C06AE}">
            <xm:f>'Generation &amp; Ops Scenarios'!$C$35*8760*0.3+$B$51</xm:f>
            <x14:dxf>
              <font>
                <color rgb="FFFF0000"/>
              </font>
              <fill>
                <patternFill>
                  <bgColor theme="5" tint="0.79998168889431442"/>
                </patternFill>
              </fill>
            </x14:dxf>
          </x14:cfRule>
          <xm:sqref>B57:U57</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4A964-E3F1-4853-9E2B-3A3E46CD59B0}">
  <dimension ref="A1:AC18"/>
  <sheetViews>
    <sheetView workbookViewId="0">
      <selection activeCell="D1" sqref="D1"/>
    </sheetView>
  </sheetViews>
  <sheetFormatPr defaultRowHeight="14.5" x14ac:dyDescent="0.35"/>
  <cols>
    <col min="2" max="2" width="5.453125" customWidth="1"/>
    <col min="3" max="3" width="14.54296875" customWidth="1"/>
    <col min="4" max="4" width="10.453125" customWidth="1"/>
    <col min="5" max="5" width="12.54296875" customWidth="1"/>
    <col min="6" max="6" width="12.1796875" customWidth="1"/>
    <col min="7" max="7" width="10.26953125" customWidth="1"/>
    <col min="8" max="8" width="10.81640625" customWidth="1"/>
    <col min="9" max="9" width="10.453125" customWidth="1"/>
    <col min="10" max="10" width="10" customWidth="1"/>
    <col min="11" max="11" width="9.81640625" customWidth="1"/>
    <col min="12" max="12" width="10" customWidth="1"/>
    <col min="13" max="13" width="9.54296875" customWidth="1"/>
    <col min="14" max="14" width="9.81640625" customWidth="1"/>
    <col min="15" max="15" width="10" customWidth="1"/>
    <col min="16" max="17" width="10.7265625" customWidth="1"/>
    <col min="18" max="18" width="11.1796875" customWidth="1"/>
    <col min="19" max="19" width="11" customWidth="1"/>
    <col min="20" max="20" width="10.26953125" customWidth="1"/>
    <col min="21" max="21" width="10.1796875" customWidth="1"/>
    <col min="22" max="22" width="10.26953125" customWidth="1"/>
    <col min="23" max="23" width="10" customWidth="1"/>
    <col min="24" max="26" width="10.1796875" customWidth="1"/>
    <col min="27" max="28" width="9.54296875" customWidth="1"/>
    <col min="29" max="29" width="9.453125" customWidth="1"/>
  </cols>
  <sheetData>
    <row r="1" spans="1:29" s="131" customFormat="1" x14ac:dyDescent="0.35">
      <c r="A1" s="5" t="s">
        <v>29</v>
      </c>
      <c r="B1" s="5"/>
      <c r="D1" s="130" t="str">
        <f>'Generation &amp; Ops Scenarios'!I27</f>
        <v>100% Solar &amp; Storage</v>
      </c>
    </row>
    <row r="3" spans="1:29" x14ac:dyDescent="0.35">
      <c r="D3" t="s">
        <v>30</v>
      </c>
      <c r="E3" s="79">
        <v>1</v>
      </c>
      <c r="F3" s="79">
        <v>2</v>
      </c>
      <c r="G3" s="79">
        <v>3</v>
      </c>
      <c r="H3" s="79">
        <v>4</v>
      </c>
      <c r="I3" s="79">
        <v>5</v>
      </c>
      <c r="J3" s="79">
        <v>6</v>
      </c>
      <c r="K3" s="79">
        <v>7</v>
      </c>
      <c r="L3" s="79">
        <v>8</v>
      </c>
      <c r="M3" s="79">
        <v>9</v>
      </c>
      <c r="N3" s="79">
        <v>10</v>
      </c>
      <c r="O3" s="79">
        <v>11</v>
      </c>
      <c r="P3" s="79">
        <v>12</v>
      </c>
      <c r="Q3" s="79">
        <v>13</v>
      </c>
      <c r="R3" s="79">
        <v>14</v>
      </c>
      <c r="S3" s="79">
        <v>15</v>
      </c>
      <c r="T3" s="79">
        <v>16</v>
      </c>
      <c r="U3" s="79">
        <v>17</v>
      </c>
      <c r="V3" s="79">
        <v>18</v>
      </c>
      <c r="W3" s="79">
        <v>19</v>
      </c>
      <c r="X3" s="79">
        <v>20</v>
      </c>
      <c r="Y3" s="79">
        <v>21</v>
      </c>
      <c r="Z3" s="79">
        <v>22</v>
      </c>
      <c r="AA3" s="79">
        <v>23</v>
      </c>
      <c r="AB3" s="79">
        <v>24</v>
      </c>
      <c r="AC3" s="79">
        <v>25</v>
      </c>
    </row>
    <row r="4" spans="1:29" x14ac:dyDescent="0.35">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x14ac:dyDescent="0.35">
      <c r="A5" t="s">
        <v>31</v>
      </c>
      <c r="C5" s="19"/>
      <c r="D5" s="19">
        <f>'100% Solar Summary'!B22</f>
        <v>11057563.916666668</v>
      </c>
      <c r="E5" s="19"/>
      <c r="F5" s="19"/>
      <c r="G5" s="19"/>
      <c r="H5" s="19"/>
      <c r="I5" s="19"/>
      <c r="J5" s="19"/>
      <c r="K5" s="19"/>
      <c r="L5" s="19"/>
      <c r="M5" s="19"/>
      <c r="N5" s="19"/>
      <c r="O5" s="19"/>
      <c r="P5" s="19"/>
      <c r="Q5" s="19"/>
      <c r="R5" s="19"/>
      <c r="S5" s="19"/>
      <c r="T5" s="19"/>
      <c r="U5" s="19"/>
      <c r="V5" s="19"/>
      <c r="W5" s="19"/>
      <c r="X5" s="19"/>
      <c r="Y5" s="19"/>
      <c r="Z5" s="19"/>
      <c r="AA5" s="19"/>
      <c r="AB5" s="19"/>
      <c r="AC5" s="19"/>
    </row>
    <row r="6" spans="1:29" x14ac:dyDescent="0.35">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x14ac:dyDescent="0.35">
      <c r="A7" t="s">
        <v>38</v>
      </c>
      <c r="C7" s="19"/>
      <c r="D7" s="21">
        <f>'100% Solar Summary'!R5</f>
        <v>1</v>
      </c>
      <c r="E7" s="19"/>
      <c r="F7" s="19"/>
      <c r="G7" s="19"/>
      <c r="H7" s="19"/>
      <c r="I7" s="19"/>
      <c r="J7" s="19"/>
      <c r="K7" s="19"/>
      <c r="L7" s="19"/>
      <c r="M7" s="19"/>
      <c r="N7" s="19"/>
      <c r="O7" s="19"/>
      <c r="P7" s="19"/>
      <c r="Q7" s="19"/>
      <c r="R7" s="19"/>
      <c r="S7" s="19"/>
      <c r="T7" s="19"/>
      <c r="U7" s="19"/>
      <c r="V7" s="19"/>
      <c r="W7" s="19"/>
      <c r="X7" s="19"/>
      <c r="Y7" s="19"/>
      <c r="Z7" s="19"/>
      <c r="AA7" s="19"/>
      <c r="AB7" s="19"/>
      <c r="AC7" s="19"/>
    </row>
    <row r="8" spans="1:29" x14ac:dyDescent="0.35">
      <c r="C8" s="19"/>
      <c r="D8" s="19"/>
      <c r="E8" s="19"/>
      <c r="F8" s="19"/>
      <c r="G8" s="19"/>
      <c r="H8" s="19"/>
      <c r="I8" s="19"/>
      <c r="J8" s="19"/>
      <c r="K8" s="19"/>
      <c r="L8" s="19"/>
      <c r="M8" s="19"/>
      <c r="N8" s="19"/>
      <c r="O8" s="19"/>
      <c r="P8" s="19"/>
      <c r="Q8" s="19"/>
      <c r="R8" s="19"/>
      <c r="S8" s="19"/>
      <c r="T8" s="19"/>
      <c r="U8" s="19"/>
      <c r="V8" s="19"/>
      <c r="W8" s="19"/>
      <c r="X8" s="19"/>
      <c r="Y8" s="19"/>
      <c r="Z8" s="19"/>
      <c r="AA8" s="19"/>
      <c r="AB8" s="19"/>
      <c r="AC8" s="19"/>
    </row>
    <row r="9" spans="1:29" x14ac:dyDescent="0.35">
      <c r="C9" t="s">
        <v>32</v>
      </c>
      <c r="D9" s="19">
        <f>D5*D7</f>
        <v>11057563.916666668</v>
      </c>
      <c r="E9" s="19"/>
      <c r="F9" s="19"/>
      <c r="G9" s="19"/>
      <c r="H9" s="19"/>
      <c r="I9" s="19"/>
      <c r="J9" s="19"/>
      <c r="K9" s="19"/>
      <c r="L9" s="19"/>
      <c r="M9" s="19"/>
      <c r="N9" s="19"/>
      <c r="O9" s="19"/>
      <c r="P9" s="19"/>
      <c r="Q9" s="19"/>
      <c r="R9" s="19"/>
      <c r="S9" s="19"/>
      <c r="T9" s="19"/>
      <c r="U9" s="19"/>
      <c r="V9" s="19"/>
      <c r="W9" s="19"/>
      <c r="X9" s="19"/>
      <c r="Y9" s="19"/>
      <c r="Z9" s="19"/>
      <c r="AA9" s="19"/>
      <c r="AB9" s="19"/>
      <c r="AC9" s="19"/>
    </row>
    <row r="10" spans="1:29" x14ac:dyDescent="0.35">
      <c r="C10" t="s">
        <v>33</v>
      </c>
      <c r="D10" s="21">
        <f>'100% Solar Summary'!R6</f>
        <v>7.4999999999999997E-2</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x14ac:dyDescent="0.35">
      <c r="C11" s="19" t="s">
        <v>34</v>
      </c>
      <c r="D11" s="19">
        <f>'100% Solar Summary'!R8</f>
        <v>25</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x14ac:dyDescent="0.35">
      <c r="C12" s="19" t="s">
        <v>35</v>
      </c>
      <c r="D12" s="19"/>
      <c r="E12" s="19">
        <f>+D9</f>
        <v>11057563.916666668</v>
      </c>
      <c r="F12" s="19">
        <f t="shared" ref="F12:AC12" si="0">E15</f>
        <v>10894899.724645844</v>
      </c>
      <c r="G12" s="19">
        <f t="shared" si="0"/>
        <v>10720035.718223458</v>
      </c>
      <c r="H12" s="19">
        <f t="shared" si="0"/>
        <v>10532056.911319394</v>
      </c>
      <c r="I12" s="19">
        <f t="shared" si="0"/>
        <v>10329979.693897525</v>
      </c>
      <c r="J12" s="19">
        <f t="shared" si="0"/>
        <v>10112746.685169015</v>
      </c>
      <c r="K12" s="19">
        <f t="shared" si="0"/>
        <v>9879221.2007858679</v>
      </c>
      <c r="L12" s="19">
        <f t="shared" si="0"/>
        <v>9628181.305073984</v>
      </c>
      <c r="M12" s="19">
        <f t="shared" si="0"/>
        <v>9358313.4171837084</v>
      </c>
      <c r="N12" s="19">
        <f t="shared" si="0"/>
        <v>9068205.437701663</v>
      </c>
      <c r="O12" s="19">
        <f t="shared" si="0"/>
        <v>8756339.3597584646</v>
      </c>
      <c r="P12" s="19">
        <f t="shared" si="0"/>
        <v>8421083.3259695265</v>
      </c>
      <c r="Q12" s="19">
        <f t="shared" si="0"/>
        <v>8060683.0896464176</v>
      </c>
      <c r="R12" s="19">
        <f t="shared" si="0"/>
        <v>7673252.835599076</v>
      </c>
      <c r="S12" s="19">
        <f t="shared" si="0"/>
        <v>7256765.312498183</v>
      </c>
      <c r="T12" s="19">
        <f t="shared" si="0"/>
        <v>6809041.2251647236</v>
      </c>
      <c r="U12" s="19">
        <f t="shared" si="0"/>
        <v>6327737.8312812541</v>
      </c>
      <c r="V12" s="19">
        <f t="shared" si="0"/>
        <v>5810336.6828565244</v>
      </c>
      <c r="W12" s="19">
        <f t="shared" si="0"/>
        <v>5254130.4482999407</v>
      </c>
      <c r="X12" s="19">
        <f t="shared" si="0"/>
        <v>4656208.7461516131</v>
      </c>
      <c r="Y12" s="19">
        <f t="shared" si="0"/>
        <v>4013442.9163421607</v>
      </c>
      <c r="Z12" s="19">
        <f t="shared" si="0"/>
        <v>3322469.649296999</v>
      </c>
      <c r="AA12" s="19">
        <f t="shared" si="0"/>
        <v>2579673.3872234505</v>
      </c>
      <c r="AB12" s="19">
        <f t="shared" si="0"/>
        <v>1781167.4054943859</v>
      </c>
      <c r="AC12" s="19">
        <f t="shared" si="0"/>
        <v>922773.47513564141</v>
      </c>
    </row>
    <row r="13" spans="1:29" x14ac:dyDescent="0.35">
      <c r="C13" s="19" t="s">
        <v>36</v>
      </c>
      <c r="D13" s="19"/>
      <c r="E13" s="46">
        <f>E16-E14</f>
        <v>-162664.19202082336</v>
      </c>
      <c r="F13" s="19">
        <f>F16-F14</f>
        <v>-174864.00642238522</v>
      </c>
      <c r="G13" s="19">
        <f t="shared" ref="G13:AC13" si="1">G16-G14</f>
        <v>-187978.80690406414</v>
      </c>
      <c r="H13" s="19">
        <f t="shared" si="1"/>
        <v>-202077.21742186893</v>
      </c>
      <c r="I13" s="19">
        <f t="shared" si="1"/>
        <v>-217233.00872850907</v>
      </c>
      <c r="J13" s="19">
        <f t="shared" si="1"/>
        <v>-233525.48438314733</v>
      </c>
      <c r="K13" s="19">
        <f t="shared" si="1"/>
        <v>-251039.89571188332</v>
      </c>
      <c r="L13" s="19">
        <f t="shared" si="1"/>
        <v>-269867.88789027464</v>
      </c>
      <c r="M13" s="19">
        <f t="shared" si="1"/>
        <v>-290107.97948204528</v>
      </c>
      <c r="N13" s="19">
        <f t="shared" si="1"/>
        <v>-311866.07794319873</v>
      </c>
      <c r="O13" s="19">
        <f t="shared" si="1"/>
        <v>-335256.03378893866</v>
      </c>
      <c r="P13" s="19">
        <f t="shared" si="1"/>
        <v>-360400.23632310901</v>
      </c>
      <c r="Q13" s="19">
        <f t="shared" si="1"/>
        <v>-387430.25404734211</v>
      </c>
      <c r="R13" s="19">
        <f t="shared" si="1"/>
        <v>-416487.52310089278</v>
      </c>
      <c r="S13" s="19">
        <f t="shared" si="1"/>
        <v>-447724.08733345976</v>
      </c>
      <c r="T13" s="19">
        <f t="shared" si="1"/>
        <v>-481303.39388346917</v>
      </c>
      <c r="U13" s="19">
        <f t="shared" si="1"/>
        <v>-517401.14842472941</v>
      </c>
      <c r="V13" s="19">
        <f t="shared" si="1"/>
        <v>-556206.23455658415</v>
      </c>
      <c r="W13" s="19">
        <f t="shared" si="1"/>
        <v>-597921.70214832784</v>
      </c>
      <c r="X13" s="19">
        <f t="shared" si="1"/>
        <v>-642765.82980945241</v>
      </c>
      <c r="Y13" s="19">
        <f t="shared" si="1"/>
        <v>-690973.26704516145</v>
      </c>
      <c r="Z13" s="19">
        <f t="shared" si="1"/>
        <v>-742796.26207354851</v>
      </c>
      <c r="AA13" s="19">
        <f t="shared" si="1"/>
        <v>-798505.9817290646</v>
      </c>
      <c r="AB13" s="19">
        <f t="shared" si="1"/>
        <v>-858393.93035874446</v>
      </c>
      <c r="AC13" s="19">
        <f t="shared" si="1"/>
        <v>-922773.47513565037</v>
      </c>
    </row>
    <row r="14" spans="1:29" x14ac:dyDescent="0.35">
      <c r="C14" s="19" t="s">
        <v>39</v>
      </c>
      <c r="D14" s="19"/>
      <c r="E14" s="19">
        <f>-E12*$D$10</f>
        <v>-829317.29375000007</v>
      </c>
      <c r="F14" s="19">
        <f t="shared" ref="F14:AC14" si="2">-F12*$D$10</f>
        <v>-817117.47934843821</v>
      </c>
      <c r="G14" s="19">
        <f t="shared" si="2"/>
        <v>-804002.67886675929</v>
      </c>
      <c r="H14" s="19">
        <f t="shared" si="2"/>
        <v>-789904.2683489545</v>
      </c>
      <c r="I14" s="19">
        <f t="shared" si="2"/>
        <v>-774748.47704231436</v>
      </c>
      <c r="J14" s="19">
        <f t="shared" si="2"/>
        <v>-758456.00138767611</v>
      </c>
      <c r="K14" s="19">
        <f t="shared" si="2"/>
        <v>-740941.59005894011</v>
      </c>
      <c r="L14" s="19">
        <f t="shared" si="2"/>
        <v>-722113.5978805488</v>
      </c>
      <c r="M14" s="19">
        <f t="shared" si="2"/>
        <v>-701873.50628877815</v>
      </c>
      <c r="N14" s="19">
        <f t="shared" si="2"/>
        <v>-680115.4078276247</v>
      </c>
      <c r="O14" s="19">
        <f t="shared" si="2"/>
        <v>-656725.45198188478</v>
      </c>
      <c r="P14" s="19">
        <f t="shared" si="2"/>
        <v>-631581.24944771442</v>
      </c>
      <c r="Q14" s="19">
        <f t="shared" si="2"/>
        <v>-604551.23172348132</v>
      </c>
      <c r="R14" s="19">
        <f t="shared" si="2"/>
        <v>-575493.96266993065</v>
      </c>
      <c r="S14" s="19">
        <f t="shared" si="2"/>
        <v>-544257.39843736368</v>
      </c>
      <c r="T14" s="19">
        <f t="shared" si="2"/>
        <v>-510678.09188735427</v>
      </c>
      <c r="U14" s="19">
        <f t="shared" si="2"/>
        <v>-474580.33734609402</v>
      </c>
      <c r="V14" s="19">
        <f t="shared" si="2"/>
        <v>-435775.25121423934</v>
      </c>
      <c r="W14" s="19">
        <f t="shared" si="2"/>
        <v>-394059.78362249554</v>
      </c>
      <c r="X14" s="19">
        <f t="shared" si="2"/>
        <v>-349215.65596137097</v>
      </c>
      <c r="Y14" s="19">
        <f t="shared" si="2"/>
        <v>-301008.21872566204</v>
      </c>
      <c r="Z14" s="19">
        <f t="shared" si="2"/>
        <v>-249185.22369727492</v>
      </c>
      <c r="AA14" s="19">
        <f t="shared" si="2"/>
        <v>-193475.50404175877</v>
      </c>
      <c r="AB14" s="19">
        <f t="shared" si="2"/>
        <v>-133587.55541207895</v>
      </c>
      <c r="AC14" s="19">
        <f t="shared" si="2"/>
        <v>-69208.010635173108</v>
      </c>
    </row>
    <row r="15" spans="1:29" x14ac:dyDescent="0.35">
      <c r="C15" s="19" t="s">
        <v>37</v>
      </c>
      <c r="D15" s="19"/>
      <c r="E15" s="20">
        <f>E12+E13</f>
        <v>10894899.724645844</v>
      </c>
      <c r="F15" s="20">
        <f t="shared" ref="F15:AC15" si="3">F12+F13</f>
        <v>10720035.718223458</v>
      </c>
      <c r="G15" s="20">
        <f t="shared" si="3"/>
        <v>10532056.911319394</v>
      </c>
      <c r="H15" s="20">
        <f t="shared" si="3"/>
        <v>10329979.693897525</v>
      </c>
      <c r="I15" s="20">
        <f t="shared" si="3"/>
        <v>10112746.685169015</v>
      </c>
      <c r="J15" s="20">
        <f t="shared" si="3"/>
        <v>9879221.2007858679</v>
      </c>
      <c r="K15" s="20">
        <f t="shared" si="3"/>
        <v>9628181.305073984</v>
      </c>
      <c r="L15" s="20">
        <f t="shared" si="3"/>
        <v>9358313.4171837084</v>
      </c>
      <c r="M15" s="20">
        <f t="shared" si="3"/>
        <v>9068205.437701663</v>
      </c>
      <c r="N15" s="20">
        <f t="shared" si="3"/>
        <v>8756339.3597584646</v>
      </c>
      <c r="O15" s="20">
        <f t="shared" si="3"/>
        <v>8421083.3259695265</v>
      </c>
      <c r="P15" s="20">
        <f t="shared" si="3"/>
        <v>8060683.0896464176</v>
      </c>
      <c r="Q15" s="20">
        <f t="shared" si="3"/>
        <v>7673252.835599076</v>
      </c>
      <c r="R15" s="20">
        <f t="shared" si="3"/>
        <v>7256765.312498183</v>
      </c>
      <c r="S15" s="20">
        <f t="shared" si="3"/>
        <v>6809041.2251647236</v>
      </c>
      <c r="T15" s="20">
        <f t="shared" si="3"/>
        <v>6327737.8312812541</v>
      </c>
      <c r="U15" s="20">
        <f t="shared" si="3"/>
        <v>5810336.6828565244</v>
      </c>
      <c r="V15" s="20">
        <f t="shared" si="3"/>
        <v>5254130.4482999407</v>
      </c>
      <c r="W15" s="20">
        <f t="shared" si="3"/>
        <v>4656208.7461516131</v>
      </c>
      <c r="X15" s="20">
        <f t="shared" si="3"/>
        <v>4013442.9163421607</v>
      </c>
      <c r="Y15" s="20">
        <f t="shared" si="3"/>
        <v>3322469.649296999</v>
      </c>
      <c r="Z15" s="20">
        <f t="shared" si="3"/>
        <v>2579673.3872234505</v>
      </c>
      <c r="AA15" s="20">
        <f t="shared" si="3"/>
        <v>1781167.4054943859</v>
      </c>
      <c r="AB15" s="20">
        <f t="shared" si="3"/>
        <v>922773.47513564141</v>
      </c>
      <c r="AC15" s="20">
        <f t="shared" si="3"/>
        <v>-8.9639797806739807E-9</v>
      </c>
    </row>
    <row r="16" spans="1:29" x14ac:dyDescent="0.35">
      <c r="C16" s="19"/>
      <c r="D16" s="19"/>
      <c r="E16" s="19">
        <f>PMT(D10,25,D9)</f>
        <v>-991981.48577082343</v>
      </c>
      <c r="F16" s="19">
        <f>E16</f>
        <v>-991981.48577082343</v>
      </c>
      <c r="G16" s="19">
        <f t="shared" ref="G16:AC16" si="4">F16</f>
        <v>-991981.48577082343</v>
      </c>
      <c r="H16" s="19">
        <f t="shared" si="4"/>
        <v>-991981.48577082343</v>
      </c>
      <c r="I16" s="19">
        <f t="shared" si="4"/>
        <v>-991981.48577082343</v>
      </c>
      <c r="J16" s="19">
        <f t="shared" si="4"/>
        <v>-991981.48577082343</v>
      </c>
      <c r="K16" s="19">
        <f t="shared" si="4"/>
        <v>-991981.48577082343</v>
      </c>
      <c r="L16" s="19">
        <f t="shared" si="4"/>
        <v>-991981.48577082343</v>
      </c>
      <c r="M16" s="19">
        <f t="shared" si="4"/>
        <v>-991981.48577082343</v>
      </c>
      <c r="N16" s="19">
        <f t="shared" si="4"/>
        <v>-991981.48577082343</v>
      </c>
      <c r="O16" s="19">
        <f t="shared" si="4"/>
        <v>-991981.48577082343</v>
      </c>
      <c r="P16" s="19">
        <f t="shared" si="4"/>
        <v>-991981.48577082343</v>
      </c>
      <c r="Q16" s="19">
        <f t="shared" si="4"/>
        <v>-991981.48577082343</v>
      </c>
      <c r="R16" s="19">
        <f t="shared" si="4"/>
        <v>-991981.48577082343</v>
      </c>
      <c r="S16" s="19">
        <f t="shared" si="4"/>
        <v>-991981.48577082343</v>
      </c>
      <c r="T16" s="19">
        <f t="shared" si="4"/>
        <v>-991981.48577082343</v>
      </c>
      <c r="U16" s="19">
        <f t="shared" si="4"/>
        <v>-991981.48577082343</v>
      </c>
      <c r="V16" s="19">
        <f t="shared" si="4"/>
        <v>-991981.48577082343</v>
      </c>
      <c r="W16" s="19">
        <f t="shared" si="4"/>
        <v>-991981.48577082343</v>
      </c>
      <c r="X16" s="19">
        <f t="shared" si="4"/>
        <v>-991981.48577082343</v>
      </c>
      <c r="Y16" s="19">
        <f t="shared" si="4"/>
        <v>-991981.48577082343</v>
      </c>
      <c r="Z16" s="19">
        <f t="shared" si="4"/>
        <v>-991981.48577082343</v>
      </c>
      <c r="AA16" s="19">
        <f t="shared" si="4"/>
        <v>-991981.48577082343</v>
      </c>
      <c r="AB16" s="19">
        <f t="shared" si="4"/>
        <v>-991981.48577082343</v>
      </c>
      <c r="AC16" s="19">
        <f t="shared" si="4"/>
        <v>-991981.48577082343</v>
      </c>
    </row>
    <row r="17" spans="3:29" x14ac:dyDescent="0.35">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row>
    <row r="18" spans="3:29" x14ac:dyDescent="0.35">
      <c r="E18" s="4">
        <f>E16-E14</f>
        <v>-162664.19202082336</v>
      </c>
      <c r="F18" s="4">
        <f t="shared" ref="F18:P18" si="5">F13+-F16</f>
        <v>817117.47934843821</v>
      </c>
      <c r="G18" s="4">
        <f t="shared" si="5"/>
        <v>804002.67886675929</v>
      </c>
      <c r="H18" s="4">
        <f t="shared" si="5"/>
        <v>789904.2683489545</v>
      </c>
      <c r="I18" s="4">
        <f t="shared" si="5"/>
        <v>774748.47704231436</v>
      </c>
      <c r="J18" s="4">
        <f t="shared" si="5"/>
        <v>758456.00138767611</v>
      </c>
      <c r="K18" s="4">
        <f t="shared" si="5"/>
        <v>740941.59005894011</v>
      </c>
      <c r="L18" s="4">
        <f t="shared" si="5"/>
        <v>722113.5978805488</v>
      </c>
      <c r="M18" s="4">
        <f t="shared" si="5"/>
        <v>701873.50628877815</v>
      </c>
      <c r="N18" s="4">
        <f t="shared" si="5"/>
        <v>680115.4078276247</v>
      </c>
      <c r="O18" s="4">
        <f t="shared" si="5"/>
        <v>656725.45198188478</v>
      </c>
      <c r="P18" s="4">
        <f t="shared" si="5"/>
        <v>631581.24944771442</v>
      </c>
    </row>
  </sheetData>
  <sheetProtection algorithmName="SHA-512" hashValue="y+J/wvgaRQ7qXdTBD/N62689YZAdx01J/yY7cPAUpdd4lK4iUaQfiN216IavKS1VDYSmnLdYIRTLW3M7TGkcVg==" saltValue="Y7ZCikKTIwmEDGoJE4UZCg==" spinCount="100000" sheet="1" objects="1" scenarios="1" selectLockedCells="1" selectUnlockedCells="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CBE-955C-474C-87A8-E72125B50370}">
  <dimension ref="A1:AD46"/>
  <sheetViews>
    <sheetView topLeftCell="E1" workbookViewId="0">
      <selection activeCell="J14" sqref="J14"/>
    </sheetView>
  </sheetViews>
  <sheetFormatPr defaultColWidth="9.1796875" defaultRowHeight="13" x14ac:dyDescent="0.3"/>
  <cols>
    <col min="1" max="2" width="9.1796875" style="35"/>
    <col min="3" max="4" width="10.7265625" style="35" customWidth="1"/>
    <col min="5" max="5" width="9" style="35" customWidth="1"/>
    <col min="6" max="6" width="10.7265625" style="35" customWidth="1"/>
    <col min="7" max="7" width="10" style="35" customWidth="1"/>
    <col min="8" max="8" width="9.81640625" style="35" customWidth="1"/>
    <col min="9" max="9" width="9.7265625" style="35" customWidth="1"/>
    <col min="10" max="11" width="10.26953125" style="35" customWidth="1"/>
    <col min="12" max="13" width="10" style="35" customWidth="1"/>
    <col min="14" max="14" width="10.1796875" style="35" customWidth="1"/>
    <col min="15" max="15" width="9.81640625" style="35" customWidth="1"/>
    <col min="16" max="16" width="10.26953125" style="35" customWidth="1"/>
    <col min="17" max="18" width="9.81640625" style="35" customWidth="1"/>
    <col min="19" max="19" width="10.453125" style="35" customWidth="1"/>
    <col min="20" max="21" width="10.1796875" style="35" customWidth="1"/>
    <col min="22" max="22" width="9.81640625" style="35" customWidth="1"/>
    <col min="23" max="23" width="9.7265625" style="35" customWidth="1"/>
    <col min="24" max="24" width="10" style="35" customWidth="1"/>
    <col min="25" max="28" width="10.453125" style="35" customWidth="1"/>
    <col min="29" max="29" width="9.1796875" style="35"/>
    <col min="30" max="30" width="11.1796875" style="35" bestFit="1" customWidth="1"/>
    <col min="31" max="16384" width="9.1796875" style="35"/>
  </cols>
  <sheetData>
    <row r="1" spans="1:30" ht="14.5" x14ac:dyDescent="0.3">
      <c r="A1" s="33" t="s">
        <v>16</v>
      </c>
      <c r="B1" s="34"/>
      <c r="C1" s="130" t="str">
        <f>'Generation &amp; Ops Scenarios'!I27</f>
        <v>100% Solar &amp; Storage</v>
      </c>
      <c r="D1" s="34"/>
      <c r="E1" s="34"/>
      <c r="F1" s="34"/>
      <c r="G1" s="34"/>
      <c r="H1" s="34"/>
      <c r="I1" s="34"/>
      <c r="J1" s="34"/>
      <c r="K1" s="34"/>
      <c r="L1" s="34"/>
      <c r="M1" s="34"/>
      <c r="N1" s="34"/>
      <c r="O1" s="34"/>
      <c r="P1" s="34"/>
      <c r="Q1" s="34"/>
      <c r="R1" s="34"/>
      <c r="S1" s="34"/>
      <c r="T1" s="34"/>
      <c r="U1" s="34"/>
      <c r="V1" s="34"/>
      <c r="W1" s="34"/>
      <c r="X1" s="34"/>
      <c r="Y1" s="34"/>
      <c r="Z1" s="34"/>
      <c r="AA1" s="34"/>
      <c r="AB1" s="34"/>
      <c r="AC1" s="34"/>
      <c r="AD1" s="34"/>
    </row>
    <row r="2" spans="1:30" x14ac:dyDescent="0.3">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x14ac:dyDescent="0.3">
      <c r="A3" s="34"/>
      <c r="B3" s="34"/>
      <c r="C3" s="34"/>
      <c r="D3" s="423" t="s">
        <v>7</v>
      </c>
      <c r="E3" s="423"/>
      <c r="F3" s="423"/>
      <c r="G3" s="423"/>
      <c r="H3" s="423"/>
      <c r="I3" s="423"/>
      <c r="J3" s="423"/>
      <c r="K3" s="423"/>
      <c r="L3" s="423"/>
      <c r="M3" s="423"/>
      <c r="N3" s="423"/>
      <c r="O3" s="423"/>
      <c r="P3" s="423"/>
      <c r="Q3" s="423"/>
      <c r="R3" s="423"/>
      <c r="S3" s="423"/>
      <c r="T3" s="423"/>
      <c r="U3" s="423"/>
      <c r="V3" s="423"/>
      <c r="W3" s="423"/>
      <c r="X3" s="423"/>
      <c r="Y3" s="423"/>
      <c r="Z3" s="423"/>
      <c r="AA3" s="423"/>
      <c r="AB3" s="423"/>
      <c r="AC3" s="84"/>
      <c r="AD3" s="34"/>
    </row>
    <row r="4" spans="1:30" x14ac:dyDescent="0.3">
      <c r="A4" s="34"/>
      <c r="B4" s="34"/>
      <c r="C4" s="34" t="s">
        <v>7</v>
      </c>
      <c r="D4" s="37">
        <v>1</v>
      </c>
      <c r="E4" s="37">
        <v>2</v>
      </c>
      <c r="F4" s="37">
        <v>3</v>
      </c>
      <c r="G4" s="37">
        <v>4</v>
      </c>
      <c r="H4" s="37">
        <v>5</v>
      </c>
      <c r="I4" s="37">
        <v>6</v>
      </c>
      <c r="J4" s="37">
        <v>7</v>
      </c>
      <c r="K4" s="37">
        <v>8</v>
      </c>
      <c r="L4" s="37">
        <v>9</v>
      </c>
      <c r="M4" s="37">
        <v>10</v>
      </c>
      <c r="N4" s="37">
        <v>11</v>
      </c>
      <c r="O4" s="37">
        <v>12</v>
      </c>
      <c r="P4" s="37">
        <v>13</v>
      </c>
      <c r="Q4" s="37">
        <v>14</v>
      </c>
      <c r="R4" s="37">
        <v>15</v>
      </c>
      <c r="S4" s="37">
        <v>16</v>
      </c>
      <c r="T4" s="37">
        <v>17</v>
      </c>
      <c r="U4" s="37">
        <v>18</v>
      </c>
      <c r="V4" s="37">
        <v>19</v>
      </c>
      <c r="W4" s="37">
        <v>20</v>
      </c>
      <c r="X4" s="37">
        <v>21</v>
      </c>
      <c r="Y4" s="37">
        <v>22</v>
      </c>
      <c r="Z4" s="37">
        <v>23</v>
      </c>
      <c r="AA4" s="37">
        <v>24</v>
      </c>
      <c r="AB4" s="37">
        <v>25</v>
      </c>
      <c r="AC4" s="84"/>
      <c r="AD4" s="37" t="s">
        <v>46</v>
      </c>
    </row>
    <row r="5" spans="1:30" x14ac:dyDescent="0.3">
      <c r="A5" s="38"/>
      <c r="B5" s="38"/>
      <c r="C5" s="38"/>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3">
      <c r="A6" s="39" t="s">
        <v>17</v>
      </c>
      <c r="B6" s="34"/>
      <c r="C6" s="34"/>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x14ac:dyDescent="0.3">
      <c r="A7" s="34" t="s">
        <v>3</v>
      </c>
      <c r="B7" s="34"/>
      <c r="C7" s="34"/>
      <c r="D7" s="40">
        <f>'100% Solar Summary'!M5*'100% Solar Summary'!M6/100</f>
        <v>840000</v>
      </c>
      <c r="E7" s="40">
        <f>D7*(1+'100% Solar Summary'!$M$8)*E44</f>
        <v>840000</v>
      </c>
      <c r="F7" s="40">
        <f>E7*(1+'100% Solar Summary'!$M$8)*F44</f>
        <v>840000</v>
      </c>
      <c r="G7" s="40">
        <f>F7*(1+'100% Solar Summary'!$M$8)*G44</f>
        <v>840000</v>
      </c>
      <c r="H7" s="40">
        <f>G7*(1+'100% Solar Summary'!$M$8)*H44</f>
        <v>840000</v>
      </c>
      <c r="I7" s="40">
        <f>H7*(1+'100% Solar Summary'!$M$8)*I44</f>
        <v>840000</v>
      </c>
      <c r="J7" s="40">
        <f>I7*(1+'100% Solar Summary'!$M$8)*J44</f>
        <v>840000</v>
      </c>
      <c r="K7" s="40">
        <f>J7*(1+'100% Solar Summary'!$M$8)*K44</f>
        <v>840000</v>
      </c>
      <c r="L7" s="40">
        <f>K7*(1+'100% Solar Summary'!$M$8)*L44</f>
        <v>840000</v>
      </c>
      <c r="M7" s="40">
        <f>L7*(1+'100% Solar Summary'!$M$8)*M44</f>
        <v>840000</v>
      </c>
      <c r="N7" s="40">
        <f>M7*(1+'100% Solar Summary'!$M$8)*N44</f>
        <v>840000</v>
      </c>
      <c r="O7" s="40">
        <f>N7*(1+'100% Solar Summary'!$M$8)*O44</f>
        <v>840000</v>
      </c>
      <c r="P7" s="40">
        <f>O7*(1+'100% Solar Summary'!$M$8)*P44</f>
        <v>840000</v>
      </c>
      <c r="Q7" s="40">
        <f>P7*(1+'100% Solar Summary'!$M$8)*Q44</f>
        <v>840000</v>
      </c>
      <c r="R7" s="40">
        <f>Q7*(1+'100% Solar Summary'!$M$8)*R44</f>
        <v>840000</v>
      </c>
      <c r="S7" s="40">
        <f>R7*(1+'100% Solar Summary'!$M$8)*S44</f>
        <v>840000</v>
      </c>
      <c r="T7" s="40">
        <f>S7*(1+'100% Solar Summary'!$M$8)*T44</f>
        <v>840000</v>
      </c>
      <c r="U7" s="40">
        <f>T7*(1+'100% Solar Summary'!$M$8)*U44</f>
        <v>840000</v>
      </c>
      <c r="V7" s="40">
        <f>U7*(1+'100% Solar Summary'!$M$8)*V44</f>
        <v>840000</v>
      </c>
      <c r="W7" s="40">
        <f>V7*(1+'100% Solar Summary'!$M$8)*W44</f>
        <v>840000</v>
      </c>
      <c r="X7" s="40">
        <f>W7*(1+'100% Solar Summary'!$M$8)*X44</f>
        <v>840000</v>
      </c>
      <c r="Y7" s="40">
        <f>X7*(1+'100% Solar Summary'!$M$8)*Y44</f>
        <v>840000</v>
      </c>
      <c r="Z7" s="40">
        <f>Y7*(1+'100% Solar Summary'!$M$8)*Z44</f>
        <v>840000</v>
      </c>
      <c r="AA7" s="40">
        <f>Z7*(1+'100% Solar Summary'!$M$8)*AA44</f>
        <v>840000</v>
      </c>
      <c r="AB7" s="40">
        <f>AA7*(1+'100% Solar Summary'!$M$8)*AB44</f>
        <v>840000</v>
      </c>
      <c r="AC7" s="40"/>
      <c r="AD7" s="40">
        <f>SUM(D7:AC7)</f>
        <v>21000000</v>
      </c>
    </row>
    <row r="8" spans="1:30" s="309" customFormat="1" x14ac:dyDescent="0.3">
      <c r="A8" s="308" t="s">
        <v>23</v>
      </c>
      <c r="B8" s="308"/>
      <c r="C8" s="308"/>
      <c r="D8" s="47">
        <f>-IF('100% Solar Summary'!$M$18&gt;'Generation &amp; Ops Scenarios'!$I$45, ('100% Solar Summary'!$M$18-'Generation &amp; Ops Scenarios'!$I$45)*'100% Renewable Summary'!$H$23/100, 0)</f>
        <v>0</v>
      </c>
      <c r="E8" s="47">
        <f>-IF('100% Solar Summary'!$M$18&gt;'Generation &amp; Ops Scenarios'!$I$45, ('100% Solar Summary'!$M$18-'Generation &amp; Ops Scenarios'!$I$45)*'100% Renewable Summary'!$H$23/100, 0)</f>
        <v>0</v>
      </c>
      <c r="F8" s="47">
        <f>-IF('100% Solar Summary'!$M$18&gt;'Generation &amp; Ops Scenarios'!$I$45, ('100% Solar Summary'!$M$18-'Generation &amp; Ops Scenarios'!$I$45)*'100% Renewable Summary'!$H$23/100, 0)</f>
        <v>0</v>
      </c>
      <c r="G8" s="47">
        <f>-IF('100% Solar Summary'!$M$18&gt;'Generation &amp; Ops Scenarios'!$I$45, ('100% Solar Summary'!$M$18-'Generation &amp; Ops Scenarios'!$I$45)*'100% Renewable Summary'!$H$23/100, 0)</f>
        <v>0</v>
      </c>
      <c r="H8" s="47">
        <f>-IF('100% Solar Summary'!$M$18&gt;'Generation &amp; Ops Scenarios'!$I$45, ('100% Solar Summary'!$M$18-'Generation &amp; Ops Scenarios'!$I$45)*'100% Renewable Summary'!$H$23/100, 0)</f>
        <v>0</v>
      </c>
      <c r="I8" s="47">
        <f>-IF('100% Solar Summary'!$M$18&gt;'Generation &amp; Ops Scenarios'!$I$45, ('100% Solar Summary'!$M$18-'Generation &amp; Ops Scenarios'!$I$45)*'100% Renewable Summary'!$H$23/100, 0)</f>
        <v>0</v>
      </c>
      <c r="J8" s="47">
        <f>-IF('100% Solar Summary'!$M$18&gt;'Generation &amp; Ops Scenarios'!$I$45, ('100% Solar Summary'!$M$18-'Generation &amp; Ops Scenarios'!$I$45)*'100% Renewable Summary'!$H$23/100, 0)</f>
        <v>0</v>
      </c>
      <c r="K8" s="47">
        <f>-IF('100% Solar Summary'!$M$18&gt;'Generation &amp; Ops Scenarios'!$I$45, ('100% Solar Summary'!$M$18-'Generation &amp; Ops Scenarios'!$I$45)*'100% Renewable Summary'!$H$23/100, 0)</f>
        <v>0</v>
      </c>
      <c r="L8" s="47">
        <f>-IF('100% Solar Summary'!$M$18&gt;'Generation &amp; Ops Scenarios'!$I$45, ('100% Solar Summary'!$M$18-'Generation &amp; Ops Scenarios'!$I$45)*'100% Renewable Summary'!$H$23/100, 0)</f>
        <v>0</v>
      </c>
      <c r="M8" s="47">
        <f>-IF('100% Solar Summary'!$M$18&gt;'Generation &amp; Ops Scenarios'!$I$45, ('100% Solar Summary'!$M$18-'Generation &amp; Ops Scenarios'!$I$45)*'100% Renewable Summary'!$H$23/100, 0)</f>
        <v>0</v>
      </c>
      <c r="N8" s="47">
        <f>-IF('100% Solar Summary'!$M$18&gt;'Generation &amp; Ops Scenarios'!$I$45, ('100% Solar Summary'!$M$18-'Generation &amp; Ops Scenarios'!$I$45)*'100% Renewable Summary'!$H$23/100, 0)</f>
        <v>0</v>
      </c>
      <c r="O8" s="47">
        <f>-IF('100% Solar Summary'!$M$18&gt;'Generation &amp; Ops Scenarios'!$I$45, ('100% Solar Summary'!$M$18-'Generation &amp; Ops Scenarios'!$I$45)*'100% Renewable Summary'!$H$23/100, 0)</f>
        <v>0</v>
      </c>
      <c r="P8" s="47">
        <f>-IF('100% Solar Summary'!$M$18&gt;'Generation &amp; Ops Scenarios'!$I$45, ('100% Solar Summary'!$M$18-'Generation &amp; Ops Scenarios'!$I$45)*'100% Renewable Summary'!$H$23/100, 0)</f>
        <v>0</v>
      </c>
      <c r="Q8" s="47">
        <f>-IF('100% Solar Summary'!$M$18&gt;'Generation &amp; Ops Scenarios'!$I$45, ('100% Solar Summary'!$M$18-'Generation &amp; Ops Scenarios'!$I$45)*'100% Renewable Summary'!$H$23/100, 0)</f>
        <v>0</v>
      </c>
      <c r="R8" s="47">
        <f>-IF('100% Solar Summary'!$M$18&gt;'Generation &amp; Ops Scenarios'!$I$45, ('100% Solar Summary'!$M$18-'Generation &amp; Ops Scenarios'!$I$45)*'100% Renewable Summary'!$H$23/100, 0)</f>
        <v>0</v>
      </c>
      <c r="S8" s="47">
        <f>-IF('100% Solar Summary'!$M$18&gt;'Generation &amp; Ops Scenarios'!$I$45, ('100% Solar Summary'!$M$18-'Generation &amp; Ops Scenarios'!$I$45)*'100% Renewable Summary'!$H$23/100, 0)</f>
        <v>0</v>
      </c>
      <c r="T8" s="47">
        <f>-IF('100% Solar Summary'!$M$18&gt;'Generation &amp; Ops Scenarios'!$I$45, ('100% Solar Summary'!$M$18-'Generation &amp; Ops Scenarios'!$I$45)*'100% Renewable Summary'!$H$23/100, 0)</f>
        <v>0</v>
      </c>
      <c r="U8" s="47">
        <f>-IF('100% Solar Summary'!$M$18&gt;'Generation &amp; Ops Scenarios'!$I$45, ('100% Solar Summary'!$M$18-'Generation &amp; Ops Scenarios'!$I$45)*'100% Renewable Summary'!$H$23/100, 0)</f>
        <v>0</v>
      </c>
      <c r="V8" s="47">
        <f>-IF('100% Solar Summary'!$M$18&gt;'Generation &amp; Ops Scenarios'!$I$45, ('100% Solar Summary'!$M$18-'Generation &amp; Ops Scenarios'!$I$45)*'100% Renewable Summary'!$H$23/100, 0)</f>
        <v>0</v>
      </c>
      <c r="W8" s="47">
        <f>-IF('100% Solar Summary'!$M$18&gt;'Generation &amp; Ops Scenarios'!$I$45, ('100% Solar Summary'!$M$18-'Generation &amp; Ops Scenarios'!$I$45)*'100% Renewable Summary'!$H$23/100, 0)</f>
        <v>0</v>
      </c>
      <c r="X8" s="47">
        <f>-IF('100% Solar Summary'!$M$18&gt;'Generation &amp; Ops Scenarios'!$I$45, ('100% Solar Summary'!$M$18-'Generation &amp; Ops Scenarios'!$I$45)*'100% Renewable Summary'!$H$23/100, 0)</f>
        <v>0</v>
      </c>
      <c r="Y8" s="47">
        <f>-IF('100% Solar Summary'!$M$18&gt;'Generation &amp; Ops Scenarios'!$I$45, ('100% Solar Summary'!$M$18-'Generation &amp; Ops Scenarios'!$I$45)*'100% Renewable Summary'!$H$23/100, 0)</f>
        <v>0</v>
      </c>
      <c r="Z8" s="47">
        <f>-IF('100% Solar Summary'!$M$18&gt;'Generation &amp; Ops Scenarios'!$I$45, ('100% Solar Summary'!$M$18-'Generation &amp; Ops Scenarios'!$I$45)*'100% Renewable Summary'!$H$23/100, 0)</f>
        <v>0</v>
      </c>
      <c r="AA8" s="47">
        <f>-IF('100% Solar Summary'!$M$18&gt;'Generation &amp; Ops Scenarios'!$I$45, ('100% Solar Summary'!$M$18-'Generation &amp; Ops Scenarios'!$I$45)*'100% Renewable Summary'!$H$23/100, 0)</f>
        <v>0</v>
      </c>
      <c r="AB8" s="47">
        <f>-IF('100% Solar Summary'!$M$18&gt;'Generation &amp; Ops Scenarios'!$I$45, ('100% Solar Summary'!$M$18-'Generation &amp; Ops Scenarios'!$I$45)*'100% Renewable Summary'!$H$23/100, 0)</f>
        <v>0</v>
      </c>
      <c r="AC8" s="47"/>
      <c r="AD8" s="47">
        <f>SUM(D8:AC8)</f>
        <v>0</v>
      </c>
    </row>
    <row r="9" spans="1:30" x14ac:dyDescent="0.3">
      <c r="A9" s="34" t="s">
        <v>24</v>
      </c>
      <c r="B9" s="34"/>
      <c r="C9" s="34"/>
      <c r="D9" s="40">
        <f>-'100% Solar Summary'!H16</f>
        <v>-374776.2391666667</v>
      </c>
      <c r="E9" s="40">
        <f>D9*E44</f>
        <v>-374776.2391666667</v>
      </c>
      <c r="F9" s="40">
        <f t="shared" ref="F9:AB9" si="0">E9*F44</f>
        <v>-374776.2391666667</v>
      </c>
      <c r="G9" s="40">
        <f t="shared" si="0"/>
        <v>-374776.2391666667</v>
      </c>
      <c r="H9" s="40">
        <f t="shared" si="0"/>
        <v>-374776.2391666667</v>
      </c>
      <c r="I9" s="40">
        <f t="shared" si="0"/>
        <v>-374776.2391666667</v>
      </c>
      <c r="J9" s="40">
        <f t="shared" si="0"/>
        <v>-374776.2391666667</v>
      </c>
      <c r="K9" s="40">
        <f t="shared" si="0"/>
        <v>-374776.2391666667</v>
      </c>
      <c r="L9" s="40">
        <f t="shared" si="0"/>
        <v>-374776.2391666667</v>
      </c>
      <c r="M9" s="40">
        <f t="shared" si="0"/>
        <v>-374776.2391666667</v>
      </c>
      <c r="N9" s="40">
        <f t="shared" si="0"/>
        <v>-374776.2391666667</v>
      </c>
      <c r="O9" s="40">
        <f t="shared" si="0"/>
        <v>-374776.2391666667</v>
      </c>
      <c r="P9" s="40">
        <f t="shared" si="0"/>
        <v>-374776.2391666667</v>
      </c>
      <c r="Q9" s="40">
        <f t="shared" si="0"/>
        <v>-374776.2391666667</v>
      </c>
      <c r="R9" s="40">
        <f t="shared" si="0"/>
        <v>-374776.2391666667</v>
      </c>
      <c r="S9" s="40">
        <f t="shared" si="0"/>
        <v>-374776.2391666667</v>
      </c>
      <c r="T9" s="40">
        <f t="shared" si="0"/>
        <v>-374776.2391666667</v>
      </c>
      <c r="U9" s="40">
        <f t="shared" si="0"/>
        <v>-374776.2391666667</v>
      </c>
      <c r="V9" s="40">
        <f t="shared" si="0"/>
        <v>-374776.2391666667</v>
      </c>
      <c r="W9" s="40">
        <f t="shared" si="0"/>
        <v>-374776.2391666667</v>
      </c>
      <c r="X9" s="40">
        <f t="shared" si="0"/>
        <v>-374776.2391666667</v>
      </c>
      <c r="Y9" s="40">
        <f t="shared" si="0"/>
        <v>-374776.2391666667</v>
      </c>
      <c r="Z9" s="40">
        <f t="shared" si="0"/>
        <v>-374776.2391666667</v>
      </c>
      <c r="AA9" s="40">
        <f t="shared" si="0"/>
        <v>-374776.2391666667</v>
      </c>
      <c r="AB9" s="40">
        <f t="shared" si="0"/>
        <v>-374776.2391666667</v>
      </c>
      <c r="AC9" s="40"/>
      <c r="AD9" s="40"/>
    </row>
    <row r="10" spans="1:30" x14ac:dyDescent="0.3">
      <c r="A10" s="34"/>
      <c r="B10" s="34"/>
      <c r="C10" s="34"/>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0" x14ac:dyDescent="0.3">
      <c r="A11" s="34" t="s">
        <v>18</v>
      </c>
      <c r="B11" s="34"/>
      <c r="C11" s="34"/>
      <c r="D11" s="41">
        <f>SUM(D7:D10)</f>
        <v>465223.7608333333</v>
      </c>
      <c r="E11" s="41">
        <f>SUM(E7:E10)</f>
        <v>465223.7608333333</v>
      </c>
      <c r="F11" s="41">
        <f t="shared" ref="F11:AD11" si="1">SUM(F7:F10)</f>
        <v>465223.7608333333</v>
      </c>
      <c r="G11" s="41">
        <f t="shared" si="1"/>
        <v>465223.7608333333</v>
      </c>
      <c r="H11" s="41">
        <f t="shared" si="1"/>
        <v>465223.7608333333</v>
      </c>
      <c r="I11" s="41">
        <f t="shared" si="1"/>
        <v>465223.7608333333</v>
      </c>
      <c r="J11" s="41">
        <f t="shared" si="1"/>
        <v>465223.7608333333</v>
      </c>
      <c r="K11" s="41">
        <f t="shared" si="1"/>
        <v>465223.7608333333</v>
      </c>
      <c r="L11" s="41">
        <f t="shared" si="1"/>
        <v>465223.7608333333</v>
      </c>
      <c r="M11" s="41">
        <f t="shared" si="1"/>
        <v>465223.7608333333</v>
      </c>
      <c r="N11" s="41">
        <f t="shared" si="1"/>
        <v>465223.7608333333</v>
      </c>
      <c r="O11" s="41">
        <f t="shared" si="1"/>
        <v>465223.7608333333</v>
      </c>
      <c r="P11" s="41">
        <f t="shared" si="1"/>
        <v>465223.7608333333</v>
      </c>
      <c r="Q11" s="41">
        <f t="shared" si="1"/>
        <v>465223.7608333333</v>
      </c>
      <c r="R11" s="41">
        <f t="shared" si="1"/>
        <v>465223.7608333333</v>
      </c>
      <c r="S11" s="41">
        <f t="shared" si="1"/>
        <v>465223.7608333333</v>
      </c>
      <c r="T11" s="41">
        <f t="shared" si="1"/>
        <v>465223.7608333333</v>
      </c>
      <c r="U11" s="41">
        <f t="shared" si="1"/>
        <v>465223.7608333333</v>
      </c>
      <c r="V11" s="41">
        <f t="shared" si="1"/>
        <v>465223.7608333333</v>
      </c>
      <c r="W11" s="41">
        <f t="shared" si="1"/>
        <v>465223.7608333333</v>
      </c>
      <c r="X11" s="41">
        <f t="shared" si="1"/>
        <v>465223.7608333333</v>
      </c>
      <c r="Y11" s="41">
        <f t="shared" si="1"/>
        <v>465223.7608333333</v>
      </c>
      <c r="Z11" s="41">
        <f t="shared" si="1"/>
        <v>465223.7608333333</v>
      </c>
      <c r="AA11" s="41">
        <f t="shared" si="1"/>
        <v>465223.7608333333</v>
      </c>
      <c r="AB11" s="41">
        <f t="shared" si="1"/>
        <v>465223.7608333333</v>
      </c>
      <c r="AC11" s="40"/>
      <c r="AD11" s="41">
        <f t="shared" si="1"/>
        <v>21000000</v>
      </c>
    </row>
    <row r="12" spans="1:30" x14ac:dyDescent="0.3">
      <c r="A12" s="34"/>
      <c r="B12" s="34"/>
      <c r="C12" s="34"/>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row>
    <row r="13" spans="1:30" x14ac:dyDescent="0.3">
      <c r="A13" s="34" t="s">
        <v>19</v>
      </c>
      <c r="B13" s="34"/>
      <c r="C13" s="34"/>
      <c r="D13" s="40">
        <f>'100% Solar Interest Calculation'!E14</f>
        <v>-829317.29375000007</v>
      </c>
      <c r="E13" s="40">
        <f>'100% Solar Interest Calculation'!F14</f>
        <v>-817117.47934843821</v>
      </c>
      <c r="F13" s="40">
        <f>'100% Solar Interest Calculation'!G14</f>
        <v>-804002.67886675929</v>
      </c>
      <c r="G13" s="40">
        <f>'100% Solar Interest Calculation'!H14</f>
        <v>-789904.2683489545</v>
      </c>
      <c r="H13" s="40">
        <f>'100% Solar Interest Calculation'!I14</f>
        <v>-774748.47704231436</v>
      </c>
      <c r="I13" s="40">
        <f>'100% Solar Interest Calculation'!J14</f>
        <v>-758456.00138767611</v>
      </c>
      <c r="J13" s="40">
        <f>'100% Solar Interest Calculation'!K14</f>
        <v>-740941.59005894011</v>
      </c>
      <c r="K13" s="40">
        <f>'100% Solar Interest Calculation'!L14</f>
        <v>-722113.5978805488</v>
      </c>
      <c r="L13" s="40">
        <f>'100% Solar Interest Calculation'!M14</f>
        <v>-701873.50628877815</v>
      </c>
      <c r="M13" s="40">
        <f>'100% Solar Interest Calculation'!N14</f>
        <v>-680115.4078276247</v>
      </c>
      <c r="N13" s="40">
        <f>'100% Solar Interest Calculation'!O14</f>
        <v>-656725.45198188478</v>
      </c>
      <c r="O13" s="40">
        <f>'100% Solar Interest Calculation'!P14</f>
        <v>-631581.24944771442</v>
      </c>
      <c r="P13" s="40">
        <f>'100% Solar Interest Calculation'!Q14</f>
        <v>-604551.23172348132</v>
      </c>
      <c r="Q13" s="40">
        <f>'100% Solar Interest Calculation'!R14</f>
        <v>-575493.96266993065</v>
      </c>
      <c r="R13" s="40">
        <f>'100% Solar Interest Calculation'!S14</f>
        <v>-544257.39843736368</v>
      </c>
      <c r="S13" s="40">
        <f>'100% Solar Interest Calculation'!T14</f>
        <v>-510678.09188735427</v>
      </c>
      <c r="T13" s="40">
        <f>'100% Solar Interest Calculation'!U14</f>
        <v>-474580.33734609402</v>
      </c>
      <c r="U13" s="40">
        <f>'100% Solar Interest Calculation'!V14</f>
        <v>-435775.25121423934</v>
      </c>
      <c r="V13" s="40">
        <f>'100% Solar Interest Calculation'!W14</f>
        <v>-394059.78362249554</v>
      </c>
      <c r="W13" s="40">
        <f>'100% Solar Interest Calculation'!X14</f>
        <v>-349215.65596137097</v>
      </c>
      <c r="X13" s="40">
        <f>'100% Solar Interest Calculation'!Y14</f>
        <v>-301008.21872566204</v>
      </c>
      <c r="Y13" s="40">
        <f>'100% Solar Interest Calculation'!Z14</f>
        <v>-249185.22369727492</v>
      </c>
      <c r="Z13" s="40">
        <f>'100% Solar Interest Calculation'!AA14</f>
        <v>-193475.50404175877</v>
      </c>
      <c r="AA13" s="40">
        <f>'100% Solar Interest Calculation'!AB14</f>
        <v>-133587.55541207895</v>
      </c>
      <c r="AB13" s="40">
        <f>'100% Solar Interest Calculation'!AC14</f>
        <v>-69208.010635173108</v>
      </c>
      <c r="AC13" s="40"/>
      <c r="AD13" s="40">
        <f t="shared" ref="AD13" si="2">SUM(D13:AC13)</f>
        <v>-13741973.227603912</v>
      </c>
    </row>
    <row r="14" spans="1:30" x14ac:dyDescent="0.3">
      <c r="A14" s="34"/>
      <c r="B14" s="34"/>
      <c r="C14" s="34"/>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5" spans="1:30" x14ac:dyDescent="0.3">
      <c r="A15" s="34" t="s">
        <v>41</v>
      </c>
      <c r="B15" s="34"/>
      <c r="C15" s="34"/>
      <c r="D15" s="42">
        <f t="shared" ref="D15:AB15" si="3">SUM(D11:D14)</f>
        <v>-364093.53291666677</v>
      </c>
      <c r="E15" s="42">
        <f t="shared" si="3"/>
        <v>-351893.71851510491</v>
      </c>
      <c r="F15" s="42">
        <f t="shared" si="3"/>
        <v>-338778.91803342599</v>
      </c>
      <c r="G15" s="42">
        <f t="shared" si="3"/>
        <v>-324680.5075156212</v>
      </c>
      <c r="H15" s="42">
        <f t="shared" si="3"/>
        <v>-309524.71620898106</v>
      </c>
      <c r="I15" s="42">
        <f t="shared" si="3"/>
        <v>-293232.2405543428</v>
      </c>
      <c r="J15" s="42">
        <f t="shared" si="3"/>
        <v>-275717.82922560681</v>
      </c>
      <c r="K15" s="42">
        <f t="shared" si="3"/>
        <v>-256889.83704721549</v>
      </c>
      <c r="L15" s="42">
        <f t="shared" si="3"/>
        <v>-236649.74545544485</v>
      </c>
      <c r="M15" s="42">
        <f t="shared" si="3"/>
        <v>-214891.6469942914</v>
      </c>
      <c r="N15" s="42">
        <f t="shared" si="3"/>
        <v>-191501.69114855147</v>
      </c>
      <c r="O15" s="42">
        <f t="shared" si="3"/>
        <v>-166357.48861438112</v>
      </c>
      <c r="P15" s="42">
        <f t="shared" si="3"/>
        <v>-139327.47089014802</v>
      </c>
      <c r="Q15" s="42">
        <f t="shared" si="3"/>
        <v>-110270.20183659735</v>
      </c>
      <c r="R15" s="42">
        <f t="shared" si="3"/>
        <v>-79033.637604030373</v>
      </c>
      <c r="S15" s="42">
        <f t="shared" si="3"/>
        <v>-45454.331054020964</v>
      </c>
      <c r="T15" s="42">
        <f t="shared" si="3"/>
        <v>-9356.5765127607156</v>
      </c>
      <c r="U15" s="42">
        <f t="shared" si="3"/>
        <v>29448.509619093966</v>
      </c>
      <c r="V15" s="42">
        <f t="shared" si="3"/>
        <v>71163.977210837766</v>
      </c>
      <c r="W15" s="42">
        <f t="shared" si="3"/>
        <v>116008.10487196234</v>
      </c>
      <c r="X15" s="42">
        <f t="shared" si="3"/>
        <v>164215.54210767127</v>
      </c>
      <c r="Y15" s="42">
        <f t="shared" si="3"/>
        <v>216038.53713605838</v>
      </c>
      <c r="Z15" s="42">
        <f t="shared" si="3"/>
        <v>271748.25679157453</v>
      </c>
      <c r="AA15" s="42">
        <f t="shared" si="3"/>
        <v>331636.20542125439</v>
      </c>
      <c r="AB15" s="42">
        <f t="shared" si="3"/>
        <v>396015.75019816018</v>
      </c>
      <c r="AC15" s="40"/>
      <c r="AD15" s="42">
        <f>SUM(AD11:AD14)</f>
        <v>7258026.7723960876</v>
      </c>
    </row>
    <row r="16" spans="1:30" x14ac:dyDescent="0.3">
      <c r="A16" s="34"/>
      <c r="B16" s="34"/>
      <c r="C16" s="34"/>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x14ac:dyDescent="0.3">
      <c r="A17" s="39" t="s">
        <v>20</v>
      </c>
      <c r="B17" s="34"/>
      <c r="C17" s="34"/>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row>
    <row r="18" spans="1:30" x14ac:dyDescent="0.3">
      <c r="A18" s="34" t="s">
        <v>21</v>
      </c>
      <c r="B18" s="34"/>
      <c r="C18" s="34"/>
      <c r="D18" s="40">
        <f>-'100% Solar Summary'!B22</f>
        <v>-11057563.916666668</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f t="shared" ref="AD18:AD19" si="4">SUM(D18:AC18)</f>
        <v>-11057563.916666668</v>
      </c>
    </row>
    <row r="19" spans="1:30" x14ac:dyDescent="0.3">
      <c r="A19" s="34" t="s">
        <v>40</v>
      </c>
      <c r="B19" s="34"/>
      <c r="C19" s="34"/>
      <c r="D19" s="40">
        <f>'100% Solar Interest Calculation'!D9</f>
        <v>11057563.916666668</v>
      </c>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f t="shared" si="4"/>
        <v>11057563.916666668</v>
      </c>
    </row>
    <row r="20" spans="1:30" x14ac:dyDescent="0.3">
      <c r="A20" s="34"/>
      <c r="B20" s="34"/>
      <c r="C20" s="34"/>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3">
      <c r="A21" s="34"/>
      <c r="B21" s="34"/>
      <c r="C21" s="34"/>
      <c r="D21" s="41">
        <f t="shared" ref="D21:AB21" si="5">SUM(D18:D20)</f>
        <v>0</v>
      </c>
      <c r="E21" s="41">
        <f t="shared" si="5"/>
        <v>0</v>
      </c>
      <c r="F21" s="41">
        <f t="shared" si="5"/>
        <v>0</v>
      </c>
      <c r="G21" s="41">
        <f t="shared" si="5"/>
        <v>0</v>
      </c>
      <c r="H21" s="41">
        <f t="shared" si="5"/>
        <v>0</v>
      </c>
      <c r="I21" s="41">
        <f t="shared" si="5"/>
        <v>0</v>
      </c>
      <c r="J21" s="41">
        <f t="shared" si="5"/>
        <v>0</v>
      </c>
      <c r="K21" s="41">
        <f t="shared" si="5"/>
        <v>0</v>
      </c>
      <c r="L21" s="41">
        <f t="shared" si="5"/>
        <v>0</v>
      </c>
      <c r="M21" s="41">
        <f t="shared" si="5"/>
        <v>0</v>
      </c>
      <c r="N21" s="41">
        <f t="shared" si="5"/>
        <v>0</v>
      </c>
      <c r="O21" s="41">
        <f t="shared" si="5"/>
        <v>0</v>
      </c>
      <c r="P21" s="41">
        <f t="shared" si="5"/>
        <v>0</v>
      </c>
      <c r="Q21" s="41">
        <f t="shared" si="5"/>
        <v>0</v>
      </c>
      <c r="R21" s="41">
        <f t="shared" si="5"/>
        <v>0</v>
      </c>
      <c r="S21" s="41">
        <f t="shared" si="5"/>
        <v>0</v>
      </c>
      <c r="T21" s="41">
        <f t="shared" si="5"/>
        <v>0</v>
      </c>
      <c r="U21" s="41">
        <f t="shared" si="5"/>
        <v>0</v>
      </c>
      <c r="V21" s="41">
        <f t="shared" si="5"/>
        <v>0</v>
      </c>
      <c r="W21" s="41">
        <f t="shared" si="5"/>
        <v>0</v>
      </c>
      <c r="X21" s="41">
        <f t="shared" si="5"/>
        <v>0</v>
      </c>
      <c r="Y21" s="41">
        <f t="shared" si="5"/>
        <v>0</v>
      </c>
      <c r="Z21" s="41">
        <f t="shared" si="5"/>
        <v>0</v>
      </c>
      <c r="AA21" s="41">
        <f t="shared" si="5"/>
        <v>0</v>
      </c>
      <c r="AB21" s="41">
        <f t="shared" si="5"/>
        <v>0</v>
      </c>
      <c r="AC21" s="40"/>
      <c r="AD21" s="41">
        <f>SUM(AD18:AD20)</f>
        <v>0</v>
      </c>
    </row>
    <row r="22" spans="1:30" x14ac:dyDescent="0.3">
      <c r="A22" s="34"/>
      <c r="B22" s="34"/>
      <c r="C22" s="34"/>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30" x14ac:dyDescent="0.3">
      <c r="A23" s="34" t="s">
        <v>22</v>
      </c>
      <c r="B23" s="34"/>
      <c r="C23" s="34"/>
      <c r="D23" s="40">
        <f>'100% Solar Interest Calculation'!E13</f>
        <v>-162664.19202082336</v>
      </c>
      <c r="E23" s="40">
        <f>'100% Solar Interest Calculation'!F13</f>
        <v>-174864.00642238522</v>
      </c>
      <c r="F23" s="40">
        <f>'100% Solar Interest Calculation'!G13</f>
        <v>-187978.80690406414</v>
      </c>
      <c r="G23" s="40">
        <f>'100% Solar Interest Calculation'!H13</f>
        <v>-202077.21742186893</v>
      </c>
      <c r="H23" s="40">
        <f>'100% Solar Interest Calculation'!I13</f>
        <v>-217233.00872850907</v>
      </c>
      <c r="I23" s="40">
        <f>'100% Solar Interest Calculation'!J13</f>
        <v>-233525.48438314733</v>
      </c>
      <c r="J23" s="40">
        <f>'100% Solar Interest Calculation'!K13</f>
        <v>-251039.89571188332</v>
      </c>
      <c r="K23" s="40">
        <f>'100% Solar Interest Calculation'!L13</f>
        <v>-269867.88789027464</v>
      </c>
      <c r="L23" s="40">
        <f>'100% Solar Interest Calculation'!M13</f>
        <v>-290107.97948204528</v>
      </c>
      <c r="M23" s="40">
        <f>'100% Solar Interest Calculation'!N13</f>
        <v>-311866.07794319873</v>
      </c>
      <c r="N23" s="40">
        <f>'100% Solar Interest Calculation'!O13</f>
        <v>-335256.03378893866</v>
      </c>
      <c r="O23" s="40">
        <f>'100% Solar Interest Calculation'!P13</f>
        <v>-360400.23632310901</v>
      </c>
      <c r="P23" s="40">
        <f>'100% Solar Interest Calculation'!Q13</f>
        <v>-387430.25404734211</v>
      </c>
      <c r="Q23" s="40">
        <f>'100% Solar Interest Calculation'!R13</f>
        <v>-416487.52310089278</v>
      </c>
      <c r="R23" s="40">
        <f>'100% Solar Interest Calculation'!S13</f>
        <v>-447724.08733345976</v>
      </c>
      <c r="S23" s="40">
        <f>'100% Solar Interest Calculation'!T13</f>
        <v>-481303.39388346917</v>
      </c>
      <c r="T23" s="40">
        <f>'100% Solar Interest Calculation'!U13</f>
        <v>-517401.14842472941</v>
      </c>
      <c r="U23" s="40">
        <f>'100% Solar Interest Calculation'!V13</f>
        <v>-556206.23455658415</v>
      </c>
      <c r="V23" s="40">
        <f>'100% Solar Interest Calculation'!W13</f>
        <v>-597921.70214832784</v>
      </c>
      <c r="W23" s="40">
        <f>'100% Solar Interest Calculation'!X13</f>
        <v>-642765.82980945241</v>
      </c>
      <c r="X23" s="40">
        <f>'100% Solar Interest Calculation'!Y13</f>
        <v>-690973.26704516145</v>
      </c>
      <c r="Y23" s="40">
        <f>'100% Solar Interest Calculation'!Z13</f>
        <v>-742796.26207354851</v>
      </c>
      <c r="Z23" s="40">
        <f>'100% Solar Interest Calculation'!AA13</f>
        <v>-798505.9817290646</v>
      </c>
      <c r="AA23" s="40">
        <f>'100% Solar Interest Calculation'!AB13</f>
        <v>-858393.93035874446</v>
      </c>
      <c r="AB23" s="40">
        <f>'100% Solar Interest Calculation'!AC13</f>
        <v>-922773.47513565037</v>
      </c>
      <c r="AC23" s="40"/>
      <c r="AD23" s="40">
        <f>SUM(D23:AC23)</f>
        <v>-11057563.916666675</v>
      </c>
    </row>
    <row r="24" spans="1:30" x14ac:dyDescent="0.3">
      <c r="A24" s="34"/>
      <c r="B24" s="34"/>
      <c r="C24" s="34"/>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3">
      <c r="A25" s="34"/>
      <c r="B25" s="34"/>
      <c r="C25" s="34"/>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x14ac:dyDescent="0.3">
      <c r="A26" s="34" t="s">
        <v>42</v>
      </c>
      <c r="B26" s="34"/>
      <c r="C26" s="34"/>
      <c r="D26" s="41">
        <f t="shared" ref="D26:AB26" si="6">D15+D21+D23</f>
        <v>-526757.72493749019</v>
      </c>
      <c r="E26" s="41">
        <f t="shared" si="6"/>
        <v>-526757.72493749019</v>
      </c>
      <c r="F26" s="41">
        <f t="shared" si="6"/>
        <v>-526757.72493749019</v>
      </c>
      <c r="G26" s="41">
        <f t="shared" si="6"/>
        <v>-526757.72493749019</v>
      </c>
      <c r="H26" s="41">
        <f t="shared" si="6"/>
        <v>-526757.72493749019</v>
      </c>
      <c r="I26" s="41">
        <f t="shared" si="6"/>
        <v>-526757.72493749019</v>
      </c>
      <c r="J26" s="41">
        <f t="shared" si="6"/>
        <v>-526757.72493749019</v>
      </c>
      <c r="K26" s="41">
        <f t="shared" si="6"/>
        <v>-526757.72493749019</v>
      </c>
      <c r="L26" s="41">
        <f t="shared" si="6"/>
        <v>-526757.72493749019</v>
      </c>
      <c r="M26" s="41">
        <f t="shared" si="6"/>
        <v>-526757.72493749019</v>
      </c>
      <c r="N26" s="41">
        <f t="shared" si="6"/>
        <v>-526757.72493749019</v>
      </c>
      <c r="O26" s="41">
        <f t="shared" si="6"/>
        <v>-526757.72493749019</v>
      </c>
      <c r="P26" s="41">
        <f t="shared" si="6"/>
        <v>-526757.72493749019</v>
      </c>
      <c r="Q26" s="41">
        <f t="shared" si="6"/>
        <v>-526757.72493749019</v>
      </c>
      <c r="R26" s="41">
        <f t="shared" si="6"/>
        <v>-526757.72493749019</v>
      </c>
      <c r="S26" s="41">
        <f t="shared" si="6"/>
        <v>-526757.72493749019</v>
      </c>
      <c r="T26" s="41">
        <f t="shared" si="6"/>
        <v>-526757.72493749019</v>
      </c>
      <c r="U26" s="41">
        <f t="shared" si="6"/>
        <v>-526757.72493749019</v>
      </c>
      <c r="V26" s="41">
        <f t="shared" si="6"/>
        <v>-526757.72493749007</v>
      </c>
      <c r="W26" s="41">
        <f t="shared" si="6"/>
        <v>-526757.72493749007</v>
      </c>
      <c r="X26" s="41">
        <f t="shared" si="6"/>
        <v>-526757.72493749019</v>
      </c>
      <c r="Y26" s="41">
        <f t="shared" si="6"/>
        <v>-526757.72493749019</v>
      </c>
      <c r="Z26" s="41">
        <f t="shared" si="6"/>
        <v>-526757.72493749007</v>
      </c>
      <c r="AA26" s="41">
        <f t="shared" si="6"/>
        <v>-526757.72493749007</v>
      </c>
      <c r="AB26" s="41">
        <f t="shared" si="6"/>
        <v>-526757.72493749019</v>
      </c>
      <c r="AC26" s="40"/>
      <c r="AD26" s="41">
        <f>AD23+AD15</f>
        <v>-3799537.1442705877</v>
      </c>
    </row>
    <row r="27" spans="1:30" x14ac:dyDescent="0.3">
      <c r="A27" s="34"/>
      <c r="B27" s="34"/>
      <c r="C27" s="34"/>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3">
      <c r="A28" s="34" t="s">
        <v>43</v>
      </c>
      <c r="B28" s="34"/>
      <c r="C28" s="34"/>
      <c r="D28" s="40"/>
      <c r="E28" s="40">
        <f>D30</f>
        <v>-526757.72493749019</v>
      </c>
      <c r="F28" s="40">
        <f t="shared" ref="F28:AB28" si="7">E30</f>
        <v>-1053515.4498749804</v>
      </c>
      <c r="G28" s="40">
        <f t="shared" si="7"/>
        <v>-1580273.1748124706</v>
      </c>
      <c r="H28" s="40">
        <f t="shared" si="7"/>
        <v>-2107030.8997499608</v>
      </c>
      <c r="I28" s="40">
        <f t="shared" si="7"/>
        <v>-2633788.6246874509</v>
      </c>
      <c r="J28" s="40">
        <f t="shared" si="7"/>
        <v>-3160546.3496249411</v>
      </c>
      <c r="K28" s="40">
        <f t="shared" si="7"/>
        <v>-3687304.0745624313</v>
      </c>
      <c r="L28" s="40">
        <f t="shared" si="7"/>
        <v>-4214061.7994999215</v>
      </c>
      <c r="M28" s="40">
        <f t="shared" si="7"/>
        <v>-4740819.5244374117</v>
      </c>
      <c r="N28" s="40">
        <f t="shared" si="7"/>
        <v>-5267577.2493749019</v>
      </c>
      <c r="O28" s="40">
        <f t="shared" si="7"/>
        <v>-5794334.9743123921</v>
      </c>
      <c r="P28" s="40">
        <f t="shared" si="7"/>
        <v>-6321092.6992498823</v>
      </c>
      <c r="Q28" s="40">
        <f t="shared" si="7"/>
        <v>-6847850.4241873724</v>
      </c>
      <c r="R28" s="40">
        <f t="shared" si="7"/>
        <v>-7374608.1491248626</v>
      </c>
      <c r="S28" s="40">
        <f t="shared" si="7"/>
        <v>-7901365.8740623528</v>
      </c>
      <c r="T28" s="40">
        <f t="shared" si="7"/>
        <v>-8428123.598999843</v>
      </c>
      <c r="U28" s="40">
        <f t="shared" si="7"/>
        <v>-8954881.3239373341</v>
      </c>
      <c r="V28" s="40">
        <f t="shared" si="7"/>
        <v>-9481639.0488748252</v>
      </c>
      <c r="W28" s="40">
        <f t="shared" si="7"/>
        <v>-10008396.773812314</v>
      </c>
      <c r="X28" s="40">
        <f t="shared" si="7"/>
        <v>-10535154.498749804</v>
      </c>
      <c r="Y28" s="40">
        <f t="shared" si="7"/>
        <v>-11061912.223687295</v>
      </c>
      <c r="Z28" s="40">
        <f t="shared" si="7"/>
        <v>-11588669.948624786</v>
      </c>
      <c r="AA28" s="40">
        <f t="shared" si="7"/>
        <v>-12115427.673562275</v>
      </c>
      <c r="AB28" s="40">
        <f t="shared" si="7"/>
        <v>-12642185.398499765</v>
      </c>
      <c r="AC28" s="40"/>
      <c r="AD28" s="40">
        <f>D28</f>
        <v>0</v>
      </c>
    </row>
    <row r="29" spans="1:30" x14ac:dyDescent="0.3">
      <c r="A29" s="34"/>
      <c r="B29" s="34"/>
      <c r="C29" s="34"/>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ht="13.5" thickBot="1" x14ac:dyDescent="0.35">
      <c r="A30" s="34" t="s">
        <v>44</v>
      </c>
      <c r="B30" s="34"/>
      <c r="C30" s="34"/>
      <c r="D30" s="43">
        <f>SUM(D26:D29)</f>
        <v>-526757.72493749019</v>
      </c>
      <c r="E30" s="43">
        <f>SUM(E26:E29)</f>
        <v>-1053515.4498749804</v>
      </c>
      <c r="F30" s="43">
        <f t="shared" ref="F30:AD30" si="8">SUM(F26:F29)</f>
        <v>-1580273.1748124706</v>
      </c>
      <c r="G30" s="43">
        <f t="shared" si="8"/>
        <v>-2107030.8997499608</v>
      </c>
      <c r="H30" s="43">
        <f t="shared" si="8"/>
        <v>-2633788.6246874509</v>
      </c>
      <c r="I30" s="43">
        <f t="shared" si="8"/>
        <v>-3160546.3496249411</v>
      </c>
      <c r="J30" s="43">
        <f t="shared" si="8"/>
        <v>-3687304.0745624313</v>
      </c>
      <c r="K30" s="43">
        <f t="shared" si="8"/>
        <v>-4214061.7994999215</v>
      </c>
      <c r="L30" s="43">
        <f t="shared" si="8"/>
        <v>-4740819.5244374117</v>
      </c>
      <c r="M30" s="43">
        <f t="shared" si="8"/>
        <v>-5267577.2493749019</v>
      </c>
      <c r="N30" s="43">
        <f t="shared" si="8"/>
        <v>-5794334.9743123921</v>
      </c>
      <c r="O30" s="43">
        <f t="shared" si="8"/>
        <v>-6321092.6992498823</v>
      </c>
      <c r="P30" s="43">
        <f t="shared" si="8"/>
        <v>-6847850.4241873724</v>
      </c>
      <c r="Q30" s="43">
        <f t="shared" si="8"/>
        <v>-7374608.1491248626</v>
      </c>
      <c r="R30" s="43">
        <f t="shared" si="8"/>
        <v>-7901365.8740623528</v>
      </c>
      <c r="S30" s="43">
        <f t="shared" si="8"/>
        <v>-8428123.598999843</v>
      </c>
      <c r="T30" s="43">
        <f t="shared" si="8"/>
        <v>-8954881.3239373341</v>
      </c>
      <c r="U30" s="43">
        <f t="shared" si="8"/>
        <v>-9481639.0488748252</v>
      </c>
      <c r="V30" s="43">
        <f t="shared" si="8"/>
        <v>-10008396.773812314</v>
      </c>
      <c r="W30" s="43">
        <f t="shared" si="8"/>
        <v>-10535154.498749804</v>
      </c>
      <c r="X30" s="43">
        <f t="shared" si="8"/>
        <v>-11061912.223687295</v>
      </c>
      <c r="Y30" s="43">
        <f t="shared" si="8"/>
        <v>-11588669.948624786</v>
      </c>
      <c r="Z30" s="43">
        <f t="shared" si="8"/>
        <v>-12115427.673562275</v>
      </c>
      <c r="AA30" s="43">
        <f t="shared" si="8"/>
        <v>-12642185.398499765</v>
      </c>
      <c r="AB30" s="43">
        <f t="shared" si="8"/>
        <v>-13168943.123437256</v>
      </c>
      <c r="AC30" s="40"/>
      <c r="AD30" s="43">
        <f t="shared" si="8"/>
        <v>-3799537.1442705877</v>
      </c>
    </row>
    <row r="34" spans="1:28" x14ac:dyDescent="0.3">
      <c r="A34" s="35" t="s">
        <v>78</v>
      </c>
    </row>
    <row r="36" spans="1:28" x14ac:dyDescent="0.3">
      <c r="A36" s="35" t="s">
        <v>79</v>
      </c>
      <c r="D36" s="34">
        <f>D11</f>
        <v>465223.7608333333</v>
      </c>
      <c r="E36" s="34">
        <f t="shared" ref="E36:AB36" si="9">E11</f>
        <v>465223.7608333333</v>
      </c>
      <c r="F36" s="34">
        <f t="shared" si="9"/>
        <v>465223.7608333333</v>
      </c>
      <c r="G36" s="34">
        <f t="shared" si="9"/>
        <v>465223.7608333333</v>
      </c>
      <c r="H36" s="34">
        <f t="shared" si="9"/>
        <v>465223.7608333333</v>
      </c>
      <c r="I36" s="34">
        <f t="shared" si="9"/>
        <v>465223.7608333333</v>
      </c>
      <c r="J36" s="34">
        <f t="shared" si="9"/>
        <v>465223.7608333333</v>
      </c>
      <c r="K36" s="34">
        <f t="shared" si="9"/>
        <v>465223.7608333333</v>
      </c>
      <c r="L36" s="34">
        <f t="shared" si="9"/>
        <v>465223.7608333333</v>
      </c>
      <c r="M36" s="34">
        <f t="shared" si="9"/>
        <v>465223.7608333333</v>
      </c>
      <c r="N36" s="34">
        <f t="shared" si="9"/>
        <v>465223.7608333333</v>
      </c>
      <c r="O36" s="34">
        <f t="shared" si="9"/>
        <v>465223.7608333333</v>
      </c>
      <c r="P36" s="34">
        <f t="shared" si="9"/>
        <v>465223.7608333333</v>
      </c>
      <c r="Q36" s="34">
        <f t="shared" si="9"/>
        <v>465223.7608333333</v>
      </c>
      <c r="R36" s="34">
        <f t="shared" si="9"/>
        <v>465223.7608333333</v>
      </c>
      <c r="S36" s="34">
        <f t="shared" si="9"/>
        <v>465223.7608333333</v>
      </c>
      <c r="T36" s="34">
        <f t="shared" si="9"/>
        <v>465223.7608333333</v>
      </c>
      <c r="U36" s="34">
        <f t="shared" si="9"/>
        <v>465223.7608333333</v>
      </c>
      <c r="V36" s="34">
        <f t="shared" si="9"/>
        <v>465223.7608333333</v>
      </c>
      <c r="W36" s="34">
        <f t="shared" si="9"/>
        <v>465223.7608333333</v>
      </c>
      <c r="X36" s="34">
        <f t="shared" si="9"/>
        <v>465223.7608333333</v>
      </c>
      <c r="Y36" s="34">
        <f t="shared" si="9"/>
        <v>465223.7608333333</v>
      </c>
      <c r="Z36" s="34">
        <f t="shared" si="9"/>
        <v>465223.7608333333</v>
      </c>
      <c r="AA36" s="34">
        <f t="shared" si="9"/>
        <v>465223.7608333333</v>
      </c>
      <c r="AB36" s="34">
        <f t="shared" si="9"/>
        <v>465223.7608333333</v>
      </c>
    </row>
    <row r="37" spans="1:28" x14ac:dyDescent="0.3">
      <c r="A37" s="35" t="s">
        <v>80</v>
      </c>
      <c r="D37" s="34">
        <f>-D23-D13</f>
        <v>991981.48577082343</v>
      </c>
      <c r="E37" s="34">
        <f t="shared" ref="E37:AB37" si="10">-E23-E13</f>
        <v>991981.48577082343</v>
      </c>
      <c r="F37" s="34">
        <f t="shared" si="10"/>
        <v>991981.48577082343</v>
      </c>
      <c r="G37" s="34">
        <f t="shared" si="10"/>
        <v>991981.48577082343</v>
      </c>
      <c r="H37" s="34">
        <f t="shared" si="10"/>
        <v>991981.48577082343</v>
      </c>
      <c r="I37" s="34">
        <f t="shared" si="10"/>
        <v>991981.48577082343</v>
      </c>
      <c r="J37" s="34">
        <f t="shared" si="10"/>
        <v>991981.48577082343</v>
      </c>
      <c r="K37" s="34">
        <f t="shared" si="10"/>
        <v>991981.48577082343</v>
      </c>
      <c r="L37" s="34">
        <f t="shared" si="10"/>
        <v>991981.48577082343</v>
      </c>
      <c r="M37" s="34">
        <f t="shared" si="10"/>
        <v>991981.48577082343</v>
      </c>
      <c r="N37" s="34">
        <f t="shared" si="10"/>
        <v>991981.48577082343</v>
      </c>
      <c r="O37" s="34">
        <f t="shared" si="10"/>
        <v>991981.48577082343</v>
      </c>
      <c r="P37" s="34">
        <f t="shared" si="10"/>
        <v>991981.48577082343</v>
      </c>
      <c r="Q37" s="34">
        <f t="shared" si="10"/>
        <v>991981.48577082343</v>
      </c>
      <c r="R37" s="34">
        <f t="shared" si="10"/>
        <v>991981.48577082343</v>
      </c>
      <c r="S37" s="34">
        <f t="shared" si="10"/>
        <v>991981.48577082343</v>
      </c>
      <c r="T37" s="34">
        <f t="shared" si="10"/>
        <v>991981.48577082343</v>
      </c>
      <c r="U37" s="34">
        <f t="shared" si="10"/>
        <v>991981.48577082343</v>
      </c>
      <c r="V37" s="34">
        <f t="shared" si="10"/>
        <v>991981.48577082343</v>
      </c>
      <c r="W37" s="34">
        <f t="shared" si="10"/>
        <v>991981.48577082343</v>
      </c>
      <c r="X37" s="34">
        <f t="shared" si="10"/>
        <v>991981.48577082343</v>
      </c>
      <c r="Y37" s="34">
        <f t="shared" si="10"/>
        <v>991981.48577082343</v>
      </c>
      <c r="Z37" s="34">
        <f t="shared" si="10"/>
        <v>991981.48577082343</v>
      </c>
      <c r="AA37" s="34">
        <f t="shared" si="10"/>
        <v>991981.48577082343</v>
      </c>
      <c r="AB37" s="34">
        <f t="shared" si="10"/>
        <v>991981.48577082343</v>
      </c>
    </row>
    <row r="39" spans="1:28" x14ac:dyDescent="0.3">
      <c r="A39" s="35" t="s">
        <v>81</v>
      </c>
      <c r="D39" s="44">
        <f>D36/D37</f>
        <v>0.46898431826258247</v>
      </c>
      <c r="E39" s="44">
        <f t="shared" ref="E39:W39" si="11">E36/E37</f>
        <v>0.46898431826258247</v>
      </c>
      <c r="F39" s="44">
        <f t="shared" si="11"/>
        <v>0.46898431826258247</v>
      </c>
      <c r="G39" s="44">
        <f t="shared" si="11"/>
        <v>0.46898431826258247</v>
      </c>
      <c r="H39" s="44">
        <f t="shared" si="11"/>
        <v>0.46898431826258247</v>
      </c>
      <c r="I39" s="44">
        <f t="shared" si="11"/>
        <v>0.46898431826258247</v>
      </c>
      <c r="J39" s="44">
        <f t="shared" si="11"/>
        <v>0.46898431826258247</v>
      </c>
      <c r="K39" s="44">
        <f t="shared" si="11"/>
        <v>0.46898431826258247</v>
      </c>
      <c r="L39" s="44">
        <f t="shared" si="11"/>
        <v>0.46898431826258247</v>
      </c>
      <c r="M39" s="44">
        <f t="shared" si="11"/>
        <v>0.46898431826258247</v>
      </c>
      <c r="N39" s="44">
        <f t="shared" si="11"/>
        <v>0.46898431826258247</v>
      </c>
      <c r="O39" s="44">
        <f t="shared" si="11"/>
        <v>0.46898431826258247</v>
      </c>
      <c r="P39" s="44">
        <f t="shared" si="11"/>
        <v>0.46898431826258247</v>
      </c>
      <c r="Q39" s="44">
        <f t="shared" si="11"/>
        <v>0.46898431826258247</v>
      </c>
      <c r="R39" s="44">
        <f t="shared" si="11"/>
        <v>0.46898431826258247</v>
      </c>
      <c r="S39" s="44">
        <f t="shared" si="11"/>
        <v>0.46898431826258247</v>
      </c>
      <c r="T39" s="44">
        <f t="shared" si="11"/>
        <v>0.46898431826258247</v>
      </c>
      <c r="U39" s="44">
        <f t="shared" si="11"/>
        <v>0.46898431826258247</v>
      </c>
      <c r="V39" s="44">
        <f t="shared" si="11"/>
        <v>0.46898431826258247</v>
      </c>
      <c r="W39" s="44">
        <f t="shared" si="11"/>
        <v>0.46898431826258247</v>
      </c>
      <c r="X39" s="44"/>
      <c r="Y39" s="44"/>
      <c r="Z39" s="44"/>
      <c r="AA39" s="44"/>
      <c r="AB39" s="44"/>
    </row>
    <row r="43" spans="1:28" x14ac:dyDescent="0.3">
      <c r="A43" s="35" t="s">
        <v>192</v>
      </c>
    </row>
    <row r="44" spans="1:28" x14ac:dyDescent="0.3">
      <c r="A44" s="35" t="s">
        <v>193</v>
      </c>
      <c r="D44" s="85">
        <v>1</v>
      </c>
      <c r="E44" s="85">
        <f>D44+'Mix 1 Summary'!$R$10</f>
        <v>1</v>
      </c>
      <c r="F44" s="85">
        <f>E44+'Mix 1 Summary'!$R$10</f>
        <v>1</v>
      </c>
      <c r="G44" s="85">
        <f>F44+'Mix 1 Summary'!$R$10</f>
        <v>1</v>
      </c>
      <c r="H44" s="85">
        <f>G44+'Mix 1 Summary'!$R$10</f>
        <v>1</v>
      </c>
      <c r="I44" s="85">
        <f>H44+'Mix 1 Summary'!$R$10</f>
        <v>1</v>
      </c>
      <c r="J44" s="85">
        <f>I44+'Mix 1 Summary'!$R$10</f>
        <v>1</v>
      </c>
      <c r="K44" s="85">
        <f>J44+'Mix 1 Summary'!$R$10</f>
        <v>1</v>
      </c>
      <c r="L44" s="85">
        <f>K44+'Mix 1 Summary'!$R$10</f>
        <v>1</v>
      </c>
      <c r="M44" s="85">
        <f>L44+'Mix 1 Summary'!$R$10</f>
        <v>1</v>
      </c>
      <c r="N44" s="85">
        <f>M44+'Mix 1 Summary'!$R$10</f>
        <v>1</v>
      </c>
      <c r="O44" s="85">
        <f>N44+'Mix 1 Summary'!$R$10</f>
        <v>1</v>
      </c>
      <c r="P44" s="85">
        <f>O44+'Mix 1 Summary'!$R$10</f>
        <v>1</v>
      </c>
      <c r="Q44" s="85">
        <f>P44+'Mix 1 Summary'!$R$10</f>
        <v>1</v>
      </c>
      <c r="R44" s="85">
        <f>Q44+'Mix 1 Summary'!$R$10</f>
        <v>1</v>
      </c>
      <c r="S44" s="85">
        <f>R44+'Mix 1 Summary'!$R$10</f>
        <v>1</v>
      </c>
      <c r="T44" s="85">
        <f>S44+'Mix 1 Summary'!$R$10</f>
        <v>1</v>
      </c>
      <c r="U44" s="85">
        <f>T44+'Mix 1 Summary'!$R$10</f>
        <v>1</v>
      </c>
      <c r="V44" s="85">
        <f>U44+'Mix 1 Summary'!$R$10</f>
        <v>1</v>
      </c>
      <c r="W44" s="85">
        <f>V44+'Mix 1 Summary'!$R$10</f>
        <v>1</v>
      </c>
      <c r="X44" s="85">
        <f>W44+'Mix 1 Summary'!$R$10</f>
        <v>1</v>
      </c>
      <c r="Y44" s="85">
        <f>X44+'Mix 1 Summary'!$R$10</f>
        <v>1</v>
      </c>
      <c r="Z44" s="85">
        <f>Y44+'Mix 1 Summary'!$R$10</f>
        <v>1</v>
      </c>
      <c r="AA44" s="85">
        <f>Z44+'Mix 1 Summary'!$R$10</f>
        <v>1</v>
      </c>
      <c r="AB44" s="85">
        <f>AA44+'Mix 1 Summary'!$R$10</f>
        <v>1</v>
      </c>
    </row>
    <row r="45" spans="1:28" x14ac:dyDescent="0.3">
      <c r="A45" s="35" t="s">
        <v>4</v>
      </c>
      <c r="D45" s="85">
        <v>1</v>
      </c>
      <c r="E45" s="85">
        <f>D45+'Mix 1 Summary'!$R$11</f>
        <v>1</v>
      </c>
      <c r="F45" s="85">
        <f>E45+'Mix 1 Summary'!$R$11</f>
        <v>1</v>
      </c>
      <c r="G45" s="85">
        <f>F45+'Mix 1 Summary'!$R$11</f>
        <v>1</v>
      </c>
      <c r="H45" s="85">
        <f>G45+'Mix 1 Summary'!$R$11</f>
        <v>1</v>
      </c>
      <c r="I45" s="85">
        <f>H45+'Mix 1 Summary'!$R$11</f>
        <v>1</v>
      </c>
      <c r="J45" s="85">
        <f>I45+'Mix 1 Summary'!$R$11</f>
        <v>1</v>
      </c>
      <c r="K45" s="85">
        <f>J45+'Mix 1 Summary'!$R$11</f>
        <v>1</v>
      </c>
      <c r="L45" s="85">
        <f>K45+'Mix 1 Summary'!$R$11</f>
        <v>1</v>
      </c>
      <c r="M45" s="85">
        <f>L45+'Mix 1 Summary'!$R$11</f>
        <v>1</v>
      </c>
      <c r="N45" s="85">
        <f>M45+'Mix 1 Summary'!$R$11</f>
        <v>1</v>
      </c>
      <c r="O45" s="85">
        <f>N45+'Mix 1 Summary'!$R$11</f>
        <v>1</v>
      </c>
      <c r="P45" s="85">
        <f>O45+'Mix 1 Summary'!$R$11</f>
        <v>1</v>
      </c>
      <c r="Q45" s="85">
        <f>P45+'Mix 1 Summary'!$R$11</f>
        <v>1</v>
      </c>
      <c r="R45" s="85">
        <f>Q45+'Mix 1 Summary'!$R$11</f>
        <v>1</v>
      </c>
      <c r="S45" s="85">
        <f>R45+'Mix 1 Summary'!$R$11</f>
        <v>1</v>
      </c>
      <c r="T45" s="85">
        <f>S45+'Mix 1 Summary'!$R$11</f>
        <v>1</v>
      </c>
      <c r="U45" s="85">
        <f>T45+'Mix 1 Summary'!$R$11</f>
        <v>1</v>
      </c>
      <c r="V45" s="85">
        <f>U45+'Mix 1 Summary'!$R$11</f>
        <v>1</v>
      </c>
      <c r="W45" s="85">
        <f>V45+'Mix 1 Summary'!$R$11</f>
        <v>1</v>
      </c>
      <c r="X45" s="85">
        <f>W45+'Mix 1 Summary'!$R$11</f>
        <v>1</v>
      </c>
      <c r="Y45" s="85">
        <f>X45+'Mix 1 Summary'!$R$11</f>
        <v>1</v>
      </c>
      <c r="Z45" s="85">
        <f>Y45+'Mix 1 Summary'!$R$11</f>
        <v>1</v>
      </c>
      <c r="AA45" s="85">
        <f>Z45+'Mix 1 Summary'!$R$11</f>
        <v>1</v>
      </c>
      <c r="AB45" s="85">
        <f>AA45+'Mix 1 Summary'!$R$11</f>
        <v>1</v>
      </c>
    </row>
    <row r="46" spans="1:28" x14ac:dyDescent="0.3">
      <c r="A46" s="35" t="s">
        <v>163</v>
      </c>
      <c r="D46" s="85">
        <v>1</v>
      </c>
      <c r="E46" s="85">
        <f>D46+'Mix 1 Summary'!$R$12</f>
        <v>1</v>
      </c>
      <c r="F46" s="85">
        <f>E46+'Mix 1 Summary'!$R$12</f>
        <v>1</v>
      </c>
      <c r="G46" s="85">
        <f>F46+'Mix 1 Summary'!$R$12</f>
        <v>1</v>
      </c>
      <c r="H46" s="85">
        <f>G46+'Mix 1 Summary'!$R$12</f>
        <v>1</v>
      </c>
      <c r="I46" s="85">
        <f>H46+'Mix 1 Summary'!$R$12</f>
        <v>1</v>
      </c>
      <c r="J46" s="85">
        <f>I46+'Mix 1 Summary'!$R$12</f>
        <v>1</v>
      </c>
      <c r="K46" s="85">
        <f>J46+'Mix 1 Summary'!$R$12</f>
        <v>1</v>
      </c>
      <c r="L46" s="85">
        <f>K46+'Mix 1 Summary'!$R$12</f>
        <v>1</v>
      </c>
      <c r="M46" s="85">
        <f>L46+'Mix 1 Summary'!$R$12</f>
        <v>1</v>
      </c>
      <c r="N46" s="85">
        <f>M46+'Mix 1 Summary'!$R$12</f>
        <v>1</v>
      </c>
      <c r="O46" s="85">
        <f>N46+'Mix 1 Summary'!$R$12</f>
        <v>1</v>
      </c>
      <c r="P46" s="85">
        <f>O46+'Mix 1 Summary'!$R$12</f>
        <v>1</v>
      </c>
      <c r="Q46" s="85">
        <f>P46+'Mix 1 Summary'!$R$12</f>
        <v>1</v>
      </c>
      <c r="R46" s="85">
        <f>Q46+'Mix 1 Summary'!$R$12</f>
        <v>1</v>
      </c>
      <c r="S46" s="85">
        <f>R46+'Mix 1 Summary'!$R$12</f>
        <v>1</v>
      </c>
      <c r="T46" s="85">
        <f>S46+'Mix 1 Summary'!$R$12</f>
        <v>1</v>
      </c>
      <c r="U46" s="85">
        <f>T46+'Mix 1 Summary'!$R$12</f>
        <v>1</v>
      </c>
      <c r="V46" s="85">
        <f>U46+'Mix 1 Summary'!$R$12</f>
        <v>1</v>
      </c>
      <c r="W46" s="85">
        <f>V46+'Mix 1 Summary'!$R$12</f>
        <v>1</v>
      </c>
      <c r="X46" s="85">
        <f>W46+'Mix 1 Summary'!$R$12</f>
        <v>1</v>
      </c>
      <c r="Y46" s="85">
        <f>X46+'Mix 1 Summary'!$R$12</f>
        <v>1</v>
      </c>
      <c r="Z46" s="85">
        <f>Y46+'Mix 1 Summary'!$R$12</f>
        <v>1</v>
      </c>
      <c r="AA46" s="85">
        <f>Z46+'Mix 1 Summary'!$R$12</f>
        <v>1</v>
      </c>
      <c r="AB46" s="85">
        <f>AA46+'Mix 1 Summary'!$R$12</f>
        <v>1</v>
      </c>
    </row>
  </sheetData>
  <sheetProtection algorithmName="SHA-512" hashValue="WuSvdjR6qSWgtkU4n8GvSyTp+tzyUrU5QQN+eO0RSiGj4P28A6ppWuoScbkN902cawRRRQxS5qbV0jtKQs+W/w==" saltValue="7jBzlarK5P46InxWwyMibw==" spinCount="100000" sheet="1" objects="1" scenarios="1" selectLockedCells="1" selectUnlockedCells="1"/>
  <mergeCells count="1">
    <mergeCell ref="D3:AB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5FBDA-ACD9-4C9F-AA1A-A4245E6E971A}">
  <dimension ref="A1:AD27"/>
  <sheetViews>
    <sheetView topLeftCell="C1" workbookViewId="0">
      <selection activeCell="J34" sqref="J34"/>
    </sheetView>
  </sheetViews>
  <sheetFormatPr defaultRowHeight="14.5" x14ac:dyDescent="0.35"/>
  <cols>
    <col min="3" max="3" width="5.453125" customWidth="1"/>
    <col min="4" max="28" width="9.453125" bestFit="1" customWidth="1"/>
    <col min="30" max="30" width="11.54296875" customWidth="1"/>
  </cols>
  <sheetData>
    <row r="1" spans="1:30" x14ac:dyDescent="0.35">
      <c r="A1" s="16" t="s">
        <v>45</v>
      </c>
      <c r="B1" s="4"/>
      <c r="C1" s="4"/>
      <c r="D1" s="130" t="str">
        <f>'Generation &amp; Ops Scenarios'!I27</f>
        <v>100% Solar &amp; Storage</v>
      </c>
      <c r="E1" s="4"/>
      <c r="F1" s="4"/>
      <c r="G1" s="4"/>
      <c r="H1" s="4"/>
      <c r="I1" s="4"/>
      <c r="J1" s="4"/>
      <c r="K1" s="4"/>
      <c r="L1" s="4"/>
      <c r="M1" s="4"/>
      <c r="N1" s="4"/>
      <c r="O1" s="4"/>
      <c r="P1" s="4"/>
      <c r="Q1" s="4"/>
      <c r="R1" s="4"/>
      <c r="S1" s="4"/>
      <c r="T1" s="4"/>
      <c r="U1" s="4"/>
      <c r="V1" s="4"/>
      <c r="W1" s="4"/>
      <c r="X1" s="4"/>
      <c r="Y1" s="4"/>
      <c r="Z1" s="4"/>
      <c r="AA1" s="4"/>
      <c r="AB1" s="4"/>
      <c r="AC1" s="4"/>
      <c r="AD1" s="4"/>
    </row>
    <row r="2" spans="1:30" x14ac:dyDescent="0.35">
      <c r="A2" s="4"/>
      <c r="B2" s="4"/>
      <c r="C2" s="4"/>
      <c r="D2" s="17"/>
      <c r="E2" s="17"/>
      <c r="F2" s="17"/>
      <c r="G2" s="17"/>
      <c r="H2" s="17"/>
      <c r="I2" s="17"/>
      <c r="J2" s="17"/>
      <c r="K2" s="17"/>
      <c r="L2" s="17"/>
      <c r="M2" s="17"/>
      <c r="N2" s="17"/>
      <c r="O2" s="17"/>
      <c r="P2" s="17"/>
      <c r="Q2" s="17"/>
      <c r="R2" s="17"/>
      <c r="S2" s="17"/>
      <c r="T2" s="17"/>
      <c r="U2" s="17"/>
      <c r="V2" s="17"/>
      <c r="W2" s="17"/>
      <c r="X2" s="17"/>
      <c r="Y2" s="17"/>
      <c r="Z2" s="17"/>
      <c r="AA2" s="17"/>
      <c r="AB2" s="17"/>
      <c r="AC2" s="17"/>
      <c r="AD2" s="4"/>
    </row>
    <row r="3" spans="1:30" x14ac:dyDescent="0.35">
      <c r="A3" s="4"/>
      <c r="B3" s="4"/>
      <c r="C3" s="4"/>
      <c r="D3" s="17">
        <v>1</v>
      </c>
      <c r="E3" s="17">
        <v>2</v>
      </c>
      <c r="F3" s="17">
        <v>3</v>
      </c>
      <c r="G3" s="17">
        <v>4</v>
      </c>
      <c r="H3" s="17">
        <v>5</v>
      </c>
      <c r="I3" s="17">
        <v>6</v>
      </c>
      <c r="J3" s="17">
        <v>7</v>
      </c>
      <c r="K3" s="17">
        <v>8</v>
      </c>
      <c r="L3" s="17">
        <v>9</v>
      </c>
      <c r="M3" s="17">
        <v>10</v>
      </c>
      <c r="N3" s="17">
        <v>11</v>
      </c>
      <c r="O3" s="17">
        <v>12</v>
      </c>
      <c r="P3" s="17">
        <v>13</v>
      </c>
      <c r="Q3" s="17">
        <v>14</v>
      </c>
      <c r="R3" s="17">
        <v>15</v>
      </c>
      <c r="S3" s="17">
        <v>16</v>
      </c>
      <c r="T3" s="17">
        <v>17</v>
      </c>
      <c r="U3" s="17">
        <v>18</v>
      </c>
      <c r="V3" s="17">
        <v>19</v>
      </c>
      <c r="W3" s="17">
        <v>20</v>
      </c>
      <c r="X3" s="17">
        <v>21</v>
      </c>
      <c r="Y3" s="17">
        <v>22</v>
      </c>
      <c r="Z3" s="17">
        <v>23</v>
      </c>
      <c r="AA3" s="17">
        <v>24</v>
      </c>
      <c r="AB3" s="17">
        <v>25</v>
      </c>
      <c r="AC3" s="17"/>
      <c r="AD3" s="17" t="s">
        <v>46</v>
      </c>
    </row>
    <row r="4" spans="1:30" ht="15.5" x14ac:dyDescent="0.35">
      <c r="A4" s="18" t="s">
        <v>3</v>
      </c>
      <c r="B4" s="18"/>
      <c r="C4" s="18"/>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5">
      <c r="A5" s="4" t="s">
        <v>76</v>
      </c>
      <c r="B5" s="4"/>
      <c r="C5" s="4"/>
      <c r="D5" s="19">
        <f>'100% Solar Cash Flow'!D7</f>
        <v>840000</v>
      </c>
      <c r="E5" s="19">
        <f>'100% Solar Cash Flow'!E7</f>
        <v>840000</v>
      </c>
      <c r="F5" s="19">
        <f>'100% Solar Cash Flow'!F7</f>
        <v>840000</v>
      </c>
      <c r="G5" s="19">
        <f>'100% Solar Cash Flow'!G7</f>
        <v>840000</v>
      </c>
      <c r="H5" s="19">
        <f>'100% Solar Cash Flow'!H7</f>
        <v>840000</v>
      </c>
      <c r="I5" s="19">
        <f>'100% Solar Cash Flow'!I7</f>
        <v>840000</v>
      </c>
      <c r="J5" s="19">
        <f>'100% Solar Cash Flow'!J7</f>
        <v>840000</v>
      </c>
      <c r="K5" s="19">
        <f>'100% Solar Cash Flow'!K7</f>
        <v>840000</v>
      </c>
      <c r="L5" s="19">
        <f>'100% Solar Cash Flow'!L7</f>
        <v>840000</v>
      </c>
      <c r="M5" s="19">
        <f>'100% Solar Cash Flow'!M7</f>
        <v>840000</v>
      </c>
      <c r="N5" s="19">
        <f>'100% Solar Cash Flow'!N7</f>
        <v>840000</v>
      </c>
      <c r="O5" s="19">
        <f>'100% Solar Cash Flow'!O7</f>
        <v>840000</v>
      </c>
      <c r="P5" s="19">
        <f>'100% Solar Cash Flow'!P7</f>
        <v>840000</v>
      </c>
      <c r="Q5" s="19">
        <f>'100% Solar Cash Flow'!Q7</f>
        <v>840000</v>
      </c>
      <c r="R5" s="19">
        <f>'100% Solar Cash Flow'!R7</f>
        <v>840000</v>
      </c>
      <c r="S5" s="19">
        <f>'100% Solar Cash Flow'!S7</f>
        <v>840000</v>
      </c>
      <c r="T5" s="19">
        <f>'100% Solar Cash Flow'!T7</f>
        <v>840000</v>
      </c>
      <c r="U5" s="19">
        <f>'100% Solar Cash Flow'!U7</f>
        <v>840000</v>
      </c>
      <c r="V5" s="19">
        <f>'100% Solar Cash Flow'!V7</f>
        <v>840000</v>
      </c>
      <c r="W5" s="19">
        <f>'100% Solar Cash Flow'!W7</f>
        <v>840000</v>
      </c>
      <c r="X5" s="19">
        <f>'100% Solar Cash Flow'!X7</f>
        <v>840000</v>
      </c>
      <c r="Y5" s="19">
        <f>'100% Solar Cash Flow'!Y7</f>
        <v>840000</v>
      </c>
      <c r="Z5" s="19">
        <f>'100% Solar Cash Flow'!Z7</f>
        <v>840000</v>
      </c>
      <c r="AA5" s="19">
        <f>'100% Solar Cash Flow'!AA7</f>
        <v>840000</v>
      </c>
      <c r="AB5" s="19">
        <f>'100% Solar Cash Flow'!AB7</f>
        <v>840000</v>
      </c>
      <c r="AC5" s="19"/>
      <c r="AD5" s="19">
        <f>SUM(D5:AC5)</f>
        <v>21000000</v>
      </c>
    </row>
    <row r="6" spans="1:30" x14ac:dyDescent="0.35">
      <c r="A6" s="4" t="s">
        <v>52</v>
      </c>
      <c r="B6" s="4"/>
      <c r="C6" s="4"/>
      <c r="D6" s="19">
        <v>0</v>
      </c>
      <c r="E6" s="19">
        <v>0</v>
      </c>
      <c r="F6" s="19">
        <v>0</v>
      </c>
      <c r="G6" s="19">
        <v>0</v>
      </c>
      <c r="H6" s="19">
        <v>0</v>
      </c>
      <c r="I6" s="19">
        <v>0</v>
      </c>
      <c r="J6" s="19">
        <v>0</v>
      </c>
      <c r="K6" s="19">
        <v>0</v>
      </c>
      <c r="L6" s="19">
        <v>0</v>
      </c>
      <c r="M6" s="19">
        <v>0</v>
      </c>
      <c r="N6" s="19">
        <v>0</v>
      </c>
      <c r="O6" s="19">
        <v>0</v>
      </c>
      <c r="P6" s="19">
        <v>0</v>
      </c>
      <c r="Q6" s="19">
        <v>0</v>
      </c>
      <c r="R6" s="19">
        <v>0</v>
      </c>
      <c r="S6" s="19">
        <v>0</v>
      </c>
      <c r="T6" s="19">
        <v>0</v>
      </c>
      <c r="U6" s="19">
        <v>0</v>
      </c>
      <c r="V6" s="19">
        <v>0</v>
      </c>
      <c r="W6" s="19">
        <v>0</v>
      </c>
      <c r="X6" s="19">
        <v>0</v>
      </c>
      <c r="Y6" s="19">
        <v>0</v>
      </c>
      <c r="Z6" s="19">
        <v>0</v>
      </c>
      <c r="AA6" s="19">
        <v>0</v>
      </c>
      <c r="AB6" s="19">
        <v>0</v>
      </c>
      <c r="AC6" s="19"/>
      <c r="AD6" s="19">
        <f t="shared" ref="AD6" si="0">SUM(D6:AC6)</f>
        <v>0</v>
      </c>
    </row>
    <row r="7" spans="1:30" x14ac:dyDescent="0.35">
      <c r="A7" s="4"/>
      <c r="B7" s="4"/>
      <c r="C7" s="4"/>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ht="15" thickBot="1" x14ac:dyDescent="0.4">
      <c r="A8" s="4" t="s">
        <v>47</v>
      </c>
      <c r="B8" s="4"/>
      <c r="C8" s="4"/>
      <c r="D8" s="24">
        <f t="shared" ref="D8:AB8" si="1">SUM(D5:D7)</f>
        <v>840000</v>
      </c>
      <c r="E8" s="24">
        <f t="shared" si="1"/>
        <v>840000</v>
      </c>
      <c r="F8" s="24">
        <f t="shared" si="1"/>
        <v>840000</v>
      </c>
      <c r="G8" s="24">
        <f t="shared" si="1"/>
        <v>840000</v>
      </c>
      <c r="H8" s="24">
        <f t="shared" si="1"/>
        <v>840000</v>
      </c>
      <c r="I8" s="24">
        <f t="shared" si="1"/>
        <v>840000</v>
      </c>
      <c r="J8" s="24">
        <f t="shared" si="1"/>
        <v>840000</v>
      </c>
      <c r="K8" s="24">
        <f t="shared" si="1"/>
        <v>840000</v>
      </c>
      <c r="L8" s="24">
        <f t="shared" si="1"/>
        <v>840000</v>
      </c>
      <c r="M8" s="24">
        <f t="shared" si="1"/>
        <v>840000</v>
      </c>
      <c r="N8" s="24">
        <f t="shared" si="1"/>
        <v>840000</v>
      </c>
      <c r="O8" s="24">
        <f t="shared" si="1"/>
        <v>840000</v>
      </c>
      <c r="P8" s="24">
        <f t="shared" si="1"/>
        <v>840000</v>
      </c>
      <c r="Q8" s="24">
        <f t="shared" si="1"/>
        <v>840000</v>
      </c>
      <c r="R8" s="24">
        <f t="shared" si="1"/>
        <v>840000</v>
      </c>
      <c r="S8" s="24">
        <f t="shared" si="1"/>
        <v>840000</v>
      </c>
      <c r="T8" s="24">
        <f t="shared" si="1"/>
        <v>840000</v>
      </c>
      <c r="U8" s="24">
        <f t="shared" si="1"/>
        <v>840000</v>
      </c>
      <c r="V8" s="24">
        <f t="shared" si="1"/>
        <v>840000</v>
      </c>
      <c r="W8" s="24">
        <f t="shared" si="1"/>
        <v>840000</v>
      </c>
      <c r="X8" s="24">
        <f t="shared" si="1"/>
        <v>840000</v>
      </c>
      <c r="Y8" s="24">
        <f t="shared" si="1"/>
        <v>840000</v>
      </c>
      <c r="Z8" s="24">
        <f t="shared" si="1"/>
        <v>840000</v>
      </c>
      <c r="AA8" s="24">
        <f t="shared" si="1"/>
        <v>840000</v>
      </c>
      <c r="AB8" s="24">
        <f t="shared" si="1"/>
        <v>840000</v>
      </c>
      <c r="AC8" s="19"/>
      <c r="AD8" s="24">
        <f>SUM(AD5:AD7)</f>
        <v>21000000</v>
      </c>
    </row>
    <row r="9" spans="1:30" ht="15" thickTop="1" x14ac:dyDescent="0.35">
      <c r="A9" s="4"/>
      <c r="B9" s="4"/>
      <c r="C9" s="4"/>
      <c r="D9" s="19"/>
      <c r="E9" s="19"/>
      <c r="F9" s="19"/>
      <c r="G9" s="19"/>
      <c r="H9" s="19"/>
      <c r="I9" s="19"/>
      <c r="J9" s="19"/>
      <c r="K9" s="19"/>
      <c r="L9" s="19"/>
      <c r="M9" s="19"/>
      <c r="N9" s="19"/>
      <c r="O9" s="19"/>
      <c r="P9" s="19"/>
      <c r="Q9" s="19"/>
      <c r="R9" s="19"/>
      <c r="S9" s="19"/>
      <c r="T9" s="19"/>
      <c r="U9" s="19"/>
      <c r="V9" s="19"/>
      <c r="W9" s="19"/>
      <c r="X9" s="19"/>
      <c r="Y9" s="19"/>
      <c r="Z9" s="19"/>
      <c r="AA9" s="19"/>
      <c r="AB9" s="19"/>
      <c r="AC9" s="19"/>
      <c r="AD9" s="19"/>
    </row>
    <row r="10" spans="1:30" x14ac:dyDescent="0.35">
      <c r="A10" s="4"/>
      <c r="B10" s="4"/>
      <c r="C10" s="4"/>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0" ht="15.5" x14ac:dyDescent="0.35">
      <c r="A11" s="18" t="s">
        <v>2</v>
      </c>
      <c r="B11" s="18"/>
      <c r="C11" s="18"/>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row>
    <row r="12" spans="1:30" x14ac:dyDescent="0.35">
      <c r="A12" s="4" t="s">
        <v>4</v>
      </c>
      <c r="B12" s="4"/>
      <c r="C12" s="4"/>
      <c r="D12" s="19">
        <f>'100% Solar Cash Flow'!C8</f>
        <v>0</v>
      </c>
      <c r="E12" s="19">
        <f>'100% Solar Cash Flow'!D8</f>
        <v>0</v>
      </c>
      <c r="F12" s="19">
        <f>'100% Solar Cash Flow'!F8</f>
        <v>0</v>
      </c>
      <c r="G12" s="19">
        <f>'100% Solar Cash Flow'!G8</f>
        <v>0</v>
      </c>
      <c r="H12" s="19">
        <f>'100% Solar Cash Flow'!H8</f>
        <v>0</v>
      </c>
      <c r="I12" s="19">
        <f>'100% Solar Cash Flow'!I8</f>
        <v>0</v>
      </c>
      <c r="J12" s="19">
        <f>'100% Solar Cash Flow'!J8</f>
        <v>0</v>
      </c>
      <c r="K12" s="19">
        <f>'100% Solar Cash Flow'!K8</f>
        <v>0</v>
      </c>
      <c r="L12" s="19">
        <f>'100% Solar Cash Flow'!L8</f>
        <v>0</v>
      </c>
      <c r="M12" s="19">
        <f>'100% Solar Cash Flow'!M8</f>
        <v>0</v>
      </c>
      <c r="N12" s="19">
        <f>'100% Solar Cash Flow'!N8</f>
        <v>0</v>
      </c>
      <c r="O12" s="19">
        <f>'100% Solar Cash Flow'!O8</f>
        <v>0</v>
      </c>
      <c r="P12" s="19">
        <f>'100% Solar Cash Flow'!P8</f>
        <v>0</v>
      </c>
      <c r="Q12" s="19">
        <f>'100% Solar Cash Flow'!Q8</f>
        <v>0</v>
      </c>
      <c r="R12" s="19">
        <f>'100% Solar Cash Flow'!R8</f>
        <v>0</v>
      </c>
      <c r="S12" s="19">
        <f>'100% Solar Cash Flow'!S8</f>
        <v>0</v>
      </c>
      <c r="T12" s="19">
        <f>'100% Solar Cash Flow'!T8</f>
        <v>0</v>
      </c>
      <c r="U12" s="19">
        <f>'100% Solar Cash Flow'!U8</f>
        <v>0</v>
      </c>
      <c r="V12" s="19">
        <f>'100% Solar Cash Flow'!V8</f>
        <v>0</v>
      </c>
      <c r="W12" s="19">
        <f>'100% Solar Cash Flow'!W8</f>
        <v>0</v>
      </c>
      <c r="X12" s="19">
        <f>'100% Solar Cash Flow'!X8</f>
        <v>0</v>
      </c>
      <c r="Y12" s="19">
        <f>'100% Solar Cash Flow'!Y8</f>
        <v>0</v>
      </c>
      <c r="Z12" s="19">
        <f>'100% Solar Cash Flow'!Z8</f>
        <v>0</v>
      </c>
      <c r="AA12" s="19">
        <f>'100% Solar Cash Flow'!AA8</f>
        <v>0</v>
      </c>
      <c r="AB12" s="19">
        <f>'100% Solar Cash Flow'!AB8</f>
        <v>0</v>
      </c>
      <c r="AC12" s="19"/>
      <c r="AD12" s="19">
        <f t="shared" ref="AD12:AD13" si="2">SUM(D12:AC12)</f>
        <v>0</v>
      </c>
    </row>
    <row r="13" spans="1:30" x14ac:dyDescent="0.35">
      <c r="A13" s="4" t="s">
        <v>2</v>
      </c>
      <c r="B13" s="4"/>
      <c r="C13" s="4"/>
      <c r="D13" s="19">
        <f>'100% Solar Cash Flow'!D9</f>
        <v>-374776.2391666667</v>
      </c>
      <c r="E13" s="19">
        <f>'100% Solar Cash Flow'!E9</f>
        <v>-374776.2391666667</v>
      </c>
      <c r="F13" s="19">
        <f>'100% Solar Cash Flow'!F9</f>
        <v>-374776.2391666667</v>
      </c>
      <c r="G13" s="19">
        <f>'100% Solar Cash Flow'!G9</f>
        <v>-374776.2391666667</v>
      </c>
      <c r="H13" s="19">
        <f>'100% Solar Cash Flow'!H9</f>
        <v>-374776.2391666667</v>
      </c>
      <c r="I13" s="19">
        <f>'100% Solar Cash Flow'!I9</f>
        <v>-374776.2391666667</v>
      </c>
      <c r="J13" s="19">
        <f>'100% Solar Cash Flow'!J9</f>
        <v>-374776.2391666667</v>
      </c>
      <c r="K13" s="19">
        <f>'100% Solar Cash Flow'!K9</f>
        <v>-374776.2391666667</v>
      </c>
      <c r="L13" s="19">
        <f>'100% Solar Cash Flow'!L9</f>
        <v>-374776.2391666667</v>
      </c>
      <c r="M13" s="19">
        <f>'100% Solar Cash Flow'!M9</f>
        <v>-374776.2391666667</v>
      </c>
      <c r="N13" s="19">
        <f>'100% Solar Cash Flow'!N9</f>
        <v>-374776.2391666667</v>
      </c>
      <c r="O13" s="19">
        <f>'100% Solar Cash Flow'!O9</f>
        <v>-374776.2391666667</v>
      </c>
      <c r="P13" s="19">
        <f>'100% Solar Cash Flow'!P9</f>
        <v>-374776.2391666667</v>
      </c>
      <c r="Q13" s="19">
        <f>'100% Solar Cash Flow'!Q9</f>
        <v>-374776.2391666667</v>
      </c>
      <c r="R13" s="19">
        <f>'100% Solar Cash Flow'!R9</f>
        <v>-374776.2391666667</v>
      </c>
      <c r="S13" s="19">
        <f>'100% Solar Cash Flow'!S9</f>
        <v>-374776.2391666667</v>
      </c>
      <c r="T13" s="19">
        <f>'100% Solar Cash Flow'!T9</f>
        <v>-374776.2391666667</v>
      </c>
      <c r="U13" s="19">
        <f>'100% Solar Cash Flow'!U9</f>
        <v>-374776.2391666667</v>
      </c>
      <c r="V13" s="19">
        <f>'100% Solar Cash Flow'!V9</f>
        <v>-374776.2391666667</v>
      </c>
      <c r="W13" s="19">
        <f>'100% Solar Cash Flow'!W9</f>
        <v>-374776.2391666667</v>
      </c>
      <c r="X13" s="19">
        <f>'100% Solar Cash Flow'!X9</f>
        <v>-374776.2391666667</v>
      </c>
      <c r="Y13" s="19">
        <f>'100% Solar Cash Flow'!Y9</f>
        <v>-374776.2391666667</v>
      </c>
      <c r="Z13" s="19">
        <f>'100% Solar Cash Flow'!Z9</f>
        <v>-374776.2391666667</v>
      </c>
      <c r="AA13" s="19">
        <f>'100% Solar Cash Flow'!AA9</f>
        <v>-374776.2391666667</v>
      </c>
      <c r="AB13" s="19">
        <f>'100% Solar Cash Flow'!AB9</f>
        <v>-374776.2391666667</v>
      </c>
      <c r="AC13" s="19"/>
      <c r="AD13" s="19">
        <f t="shared" si="2"/>
        <v>-9369405.979166666</v>
      </c>
    </row>
    <row r="14" spans="1:30" ht="15" thickBot="1" x14ac:dyDescent="0.4">
      <c r="A14" s="4" t="s">
        <v>48</v>
      </c>
      <c r="B14" s="4"/>
      <c r="C14" s="4"/>
      <c r="D14" s="24">
        <f t="shared" ref="D14:AB14" si="3">SUM(D12:D13)</f>
        <v>-374776.2391666667</v>
      </c>
      <c r="E14" s="24">
        <f t="shared" si="3"/>
        <v>-374776.2391666667</v>
      </c>
      <c r="F14" s="24">
        <f t="shared" si="3"/>
        <v>-374776.2391666667</v>
      </c>
      <c r="G14" s="24">
        <f t="shared" si="3"/>
        <v>-374776.2391666667</v>
      </c>
      <c r="H14" s="24">
        <f t="shared" si="3"/>
        <v>-374776.2391666667</v>
      </c>
      <c r="I14" s="24">
        <f t="shared" si="3"/>
        <v>-374776.2391666667</v>
      </c>
      <c r="J14" s="24">
        <f t="shared" si="3"/>
        <v>-374776.2391666667</v>
      </c>
      <c r="K14" s="24">
        <f t="shared" si="3"/>
        <v>-374776.2391666667</v>
      </c>
      <c r="L14" s="24">
        <f t="shared" si="3"/>
        <v>-374776.2391666667</v>
      </c>
      <c r="M14" s="24">
        <f t="shared" si="3"/>
        <v>-374776.2391666667</v>
      </c>
      <c r="N14" s="24">
        <f t="shared" si="3"/>
        <v>-374776.2391666667</v>
      </c>
      <c r="O14" s="24">
        <f t="shared" si="3"/>
        <v>-374776.2391666667</v>
      </c>
      <c r="P14" s="24">
        <f t="shared" si="3"/>
        <v>-374776.2391666667</v>
      </c>
      <c r="Q14" s="24">
        <f t="shared" si="3"/>
        <v>-374776.2391666667</v>
      </c>
      <c r="R14" s="24">
        <f t="shared" si="3"/>
        <v>-374776.2391666667</v>
      </c>
      <c r="S14" s="24">
        <f t="shared" si="3"/>
        <v>-374776.2391666667</v>
      </c>
      <c r="T14" s="24">
        <f t="shared" si="3"/>
        <v>-374776.2391666667</v>
      </c>
      <c r="U14" s="24">
        <f t="shared" si="3"/>
        <v>-374776.2391666667</v>
      </c>
      <c r="V14" s="24">
        <f t="shared" si="3"/>
        <v>-374776.2391666667</v>
      </c>
      <c r="W14" s="24">
        <f t="shared" si="3"/>
        <v>-374776.2391666667</v>
      </c>
      <c r="X14" s="24">
        <f t="shared" si="3"/>
        <v>-374776.2391666667</v>
      </c>
      <c r="Y14" s="24">
        <f t="shared" si="3"/>
        <v>-374776.2391666667</v>
      </c>
      <c r="Z14" s="24">
        <f t="shared" si="3"/>
        <v>-374776.2391666667</v>
      </c>
      <c r="AA14" s="24">
        <f t="shared" si="3"/>
        <v>-374776.2391666667</v>
      </c>
      <c r="AB14" s="24">
        <f t="shared" si="3"/>
        <v>-374776.2391666667</v>
      </c>
      <c r="AC14" s="19"/>
      <c r="AD14" s="24">
        <f>SUM(AD12:AD13)</f>
        <v>-9369405.979166666</v>
      </c>
    </row>
    <row r="15" spans="1:30" ht="15" thickTop="1" x14ac:dyDescent="0.35">
      <c r="A15" s="4"/>
      <c r="B15" s="4"/>
      <c r="C15" s="4"/>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row>
    <row r="16" spans="1:30" x14ac:dyDescent="0.35">
      <c r="A16" s="16" t="s">
        <v>49</v>
      </c>
      <c r="B16" s="16"/>
      <c r="C16" s="16"/>
      <c r="D16" s="25">
        <f>D8+D14</f>
        <v>465223.7608333333</v>
      </c>
      <c r="E16" s="25">
        <f t="shared" ref="E16:AB16" si="4">E8+E14</f>
        <v>465223.7608333333</v>
      </c>
      <c r="F16" s="25">
        <f t="shared" si="4"/>
        <v>465223.7608333333</v>
      </c>
      <c r="G16" s="25">
        <f t="shared" si="4"/>
        <v>465223.7608333333</v>
      </c>
      <c r="H16" s="25">
        <f t="shared" si="4"/>
        <v>465223.7608333333</v>
      </c>
      <c r="I16" s="25">
        <f t="shared" si="4"/>
        <v>465223.7608333333</v>
      </c>
      <c r="J16" s="25">
        <f t="shared" si="4"/>
        <v>465223.7608333333</v>
      </c>
      <c r="K16" s="25">
        <f t="shared" si="4"/>
        <v>465223.7608333333</v>
      </c>
      <c r="L16" s="25">
        <f t="shared" si="4"/>
        <v>465223.7608333333</v>
      </c>
      <c r="M16" s="25">
        <f t="shared" si="4"/>
        <v>465223.7608333333</v>
      </c>
      <c r="N16" s="25">
        <f t="shared" si="4"/>
        <v>465223.7608333333</v>
      </c>
      <c r="O16" s="25">
        <f t="shared" si="4"/>
        <v>465223.7608333333</v>
      </c>
      <c r="P16" s="25">
        <f t="shared" si="4"/>
        <v>465223.7608333333</v>
      </c>
      <c r="Q16" s="25">
        <f t="shared" si="4"/>
        <v>465223.7608333333</v>
      </c>
      <c r="R16" s="25">
        <f t="shared" si="4"/>
        <v>465223.7608333333</v>
      </c>
      <c r="S16" s="25">
        <f t="shared" si="4"/>
        <v>465223.7608333333</v>
      </c>
      <c r="T16" s="25">
        <f t="shared" si="4"/>
        <v>465223.7608333333</v>
      </c>
      <c r="U16" s="25">
        <f t="shared" si="4"/>
        <v>465223.7608333333</v>
      </c>
      <c r="V16" s="25">
        <f t="shared" si="4"/>
        <v>465223.7608333333</v>
      </c>
      <c r="W16" s="25">
        <f t="shared" si="4"/>
        <v>465223.7608333333</v>
      </c>
      <c r="X16" s="25">
        <f t="shared" si="4"/>
        <v>465223.7608333333</v>
      </c>
      <c r="Y16" s="25">
        <f t="shared" si="4"/>
        <v>465223.7608333333</v>
      </c>
      <c r="Z16" s="25">
        <f t="shared" si="4"/>
        <v>465223.7608333333</v>
      </c>
      <c r="AA16" s="25">
        <f t="shared" si="4"/>
        <v>465223.7608333333</v>
      </c>
      <c r="AB16" s="25">
        <f t="shared" si="4"/>
        <v>465223.7608333333</v>
      </c>
      <c r="AC16" s="26"/>
      <c r="AD16" s="25">
        <f>AD8-AD14</f>
        <v>30369405.979166664</v>
      </c>
    </row>
    <row r="17" spans="1:30" x14ac:dyDescent="0.35">
      <c r="A17" s="14"/>
      <c r="B17" s="14"/>
      <c r="C17" s="14"/>
      <c r="D17" s="27">
        <f t="shared" ref="D17:AB17" si="5">D16/D8</f>
        <v>0.553837810515873</v>
      </c>
      <c r="E17" s="27">
        <f t="shared" si="5"/>
        <v>0.553837810515873</v>
      </c>
      <c r="F17" s="27">
        <f t="shared" si="5"/>
        <v>0.553837810515873</v>
      </c>
      <c r="G17" s="27">
        <f t="shared" si="5"/>
        <v>0.553837810515873</v>
      </c>
      <c r="H17" s="27">
        <f t="shared" si="5"/>
        <v>0.553837810515873</v>
      </c>
      <c r="I17" s="27">
        <f t="shared" si="5"/>
        <v>0.553837810515873</v>
      </c>
      <c r="J17" s="27">
        <f t="shared" si="5"/>
        <v>0.553837810515873</v>
      </c>
      <c r="K17" s="27">
        <f t="shared" si="5"/>
        <v>0.553837810515873</v>
      </c>
      <c r="L17" s="27">
        <f t="shared" si="5"/>
        <v>0.553837810515873</v>
      </c>
      <c r="M17" s="27">
        <f t="shared" si="5"/>
        <v>0.553837810515873</v>
      </c>
      <c r="N17" s="27">
        <f t="shared" si="5"/>
        <v>0.553837810515873</v>
      </c>
      <c r="O17" s="27">
        <f t="shared" si="5"/>
        <v>0.553837810515873</v>
      </c>
      <c r="P17" s="27">
        <f t="shared" si="5"/>
        <v>0.553837810515873</v>
      </c>
      <c r="Q17" s="27">
        <f t="shared" si="5"/>
        <v>0.553837810515873</v>
      </c>
      <c r="R17" s="27">
        <f t="shared" si="5"/>
        <v>0.553837810515873</v>
      </c>
      <c r="S17" s="27">
        <f t="shared" si="5"/>
        <v>0.553837810515873</v>
      </c>
      <c r="T17" s="27">
        <f t="shared" si="5"/>
        <v>0.553837810515873</v>
      </c>
      <c r="U17" s="27">
        <f t="shared" si="5"/>
        <v>0.553837810515873</v>
      </c>
      <c r="V17" s="27">
        <f t="shared" si="5"/>
        <v>0.553837810515873</v>
      </c>
      <c r="W17" s="27">
        <f t="shared" si="5"/>
        <v>0.553837810515873</v>
      </c>
      <c r="X17" s="27">
        <f t="shared" si="5"/>
        <v>0.553837810515873</v>
      </c>
      <c r="Y17" s="27">
        <f t="shared" si="5"/>
        <v>0.553837810515873</v>
      </c>
      <c r="Z17" s="27">
        <f t="shared" si="5"/>
        <v>0.553837810515873</v>
      </c>
      <c r="AA17" s="27">
        <f t="shared" si="5"/>
        <v>0.553837810515873</v>
      </c>
      <c r="AB17" s="27">
        <f t="shared" si="5"/>
        <v>0.553837810515873</v>
      </c>
      <c r="AC17" s="27"/>
      <c r="AD17" s="27">
        <f>AD16/AD8</f>
        <v>1.4461621894841268</v>
      </c>
    </row>
    <row r="18" spans="1:30" x14ac:dyDescent="0.35">
      <c r="A18" s="4"/>
      <c r="B18" s="4"/>
      <c r="C18" s="4"/>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x14ac:dyDescent="0.35">
      <c r="A19" s="4" t="s">
        <v>63</v>
      </c>
      <c r="B19" s="4"/>
      <c r="C19" s="4"/>
      <c r="D19" s="19">
        <f>-'100% Solar Summary'!$B$22/'100% Solar Summary'!$R$9</f>
        <v>-442302.5566666667</v>
      </c>
      <c r="E19" s="19">
        <f>-'100% Solar Summary'!$B$22/'100% Solar Summary'!$R$9</f>
        <v>-442302.5566666667</v>
      </c>
      <c r="F19" s="19">
        <f>-'100% Solar Summary'!$B$22/'100% Solar Summary'!$R$9</f>
        <v>-442302.5566666667</v>
      </c>
      <c r="G19" s="19">
        <f>-'100% Solar Summary'!$B$22/'100% Solar Summary'!$R$9</f>
        <v>-442302.5566666667</v>
      </c>
      <c r="H19" s="19">
        <f>-'100% Solar Summary'!$B$22/'100% Solar Summary'!$R$9</f>
        <v>-442302.5566666667</v>
      </c>
      <c r="I19" s="19">
        <f>-'100% Solar Summary'!$B$22/'100% Solar Summary'!$R$9</f>
        <v>-442302.5566666667</v>
      </c>
      <c r="J19" s="19">
        <f>-'100% Solar Summary'!$B$22/'100% Solar Summary'!$R$9</f>
        <v>-442302.5566666667</v>
      </c>
      <c r="K19" s="19">
        <f>-'100% Solar Summary'!$B$22/'100% Solar Summary'!$R$9</f>
        <v>-442302.5566666667</v>
      </c>
      <c r="L19" s="19">
        <f>-'100% Solar Summary'!$B$22/'100% Solar Summary'!$R$9</f>
        <v>-442302.5566666667</v>
      </c>
      <c r="M19" s="19">
        <f>-'100% Solar Summary'!$B$22/'100% Solar Summary'!$R$9</f>
        <v>-442302.5566666667</v>
      </c>
      <c r="N19" s="19">
        <f>-'100% Solar Summary'!$B$22/'100% Solar Summary'!$R$9</f>
        <v>-442302.5566666667</v>
      </c>
      <c r="O19" s="19">
        <f>-'100% Solar Summary'!$B$22/'100% Solar Summary'!$R$9</f>
        <v>-442302.5566666667</v>
      </c>
      <c r="P19" s="19">
        <f>-'100% Solar Summary'!$B$22/'100% Solar Summary'!$R$9</f>
        <v>-442302.5566666667</v>
      </c>
      <c r="Q19" s="19">
        <f>-'100% Solar Summary'!$B$22/'100% Solar Summary'!$R$9</f>
        <v>-442302.5566666667</v>
      </c>
      <c r="R19" s="19">
        <f>-'100% Solar Summary'!$B$22/'100% Solar Summary'!$R$9</f>
        <v>-442302.5566666667</v>
      </c>
      <c r="S19" s="19">
        <f>-'100% Solar Summary'!$B$22/'100% Solar Summary'!$R$9</f>
        <v>-442302.5566666667</v>
      </c>
      <c r="T19" s="19">
        <f>-'100% Solar Summary'!$B$22/'100% Solar Summary'!$R$9</f>
        <v>-442302.5566666667</v>
      </c>
      <c r="U19" s="19">
        <f>-'100% Solar Summary'!$B$22/'100% Solar Summary'!$R$9</f>
        <v>-442302.5566666667</v>
      </c>
      <c r="V19" s="19">
        <f>-'100% Solar Summary'!$B$22/'100% Solar Summary'!$R$9</f>
        <v>-442302.5566666667</v>
      </c>
      <c r="W19" s="19">
        <f>-'100% Solar Summary'!$B$22/'100% Solar Summary'!$R$9</f>
        <v>-442302.5566666667</v>
      </c>
      <c r="X19" s="19">
        <f>-'100% Solar Summary'!$B$22/'100% Solar Summary'!$R$9</f>
        <v>-442302.5566666667</v>
      </c>
      <c r="Y19" s="19">
        <f>-'100% Solar Summary'!$B$22/'100% Solar Summary'!$R$9</f>
        <v>-442302.5566666667</v>
      </c>
      <c r="Z19" s="19">
        <f>-'100% Solar Summary'!$B$22/'100% Solar Summary'!$R$9</f>
        <v>-442302.5566666667</v>
      </c>
      <c r="AA19" s="19">
        <f>-'100% Solar Summary'!$B$22/'100% Solar Summary'!$R$9</f>
        <v>-442302.5566666667</v>
      </c>
      <c r="AB19" s="19">
        <f>-'100% Solar Summary'!$B$22/'100% Solar Summary'!$R$9</f>
        <v>-442302.5566666667</v>
      </c>
      <c r="AC19" s="19"/>
      <c r="AD19" s="19">
        <f t="shared" ref="AD19" si="6">SUM(D19:AC19)</f>
        <v>-11057563.916666668</v>
      </c>
    </row>
    <row r="20" spans="1:30" x14ac:dyDescent="0.35">
      <c r="A20" s="4"/>
      <c r="B20" s="4"/>
      <c r="C20" s="4"/>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1:30" x14ac:dyDescent="0.35">
      <c r="A21" s="16" t="s">
        <v>50</v>
      </c>
      <c r="B21" s="16"/>
      <c r="C21" s="16"/>
      <c r="D21" s="25">
        <f>+D16+D19</f>
        <v>22921.204166666605</v>
      </c>
      <c r="E21" s="25">
        <f t="shared" ref="E21:AB21" si="7">+E16+E19</f>
        <v>22921.204166666605</v>
      </c>
      <c r="F21" s="25">
        <f t="shared" si="7"/>
        <v>22921.204166666605</v>
      </c>
      <c r="G21" s="25">
        <f t="shared" si="7"/>
        <v>22921.204166666605</v>
      </c>
      <c r="H21" s="25">
        <f t="shared" si="7"/>
        <v>22921.204166666605</v>
      </c>
      <c r="I21" s="25">
        <f t="shared" si="7"/>
        <v>22921.204166666605</v>
      </c>
      <c r="J21" s="25">
        <f t="shared" si="7"/>
        <v>22921.204166666605</v>
      </c>
      <c r="K21" s="25">
        <f t="shared" si="7"/>
        <v>22921.204166666605</v>
      </c>
      <c r="L21" s="25">
        <f t="shared" si="7"/>
        <v>22921.204166666605</v>
      </c>
      <c r="M21" s="25">
        <f t="shared" si="7"/>
        <v>22921.204166666605</v>
      </c>
      <c r="N21" s="25">
        <f t="shared" si="7"/>
        <v>22921.204166666605</v>
      </c>
      <c r="O21" s="25">
        <f t="shared" si="7"/>
        <v>22921.204166666605</v>
      </c>
      <c r="P21" s="25">
        <f t="shared" si="7"/>
        <v>22921.204166666605</v>
      </c>
      <c r="Q21" s="25">
        <f t="shared" si="7"/>
        <v>22921.204166666605</v>
      </c>
      <c r="R21" s="25">
        <f t="shared" si="7"/>
        <v>22921.204166666605</v>
      </c>
      <c r="S21" s="25">
        <f t="shared" si="7"/>
        <v>22921.204166666605</v>
      </c>
      <c r="T21" s="25">
        <f t="shared" si="7"/>
        <v>22921.204166666605</v>
      </c>
      <c r="U21" s="25">
        <f t="shared" si="7"/>
        <v>22921.204166666605</v>
      </c>
      <c r="V21" s="25">
        <f t="shared" si="7"/>
        <v>22921.204166666605</v>
      </c>
      <c r="W21" s="25">
        <f t="shared" si="7"/>
        <v>22921.204166666605</v>
      </c>
      <c r="X21" s="25">
        <f t="shared" si="7"/>
        <v>22921.204166666605</v>
      </c>
      <c r="Y21" s="25">
        <f t="shared" si="7"/>
        <v>22921.204166666605</v>
      </c>
      <c r="Z21" s="25">
        <f t="shared" si="7"/>
        <v>22921.204166666605</v>
      </c>
      <c r="AA21" s="25">
        <f t="shared" si="7"/>
        <v>22921.204166666605</v>
      </c>
      <c r="AB21" s="25">
        <f t="shared" si="7"/>
        <v>22921.204166666605</v>
      </c>
      <c r="AC21" s="26"/>
      <c r="AD21" s="25">
        <f t="shared" ref="AD21" si="8">+AD16-AD19</f>
        <v>41426969.895833328</v>
      </c>
    </row>
    <row r="22" spans="1:30" x14ac:dyDescent="0.35">
      <c r="A22" s="4"/>
      <c r="B22" s="4"/>
      <c r="C22" s="4"/>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1:30" x14ac:dyDescent="0.35">
      <c r="A23" s="4" t="s">
        <v>51</v>
      </c>
      <c r="B23" s="4"/>
      <c r="C23" s="4"/>
      <c r="D23" s="19">
        <f>'100% Solar Interest Calculation'!E14</f>
        <v>-829317.29375000007</v>
      </c>
      <c r="E23" s="19">
        <f>'100% Solar Interest Calculation'!F14</f>
        <v>-817117.47934843821</v>
      </c>
      <c r="F23" s="19">
        <f>'100% Solar Interest Calculation'!G14</f>
        <v>-804002.67886675929</v>
      </c>
      <c r="G23" s="19">
        <f>'100% Solar Interest Calculation'!H14</f>
        <v>-789904.2683489545</v>
      </c>
      <c r="H23" s="19">
        <f>'100% Solar Interest Calculation'!I14</f>
        <v>-774748.47704231436</v>
      </c>
      <c r="I23" s="19">
        <f>'100% Solar Interest Calculation'!J14</f>
        <v>-758456.00138767611</v>
      </c>
      <c r="J23" s="19">
        <f>'100% Solar Interest Calculation'!K14</f>
        <v>-740941.59005894011</v>
      </c>
      <c r="K23" s="19">
        <f>'100% Solar Interest Calculation'!L14</f>
        <v>-722113.5978805488</v>
      </c>
      <c r="L23" s="19">
        <f>'100% Solar Interest Calculation'!M14</f>
        <v>-701873.50628877815</v>
      </c>
      <c r="M23" s="19">
        <f>'100% Solar Interest Calculation'!N14</f>
        <v>-680115.4078276247</v>
      </c>
      <c r="N23" s="19">
        <f>'100% Solar Interest Calculation'!O14</f>
        <v>-656725.45198188478</v>
      </c>
      <c r="O23" s="19">
        <f>'100% Solar Interest Calculation'!P14</f>
        <v>-631581.24944771442</v>
      </c>
      <c r="P23" s="19">
        <f>'100% Solar Interest Calculation'!Q14</f>
        <v>-604551.23172348132</v>
      </c>
      <c r="Q23" s="19">
        <f>'100% Solar Interest Calculation'!R14</f>
        <v>-575493.96266993065</v>
      </c>
      <c r="R23" s="19">
        <f>'100% Solar Interest Calculation'!S14</f>
        <v>-544257.39843736368</v>
      </c>
      <c r="S23" s="19">
        <f>'100% Solar Interest Calculation'!T14</f>
        <v>-510678.09188735427</v>
      </c>
      <c r="T23" s="19">
        <f>'100% Solar Interest Calculation'!U14</f>
        <v>-474580.33734609402</v>
      </c>
      <c r="U23" s="19">
        <f>'100% Solar Interest Calculation'!V14</f>
        <v>-435775.25121423934</v>
      </c>
      <c r="V23" s="19">
        <f>'100% Solar Interest Calculation'!W14</f>
        <v>-394059.78362249554</v>
      </c>
      <c r="W23" s="19">
        <f>'100% Solar Interest Calculation'!X14</f>
        <v>-349215.65596137097</v>
      </c>
      <c r="X23" s="19">
        <f>'100% Solar Interest Calculation'!Y14</f>
        <v>-301008.21872566204</v>
      </c>
      <c r="Y23" s="19">
        <f>'100% Solar Interest Calculation'!Z14</f>
        <v>-249185.22369727492</v>
      </c>
      <c r="Z23" s="19">
        <f>'100% Solar Interest Calculation'!AA14</f>
        <v>-193475.50404175877</v>
      </c>
      <c r="AA23" s="19">
        <f>'100% Solar Interest Calculation'!AB14</f>
        <v>-133587.55541207895</v>
      </c>
      <c r="AB23" s="19">
        <f>'100% Solar Interest Calculation'!AC14</f>
        <v>-69208.010635173108</v>
      </c>
      <c r="AC23" s="19"/>
      <c r="AD23" s="19">
        <f t="shared" ref="AD23" si="9">SUM(D23:AC23)</f>
        <v>-13741973.227603912</v>
      </c>
    </row>
    <row r="24" spans="1:30" x14ac:dyDescent="0.35">
      <c r="A24" s="4"/>
      <c r="B24" s="4"/>
      <c r="C24" s="4"/>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15" thickBot="1" x14ac:dyDescent="0.4">
      <c r="A25" s="16" t="s">
        <v>54</v>
      </c>
      <c r="B25" s="16"/>
      <c r="C25" s="16"/>
      <c r="D25" s="28">
        <f>+D21+D23</f>
        <v>-806396.08958333347</v>
      </c>
      <c r="E25" s="28">
        <f t="shared" ref="E25:AB25" si="10">+E21+E23</f>
        <v>-794196.27518177161</v>
      </c>
      <c r="F25" s="28">
        <f t="shared" si="10"/>
        <v>-781081.47470009269</v>
      </c>
      <c r="G25" s="28">
        <f t="shared" si="10"/>
        <v>-766983.0641822879</v>
      </c>
      <c r="H25" s="28">
        <f t="shared" si="10"/>
        <v>-751827.27287564776</v>
      </c>
      <c r="I25" s="28">
        <f t="shared" si="10"/>
        <v>-735534.7972210095</v>
      </c>
      <c r="J25" s="28">
        <f t="shared" si="10"/>
        <v>-718020.38589227351</v>
      </c>
      <c r="K25" s="28">
        <f t="shared" si="10"/>
        <v>-699192.39371388219</v>
      </c>
      <c r="L25" s="28">
        <f t="shared" si="10"/>
        <v>-678952.30212211155</v>
      </c>
      <c r="M25" s="28">
        <f t="shared" si="10"/>
        <v>-657194.2036609581</v>
      </c>
      <c r="N25" s="28">
        <f t="shared" si="10"/>
        <v>-633804.24781521817</v>
      </c>
      <c r="O25" s="28">
        <f t="shared" si="10"/>
        <v>-608660.04528104782</v>
      </c>
      <c r="P25" s="28">
        <f t="shared" si="10"/>
        <v>-581630.02755681472</v>
      </c>
      <c r="Q25" s="28">
        <f t="shared" si="10"/>
        <v>-552572.75850326405</v>
      </c>
      <c r="R25" s="28">
        <f t="shared" si="10"/>
        <v>-521336.19427069707</v>
      </c>
      <c r="S25" s="28">
        <f t="shared" si="10"/>
        <v>-487756.88772068766</v>
      </c>
      <c r="T25" s="28">
        <f t="shared" si="10"/>
        <v>-451659.13317942742</v>
      </c>
      <c r="U25" s="28">
        <f t="shared" si="10"/>
        <v>-412854.04704757273</v>
      </c>
      <c r="V25" s="28">
        <f t="shared" si="10"/>
        <v>-371138.57945582893</v>
      </c>
      <c r="W25" s="28">
        <f t="shared" si="10"/>
        <v>-326294.45179470436</v>
      </c>
      <c r="X25" s="28">
        <f t="shared" si="10"/>
        <v>-278087.01455899543</v>
      </c>
      <c r="Y25" s="28">
        <f t="shared" si="10"/>
        <v>-226264.01953060832</v>
      </c>
      <c r="Z25" s="28">
        <f t="shared" si="10"/>
        <v>-170554.29987509217</v>
      </c>
      <c r="AA25" s="28">
        <f t="shared" si="10"/>
        <v>-110666.35124541234</v>
      </c>
      <c r="AB25" s="28">
        <f t="shared" si="10"/>
        <v>-46286.806468506504</v>
      </c>
      <c r="AC25" s="19"/>
      <c r="AD25" s="25">
        <f t="shared" ref="AD25" si="11">+AD21-AD23</f>
        <v>55168943.123437241</v>
      </c>
    </row>
    <row r="26" spans="1:30" ht="15" thickTop="1" x14ac:dyDescent="0.35">
      <c r="A26" s="4"/>
      <c r="B26" s="4"/>
      <c r="C26" s="4"/>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row>
    <row r="27" spans="1:30" x14ac:dyDescent="0.35">
      <c r="D27" s="45">
        <f>D25/3000000*100</f>
        <v>-26.879869652777781</v>
      </c>
      <c r="E27" s="45">
        <f t="shared" ref="E27:AB27" si="12">E25/3000000*100</f>
        <v>-26.473209172725721</v>
      </c>
      <c r="F27" s="45">
        <f t="shared" si="12"/>
        <v>-26.036049156669755</v>
      </c>
      <c r="G27" s="45">
        <f t="shared" si="12"/>
        <v>-25.566102139409598</v>
      </c>
      <c r="H27" s="45">
        <f t="shared" si="12"/>
        <v>-25.060909095854928</v>
      </c>
      <c r="I27" s="45">
        <f t="shared" si="12"/>
        <v>-24.517826574033649</v>
      </c>
      <c r="J27" s="45">
        <f t="shared" si="12"/>
        <v>-23.934012863075786</v>
      </c>
      <c r="K27" s="45">
        <f t="shared" si="12"/>
        <v>-23.306413123796073</v>
      </c>
      <c r="L27" s="45">
        <f t="shared" si="12"/>
        <v>-22.631743404070384</v>
      </c>
      <c r="M27" s="45">
        <f t="shared" si="12"/>
        <v>-21.906473455365269</v>
      </c>
      <c r="N27" s="45">
        <f t="shared" si="12"/>
        <v>-21.126808260507275</v>
      </c>
      <c r="O27" s="45">
        <f t="shared" si="12"/>
        <v>-20.288668176034928</v>
      </c>
      <c r="P27" s="45">
        <f t="shared" si="12"/>
        <v>-19.38766758522716</v>
      </c>
      <c r="Q27" s="45">
        <f t="shared" si="12"/>
        <v>-18.4190919501088</v>
      </c>
      <c r="R27" s="45">
        <f t="shared" si="12"/>
        <v>-17.37787314235657</v>
      </c>
      <c r="S27" s="45">
        <f t="shared" si="12"/>
        <v>-16.258562924022925</v>
      </c>
      <c r="T27" s="45">
        <f t="shared" si="12"/>
        <v>-15.055304439314247</v>
      </c>
      <c r="U27" s="45">
        <f t="shared" si="12"/>
        <v>-13.761801568252425</v>
      </c>
      <c r="V27" s="45">
        <f t="shared" si="12"/>
        <v>-12.371285981860964</v>
      </c>
      <c r="W27" s="45">
        <f t="shared" si="12"/>
        <v>-10.876481726490146</v>
      </c>
      <c r="X27" s="45">
        <f t="shared" si="12"/>
        <v>-9.2695671519665144</v>
      </c>
      <c r="Y27" s="45">
        <f t="shared" si="12"/>
        <v>-7.5421339843536108</v>
      </c>
      <c r="Z27" s="45">
        <f t="shared" si="12"/>
        <v>-5.6851433291697386</v>
      </c>
      <c r="AA27" s="45">
        <f t="shared" si="12"/>
        <v>-3.6888783748470781</v>
      </c>
      <c r="AB27" s="45">
        <f t="shared" si="12"/>
        <v>-1.5428935489502167</v>
      </c>
    </row>
  </sheetData>
  <sheetProtection algorithmName="SHA-512" hashValue="DHFffYECG+Lxc0xkCgEPNaGkWeZKTQF4AKTD7hNlxIJsJ+y9563DVAHGu7A38hHi+IZLADU0LCLEshGYxKMkmg==" saltValue="wAM2STFpwRRW4JYglb9p2w==" spinCount="100000" sheet="1" objects="1" scenarios="1" selectLockedCells="1" selectUnlockedCells="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F04D1-0B21-496C-8FA9-8F66D91D3E3C}">
  <dimension ref="A1:O64"/>
  <sheetViews>
    <sheetView workbookViewId="0">
      <selection activeCell="F9" sqref="F9"/>
    </sheetView>
  </sheetViews>
  <sheetFormatPr defaultRowHeight="14.5" x14ac:dyDescent="0.35"/>
  <cols>
    <col min="2" max="2" width="60" customWidth="1"/>
    <col min="3" max="3" width="10.453125" customWidth="1"/>
    <col min="5" max="5" width="14" bestFit="1" customWidth="1"/>
    <col min="6" max="6" width="11" customWidth="1"/>
    <col min="8" max="8" width="14" bestFit="1" customWidth="1"/>
    <col min="9" max="9" width="12.7265625" customWidth="1"/>
    <col min="11" max="11" width="11.54296875" customWidth="1"/>
    <col min="12" max="12" width="11.26953125" customWidth="1"/>
    <col min="14" max="14" width="10.453125" customWidth="1"/>
    <col min="15" max="15" width="11.54296875" customWidth="1"/>
  </cols>
  <sheetData>
    <row r="1" spans="1:15" ht="15" thickBot="1" x14ac:dyDescent="0.4">
      <c r="A1" s="171"/>
      <c r="B1" s="171"/>
      <c r="C1" s="171"/>
      <c r="D1" s="171"/>
      <c r="E1" s="171"/>
      <c r="F1" s="171"/>
      <c r="G1" s="171"/>
      <c r="H1" s="171"/>
      <c r="I1" s="171"/>
      <c r="J1" s="171"/>
      <c r="K1" s="171"/>
      <c r="L1" s="171"/>
      <c r="M1" s="171"/>
      <c r="N1" s="171"/>
      <c r="O1" s="171"/>
    </row>
    <row r="2" spans="1:15" ht="26.25" customHeight="1" thickBot="1" x14ac:dyDescent="0.4">
      <c r="A2" s="171"/>
      <c r="B2" s="172"/>
      <c r="C2" s="173"/>
      <c r="D2" s="171"/>
      <c r="E2" s="444" t="s">
        <v>271</v>
      </c>
      <c r="F2" s="445"/>
      <c r="G2" s="227"/>
      <c r="H2" s="444" t="s">
        <v>272</v>
      </c>
      <c r="I2" s="445"/>
      <c r="J2" s="228"/>
      <c r="K2" s="442" t="s">
        <v>273</v>
      </c>
      <c r="L2" s="443"/>
      <c r="M2" s="228"/>
      <c r="N2" s="442" t="s">
        <v>274</v>
      </c>
      <c r="O2" s="443"/>
    </row>
    <row r="3" spans="1:15" x14ac:dyDescent="0.35">
      <c r="A3" s="171"/>
      <c r="B3" s="174" t="s">
        <v>165</v>
      </c>
      <c r="C3" s="175"/>
      <c r="D3" s="171"/>
      <c r="E3" s="176"/>
      <c r="F3" s="175"/>
      <c r="G3" s="171"/>
      <c r="H3" s="176"/>
      <c r="I3" s="177"/>
      <c r="J3" s="171"/>
      <c r="K3" s="176"/>
      <c r="L3" s="175"/>
      <c r="M3" s="178"/>
      <c r="N3" s="179"/>
      <c r="O3" s="175"/>
    </row>
    <row r="4" spans="1:15" x14ac:dyDescent="0.35">
      <c r="A4" s="171"/>
      <c r="B4" s="174" t="s">
        <v>166</v>
      </c>
      <c r="C4" s="180" t="s">
        <v>168</v>
      </c>
      <c r="D4" s="171"/>
      <c r="E4" s="181" t="s">
        <v>167</v>
      </c>
      <c r="F4" s="182" t="s">
        <v>6</v>
      </c>
      <c r="G4" s="183"/>
      <c r="H4" s="181" t="s">
        <v>167</v>
      </c>
      <c r="I4" s="182" t="s">
        <v>6</v>
      </c>
      <c r="J4" s="183"/>
      <c r="K4" s="181" t="s">
        <v>167</v>
      </c>
      <c r="L4" s="182" t="s">
        <v>6</v>
      </c>
      <c r="M4" s="184"/>
      <c r="N4" s="181" t="s">
        <v>167</v>
      </c>
      <c r="O4" s="182" t="s">
        <v>6</v>
      </c>
    </row>
    <row r="5" spans="1:15" ht="15" x14ac:dyDescent="0.35">
      <c r="A5" s="171"/>
      <c r="B5" s="176" t="s">
        <v>249</v>
      </c>
      <c r="C5" s="185">
        <v>26500</v>
      </c>
      <c r="D5" s="171"/>
      <c r="E5" s="176">
        <v>11</v>
      </c>
      <c r="F5" s="185">
        <f t="shared" ref="F5:F10" si="0">E5*C5</f>
        <v>291500</v>
      </c>
      <c r="G5" s="171"/>
      <c r="H5" s="176">
        <v>11</v>
      </c>
      <c r="I5" s="185">
        <f t="shared" ref="I5:I10" si="1">H5*C5</f>
        <v>291500</v>
      </c>
      <c r="J5" s="171"/>
      <c r="K5" s="186">
        <v>7</v>
      </c>
      <c r="L5" s="185">
        <f t="shared" ref="L5:L10" si="2">K5*C5</f>
        <v>185500</v>
      </c>
      <c r="M5" s="178"/>
      <c r="N5" s="187"/>
      <c r="O5" s="185">
        <f t="shared" ref="O5:O10" si="3">N5*C5</f>
        <v>0</v>
      </c>
    </row>
    <row r="6" spans="1:15" x14ac:dyDescent="0.35">
      <c r="A6" s="171"/>
      <c r="B6" s="176" t="s">
        <v>247</v>
      </c>
      <c r="C6" s="185">
        <v>15600</v>
      </c>
      <c r="D6" s="171"/>
      <c r="E6" s="176">
        <v>10.5</v>
      </c>
      <c r="F6" s="185">
        <f t="shared" si="0"/>
        <v>163800</v>
      </c>
      <c r="G6" s="171"/>
      <c r="H6" s="176">
        <v>0</v>
      </c>
      <c r="I6" s="185">
        <f t="shared" si="1"/>
        <v>0</v>
      </c>
      <c r="J6" s="171"/>
      <c r="K6" s="176">
        <v>10.5</v>
      </c>
      <c r="L6" s="185">
        <f>K6*C6</f>
        <v>163800</v>
      </c>
      <c r="M6" s="178"/>
      <c r="N6" s="176">
        <v>22</v>
      </c>
      <c r="O6" s="185">
        <f t="shared" si="3"/>
        <v>343200</v>
      </c>
    </row>
    <row r="7" spans="1:15" x14ac:dyDescent="0.35">
      <c r="A7" s="171"/>
      <c r="B7" s="176" t="s">
        <v>248</v>
      </c>
      <c r="C7" s="185">
        <v>15600</v>
      </c>
      <c r="D7" s="171"/>
      <c r="E7" s="176">
        <v>0</v>
      </c>
      <c r="F7" s="185">
        <f t="shared" si="0"/>
        <v>0</v>
      </c>
      <c r="G7" s="171"/>
      <c r="H7" s="176">
        <v>0</v>
      </c>
      <c r="I7" s="185">
        <f t="shared" si="1"/>
        <v>0</v>
      </c>
      <c r="J7" s="171"/>
      <c r="K7" s="176">
        <v>5</v>
      </c>
      <c r="L7" s="185">
        <f t="shared" si="2"/>
        <v>78000</v>
      </c>
      <c r="M7" s="178"/>
      <c r="N7" s="176">
        <v>0</v>
      </c>
      <c r="O7" s="185">
        <f t="shared" si="3"/>
        <v>0</v>
      </c>
    </row>
    <row r="8" spans="1:15" x14ac:dyDescent="0.35">
      <c r="A8" s="171"/>
      <c r="B8" s="176" t="s">
        <v>250</v>
      </c>
      <c r="C8" s="185">
        <v>4000</v>
      </c>
      <c r="D8" s="171"/>
      <c r="E8" s="176">
        <v>3</v>
      </c>
      <c r="F8" s="185">
        <f t="shared" si="0"/>
        <v>12000</v>
      </c>
      <c r="G8" s="189"/>
      <c r="H8" s="176">
        <v>0</v>
      </c>
      <c r="I8" s="185">
        <f t="shared" si="1"/>
        <v>0</v>
      </c>
      <c r="J8" s="188"/>
      <c r="K8" s="176">
        <v>3</v>
      </c>
      <c r="L8" s="185">
        <f t="shared" si="2"/>
        <v>12000</v>
      </c>
      <c r="M8" s="178"/>
      <c r="N8" s="176">
        <v>3</v>
      </c>
      <c r="O8" s="185">
        <f t="shared" si="3"/>
        <v>12000</v>
      </c>
    </row>
    <row r="9" spans="1:15" x14ac:dyDescent="0.35">
      <c r="A9" s="171"/>
      <c r="B9" s="176" t="s">
        <v>251</v>
      </c>
      <c r="C9" s="185">
        <v>2000</v>
      </c>
      <c r="D9" s="171"/>
      <c r="E9" s="176">
        <v>12</v>
      </c>
      <c r="F9" s="185">
        <f t="shared" si="0"/>
        <v>24000</v>
      </c>
      <c r="G9" s="189"/>
      <c r="H9" s="176">
        <v>0</v>
      </c>
      <c r="I9" s="185">
        <f t="shared" si="1"/>
        <v>0</v>
      </c>
      <c r="J9" s="188"/>
      <c r="K9" s="176">
        <v>12</v>
      </c>
      <c r="L9" s="185">
        <f t="shared" si="2"/>
        <v>24000</v>
      </c>
      <c r="M9" s="178"/>
      <c r="N9" s="176">
        <v>12</v>
      </c>
      <c r="O9" s="185">
        <f t="shared" si="3"/>
        <v>24000</v>
      </c>
    </row>
    <row r="10" spans="1:15" x14ac:dyDescent="0.35">
      <c r="A10" s="171"/>
      <c r="B10" s="176" t="s">
        <v>252</v>
      </c>
      <c r="C10" s="185">
        <v>2000</v>
      </c>
      <c r="D10" s="171"/>
      <c r="E10" s="176">
        <v>15</v>
      </c>
      <c r="F10" s="185">
        <f t="shared" si="0"/>
        <v>30000</v>
      </c>
      <c r="G10" s="171"/>
      <c r="H10" s="176">
        <v>0</v>
      </c>
      <c r="I10" s="185">
        <f t="shared" si="1"/>
        <v>0</v>
      </c>
      <c r="J10" s="188"/>
      <c r="K10" s="176">
        <v>15</v>
      </c>
      <c r="L10" s="185">
        <f t="shared" si="2"/>
        <v>30000</v>
      </c>
      <c r="M10" s="178"/>
      <c r="N10" s="176">
        <v>15</v>
      </c>
      <c r="O10" s="185">
        <f t="shared" si="3"/>
        <v>30000</v>
      </c>
    </row>
    <row r="11" spans="1:15" ht="15" thickBot="1" x14ac:dyDescent="0.4">
      <c r="A11" s="171"/>
      <c r="B11" s="176" t="s">
        <v>253</v>
      </c>
      <c r="C11" s="224">
        <v>0.1</v>
      </c>
      <c r="D11" s="171"/>
      <c r="E11" s="190">
        <v>0.1</v>
      </c>
      <c r="F11" s="191">
        <f>SUM(F5:F10)*C11</f>
        <v>52130</v>
      </c>
      <c r="G11" s="171"/>
      <c r="H11" s="190"/>
      <c r="I11" s="191">
        <f>SUM(I5:I10)*C11</f>
        <v>29150</v>
      </c>
      <c r="J11" s="188"/>
      <c r="K11" s="190"/>
      <c r="L11" s="191">
        <f>SUM(L5:L10)*C11</f>
        <v>49330</v>
      </c>
      <c r="M11" s="189"/>
      <c r="N11" s="190"/>
      <c r="O11" s="191">
        <f>SUM(O6:O10)*C11</f>
        <v>40920</v>
      </c>
    </row>
    <row r="12" spans="1:15" ht="15" thickTop="1" x14ac:dyDescent="0.35">
      <c r="A12" s="171"/>
      <c r="B12" s="176" t="s">
        <v>169</v>
      </c>
      <c r="C12" s="185"/>
      <c r="D12" s="171"/>
      <c r="E12" s="176"/>
      <c r="F12" s="185">
        <f>SUM(F5:F11)</f>
        <v>573430</v>
      </c>
      <c r="G12" s="171"/>
      <c r="H12" s="176">
        <v>0</v>
      </c>
      <c r="I12" s="185">
        <f>SUM(I5:I11)</f>
        <v>320650</v>
      </c>
      <c r="J12" s="188"/>
      <c r="K12" s="176"/>
      <c r="L12" s="185">
        <f>SUM(L5:L11)</f>
        <v>542630</v>
      </c>
      <c r="M12" s="178"/>
      <c r="N12" s="179"/>
      <c r="O12" s="185">
        <f>SUM(O6:O11)</f>
        <v>450120</v>
      </c>
    </row>
    <row r="13" spans="1:15" x14ac:dyDescent="0.35">
      <c r="A13" s="171"/>
      <c r="B13" s="176"/>
      <c r="C13" s="185"/>
      <c r="D13" s="171"/>
      <c r="E13" s="176"/>
      <c r="F13" s="185"/>
      <c r="G13" s="171"/>
      <c r="H13" s="176"/>
      <c r="I13" s="185"/>
      <c r="J13" s="188"/>
      <c r="K13" s="176"/>
      <c r="L13" s="175"/>
      <c r="M13" s="178"/>
      <c r="N13" s="179"/>
      <c r="O13" s="175"/>
    </row>
    <row r="14" spans="1:15" x14ac:dyDescent="0.35">
      <c r="A14" s="171"/>
      <c r="B14" s="174" t="s">
        <v>170</v>
      </c>
      <c r="C14" s="185"/>
      <c r="D14" s="171"/>
      <c r="E14" s="176"/>
      <c r="F14" s="185"/>
      <c r="G14" s="171"/>
      <c r="H14" s="176"/>
      <c r="I14" s="185"/>
      <c r="J14" s="188"/>
      <c r="K14" s="176"/>
      <c r="L14" s="175"/>
      <c r="M14" s="178"/>
      <c r="N14" s="179"/>
      <c r="O14" s="175"/>
    </row>
    <row r="15" spans="1:15" x14ac:dyDescent="0.35">
      <c r="A15" s="171"/>
      <c r="B15" s="176" t="s">
        <v>189</v>
      </c>
      <c r="C15" s="185">
        <v>15000</v>
      </c>
      <c r="D15" s="171"/>
      <c r="E15" s="176">
        <v>29</v>
      </c>
      <c r="F15" s="185">
        <f>E15*C15</f>
        <v>435000</v>
      </c>
      <c r="G15" s="171"/>
      <c r="H15" s="176">
        <v>29</v>
      </c>
      <c r="I15" s="185">
        <f>H15*C15</f>
        <v>435000</v>
      </c>
      <c r="J15" s="188"/>
      <c r="K15" s="176">
        <v>9</v>
      </c>
      <c r="L15" s="185">
        <f>K15*C15</f>
        <v>135000</v>
      </c>
      <c r="M15" s="178"/>
      <c r="N15" s="176"/>
      <c r="O15" s="185">
        <f>N15*C15</f>
        <v>0</v>
      </c>
    </row>
    <row r="16" spans="1:15" x14ac:dyDescent="0.35">
      <c r="A16" s="171"/>
      <c r="B16" s="176" t="s">
        <v>171</v>
      </c>
      <c r="C16" s="206">
        <v>12173</v>
      </c>
      <c r="D16" s="171"/>
      <c r="E16" s="176">
        <v>10</v>
      </c>
      <c r="F16" s="185">
        <f>E16*C16</f>
        <v>121730</v>
      </c>
      <c r="G16" s="171"/>
      <c r="H16" s="176">
        <v>10</v>
      </c>
      <c r="I16" s="185">
        <f>H16*C16</f>
        <v>121730</v>
      </c>
      <c r="J16" s="188"/>
      <c r="K16" s="176">
        <v>6</v>
      </c>
      <c r="L16" s="185">
        <f>K16*C16</f>
        <v>73038</v>
      </c>
      <c r="M16" s="178"/>
      <c r="N16" s="176"/>
      <c r="O16" s="185">
        <f>N16*C16</f>
        <v>0</v>
      </c>
    </row>
    <row r="17" spans="1:15" x14ac:dyDescent="0.35">
      <c r="A17" s="171"/>
      <c r="B17" s="176" t="s">
        <v>172</v>
      </c>
      <c r="C17" s="192">
        <v>9200</v>
      </c>
      <c r="D17" s="171"/>
      <c r="E17" s="176">
        <v>16</v>
      </c>
      <c r="F17" s="185">
        <f>E17*C17</f>
        <v>147200</v>
      </c>
      <c r="G17" s="171"/>
      <c r="H17" s="176">
        <v>16</v>
      </c>
      <c r="I17" s="185">
        <f>H17*C17</f>
        <v>147200</v>
      </c>
      <c r="J17" s="188"/>
      <c r="K17" s="176">
        <v>2</v>
      </c>
      <c r="L17" s="185">
        <f>K17*C17</f>
        <v>18400</v>
      </c>
      <c r="M17" s="178"/>
      <c r="N17" s="176"/>
      <c r="O17" s="185">
        <f>N17*C17</f>
        <v>0</v>
      </c>
    </row>
    <row r="18" spans="1:15" x14ac:dyDescent="0.35">
      <c r="A18" s="171"/>
      <c r="B18" s="176" t="s">
        <v>173</v>
      </c>
      <c r="C18" s="192">
        <v>5000</v>
      </c>
      <c r="D18" s="171"/>
      <c r="E18" s="176">
        <v>0</v>
      </c>
      <c r="F18" s="185">
        <f>E18*C18</f>
        <v>0</v>
      </c>
      <c r="G18" s="171"/>
      <c r="H18" s="176">
        <v>0</v>
      </c>
      <c r="I18" s="185">
        <f>H18*C18</f>
        <v>0</v>
      </c>
      <c r="J18" s="188"/>
      <c r="K18" s="176">
        <v>20</v>
      </c>
      <c r="L18" s="185">
        <f>K18*C18</f>
        <v>100000</v>
      </c>
      <c r="M18" s="178"/>
      <c r="N18" s="176">
        <v>26</v>
      </c>
      <c r="O18" s="185">
        <f>N18*C18</f>
        <v>130000</v>
      </c>
    </row>
    <row r="19" spans="1:15" ht="15" thickBot="1" x14ac:dyDescent="0.4">
      <c r="A19" s="171"/>
      <c r="B19" s="176" t="s">
        <v>253</v>
      </c>
      <c r="C19" s="226">
        <v>0.1</v>
      </c>
      <c r="D19" s="171"/>
      <c r="E19" s="190"/>
      <c r="F19" s="191">
        <f>SUM(F15:F17)*C19</f>
        <v>70393</v>
      </c>
      <c r="G19" s="171"/>
      <c r="H19" s="190"/>
      <c r="I19" s="191">
        <f>SUM(I15:I17)*C19</f>
        <v>70393</v>
      </c>
      <c r="J19" s="188"/>
      <c r="K19" s="190"/>
      <c r="L19" s="191">
        <f>SUM(L15:L18)*C19</f>
        <v>32643.800000000003</v>
      </c>
      <c r="M19" s="178"/>
      <c r="N19" s="190"/>
      <c r="O19" s="191">
        <f>SUM(O15:O18)*C19</f>
        <v>13000</v>
      </c>
    </row>
    <row r="20" spans="1:15" ht="15" thickTop="1" x14ac:dyDescent="0.35">
      <c r="A20" s="171"/>
      <c r="B20" s="176" t="s">
        <v>169</v>
      </c>
      <c r="C20" s="185"/>
      <c r="D20" s="171"/>
      <c r="E20" s="176"/>
      <c r="F20" s="185">
        <f>SUM(F15:F19)</f>
        <v>774323</v>
      </c>
      <c r="G20" s="171"/>
      <c r="H20" s="176">
        <v>0</v>
      </c>
      <c r="I20" s="185">
        <f>SUM(I15:I19)</f>
        <v>774323</v>
      </c>
      <c r="J20" s="188"/>
      <c r="K20" s="187"/>
      <c r="L20" s="185">
        <f>SUM(L15:L19)</f>
        <v>359081.8</v>
      </c>
      <c r="M20" s="178"/>
      <c r="N20" s="176"/>
      <c r="O20" s="185">
        <f>SUM(O15:O19)</f>
        <v>143000</v>
      </c>
    </row>
    <row r="21" spans="1:15" x14ac:dyDescent="0.35">
      <c r="A21" s="171"/>
      <c r="B21" s="176"/>
      <c r="C21" s="185"/>
      <c r="D21" s="171"/>
      <c r="E21" s="176"/>
      <c r="F21" s="185"/>
      <c r="G21" s="171"/>
      <c r="H21" s="176"/>
      <c r="I21" s="185"/>
      <c r="J21" s="188"/>
      <c r="K21" s="187"/>
      <c r="L21" s="175"/>
      <c r="M21" s="178"/>
      <c r="N21" s="179"/>
      <c r="O21" s="175"/>
    </row>
    <row r="22" spans="1:15" x14ac:dyDescent="0.35">
      <c r="A22" s="171"/>
      <c r="B22" s="174" t="s">
        <v>175</v>
      </c>
      <c r="C22" s="185"/>
      <c r="D22" s="171"/>
      <c r="E22" s="176"/>
      <c r="F22" s="185"/>
      <c r="G22" s="171"/>
      <c r="H22" s="176"/>
      <c r="I22" s="185"/>
      <c r="J22" s="188"/>
      <c r="K22" s="187"/>
      <c r="L22" s="193"/>
      <c r="M22" s="189"/>
      <c r="N22" s="194"/>
      <c r="O22" s="193"/>
    </row>
    <row r="23" spans="1:15" x14ac:dyDescent="0.35">
      <c r="A23" s="171"/>
      <c r="B23" s="176" t="s">
        <v>176</v>
      </c>
      <c r="C23" s="185">
        <v>70</v>
      </c>
      <c r="D23" s="171"/>
      <c r="E23" s="176">
        <v>95</v>
      </c>
      <c r="F23" s="185">
        <f t="shared" ref="F23:F28" si="4">E23*C23</f>
        <v>6650</v>
      </c>
      <c r="G23" s="189"/>
      <c r="H23" s="176">
        <v>0</v>
      </c>
      <c r="I23" s="185">
        <f t="shared" ref="I23:I30" si="5">H23*C23</f>
        <v>0</v>
      </c>
      <c r="J23" s="188"/>
      <c r="K23" s="176">
        <v>95</v>
      </c>
      <c r="L23" s="185">
        <f t="shared" ref="L23:L28" si="6">K23*C23</f>
        <v>6650</v>
      </c>
      <c r="M23" s="178"/>
      <c r="N23" s="176">
        <v>95</v>
      </c>
      <c r="O23" s="185">
        <f t="shared" ref="O23:O28" si="7">N23*C23</f>
        <v>6650</v>
      </c>
    </row>
    <row r="24" spans="1:15" x14ac:dyDescent="0.35">
      <c r="A24" s="171"/>
      <c r="B24" s="176" t="s">
        <v>177</v>
      </c>
      <c r="C24" s="185">
        <v>65</v>
      </c>
      <c r="D24" s="171"/>
      <c r="E24" s="176">
        <v>401</v>
      </c>
      <c r="F24" s="185">
        <f t="shared" si="4"/>
        <v>26065</v>
      </c>
      <c r="G24" s="189"/>
      <c r="H24" s="176">
        <v>0</v>
      </c>
      <c r="I24" s="185">
        <f t="shared" si="5"/>
        <v>0</v>
      </c>
      <c r="J24" s="188"/>
      <c r="K24" s="176">
        <v>401</v>
      </c>
      <c r="L24" s="185">
        <f t="shared" si="6"/>
        <v>26065</v>
      </c>
      <c r="M24" s="178"/>
      <c r="N24" s="176">
        <v>401</v>
      </c>
      <c r="O24" s="185">
        <f t="shared" si="7"/>
        <v>26065</v>
      </c>
    </row>
    <row r="25" spans="1:15" x14ac:dyDescent="0.35">
      <c r="A25" s="171"/>
      <c r="B25" s="176" t="s">
        <v>178</v>
      </c>
      <c r="C25" s="185">
        <v>240</v>
      </c>
      <c r="D25" s="171"/>
      <c r="E25" s="176">
        <v>95</v>
      </c>
      <c r="F25" s="185">
        <f t="shared" si="4"/>
        <v>22800</v>
      </c>
      <c r="G25" s="171"/>
      <c r="H25" s="176">
        <v>0</v>
      </c>
      <c r="I25" s="185">
        <f t="shared" si="5"/>
        <v>0</v>
      </c>
      <c r="J25" s="188"/>
      <c r="K25" s="176">
        <v>95</v>
      </c>
      <c r="L25" s="185">
        <f t="shared" si="6"/>
        <v>22800</v>
      </c>
      <c r="M25" s="178"/>
      <c r="N25" s="176">
        <v>95</v>
      </c>
      <c r="O25" s="185">
        <f t="shared" si="7"/>
        <v>22800</v>
      </c>
    </row>
    <row r="26" spans="1:15" x14ac:dyDescent="0.35">
      <c r="A26" s="171"/>
      <c r="B26" s="176" t="s">
        <v>179</v>
      </c>
      <c r="C26" s="185">
        <v>160</v>
      </c>
      <c r="D26" s="171"/>
      <c r="E26" s="176">
        <v>401</v>
      </c>
      <c r="F26" s="185">
        <f t="shared" si="4"/>
        <v>64160</v>
      </c>
      <c r="G26" s="171"/>
      <c r="H26" s="176">
        <v>0</v>
      </c>
      <c r="I26" s="185">
        <f t="shared" si="5"/>
        <v>0</v>
      </c>
      <c r="J26" s="188"/>
      <c r="K26" s="176">
        <v>401</v>
      </c>
      <c r="L26" s="185">
        <f t="shared" si="6"/>
        <v>64160</v>
      </c>
      <c r="M26" s="178"/>
      <c r="N26" s="176">
        <v>401</v>
      </c>
      <c r="O26" s="185">
        <f t="shared" si="7"/>
        <v>64160</v>
      </c>
    </row>
    <row r="27" spans="1:15" x14ac:dyDescent="0.35">
      <c r="A27" s="171"/>
      <c r="B27" s="176" t="s">
        <v>180</v>
      </c>
      <c r="C27" s="185">
        <v>100</v>
      </c>
      <c r="D27" s="171"/>
      <c r="E27" s="176">
        <v>401</v>
      </c>
      <c r="F27" s="185">
        <f t="shared" si="4"/>
        <v>40100</v>
      </c>
      <c r="G27" s="171"/>
      <c r="H27" s="176">
        <v>0</v>
      </c>
      <c r="I27" s="185">
        <f t="shared" si="5"/>
        <v>0</v>
      </c>
      <c r="J27" s="188"/>
      <c r="K27" s="176">
        <v>401</v>
      </c>
      <c r="L27" s="185">
        <f t="shared" si="6"/>
        <v>40100</v>
      </c>
      <c r="M27" s="178"/>
      <c r="N27" s="176">
        <v>401</v>
      </c>
      <c r="O27" s="185">
        <f t="shared" si="7"/>
        <v>40100</v>
      </c>
    </row>
    <row r="28" spans="1:15" x14ac:dyDescent="0.35">
      <c r="A28" s="171"/>
      <c r="B28" s="176" t="s">
        <v>181</v>
      </c>
      <c r="C28" s="185">
        <v>200</v>
      </c>
      <c r="D28" s="171"/>
      <c r="E28" s="176">
        <v>95</v>
      </c>
      <c r="F28" s="185">
        <f t="shared" si="4"/>
        <v>19000</v>
      </c>
      <c r="G28" s="171"/>
      <c r="H28" s="176">
        <v>0</v>
      </c>
      <c r="I28" s="185">
        <f t="shared" si="5"/>
        <v>0</v>
      </c>
      <c r="J28" s="188"/>
      <c r="K28" s="176">
        <v>95</v>
      </c>
      <c r="L28" s="185">
        <f t="shared" si="6"/>
        <v>19000</v>
      </c>
      <c r="M28" s="178"/>
      <c r="N28" s="176">
        <v>95</v>
      </c>
      <c r="O28" s="185">
        <f t="shared" si="7"/>
        <v>19000</v>
      </c>
    </row>
    <row r="29" spans="1:15" ht="15" thickBot="1" x14ac:dyDescent="0.4">
      <c r="A29" s="171"/>
      <c r="B29" s="176" t="s">
        <v>253</v>
      </c>
      <c r="C29" s="225">
        <v>0.1</v>
      </c>
      <c r="D29" s="171"/>
      <c r="E29" s="190"/>
      <c r="F29" s="191">
        <f>SUM(F23:F28)*C29</f>
        <v>17877.5</v>
      </c>
      <c r="G29" s="171"/>
      <c r="H29" s="176"/>
      <c r="I29" s="185">
        <f t="shared" si="5"/>
        <v>0</v>
      </c>
      <c r="J29" s="188"/>
      <c r="K29" s="190"/>
      <c r="L29" s="191">
        <f>SUM(L23:L28)*C29</f>
        <v>17877.5</v>
      </c>
      <c r="M29" s="178"/>
      <c r="N29" s="190"/>
      <c r="O29" s="191">
        <f>SUM(O23:O28)*C29</f>
        <v>17877.5</v>
      </c>
    </row>
    <row r="30" spans="1:15" ht="15" thickTop="1" x14ac:dyDescent="0.35">
      <c r="A30" s="171"/>
      <c r="B30" s="176" t="s">
        <v>169</v>
      </c>
      <c r="C30" s="185"/>
      <c r="D30" s="171"/>
      <c r="E30" s="176"/>
      <c r="F30" s="185">
        <f>SUM(F23:F29)</f>
        <v>196652.5</v>
      </c>
      <c r="G30" s="171"/>
      <c r="H30" s="176"/>
      <c r="I30" s="185">
        <f t="shared" si="5"/>
        <v>0</v>
      </c>
      <c r="J30" s="188"/>
      <c r="K30" s="187"/>
      <c r="L30" s="185">
        <f>SUM(L23:L29)</f>
        <v>196652.5</v>
      </c>
      <c r="M30" s="178"/>
      <c r="N30" s="179"/>
      <c r="O30" s="185">
        <f>SUM(O23:O29)</f>
        <v>196652.5</v>
      </c>
    </row>
    <row r="31" spans="1:15" x14ac:dyDescent="0.35">
      <c r="A31" s="171"/>
      <c r="B31" s="176"/>
      <c r="C31" s="185"/>
      <c r="D31" s="171"/>
      <c r="E31" s="176"/>
      <c r="F31" s="185"/>
      <c r="G31" s="171"/>
      <c r="H31" s="176"/>
      <c r="I31" s="177"/>
      <c r="J31" s="171"/>
      <c r="K31" s="176"/>
      <c r="L31" s="175"/>
      <c r="M31" s="178"/>
      <c r="N31" s="179"/>
      <c r="O31" s="175"/>
    </row>
    <row r="32" spans="1:15" x14ac:dyDescent="0.35">
      <c r="A32" s="171"/>
      <c r="B32" s="174" t="s">
        <v>174</v>
      </c>
      <c r="C32" s="185"/>
      <c r="D32" s="171"/>
      <c r="E32" s="176"/>
      <c r="F32" s="185"/>
      <c r="G32" s="171"/>
      <c r="H32" s="176"/>
      <c r="I32" s="177"/>
      <c r="J32" s="171"/>
      <c r="K32" s="176"/>
      <c r="L32" s="175"/>
      <c r="M32" s="178"/>
      <c r="N32" s="179"/>
      <c r="O32" s="175"/>
    </row>
    <row r="33" spans="1:15" x14ac:dyDescent="0.35">
      <c r="A33" s="171"/>
      <c r="B33" s="176" t="s">
        <v>254</v>
      </c>
      <c r="C33" s="185">
        <v>300</v>
      </c>
      <c r="D33" s="171"/>
      <c r="E33" s="176">
        <v>88</v>
      </c>
      <c r="F33" s="185">
        <f t="shared" ref="F33:F38" si="8">E33*C33</f>
        <v>26400</v>
      </c>
      <c r="G33" s="171"/>
      <c r="H33" s="176">
        <v>88</v>
      </c>
      <c r="I33" s="185">
        <f t="shared" ref="I33:I40" si="9">H33*C33</f>
        <v>26400</v>
      </c>
      <c r="J33" s="188"/>
      <c r="K33" s="176">
        <v>30</v>
      </c>
      <c r="L33" s="185">
        <f t="shared" ref="L33:L40" si="10">K33*C33</f>
        <v>9000</v>
      </c>
      <c r="M33" s="195"/>
      <c r="N33" s="176">
        <v>0</v>
      </c>
      <c r="O33" s="185">
        <f t="shared" ref="O33:O40" si="11">N33*C33</f>
        <v>0</v>
      </c>
    </row>
    <row r="34" spans="1:15" x14ac:dyDescent="0.35">
      <c r="A34" s="171"/>
      <c r="B34" s="176" t="s">
        <v>255</v>
      </c>
      <c r="C34" s="185">
        <v>300</v>
      </c>
      <c r="D34" s="171"/>
      <c r="E34" s="176">
        <v>116</v>
      </c>
      <c r="F34" s="185">
        <f t="shared" si="8"/>
        <v>34800</v>
      </c>
      <c r="G34" s="171"/>
      <c r="H34" s="176">
        <v>116</v>
      </c>
      <c r="I34" s="185">
        <f t="shared" si="9"/>
        <v>34800</v>
      </c>
      <c r="J34" s="188"/>
      <c r="K34" s="176">
        <v>36</v>
      </c>
      <c r="L34" s="185">
        <f t="shared" si="10"/>
        <v>10800</v>
      </c>
      <c r="M34" s="178"/>
      <c r="N34" s="176">
        <v>0</v>
      </c>
      <c r="O34" s="185">
        <f t="shared" si="11"/>
        <v>0</v>
      </c>
    </row>
    <row r="35" spans="1:15" x14ac:dyDescent="0.35">
      <c r="A35" s="171"/>
      <c r="B35" s="176" t="s">
        <v>256</v>
      </c>
      <c r="C35" s="185">
        <v>300</v>
      </c>
      <c r="D35" s="171"/>
      <c r="E35" s="176">
        <v>50</v>
      </c>
      <c r="F35" s="185">
        <f t="shared" si="8"/>
        <v>15000</v>
      </c>
      <c r="G35" s="171"/>
      <c r="H35" s="176">
        <v>0</v>
      </c>
      <c r="I35" s="185">
        <f t="shared" si="9"/>
        <v>0</v>
      </c>
      <c r="J35" s="188"/>
      <c r="K35" s="176">
        <v>50</v>
      </c>
      <c r="L35" s="185">
        <f t="shared" si="10"/>
        <v>15000</v>
      </c>
      <c r="M35" s="171"/>
      <c r="N35" s="176">
        <v>50</v>
      </c>
      <c r="O35" s="185">
        <f t="shared" si="11"/>
        <v>15000</v>
      </c>
    </row>
    <row r="36" spans="1:15" x14ac:dyDescent="0.35">
      <c r="A36" s="171"/>
      <c r="B36" s="176" t="s">
        <v>257</v>
      </c>
      <c r="C36" s="185">
        <v>300</v>
      </c>
      <c r="D36" s="171"/>
      <c r="E36" s="176">
        <v>52</v>
      </c>
      <c r="F36" s="185">
        <f t="shared" si="8"/>
        <v>15600</v>
      </c>
      <c r="G36" s="171"/>
      <c r="H36" s="176">
        <v>0</v>
      </c>
      <c r="I36" s="185">
        <f t="shared" si="9"/>
        <v>0</v>
      </c>
      <c r="J36" s="188"/>
      <c r="K36" s="176">
        <v>52</v>
      </c>
      <c r="L36" s="185">
        <f t="shared" si="10"/>
        <v>15600</v>
      </c>
      <c r="M36" s="171"/>
      <c r="N36" s="176">
        <v>52</v>
      </c>
      <c r="O36" s="185">
        <f t="shared" si="11"/>
        <v>15600</v>
      </c>
    </row>
    <row r="37" spans="1:15" x14ac:dyDescent="0.35">
      <c r="A37" s="171"/>
      <c r="B37" s="176" t="s">
        <v>258</v>
      </c>
      <c r="C37" s="185">
        <v>5</v>
      </c>
      <c r="D37" s="171"/>
      <c r="E37" s="176">
        <v>100</v>
      </c>
      <c r="F37" s="185">
        <f t="shared" si="8"/>
        <v>500</v>
      </c>
      <c r="G37" s="171"/>
      <c r="H37" s="176">
        <v>50</v>
      </c>
      <c r="I37" s="185">
        <f t="shared" si="9"/>
        <v>250</v>
      </c>
      <c r="J37" s="188"/>
      <c r="K37" s="176">
        <v>100</v>
      </c>
      <c r="L37" s="185">
        <f t="shared" si="10"/>
        <v>500</v>
      </c>
      <c r="M37" s="171"/>
      <c r="N37" s="176">
        <v>100</v>
      </c>
      <c r="O37" s="185">
        <f t="shared" si="11"/>
        <v>500</v>
      </c>
    </row>
    <row r="38" spans="1:15" x14ac:dyDescent="0.35">
      <c r="A38" s="171"/>
      <c r="B38" s="176" t="s">
        <v>259</v>
      </c>
      <c r="C38" s="185">
        <v>27</v>
      </c>
      <c r="D38" s="171"/>
      <c r="E38" s="176">
        <f>52*3</f>
        <v>156</v>
      </c>
      <c r="F38" s="185">
        <f t="shared" si="8"/>
        <v>4212</v>
      </c>
      <c r="G38" s="171"/>
      <c r="H38" s="176">
        <v>0</v>
      </c>
      <c r="I38" s="185">
        <f t="shared" si="9"/>
        <v>0</v>
      </c>
      <c r="J38" s="188"/>
      <c r="K38" s="176">
        <f>52*3</f>
        <v>156</v>
      </c>
      <c r="L38" s="185">
        <f t="shared" si="10"/>
        <v>4212</v>
      </c>
      <c r="M38" s="171"/>
      <c r="N38" s="176">
        <f>52*3</f>
        <v>156</v>
      </c>
      <c r="O38" s="185">
        <f t="shared" si="11"/>
        <v>4212</v>
      </c>
    </row>
    <row r="39" spans="1:15" x14ac:dyDescent="0.35">
      <c r="A39" s="171"/>
      <c r="B39" s="176" t="s">
        <v>260</v>
      </c>
      <c r="C39" s="185">
        <v>40</v>
      </c>
      <c r="D39" s="171"/>
      <c r="E39" s="186">
        <v>1166.6666666666667</v>
      </c>
      <c r="F39" s="185">
        <f>E39*40</f>
        <v>46666.666666666672</v>
      </c>
      <c r="G39" s="171"/>
      <c r="H39" s="186">
        <v>1166.6666666666667</v>
      </c>
      <c r="I39" s="185">
        <f t="shared" si="9"/>
        <v>46666.666666666672</v>
      </c>
      <c r="J39" s="188"/>
      <c r="K39" s="186">
        <v>1166.6666666666667</v>
      </c>
      <c r="L39" s="185">
        <f t="shared" si="10"/>
        <v>46666.666666666672</v>
      </c>
      <c r="M39" s="171"/>
      <c r="N39" s="176">
        <v>0</v>
      </c>
      <c r="O39" s="185">
        <f t="shared" si="11"/>
        <v>0</v>
      </c>
    </row>
    <row r="40" spans="1:15" x14ac:dyDescent="0.35">
      <c r="A40" s="171"/>
      <c r="B40" s="176" t="s">
        <v>261</v>
      </c>
      <c r="C40" s="185">
        <v>20</v>
      </c>
      <c r="D40" s="171"/>
      <c r="E40" s="176">
        <v>55</v>
      </c>
      <c r="F40" s="185">
        <f>C40*E40</f>
        <v>1100</v>
      </c>
      <c r="G40" s="171"/>
      <c r="H40" s="176">
        <v>20</v>
      </c>
      <c r="I40" s="185">
        <f t="shared" si="9"/>
        <v>400</v>
      </c>
      <c r="J40" s="188"/>
      <c r="K40" s="176">
        <v>55</v>
      </c>
      <c r="L40" s="185">
        <f t="shared" si="10"/>
        <v>1100</v>
      </c>
      <c r="M40" s="171"/>
      <c r="N40" s="176">
        <v>35</v>
      </c>
      <c r="O40" s="185">
        <f t="shared" si="11"/>
        <v>700</v>
      </c>
    </row>
    <row r="41" spans="1:15" ht="15" thickBot="1" x14ac:dyDescent="0.4">
      <c r="A41" s="171"/>
      <c r="B41" s="176" t="s">
        <v>253</v>
      </c>
      <c r="C41" s="224">
        <v>0.1</v>
      </c>
      <c r="D41" s="171"/>
      <c r="E41" s="190"/>
      <c r="F41" s="191">
        <f>SUM(F33:F40)*C41</f>
        <v>14427.866666666669</v>
      </c>
      <c r="G41" s="171"/>
      <c r="H41" s="196"/>
      <c r="I41" s="191">
        <f>SUM(I33:I40)*EC41</f>
        <v>0</v>
      </c>
      <c r="J41" s="188"/>
      <c r="K41" s="190"/>
      <c r="L41" s="191">
        <f>SUM(L33:L40)*C41</f>
        <v>10287.866666666669</v>
      </c>
      <c r="M41" s="171"/>
      <c r="N41" s="190"/>
      <c r="O41" s="191">
        <f>SUM(O35:O40)*C41</f>
        <v>3601.2000000000003</v>
      </c>
    </row>
    <row r="42" spans="1:15" ht="15" thickTop="1" x14ac:dyDescent="0.35">
      <c r="A42" s="171"/>
      <c r="B42" s="176" t="s">
        <v>169</v>
      </c>
      <c r="C42" s="185"/>
      <c r="D42" s="171"/>
      <c r="E42" s="176"/>
      <c r="F42" s="185">
        <f>SUM(F33:F41)</f>
        <v>158706.53333333335</v>
      </c>
      <c r="G42" s="171"/>
      <c r="H42" s="176">
        <v>0</v>
      </c>
      <c r="I42" s="185">
        <f>SUM(I33:I41)</f>
        <v>108516.66666666667</v>
      </c>
      <c r="J42" s="188"/>
      <c r="K42" s="187"/>
      <c r="L42" s="185">
        <f>SUM(L33:L41)</f>
        <v>113166.53333333334</v>
      </c>
      <c r="M42" s="171"/>
      <c r="N42" s="176"/>
      <c r="O42" s="185">
        <f>SUM(O35:O41)</f>
        <v>39613.199999999997</v>
      </c>
    </row>
    <row r="43" spans="1:15" x14ac:dyDescent="0.35">
      <c r="A43" s="171"/>
      <c r="B43" s="176"/>
      <c r="C43" s="185"/>
      <c r="D43" s="171"/>
      <c r="E43" s="176"/>
      <c r="F43" s="185"/>
      <c r="G43" s="171"/>
      <c r="H43" s="176">
        <v>0</v>
      </c>
      <c r="I43" s="177"/>
      <c r="J43" s="171"/>
      <c r="K43" s="176"/>
      <c r="L43" s="177"/>
      <c r="M43" s="171"/>
      <c r="N43" s="176"/>
      <c r="O43" s="177"/>
    </row>
    <row r="44" spans="1:15" x14ac:dyDescent="0.35">
      <c r="A44" s="171"/>
      <c r="B44" s="174" t="s">
        <v>182</v>
      </c>
      <c r="C44" s="185"/>
      <c r="D44" s="171"/>
      <c r="E44" s="176"/>
      <c r="F44" s="185"/>
      <c r="G44" s="171"/>
      <c r="H44" s="176">
        <v>0</v>
      </c>
      <c r="I44" s="177"/>
      <c r="J44" s="171"/>
      <c r="K44" s="176"/>
      <c r="L44" s="177"/>
      <c r="M44" s="171"/>
      <c r="N44" s="176"/>
      <c r="O44" s="177"/>
    </row>
    <row r="45" spans="1:15" x14ac:dyDescent="0.35">
      <c r="A45" s="171"/>
      <c r="B45" s="176" t="s">
        <v>183</v>
      </c>
      <c r="C45" s="216">
        <v>4000</v>
      </c>
      <c r="D45" s="171"/>
      <c r="E45" s="176">
        <v>29</v>
      </c>
      <c r="F45" s="185">
        <f>C45*E45</f>
        <v>116000</v>
      </c>
      <c r="G45" s="171"/>
      <c r="H45" s="176">
        <v>29</v>
      </c>
      <c r="I45" s="185">
        <f>H45*C45</f>
        <v>116000</v>
      </c>
      <c r="J45" s="188"/>
      <c r="K45" s="176">
        <v>8</v>
      </c>
      <c r="L45" s="185">
        <f t="shared" ref="L45:L52" si="12">K45*C45</f>
        <v>32000</v>
      </c>
      <c r="M45" s="171"/>
      <c r="N45" s="176">
        <v>0</v>
      </c>
      <c r="O45" s="185">
        <f>N45*C45</f>
        <v>0</v>
      </c>
    </row>
    <row r="46" spans="1:15" x14ac:dyDescent="0.35">
      <c r="A46" s="171"/>
      <c r="B46" s="176" t="s">
        <v>184</v>
      </c>
      <c r="C46" s="216">
        <v>4000</v>
      </c>
      <c r="D46" s="171"/>
      <c r="E46" s="176">
        <v>29</v>
      </c>
      <c r="F46" s="185">
        <f>C46*E46</f>
        <v>116000</v>
      </c>
      <c r="G46" s="171"/>
      <c r="H46" s="176">
        <v>29</v>
      </c>
      <c r="I46" s="185">
        <f>H46*C46</f>
        <v>116000</v>
      </c>
      <c r="J46" s="188"/>
      <c r="K46" s="176">
        <v>6</v>
      </c>
      <c r="L46" s="185">
        <f t="shared" si="12"/>
        <v>24000</v>
      </c>
      <c r="M46" s="171"/>
      <c r="N46" s="176">
        <v>0</v>
      </c>
      <c r="O46" s="185">
        <f>N46*C46</f>
        <v>0</v>
      </c>
    </row>
    <row r="47" spans="1:15" x14ac:dyDescent="0.35">
      <c r="A47" s="171"/>
      <c r="B47" s="176" t="s">
        <v>188</v>
      </c>
      <c r="C47" s="216">
        <v>4000</v>
      </c>
      <c r="D47" s="171"/>
      <c r="E47" s="176">
        <v>0</v>
      </c>
      <c r="F47" s="185">
        <f>C47*E47</f>
        <v>0</v>
      </c>
      <c r="G47" s="171"/>
      <c r="H47" s="176">
        <v>0</v>
      </c>
      <c r="I47" s="185">
        <f>H47*C47</f>
        <v>0</v>
      </c>
      <c r="J47" s="171"/>
      <c r="K47" s="176">
        <v>20</v>
      </c>
      <c r="L47" s="185">
        <f t="shared" si="12"/>
        <v>80000</v>
      </c>
      <c r="M47" s="171"/>
      <c r="N47" s="176">
        <v>0</v>
      </c>
      <c r="O47" s="185">
        <f>N47*C47</f>
        <v>0</v>
      </c>
    </row>
    <row r="48" spans="1:15" ht="20.25" customHeight="1" x14ac:dyDescent="0.35">
      <c r="A48" s="171"/>
      <c r="B48" s="197" t="s">
        <v>265</v>
      </c>
      <c r="C48" s="185">
        <v>672</v>
      </c>
      <c r="D48" s="171"/>
      <c r="E48" s="209">
        <f>E5*1000/50</f>
        <v>220</v>
      </c>
      <c r="F48" s="206">
        <f>E48*C48</f>
        <v>147840</v>
      </c>
      <c r="G48" s="205"/>
      <c r="H48" s="209">
        <f>H5*1000/50</f>
        <v>220</v>
      </c>
      <c r="I48" s="206">
        <f>H48*C48</f>
        <v>147840</v>
      </c>
      <c r="J48" s="205"/>
      <c r="K48" s="209">
        <f>K5*1000/50</f>
        <v>140</v>
      </c>
      <c r="L48" s="206">
        <f t="shared" si="12"/>
        <v>94080</v>
      </c>
      <c r="M48" s="208"/>
      <c r="N48" s="210">
        <v>0</v>
      </c>
      <c r="O48" s="206">
        <f>N48*C48</f>
        <v>0</v>
      </c>
    </row>
    <row r="49" spans="1:15" ht="18" customHeight="1" x14ac:dyDescent="0.35">
      <c r="A49" s="171"/>
      <c r="B49" s="197" t="s">
        <v>266</v>
      </c>
      <c r="C49" s="185">
        <v>672</v>
      </c>
      <c r="D49" s="204"/>
      <c r="E49" s="209">
        <f>E6*1000/50</f>
        <v>210</v>
      </c>
      <c r="F49" s="206">
        <f>E49*C49</f>
        <v>141120</v>
      </c>
      <c r="G49" s="205"/>
      <c r="H49" s="209">
        <v>0</v>
      </c>
      <c r="I49" s="206">
        <v>0</v>
      </c>
      <c r="J49" s="205"/>
      <c r="K49" s="209">
        <f>(K6+K7+K8+K9)*1000/50</f>
        <v>610</v>
      </c>
      <c r="L49" s="206">
        <f t="shared" si="12"/>
        <v>409920</v>
      </c>
      <c r="M49" s="205"/>
      <c r="N49" s="209">
        <f>(N6+N7)*1000/50</f>
        <v>440</v>
      </c>
      <c r="O49" s="206">
        <f>N49*C49</f>
        <v>295680</v>
      </c>
    </row>
    <row r="50" spans="1:15" x14ac:dyDescent="0.35">
      <c r="A50" s="171"/>
      <c r="B50" s="197" t="s">
        <v>262</v>
      </c>
      <c r="C50" s="185">
        <v>600</v>
      </c>
      <c r="D50" s="171"/>
      <c r="E50" s="210">
        <v>87</v>
      </c>
      <c r="F50" s="206">
        <f>E50*C50</f>
        <v>52200</v>
      </c>
      <c r="G50" s="208"/>
      <c r="H50" s="210">
        <v>87</v>
      </c>
      <c r="I50" s="206">
        <f>H50*C50</f>
        <v>52200</v>
      </c>
      <c r="J50" s="208"/>
      <c r="K50" s="210">
        <v>59</v>
      </c>
      <c r="L50" s="206">
        <f t="shared" si="12"/>
        <v>35400</v>
      </c>
      <c r="M50" s="208"/>
      <c r="N50" s="210">
        <v>0</v>
      </c>
      <c r="O50" s="211">
        <v>0</v>
      </c>
    </row>
    <row r="51" spans="1:15" ht="18.75" customHeight="1" x14ac:dyDescent="0.35">
      <c r="A51" s="171"/>
      <c r="B51" s="197" t="s">
        <v>263</v>
      </c>
      <c r="C51" s="185">
        <v>600</v>
      </c>
      <c r="D51" s="171"/>
      <c r="E51" s="210">
        <v>0</v>
      </c>
      <c r="F51" s="211">
        <v>0</v>
      </c>
      <c r="G51" s="208"/>
      <c r="H51" s="210">
        <v>0</v>
      </c>
      <c r="I51" s="211">
        <v>0</v>
      </c>
      <c r="J51" s="208"/>
      <c r="K51" s="210">
        <v>100</v>
      </c>
      <c r="L51" s="206">
        <f t="shared" si="12"/>
        <v>60000</v>
      </c>
      <c r="M51" s="208"/>
      <c r="N51" s="210">
        <v>0</v>
      </c>
      <c r="O51" s="211">
        <v>0</v>
      </c>
    </row>
    <row r="52" spans="1:15" ht="18.75" customHeight="1" x14ac:dyDescent="0.35">
      <c r="A52" s="171"/>
      <c r="B52" s="197" t="s">
        <v>264</v>
      </c>
      <c r="C52" s="185">
        <v>600</v>
      </c>
      <c r="D52" s="171"/>
      <c r="E52" s="210">
        <v>200</v>
      </c>
      <c r="F52" s="206">
        <f>E52*C52</f>
        <v>120000</v>
      </c>
      <c r="G52" s="208"/>
      <c r="H52" s="210">
        <v>0</v>
      </c>
      <c r="I52" s="211">
        <v>0</v>
      </c>
      <c r="J52" s="208"/>
      <c r="K52" s="210">
        <v>200</v>
      </c>
      <c r="L52" s="206">
        <f t="shared" si="12"/>
        <v>120000</v>
      </c>
      <c r="M52" s="208"/>
      <c r="N52" s="210">
        <v>200</v>
      </c>
      <c r="O52" s="206">
        <f>N52*C52</f>
        <v>120000</v>
      </c>
    </row>
    <row r="53" spans="1:15" x14ac:dyDescent="0.35">
      <c r="A53" s="171"/>
      <c r="B53" s="176" t="s">
        <v>169</v>
      </c>
      <c r="C53" s="185"/>
      <c r="D53" s="171"/>
      <c r="E53" s="210"/>
      <c r="F53" s="206">
        <f>SUM(F45:F52)</f>
        <v>693160</v>
      </c>
      <c r="G53" s="208"/>
      <c r="H53" s="210">
        <v>0</v>
      </c>
      <c r="I53" s="206">
        <f>SUM(I45:I52)</f>
        <v>432040</v>
      </c>
      <c r="J53" s="205"/>
      <c r="K53" s="207"/>
      <c r="L53" s="206">
        <f>SUM(L45:L52)</f>
        <v>855400</v>
      </c>
      <c r="M53" s="208"/>
      <c r="N53" s="210"/>
      <c r="O53" s="206">
        <f>SUM(O49:O52)</f>
        <v>415680</v>
      </c>
    </row>
    <row r="54" spans="1:15" x14ac:dyDescent="0.35">
      <c r="A54" s="171"/>
      <c r="B54" s="176" t="s">
        <v>185</v>
      </c>
      <c r="C54" s="185"/>
      <c r="D54" s="171"/>
      <c r="E54" s="210"/>
      <c r="F54" s="206">
        <v>160000</v>
      </c>
      <c r="G54" s="208"/>
      <c r="H54" s="210">
        <v>0</v>
      </c>
      <c r="I54" s="212">
        <v>160000</v>
      </c>
      <c r="J54" s="208"/>
      <c r="K54" s="210"/>
      <c r="L54" s="206">
        <v>160000</v>
      </c>
      <c r="M54" s="208"/>
      <c r="N54" s="210"/>
      <c r="O54" s="206">
        <v>150000</v>
      </c>
    </row>
    <row r="55" spans="1:15" x14ac:dyDescent="0.35">
      <c r="A55" s="171"/>
      <c r="B55" s="197" t="s">
        <v>6</v>
      </c>
      <c r="C55" s="185"/>
      <c r="D55" s="171"/>
      <c r="E55" s="210"/>
      <c r="F55" s="206">
        <f>F53+F42+F30+F20+F12+F54</f>
        <v>2556272.0333333332</v>
      </c>
      <c r="G55" s="208"/>
      <c r="H55" s="210">
        <v>0</v>
      </c>
      <c r="I55" s="206">
        <f>I53+I42+I30+I20+I12+I54</f>
        <v>1795529.6666666665</v>
      </c>
      <c r="J55" s="205"/>
      <c r="K55" s="207"/>
      <c r="L55" s="206">
        <f>L53+L42+L30+L20+L12+L54</f>
        <v>2226930.833333333</v>
      </c>
      <c r="M55" s="208"/>
      <c r="N55" s="210"/>
      <c r="O55" s="206">
        <f>O53+O42+O30+O20+O12</f>
        <v>1245065.7</v>
      </c>
    </row>
    <row r="56" spans="1:15" x14ac:dyDescent="0.35">
      <c r="A56" s="171"/>
      <c r="B56" s="197" t="s">
        <v>186</v>
      </c>
      <c r="C56" s="224">
        <v>0.1</v>
      </c>
      <c r="D56" s="171"/>
      <c r="E56" s="213"/>
      <c r="F56" s="206">
        <f>F55*C56</f>
        <v>255627.20333333334</v>
      </c>
      <c r="G56" s="208"/>
      <c r="H56" s="213"/>
      <c r="I56" s="206">
        <f>I55*C56</f>
        <v>179552.96666666667</v>
      </c>
      <c r="J56" s="205"/>
      <c r="K56" s="207"/>
      <c r="L56" s="206">
        <f>L55*C56</f>
        <v>222693.08333333331</v>
      </c>
      <c r="M56" s="208"/>
      <c r="N56" s="210"/>
      <c r="O56" s="206">
        <f>O55*C56</f>
        <v>124506.57</v>
      </c>
    </row>
    <row r="57" spans="1:15" ht="15" thickBot="1" x14ac:dyDescent="0.4">
      <c r="A57" s="171"/>
      <c r="B57" s="198"/>
      <c r="C57" s="191"/>
      <c r="D57" s="171"/>
      <c r="E57" s="214"/>
      <c r="F57" s="215"/>
      <c r="G57" s="208"/>
      <c r="H57" s="210"/>
      <c r="I57" s="211"/>
      <c r="J57" s="205"/>
      <c r="K57" s="210"/>
      <c r="L57" s="211"/>
      <c r="M57" s="208"/>
      <c r="N57" s="210"/>
      <c r="O57" s="211"/>
    </row>
    <row r="58" spans="1:15" ht="15" thickTop="1" x14ac:dyDescent="0.35">
      <c r="A58" s="171"/>
      <c r="B58" s="199" t="s">
        <v>187</v>
      </c>
      <c r="C58" s="200"/>
      <c r="D58" s="171"/>
      <c r="E58" s="217"/>
      <c r="F58" s="218">
        <f>F56+F55</f>
        <v>2811899.2366666663</v>
      </c>
      <c r="G58" s="219"/>
      <c r="H58" s="220"/>
      <c r="I58" s="221">
        <f>I56+I55</f>
        <v>1975082.6333333333</v>
      </c>
      <c r="J58" s="222"/>
      <c r="K58" s="223"/>
      <c r="L58" s="221">
        <f>L56+L55</f>
        <v>2449623.9166666665</v>
      </c>
      <c r="M58" s="219"/>
      <c r="N58" s="220"/>
      <c r="O58" s="221">
        <f>O56+O55</f>
        <v>1369572.27</v>
      </c>
    </row>
    <row r="59" spans="1:15" ht="15" thickBot="1" x14ac:dyDescent="0.4">
      <c r="A59" s="171"/>
      <c r="B59" s="201"/>
      <c r="C59" s="202"/>
      <c r="D59" s="171"/>
      <c r="E59" s="201"/>
      <c r="F59" s="202"/>
      <c r="G59" s="171"/>
      <c r="H59" s="201"/>
      <c r="I59" s="203"/>
      <c r="J59" s="188"/>
      <c r="K59" s="201"/>
      <c r="L59" s="203"/>
      <c r="M59" s="171"/>
      <c r="N59" s="201"/>
      <c r="O59" s="203"/>
    </row>
    <row r="60" spans="1:15" x14ac:dyDescent="0.35">
      <c r="J60" s="188"/>
    </row>
    <row r="61" spans="1:15" x14ac:dyDescent="0.35">
      <c r="J61" s="188"/>
    </row>
    <row r="62" spans="1:15" x14ac:dyDescent="0.35">
      <c r="J62" s="188"/>
    </row>
    <row r="63" spans="1:15" x14ac:dyDescent="0.35">
      <c r="J63" s="188"/>
    </row>
    <row r="64" spans="1:15" x14ac:dyDescent="0.35">
      <c r="J64" s="188"/>
    </row>
  </sheetData>
  <sheetProtection algorithmName="SHA-512" hashValue="O1JgnC3lJA2/X46emEYRNjqUZHFC0trX5nDpDyW2+tW7ade5tLXUuZNWHNGkHp8+oNzZba1edT6vWCDDvH7Uhg==" saltValue="x6se53uCQc85sWX4XDKylg==" spinCount="100000" sheet="1" objects="1" scenarios="1" selectLockedCells="1" selectUnlockedCells="1"/>
  <mergeCells count="4">
    <mergeCell ref="K2:L2"/>
    <mergeCell ref="N2:O2"/>
    <mergeCell ref="E2:F2"/>
    <mergeCell ref="H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1E267-3BF1-49D0-BAC8-9DCFBEB43E26}">
  <dimension ref="A1:AC18"/>
  <sheetViews>
    <sheetView workbookViewId="0">
      <selection activeCell="D1" sqref="D1"/>
    </sheetView>
  </sheetViews>
  <sheetFormatPr defaultRowHeight="14.5" x14ac:dyDescent="0.35"/>
  <cols>
    <col min="2" max="2" width="5.453125" customWidth="1"/>
    <col min="3" max="3" width="14.54296875" customWidth="1"/>
    <col min="4" max="4" width="9.26953125" customWidth="1"/>
    <col min="5" max="5" width="12.54296875" customWidth="1"/>
    <col min="6" max="6" width="12.1796875" customWidth="1"/>
    <col min="7" max="7" width="10.26953125" customWidth="1"/>
    <col min="8" max="8" width="10.1796875" customWidth="1"/>
    <col min="9" max="9" width="10.453125" customWidth="1"/>
    <col min="10" max="10" width="10" customWidth="1"/>
    <col min="11" max="11" width="9.81640625" customWidth="1"/>
    <col min="12" max="12" width="10" customWidth="1"/>
    <col min="13" max="13" width="9.54296875" customWidth="1"/>
    <col min="14" max="14" width="9.81640625" customWidth="1"/>
    <col min="15" max="15" width="10" customWidth="1"/>
    <col min="16" max="17" width="10.7265625" customWidth="1"/>
    <col min="18" max="18" width="11.1796875" customWidth="1"/>
    <col min="19" max="19" width="11" customWidth="1"/>
    <col min="20" max="20" width="10.26953125" customWidth="1"/>
    <col min="21" max="21" width="10.1796875" customWidth="1"/>
    <col min="22" max="22" width="10.26953125" customWidth="1"/>
    <col min="23" max="23" width="10" customWidth="1"/>
    <col min="24" max="26" width="10.1796875" customWidth="1"/>
    <col min="27" max="28" width="9.54296875" customWidth="1"/>
    <col min="29" max="29" width="9.453125" customWidth="1"/>
  </cols>
  <sheetData>
    <row r="1" spans="1:29" x14ac:dyDescent="0.35">
      <c r="A1" s="5" t="s">
        <v>29</v>
      </c>
      <c r="B1" s="5"/>
      <c r="D1" s="128" t="str">
        <f>'Generation &amp; Ops Scenarios'!B27</f>
        <v>100% Diesel (current)</v>
      </c>
    </row>
    <row r="3" spans="1:29" x14ac:dyDescent="0.35">
      <c r="D3" t="s">
        <v>30</v>
      </c>
      <c r="E3" s="22">
        <v>1</v>
      </c>
      <c r="F3" s="22">
        <v>2</v>
      </c>
      <c r="G3" s="22">
        <v>3</v>
      </c>
      <c r="H3" s="22">
        <v>4</v>
      </c>
      <c r="I3" s="22">
        <v>5</v>
      </c>
      <c r="J3" s="22">
        <v>6</v>
      </c>
      <c r="K3" s="22">
        <v>7</v>
      </c>
      <c r="L3" s="22">
        <v>8</v>
      </c>
      <c r="M3" s="22">
        <v>9</v>
      </c>
      <c r="N3" s="22">
        <v>10</v>
      </c>
      <c r="O3" s="22">
        <v>11</v>
      </c>
      <c r="P3" s="22">
        <v>12</v>
      </c>
      <c r="Q3" s="22">
        <v>13</v>
      </c>
      <c r="R3" s="22">
        <v>14</v>
      </c>
      <c r="S3" s="22">
        <v>15</v>
      </c>
      <c r="T3" s="22">
        <v>16</v>
      </c>
      <c r="U3" s="22">
        <v>17</v>
      </c>
      <c r="V3" s="22">
        <v>18</v>
      </c>
      <c r="W3" s="22">
        <v>19</v>
      </c>
      <c r="X3" s="22">
        <v>20</v>
      </c>
      <c r="Y3" s="22">
        <v>21</v>
      </c>
      <c r="Z3" s="22">
        <v>22</v>
      </c>
      <c r="AA3" s="22">
        <v>23</v>
      </c>
      <c r="AB3" s="22">
        <v>24</v>
      </c>
      <c r="AC3" s="22">
        <v>25</v>
      </c>
    </row>
    <row r="4" spans="1:29" x14ac:dyDescent="0.35">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x14ac:dyDescent="0.35">
      <c r="A5" t="s">
        <v>31</v>
      </c>
      <c r="C5" s="19"/>
      <c r="D5" s="19">
        <f>'Diesel Summary'!B22</f>
        <v>2861023.916666667</v>
      </c>
      <c r="E5" s="19"/>
      <c r="F5" s="19"/>
      <c r="G5" s="19"/>
      <c r="H5" s="19"/>
      <c r="I5" s="19"/>
      <c r="J5" s="19"/>
      <c r="K5" s="19"/>
      <c r="L5" s="19"/>
      <c r="M5" s="19"/>
      <c r="N5" s="19"/>
      <c r="O5" s="19"/>
      <c r="P5" s="19"/>
      <c r="Q5" s="19"/>
      <c r="R5" s="19"/>
      <c r="S5" s="19"/>
      <c r="T5" s="19"/>
      <c r="U5" s="19"/>
      <c r="V5" s="19"/>
      <c r="W5" s="19"/>
      <c r="X5" s="19"/>
      <c r="Y5" s="19"/>
      <c r="Z5" s="19"/>
      <c r="AA5" s="19"/>
      <c r="AB5" s="19"/>
      <c r="AC5" s="19"/>
    </row>
    <row r="6" spans="1:29" x14ac:dyDescent="0.35">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x14ac:dyDescent="0.35">
      <c r="A7" t="s">
        <v>38</v>
      </c>
      <c r="C7" s="19"/>
      <c r="D7" s="21">
        <f>'Diesel Summary'!R5</f>
        <v>1</v>
      </c>
      <c r="E7" s="19"/>
      <c r="F7" s="19"/>
      <c r="G7" s="19"/>
      <c r="H7" s="19"/>
      <c r="I7" s="19"/>
      <c r="J7" s="19"/>
      <c r="K7" s="19"/>
      <c r="L7" s="19"/>
      <c r="M7" s="19"/>
      <c r="N7" s="19"/>
      <c r="O7" s="19"/>
      <c r="P7" s="19"/>
      <c r="Q7" s="19"/>
      <c r="R7" s="19"/>
      <c r="S7" s="19"/>
      <c r="T7" s="19"/>
      <c r="U7" s="19"/>
      <c r="V7" s="19"/>
      <c r="W7" s="19"/>
      <c r="X7" s="19"/>
      <c r="Y7" s="19"/>
      <c r="Z7" s="19"/>
      <c r="AA7" s="19"/>
      <c r="AB7" s="19"/>
      <c r="AC7" s="19"/>
    </row>
    <row r="8" spans="1:29" x14ac:dyDescent="0.35">
      <c r="C8" s="19"/>
      <c r="D8" s="19"/>
      <c r="E8" s="19"/>
      <c r="F8" s="19"/>
      <c r="G8" s="19"/>
      <c r="H8" s="19"/>
      <c r="I8" s="19"/>
      <c r="J8" s="19"/>
      <c r="K8" s="19"/>
      <c r="L8" s="19"/>
      <c r="M8" s="19"/>
      <c r="N8" s="19"/>
      <c r="O8" s="19"/>
      <c r="P8" s="19"/>
      <c r="Q8" s="19"/>
      <c r="R8" s="19"/>
      <c r="S8" s="19"/>
      <c r="T8" s="19"/>
      <c r="U8" s="19"/>
      <c r="V8" s="19"/>
      <c r="W8" s="19"/>
      <c r="X8" s="19"/>
      <c r="Y8" s="19"/>
      <c r="Z8" s="19"/>
      <c r="AA8" s="19"/>
      <c r="AB8" s="19"/>
      <c r="AC8" s="19"/>
    </row>
    <row r="9" spans="1:29" x14ac:dyDescent="0.35">
      <c r="C9" t="s">
        <v>32</v>
      </c>
      <c r="D9" s="19">
        <f>D5*D7</f>
        <v>2861023.916666667</v>
      </c>
      <c r="E9" s="19"/>
      <c r="F9" s="19"/>
      <c r="G9" s="19"/>
      <c r="H9" s="19"/>
      <c r="I9" s="19"/>
      <c r="J9" s="19"/>
      <c r="K9" s="19"/>
      <c r="L9" s="19"/>
      <c r="M9" s="19"/>
      <c r="N9" s="19"/>
      <c r="O9" s="19"/>
      <c r="P9" s="19"/>
      <c r="Q9" s="19"/>
      <c r="R9" s="19"/>
      <c r="S9" s="19"/>
      <c r="T9" s="19"/>
      <c r="U9" s="19"/>
      <c r="V9" s="19"/>
      <c r="W9" s="19"/>
      <c r="X9" s="19"/>
      <c r="Y9" s="19"/>
      <c r="Z9" s="19"/>
      <c r="AA9" s="19"/>
      <c r="AB9" s="19"/>
      <c r="AC9" s="19"/>
    </row>
    <row r="10" spans="1:29" x14ac:dyDescent="0.35">
      <c r="C10" t="s">
        <v>33</v>
      </c>
      <c r="D10" s="21">
        <f>'Diesel Summary'!R6</f>
        <v>7.4999999999999997E-2</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x14ac:dyDescent="0.35">
      <c r="C11" s="19" t="s">
        <v>34</v>
      </c>
      <c r="D11" s="19">
        <f>'Diesel Summary'!R8</f>
        <v>25</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x14ac:dyDescent="0.35">
      <c r="C12" s="19" t="s">
        <v>35</v>
      </c>
      <c r="D12" s="19"/>
      <c r="E12" s="19">
        <f>+D9</f>
        <v>2861023.916666667</v>
      </c>
      <c r="F12" s="19">
        <f t="shared" ref="F12:AC12" si="0">E15</f>
        <v>2818936.3332473775</v>
      </c>
      <c r="G12" s="19">
        <f t="shared" si="0"/>
        <v>2773692.1810716414</v>
      </c>
      <c r="H12" s="19">
        <f t="shared" si="0"/>
        <v>2725054.7174827247</v>
      </c>
      <c r="I12" s="19">
        <f t="shared" si="0"/>
        <v>2672769.4441246395</v>
      </c>
      <c r="J12" s="19">
        <f t="shared" si="0"/>
        <v>2616562.7752646981</v>
      </c>
      <c r="K12" s="19">
        <f t="shared" si="0"/>
        <v>2556140.6062402609</v>
      </c>
      <c r="L12" s="19">
        <f t="shared" si="0"/>
        <v>2491186.774538991</v>
      </c>
      <c r="M12" s="19">
        <f t="shared" si="0"/>
        <v>2421361.4054601258</v>
      </c>
      <c r="N12" s="19">
        <f t="shared" si="0"/>
        <v>2346299.1337003456</v>
      </c>
      <c r="O12" s="19">
        <f t="shared" si="0"/>
        <v>2265607.1915585818</v>
      </c>
      <c r="P12" s="19">
        <f t="shared" si="0"/>
        <v>2178863.3537561856</v>
      </c>
      <c r="Q12" s="19">
        <f t="shared" si="0"/>
        <v>2085613.7281186099</v>
      </c>
      <c r="R12" s="19">
        <f t="shared" si="0"/>
        <v>1985370.380558216</v>
      </c>
      <c r="S12" s="19">
        <f t="shared" si="0"/>
        <v>1877608.7819307926</v>
      </c>
      <c r="T12" s="19">
        <f t="shared" si="0"/>
        <v>1761765.0634063124</v>
      </c>
      <c r="U12" s="19">
        <f t="shared" si="0"/>
        <v>1637233.0659924962</v>
      </c>
      <c r="V12" s="19">
        <f t="shared" si="0"/>
        <v>1503361.1687726439</v>
      </c>
      <c r="W12" s="19">
        <f t="shared" si="0"/>
        <v>1359448.8792613025</v>
      </c>
      <c r="X12" s="19">
        <f t="shared" si="0"/>
        <v>1204743.1680366106</v>
      </c>
      <c r="Y12" s="19">
        <f t="shared" si="0"/>
        <v>1038434.5284700668</v>
      </c>
      <c r="Z12" s="19">
        <f t="shared" si="0"/>
        <v>859652.74093603226</v>
      </c>
      <c r="AA12" s="19">
        <f t="shared" si="0"/>
        <v>667462.31933694507</v>
      </c>
      <c r="AB12" s="19">
        <f t="shared" si="0"/>
        <v>460857.61611792637</v>
      </c>
      <c r="AC12" s="19">
        <f t="shared" si="0"/>
        <v>238757.56015748126</v>
      </c>
    </row>
    <row r="13" spans="1:29" x14ac:dyDescent="0.35">
      <c r="C13" s="19" t="s">
        <v>36</v>
      </c>
      <c r="D13" s="19"/>
      <c r="E13" s="46">
        <f>E16-E14</f>
        <v>-42087.583419289585</v>
      </c>
      <c r="F13" s="19">
        <f>F16-F14</f>
        <v>-45244.152175736293</v>
      </c>
      <c r="G13" s="19">
        <f t="shared" ref="G13:AC13" si="1">G16-G14</f>
        <v>-48637.463588916493</v>
      </c>
      <c r="H13" s="19">
        <f t="shared" si="1"/>
        <v>-52285.273358085251</v>
      </c>
      <c r="I13" s="19">
        <f t="shared" si="1"/>
        <v>-56206.668859941652</v>
      </c>
      <c r="J13" s="19">
        <f t="shared" si="1"/>
        <v>-60422.169024437258</v>
      </c>
      <c r="K13" s="19">
        <f t="shared" si="1"/>
        <v>-64953.831701270043</v>
      </c>
      <c r="L13" s="19">
        <f t="shared" si="1"/>
        <v>-69825.369078865275</v>
      </c>
      <c r="M13" s="19">
        <f t="shared" si="1"/>
        <v>-75062.271759780182</v>
      </c>
      <c r="N13" s="19">
        <f t="shared" si="1"/>
        <v>-80691.942141763691</v>
      </c>
      <c r="O13" s="19">
        <f t="shared" si="1"/>
        <v>-86743.837802395981</v>
      </c>
      <c r="P13" s="19">
        <f t="shared" si="1"/>
        <v>-93249.625637575693</v>
      </c>
      <c r="Q13" s="19">
        <f t="shared" si="1"/>
        <v>-100243.34756039386</v>
      </c>
      <c r="R13" s="19">
        <f t="shared" si="1"/>
        <v>-107761.5986274234</v>
      </c>
      <c r="S13" s="19">
        <f t="shared" si="1"/>
        <v>-115843.71852448015</v>
      </c>
      <c r="T13" s="19">
        <f t="shared" si="1"/>
        <v>-124531.99741381616</v>
      </c>
      <c r="U13" s="19">
        <f t="shared" si="1"/>
        <v>-133871.89721985237</v>
      </c>
      <c r="V13" s="19">
        <f t="shared" si="1"/>
        <v>-143912.28951134131</v>
      </c>
      <c r="W13" s="19">
        <f t="shared" si="1"/>
        <v>-154705.71122469191</v>
      </c>
      <c r="X13" s="19">
        <f t="shared" si="1"/>
        <v>-166308.6395665438</v>
      </c>
      <c r="Y13" s="19">
        <f t="shared" si="1"/>
        <v>-178781.78753403458</v>
      </c>
      <c r="Z13" s="19">
        <f t="shared" si="1"/>
        <v>-192190.42159908719</v>
      </c>
      <c r="AA13" s="19">
        <f t="shared" si="1"/>
        <v>-206604.7032190187</v>
      </c>
      <c r="AB13" s="19">
        <f t="shared" si="1"/>
        <v>-222100.05596044511</v>
      </c>
      <c r="AC13" s="19">
        <f t="shared" si="1"/>
        <v>-238757.5601574785</v>
      </c>
    </row>
    <row r="14" spans="1:29" x14ac:dyDescent="0.35">
      <c r="C14" s="19" t="s">
        <v>39</v>
      </c>
      <c r="D14" s="19"/>
      <c r="E14" s="19">
        <f>-E12*$D$10</f>
        <v>-214576.79375000001</v>
      </c>
      <c r="F14" s="19">
        <f t="shared" ref="F14:AC14" si="2">-F12*$D$10</f>
        <v>-211420.2249935533</v>
      </c>
      <c r="G14" s="19">
        <f t="shared" si="2"/>
        <v>-208026.9135803731</v>
      </c>
      <c r="H14" s="19">
        <f t="shared" si="2"/>
        <v>-204379.10381120435</v>
      </c>
      <c r="I14" s="19">
        <f t="shared" si="2"/>
        <v>-200457.70830934795</v>
      </c>
      <c r="J14" s="19">
        <f t="shared" si="2"/>
        <v>-196242.20814485234</v>
      </c>
      <c r="K14" s="19">
        <f t="shared" si="2"/>
        <v>-191710.54546801955</v>
      </c>
      <c r="L14" s="19">
        <f t="shared" si="2"/>
        <v>-186839.00809042432</v>
      </c>
      <c r="M14" s="19">
        <f t="shared" si="2"/>
        <v>-181602.10540950942</v>
      </c>
      <c r="N14" s="19">
        <f t="shared" si="2"/>
        <v>-175972.43502752591</v>
      </c>
      <c r="O14" s="19">
        <f t="shared" si="2"/>
        <v>-169920.53936689362</v>
      </c>
      <c r="P14" s="19">
        <f t="shared" si="2"/>
        <v>-163414.7515317139</v>
      </c>
      <c r="Q14" s="19">
        <f t="shared" si="2"/>
        <v>-156421.02960889574</v>
      </c>
      <c r="R14" s="19">
        <f t="shared" si="2"/>
        <v>-148902.7785418662</v>
      </c>
      <c r="S14" s="19">
        <f t="shared" si="2"/>
        <v>-140820.65864480945</v>
      </c>
      <c r="T14" s="19">
        <f t="shared" si="2"/>
        <v>-132132.37975547343</v>
      </c>
      <c r="U14" s="19">
        <f t="shared" si="2"/>
        <v>-122792.47994943721</v>
      </c>
      <c r="V14" s="19">
        <f t="shared" si="2"/>
        <v>-112752.08765794829</v>
      </c>
      <c r="W14" s="19">
        <f t="shared" si="2"/>
        <v>-101958.66594459768</v>
      </c>
      <c r="X14" s="19">
        <f t="shared" si="2"/>
        <v>-90355.737602745794</v>
      </c>
      <c r="Y14" s="19">
        <f t="shared" si="2"/>
        <v>-77882.589635255004</v>
      </c>
      <c r="Z14" s="19">
        <f t="shared" si="2"/>
        <v>-64473.955570202415</v>
      </c>
      <c r="AA14" s="19">
        <f t="shared" si="2"/>
        <v>-50059.673950270881</v>
      </c>
      <c r="AB14" s="19">
        <f t="shared" si="2"/>
        <v>-34564.321208844478</v>
      </c>
      <c r="AC14" s="19">
        <f t="shared" si="2"/>
        <v>-17906.817011811094</v>
      </c>
    </row>
    <row r="15" spans="1:29" x14ac:dyDescent="0.35">
      <c r="C15" s="19" t="s">
        <v>37</v>
      </c>
      <c r="D15" s="19"/>
      <c r="E15" s="20">
        <f>E12+E13</f>
        <v>2818936.3332473775</v>
      </c>
      <c r="F15" s="20">
        <f t="shared" ref="F15:AC15" si="3">F12+F13</f>
        <v>2773692.1810716414</v>
      </c>
      <c r="G15" s="20">
        <f t="shared" si="3"/>
        <v>2725054.7174827247</v>
      </c>
      <c r="H15" s="20">
        <f t="shared" si="3"/>
        <v>2672769.4441246395</v>
      </c>
      <c r="I15" s="20">
        <f t="shared" si="3"/>
        <v>2616562.7752646981</v>
      </c>
      <c r="J15" s="20">
        <f t="shared" si="3"/>
        <v>2556140.6062402609</v>
      </c>
      <c r="K15" s="20">
        <f t="shared" si="3"/>
        <v>2491186.774538991</v>
      </c>
      <c r="L15" s="20">
        <f t="shared" si="3"/>
        <v>2421361.4054601258</v>
      </c>
      <c r="M15" s="20">
        <f t="shared" si="3"/>
        <v>2346299.1337003456</v>
      </c>
      <c r="N15" s="20">
        <f t="shared" si="3"/>
        <v>2265607.1915585818</v>
      </c>
      <c r="O15" s="20">
        <f t="shared" si="3"/>
        <v>2178863.3537561856</v>
      </c>
      <c r="P15" s="20">
        <f t="shared" si="3"/>
        <v>2085613.7281186099</v>
      </c>
      <c r="Q15" s="20">
        <f t="shared" si="3"/>
        <v>1985370.380558216</v>
      </c>
      <c r="R15" s="20">
        <f t="shared" si="3"/>
        <v>1877608.7819307926</v>
      </c>
      <c r="S15" s="20">
        <f t="shared" si="3"/>
        <v>1761765.0634063124</v>
      </c>
      <c r="T15" s="20">
        <f t="shared" si="3"/>
        <v>1637233.0659924962</v>
      </c>
      <c r="U15" s="20">
        <f t="shared" si="3"/>
        <v>1503361.1687726439</v>
      </c>
      <c r="V15" s="20">
        <f t="shared" si="3"/>
        <v>1359448.8792613025</v>
      </c>
      <c r="W15" s="20">
        <f t="shared" si="3"/>
        <v>1204743.1680366106</v>
      </c>
      <c r="X15" s="20">
        <f t="shared" si="3"/>
        <v>1038434.5284700668</v>
      </c>
      <c r="Y15" s="20">
        <f t="shared" si="3"/>
        <v>859652.74093603226</v>
      </c>
      <c r="Z15" s="20">
        <f t="shared" si="3"/>
        <v>667462.31933694507</v>
      </c>
      <c r="AA15" s="20">
        <f t="shared" si="3"/>
        <v>460857.61611792637</v>
      </c>
      <c r="AB15" s="20">
        <f t="shared" si="3"/>
        <v>238757.56015748126</v>
      </c>
      <c r="AC15" s="20">
        <f t="shared" si="3"/>
        <v>2.7648638933897018E-9</v>
      </c>
    </row>
    <row r="16" spans="1:29" x14ac:dyDescent="0.35">
      <c r="C16" s="19"/>
      <c r="D16" s="19"/>
      <c r="E16" s="19">
        <f>PMT(D10,25,D9)</f>
        <v>-256664.3771692896</v>
      </c>
      <c r="F16" s="19">
        <f>E16</f>
        <v>-256664.3771692896</v>
      </c>
      <c r="G16" s="19">
        <f t="shared" ref="G16:AC16" si="4">F16</f>
        <v>-256664.3771692896</v>
      </c>
      <c r="H16" s="19">
        <f t="shared" si="4"/>
        <v>-256664.3771692896</v>
      </c>
      <c r="I16" s="19">
        <f t="shared" si="4"/>
        <v>-256664.3771692896</v>
      </c>
      <c r="J16" s="19">
        <f t="shared" si="4"/>
        <v>-256664.3771692896</v>
      </c>
      <c r="K16" s="19">
        <f t="shared" si="4"/>
        <v>-256664.3771692896</v>
      </c>
      <c r="L16" s="19">
        <f t="shared" si="4"/>
        <v>-256664.3771692896</v>
      </c>
      <c r="M16" s="19">
        <f t="shared" si="4"/>
        <v>-256664.3771692896</v>
      </c>
      <c r="N16" s="19">
        <f t="shared" si="4"/>
        <v>-256664.3771692896</v>
      </c>
      <c r="O16" s="19">
        <f t="shared" si="4"/>
        <v>-256664.3771692896</v>
      </c>
      <c r="P16" s="19">
        <f t="shared" si="4"/>
        <v>-256664.3771692896</v>
      </c>
      <c r="Q16" s="19">
        <f t="shared" si="4"/>
        <v>-256664.3771692896</v>
      </c>
      <c r="R16" s="19">
        <f t="shared" si="4"/>
        <v>-256664.3771692896</v>
      </c>
      <c r="S16" s="19">
        <f t="shared" si="4"/>
        <v>-256664.3771692896</v>
      </c>
      <c r="T16" s="19">
        <f t="shared" si="4"/>
        <v>-256664.3771692896</v>
      </c>
      <c r="U16" s="19">
        <f t="shared" si="4"/>
        <v>-256664.3771692896</v>
      </c>
      <c r="V16" s="19">
        <f t="shared" si="4"/>
        <v>-256664.3771692896</v>
      </c>
      <c r="W16" s="19">
        <f t="shared" si="4"/>
        <v>-256664.3771692896</v>
      </c>
      <c r="X16" s="19">
        <f t="shared" si="4"/>
        <v>-256664.3771692896</v>
      </c>
      <c r="Y16" s="19">
        <f t="shared" si="4"/>
        <v>-256664.3771692896</v>
      </c>
      <c r="Z16" s="19">
        <f t="shared" si="4"/>
        <v>-256664.3771692896</v>
      </c>
      <c r="AA16" s="19">
        <f t="shared" si="4"/>
        <v>-256664.3771692896</v>
      </c>
      <c r="AB16" s="19">
        <f t="shared" si="4"/>
        <v>-256664.3771692896</v>
      </c>
      <c r="AC16" s="19">
        <f t="shared" si="4"/>
        <v>-256664.3771692896</v>
      </c>
    </row>
    <row r="17" spans="3:29" x14ac:dyDescent="0.35">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row>
    <row r="18" spans="3:29" x14ac:dyDescent="0.35">
      <c r="E18" s="4">
        <f>E16-E14</f>
        <v>-42087.583419289585</v>
      </c>
      <c r="F18" s="4">
        <f t="shared" ref="F18:P18" si="5">F13+-F16</f>
        <v>211420.2249935533</v>
      </c>
      <c r="G18" s="4">
        <f t="shared" si="5"/>
        <v>208026.9135803731</v>
      </c>
      <c r="H18" s="4">
        <f t="shared" si="5"/>
        <v>204379.10381120435</v>
      </c>
      <c r="I18" s="4">
        <f t="shared" si="5"/>
        <v>200457.70830934795</v>
      </c>
      <c r="J18" s="4">
        <f t="shared" si="5"/>
        <v>196242.20814485234</v>
      </c>
      <c r="K18" s="4">
        <f t="shared" si="5"/>
        <v>191710.54546801955</v>
      </c>
      <c r="L18" s="4">
        <f t="shared" si="5"/>
        <v>186839.00809042432</v>
      </c>
      <c r="M18" s="4">
        <f t="shared" si="5"/>
        <v>181602.10540950942</v>
      </c>
      <c r="N18" s="4">
        <f t="shared" si="5"/>
        <v>175972.43502752591</v>
      </c>
      <c r="O18" s="4">
        <f t="shared" si="5"/>
        <v>169920.53936689362</v>
      </c>
      <c r="P18" s="4">
        <f t="shared" si="5"/>
        <v>163414.7515317139</v>
      </c>
    </row>
  </sheetData>
  <sheetProtection algorithmName="SHA-512" hashValue="N6clc9yKvSkuETvKy3gnQ0M1iXIZMOHX89Xnnax4iy1TyhECqQmnLoSL8hrM7pU/LsWnhZzWhLEBfAc3xHvVuw==" saltValue="J67pbtOs5+Rk4eUyWbfvsQ==" spinCount="100000"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F81B6-34DD-4029-B005-268AA388EAD1}">
  <dimension ref="A1:AD46"/>
  <sheetViews>
    <sheetView workbookViewId="0">
      <selection activeCell="E4" sqref="E4"/>
    </sheetView>
  </sheetViews>
  <sheetFormatPr defaultColWidth="9.1796875" defaultRowHeight="13" x14ac:dyDescent="0.3"/>
  <cols>
    <col min="1" max="2" width="9.1796875" style="35"/>
    <col min="3" max="4" width="10.7265625" style="35" customWidth="1"/>
    <col min="5" max="5" width="9" style="35" customWidth="1"/>
    <col min="6" max="6" width="10.7265625" style="35" customWidth="1"/>
    <col min="7" max="7" width="10" style="35" customWidth="1"/>
    <col min="8" max="8" width="9.81640625" style="35" customWidth="1"/>
    <col min="9" max="9" width="9.7265625" style="35" customWidth="1"/>
    <col min="10" max="11" width="10.26953125" style="35" customWidth="1"/>
    <col min="12" max="13" width="10" style="35" customWidth="1"/>
    <col min="14" max="14" width="10.1796875" style="35" customWidth="1"/>
    <col min="15" max="15" width="9.81640625" style="35" customWidth="1"/>
    <col min="16" max="16" width="10.26953125" style="35" customWidth="1"/>
    <col min="17" max="18" width="9.81640625" style="35" customWidth="1"/>
    <col min="19" max="19" width="10.453125" style="35" customWidth="1"/>
    <col min="20" max="21" width="10.1796875" style="35" customWidth="1"/>
    <col min="22" max="22" width="9.81640625" style="35" customWidth="1"/>
    <col min="23" max="23" width="9.7265625" style="35" customWidth="1"/>
    <col min="24" max="24" width="10" style="35" customWidth="1"/>
    <col min="25" max="28" width="10.453125" style="35" customWidth="1"/>
    <col min="29" max="29" width="9.1796875" style="35"/>
    <col min="30" max="30" width="11.1796875" style="35" bestFit="1" customWidth="1"/>
    <col min="31" max="16384" width="9.1796875" style="35"/>
  </cols>
  <sheetData>
    <row r="1" spans="1:30" x14ac:dyDescent="0.3">
      <c r="A1" s="33" t="s">
        <v>16</v>
      </c>
      <c r="B1" s="34"/>
      <c r="C1" s="33" t="str">
        <f>'Generation &amp; Ops Scenarios'!B27</f>
        <v>100% Diesel (current)</v>
      </c>
      <c r="D1" s="34"/>
      <c r="E1" s="34"/>
      <c r="F1" s="34"/>
      <c r="G1" s="34"/>
      <c r="H1" s="34"/>
      <c r="I1" s="34"/>
      <c r="J1" s="34"/>
      <c r="K1" s="34"/>
      <c r="L1" s="34"/>
      <c r="M1" s="34"/>
      <c r="N1" s="34"/>
      <c r="O1" s="34"/>
      <c r="P1" s="34"/>
      <c r="Q1" s="34"/>
      <c r="R1" s="34"/>
      <c r="S1" s="34"/>
      <c r="T1" s="34"/>
      <c r="U1" s="34"/>
      <c r="V1" s="34"/>
      <c r="W1" s="34"/>
      <c r="X1" s="34"/>
      <c r="Y1" s="34"/>
      <c r="Z1" s="34"/>
      <c r="AA1" s="34"/>
      <c r="AB1" s="34"/>
      <c r="AC1" s="34"/>
      <c r="AD1" s="34"/>
    </row>
    <row r="2" spans="1:30" x14ac:dyDescent="0.3">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x14ac:dyDescent="0.3">
      <c r="A3" s="34"/>
      <c r="B3" s="34"/>
      <c r="C3" s="34"/>
      <c r="D3" s="423" t="s">
        <v>7</v>
      </c>
      <c r="E3" s="423"/>
      <c r="F3" s="423"/>
      <c r="G3" s="423"/>
      <c r="H3" s="423"/>
      <c r="I3" s="423"/>
      <c r="J3" s="423"/>
      <c r="K3" s="423"/>
      <c r="L3" s="423"/>
      <c r="M3" s="423"/>
      <c r="N3" s="423"/>
      <c r="O3" s="423"/>
      <c r="P3" s="423"/>
      <c r="Q3" s="423"/>
      <c r="R3" s="423"/>
      <c r="S3" s="423"/>
      <c r="T3" s="423"/>
      <c r="U3" s="423"/>
      <c r="V3" s="423"/>
      <c r="W3" s="423"/>
      <c r="X3" s="423"/>
      <c r="Y3" s="423"/>
      <c r="Z3" s="423"/>
      <c r="AA3" s="423"/>
      <c r="AB3" s="423"/>
      <c r="AC3" s="55"/>
      <c r="AD3" s="34"/>
    </row>
    <row r="4" spans="1:30" x14ac:dyDescent="0.3">
      <c r="A4" s="34"/>
      <c r="B4" s="34"/>
      <c r="C4" s="34" t="s">
        <v>7</v>
      </c>
      <c r="D4" s="37">
        <v>1</v>
      </c>
      <c r="E4" s="37">
        <v>2</v>
      </c>
      <c r="F4" s="37">
        <v>3</v>
      </c>
      <c r="G4" s="37">
        <v>4</v>
      </c>
      <c r="H4" s="37">
        <v>5</v>
      </c>
      <c r="I4" s="37">
        <v>6</v>
      </c>
      <c r="J4" s="37">
        <v>7</v>
      </c>
      <c r="K4" s="37">
        <v>8</v>
      </c>
      <c r="L4" s="37">
        <v>9</v>
      </c>
      <c r="M4" s="37">
        <v>10</v>
      </c>
      <c r="N4" s="37">
        <v>11</v>
      </c>
      <c r="O4" s="37">
        <v>12</v>
      </c>
      <c r="P4" s="37">
        <v>13</v>
      </c>
      <c r="Q4" s="37">
        <v>14</v>
      </c>
      <c r="R4" s="37">
        <v>15</v>
      </c>
      <c r="S4" s="37">
        <v>16</v>
      </c>
      <c r="T4" s="37">
        <v>17</v>
      </c>
      <c r="U4" s="37">
        <v>18</v>
      </c>
      <c r="V4" s="37">
        <v>19</v>
      </c>
      <c r="W4" s="37">
        <v>20</v>
      </c>
      <c r="X4" s="37">
        <v>21</v>
      </c>
      <c r="Y4" s="37">
        <v>22</v>
      </c>
      <c r="Z4" s="37">
        <v>23</v>
      </c>
      <c r="AA4" s="37">
        <v>24</v>
      </c>
      <c r="AB4" s="37">
        <v>25</v>
      </c>
      <c r="AC4" s="55"/>
      <c r="AD4" s="37" t="s">
        <v>46</v>
      </c>
    </row>
    <row r="5" spans="1:30" x14ac:dyDescent="0.3">
      <c r="A5" s="38"/>
      <c r="B5" s="38"/>
      <c r="C5" s="38"/>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3">
      <c r="A6" s="39" t="s">
        <v>17</v>
      </c>
      <c r="B6" s="34"/>
      <c r="C6" s="34"/>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x14ac:dyDescent="0.3">
      <c r="A7" s="34" t="s">
        <v>3</v>
      </c>
      <c r="B7" s="34"/>
      <c r="C7" s="34"/>
      <c r="D7" s="40">
        <f>'Diesel Summary'!M5*'Diesel Summary'!M6/100</f>
        <v>840000</v>
      </c>
      <c r="E7" s="40">
        <f>D7*(1+'Diesel Summary'!$M$8)*E46</f>
        <v>840000</v>
      </c>
      <c r="F7" s="40">
        <f>E7*(1+'Diesel Summary'!$M$8)*F46</f>
        <v>840000</v>
      </c>
      <c r="G7" s="40">
        <f>F7*(1+'Diesel Summary'!$M$8)*G46</f>
        <v>840000</v>
      </c>
      <c r="H7" s="40">
        <f>G7*(1+'Diesel Summary'!$M$8)*H46</f>
        <v>840000</v>
      </c>
      <c r="I7" s="40">
        <f>H7*(1+'Diesel Summary'!$M$8)*I46</f>
        <v>840000</v>
      </c>
      <c r="J7" s="40">
        <f>I7*(1+'Diesel Summary'!$M$8)*J46</f>
        <v>840000</v>
      </c>
      <c r="K7" s="40">
        <f>J7*(1+'Diesel Summary'!$M$8)*K46</f>
        <v>840000</v>
      </c>
      <c r="L7" s="40">
        <f>K7*(1+'Diesel Summary'!$M$8)*L46</f>
        <v>840000</v>
      </c>
      <c r="M7" s="40">
        <f>L7*(1+'Diesel Summary'!$M$8)*M46</f>
        <v>840000</v>
      </c>
      <c r="N7" s="40">
        <f>M7*(1+'Diesel Summary'!$M$8)*N46</f>
        <v>840000</v>
      </c>
      <c r="O7" s="40">
        <f>N7*(1+'Diesel Summary'!$M$8)*O46</f>
        <v>840000</v>
      </c>
      <c r="P7" s="40">
        <f>O7*(1+'Diesel Summary'!$M$8)*P46</f>
        <v>840000</v>
      </c>
      <c r="Q7" s="40">
        <f>P7*(1+'Diesel Summary'!$M$8)*Q46</f>
        <v>840000</v>
      </c>
      <c r="R7" s="40">
        <f>Q7*(1+'Diesel Summary'!$M$8)*R46</f>
        <v>840000</v>
      </c>
      <c r="S7" s="40">
        <f>R7*(1+'Diesel Summary'!$M$8)*S46</f>
        <v>840000</v>
      </c>
      <c r="T7" s="40">
        <f>S7*(1+'Diesel Summary'!$M$8)*T46</f>
        <v>840000</v>
      </c>
      <c r="U7" s="40">
        <f>T7*(1+'Diesel Summary'!$M$8)*U46</f>
        <v>840000</v>
      </c>
      <c r="V7" s="40">
        <f>U7*(1+'Diesel Summary'!$M$8)*V46</f>
        <v>840000</v>
      </c>
      <c r="W7" s="40">
        <f>V7*(1+'Diesel Summary'!$M$8)*W46</f>
        <v>840000</v>
      </c>
      <c r="X7" s="40">
        <f>W7*(1+'Diesel Summary'!$M$8)*X46</f>
        <v>840000</v>
      </c>
      <c r="Y7" s="40">
        <f>X7*(1+'Diesel Summary'!$M$8)*Y46</f>
        <v>840000</v>
      </c>
      <c r="Z7" s="40">
        <f>Y7*(1+'Diesel Summary'!$M$8)*Z46</f>
        <v>840000</v>
      </c>
      <c r="AA7" s="40">
        <f>Z7*(1+'Diesel Summary'!$M$8)*AA46</f>
        <v>840000</v>
      </c>
      <c r="AB7" s="40">
        <f>AA7*(1+'Diesel Summary'!$M$8)*AB46</f>
        <v>840000</v>
      </c>
      <c r="AC7" s="40"/>
      <c r="AD7" s="40">
        <f>SUM(D7:AC7)</f>
        <v>21000000</v>
      </c>
    </row>
    <row r="8" spans="1:30" s="309" customFormat="1" x14ac:dyDescent="0.3">
      <c r="A8" s="308" t="s">
        <v>23</v>
      </c>
      <c r="B8" s="308"/>
      <c r="C8" s="308"/>
      <c r="D8" s="47">
        <f>-'Diesel Summary'!H23*'Diesel Summary'!M15/100</f>
        <v>-328133.93076273572</v>
      </c>
      <c r="E8" s="47">
        <f>D8*E45</f>
        <v>-328133.93076273572</v>
      </c>
      <c r="F8" s="47">
        <f t="shared" ref="F8:AB8" si="0">E8*F45</f>
        <v>-328133.93076273572</v>
      </c>
      <c r="G8" s="47">
        <f t="shared" si="0"/>
        <v>-328133.93076273572</v>
      </c>
      <c r="H8" s="47">
        <f t="shared" si="0"/>
        <v>-328133.93076273572</v>
      </c>
      <c r="I8" s="47">
        <f t="shared" si="0"/>
        <v>-328133.93076273572</v>
      </c>
      <c r="J8" s="47">
        <f t="shared" si="0"/>
        <v>-328133.93076273572</v>
      </c>
      <c r="K8" s="47">
        <f t="shared" si="0"/>
        <v>-328133.93076273572</v>
      </c>
      <c r="L8" s="47">
        <f t="shared" si="0"/>
        <v>-328133.93076273572</v>
      </c>
      <c r="M8" s="47">
        <f t="shared" si="0"/>
        <v>-328133.93076273572</v>
      </c>
      <c r="N8" s="47">
        <f t="shared" si="0"/>
        <v>-328133.93076273572</v>
      </c>
      <c r="O8" s="47">
        <f t="shared" si="0"/>
        <v>-328133.93076273572</v>
      </c>
      <c r="P8" s="47">
        <f t="shared" si="0"/>
        <v>-328133.93076273572</v>
      </c>
      <c r="Q8" s="47">
        <f t="shared" si="0"/>
        <v>-328133.93076273572</v>
      </c>
      <c r="R8" s="47">
        <f t="shared" si="0"/>
        <v>-328133.93076273572</v>
      </c>
      <c r="S8" s="47">
        <f t="shared" si="0"/>
        <v>-328133.93076273572</v>
      </c>
      <c r="T8" s="47">
        <f t="shared" si="0"/>
        <v>-328133.93076273572</v>
      </c>
      <c r="U8" s="47">
        <f t="shared" si="0"/>
        <v>-328133.93076273572</v>
      </c>
      <c r="V8" s="47">
        <f t="shared" si="0"/>
        <v>-328133.93076273572</v>
      </c>
      <c r="W8" s="47">
        <f t="shared" si="0"/>
        <v>-328133.93076273572</v>
      </c>
      <c r="X8" s="47">
        <f t="shared" si="0"/>
        <v>-328133.93076273572</v>
      </c>
      <c r="Y8" s="47">
        <f t="shared" si="0"/>
        <v>-328133.93076273572</v>
      </c>
      <c r="Z8" s="47">
        <f t="shared" si="0"/>
        <v>-328133.93076273572</v>
      </c>
      <c r="AA8" s="47">
        <f t="shared" si="0"/>
        <v>-328133.93076273572</v>
      </c>
      <c r="AB8" s="47">
        <f t="shared" si="0"/>
        <v>-328133.93076273572</v>
      </c>
      <c r="AC8" s="47"/>
      <c r="AD8" s="47">
        <f>SUM(D8:AC8)</f>
        <v>-8203348.2690683976</v>
      </c>
    </row>
    <row r="9" spans="1:30" x14ac:dyDescent="0.3">
      <c r="A9" s="34" t="s">
        <v>24</v>
      </c>
      <c r="B9" s="34"/>
      <c r="C9" s="34"/>
      <c r="D9" s="40">
        <f>-'Diesel Summary'!H16</f>
        <v>-265996.23916666664</v>
      </c>
      <c r="E9" s="40">
        <f>D9*E44</f>
        <v>-265996.23916666664</v>
      </c>
      <c r="F9" s="40">
        <f t="shared" ref="F9:AB9" si="1">E9*F44</f>
        <v>-265996.23916666664</v>
      </c>
      <c r="G9" s="40">
        <f t="shared" si="1"/>
        <v>-265996.23916666664</v>
      </c>
      <c r="H9" s="40">
        <f t="shared" si="1"/>
        <v>-265996.23916666664</v>
      </c>
      <c r="I9" s="40">
        <f t="shared" si="1"/>
        <v>-265996.23916666664</v>
      </c>
      <c r="J9" s="40">
        <f t="shared" si="1"/>
        <v>-265996.23916666664</v>
      </c>
      <c r="K9" s="40">
        <f t="shared" si="1"/>
        <v>-265996.23916666664</v>
      </c>
      <c r="L9" s="40">
        <f t="shared" si="1"/>
        <v>-265996.23916666664</v>
      </c>
      <c r="M9" s="40">
        <f t="shared" si="1"/>
        <v>-265996.23916666664</v>
      </c>
      <c r="N9" s="40">
        <f t="shared" si="1"/>
        <v>-265996.23916666664</v>
      </c>
      <c r="O9" s="40">
        <f t="shared" si="1"/>
        <v>-265996.23916666664</v>
      </c>
      <c r="P9" s="40">
        <f t="shared" si="1"/>
        <v>-265996.23916666664</v>
      </c>
      <c r="Q9" s="40">
        <f t="shared" si="1"/>
        <v>-265996.23916666664</v>
      </c>
      <c r="R9" s="40">
        <f t="shared" si="1"/>
        <v>-265996.23916666664</v>
      </c>
      <c r="S9" s="40">
        <f t="shared" si="1"/>
        <v>-265996.23916666664</v>
      </c>
      <c r="T9" s="40">
        <f t="shared" si="1"/>
        <v>-265996.23916666664</v>
      </c>
      <c r="U9" s="40">
        <f t="shared" si="1"/>
        <v>-265996.23916666664</v>
      </c>
      <c r="V9" s="40">
        <f t="shared" si="1"/>
        <v>-265996.23916666664</v>
      </c>
      <c r="W9" s="40">
        <f t="shared" si="1"/>
        <v>-265996.23916666664</v>
      </c>
      <c r="X9" s="40">
        <f t="shared" si="1"/>
        <v>-265996.23916666664</v>
      </c>
      <c r="Y9" s="40">
        <f t="shared" si="1"/>
        <v>-265996.23916666664</v>
      </c>
      <c r="Z9" s="40">
        <f t="shared" si="1"/>
        <v>-265996.23916666664</v>
      </c>
      <c r="AA9" s="40">
        <f t="shared" si="1"/>
        <v>-265996.23916666664</v>
      </c>
      <c r="AB9" s="40">
        <f t="shared" si="1"/>
        <v>-265996.23916666664</v>
      </c>
      <c r="AC9" s="40"/>
      <c r="AD9" s="40"/>
    </row>
    <row r="10" spans="1:30" x14ac:dyDescent="0.3">
      <c r="A10" s="34"/>
      <c r="B10" s="34"/>
      <c r="C10" s="34"/>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0" x14ac:dyDescent="0.3">
      <c r="A11" s="34" t="s">
        <v>18</v>
      </c>
      <c r="B11" s="34"/>
      <c r="C11" s="34"/>
      <c r="D11" s="41">
        <f>SUM(D7:D10)</f>
        <v>245869.83007059764</v>
      </c>
      <c r="E11" s="41">
        <f>SUM(E7:E10)</f>
        <v>245869.83007059764</v>
      </c>
      <c r="F11" s="41">
        <f t="shared" ref="F11:AD11" si="2">SUM(F7:F10)</f>
        <v>245869.83007059764</v>
      </c>
      <c r="G11" s="41">
        <f t="shared" si="2"/>
        <v>245869.83007059764</v>
      </c>
      <c r="H11" s="41">
        <f t="shared" si="2"/>
        <v>245869.83007059764</v>
      </c>
      <c r="I11" s="41">
        <f t="shared" si="2"/>
        <v>245869.83007059764</v>
      </c>
      <c r="J11" s="41">
        <f t="shared" si="2"/>
        <v>245869.83007059764</v>
      </c>
      <c r="K11" s="41">
        <f t="shared" si="2"/>
        <v>245869.83007059764</v>
      </c>
      <c r="L11" s="41">
        <f t="shared" si="2"/>
        <v>245869.83007059764</v>
      </c>
      <c r="M11" s="41">
        <f t="shared" si="2"/>
        <v>245869.83007059764</v>
      </c>
      <c r="N11" s="41">
        <f t="shared" si="2"/>
        <v>245869.83007059764</v>
      </c>
      <c r="O11" s="41">
        <f t="shared" si="2"/>
        <v>245869.83007059764</v>
      </c>
      <c r="P11" s="41">
        <f t="shared" si="2"/>
        <v>245869.83007059764</v>
      </c>
      <c r="Q11" s="41">
        <f t="shared" si="2"/>
        <v>245869.83007059764</v>
      </c>
      <c r="R11" s="41">
        <f t="shared" si="2"/>
        <v>245869.83007059764</v>
      </c>
      <c r="S11" s="41">
        <f t="shared" si="2"/>
        <v>245869.83007059764</v>
      </c>
      <c r="T11" s="41">
        <f t="shared" si="2"/>
        <v>245869.83007059764</v>
      </c>
      <c r="U11" s="41">
        <f t="shared" si="2"/>
        <v>245869.83007059764</v>
      </c>
      <c r="V11" s="41">
        <f t="shared" si="2"/>
        <v>245869.83007059764</v>
      </c>
      <c r="W11" s="41">
        <f t="shared" si="2"/>
        <v>245869.83007059764</v>
      </c>
      <c r="X11" s="41">
        <f t="shared" si="2"/>
        <v>245869.83007059764</v>
      </c>
      <c r="Y11" s="41">
        <f t="shared" si="2"/>
        <v>245869.83007059764</v>
      </c>
      <c r="Z11" s="41">
        <f t="shared" si="2"/>
        <v>245869.83007059764</v>
      </c>
      <c r="AA11" s="41">
        <f t="shared" si="2"/>
        <v>245869.83007059764</v>
      </c>
      <c r="AB11" s="41">
        <f t="shared" si="2"/>
        <v>245869.83007059764</v>
      </c>
      <c r="AC11" s="40"/>
      <c r="AD11" s="41">
        <f t="shared" si="2"/>
        <v>12796651.730931602</v>
      </c>
    </row>
    <row r="12" spans="1:30" x14ac:dyDescent="0.3">
      <c r="A12" s="34"/>
      <c r="B12" s="34"/>
      <c r="C12" s="34"/>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row>
    <row r="13" spans="1:30" x14ac:dyDescent="0.3">
      <c r="A13" s="34" t="s">
        <v>19</v>
      </c>
      <c r="B13" s="34"/>
      <c r="C13" s="34"/>
      <c r="D13" s="40">
        <f>'Diesel Interest Calculations'!E14</f>
        <v>-214576.79375000001</v>
      </c>
      <c r="E13" s="40">
        <f>'Diesel Interest Calculations'!F14</f>
        <v>-211420.2249935533</v>
      </c>
      <c r="F13" s="40">
        <f>'Diesel Interest Calculations'!G14</f>
        <v>-208026.9135803731</v>
      </c>
      <c r="G13" s="40">
        <f>'Diesel Interest Calculations'!H14</f>
        <v>-204379.10381120435</v>
      </c>
      <c r="H13" s="40">
        <f>'Diesel Interest Calculations'!I14</f>
        <v>-200457.70830934795</v>
      </c>
      <c r="I13" s="40">
        <f>'Diesel Interest Calculations'!J14</f>
        <v>-196242.20814485234</v>
      </c>
      <c r="J13" s="40">
        <f>'Diesel Interest Calculations'!K14</f>
        <v>-191710.54546801955</v>
      </c>
      <c r="K13" s="40">
        <f>'Diesel Interest Calculations'!L14</f>
        <v>-186839.00809042432</v>
      </c>
      <c r="L13" s="40">
        <f>'Diesel Interest Calculations'!M14</f>
        <v>-181602.10540950942</v>
      </c>
      <c r="M13" s="40">
        <f>'Diesel Interest Calculations'!N14</f>
        <v>-175972.43502752591</v>
      </c>
      <c r="N13" s="40">
        <f>'Diesel Interest Calculations'!O14</f>
        <v>-169920.53936689362</v>
      </c>
      <c r="O13" s="40">
        <f>'Diesel Interest Calculations'!P14</f>
        <v>-163414.7515317139</v>
      </c>
      <c r="P13" s="40">
        <f>'Diesel Interest Calculations'!Q14</f>
        <v>-156421.02960889574</v>
      </c>
      <c r="Q13" s="40">
        <f>'Diesel Interest Calculations'!R14</f>
        <v>-148902.7785418662</v>
      </c>
      <c r="R13" s="40">
        <f>'Diesel Interest Calculations'!S14</f>
        <v>-140820.65864480945</v>
      </c>
      <c r="S13" s="40">
        <f>'Diesel Interest Calculations'!T14</f>
        <v>-132132.37975547343</v>
      </c>
      <c r="T13" s="40">
        <f>'Diesel Interest Calculations'!U14</f>
        <v>-122792.47994943721</v>
      </c>
      <c r="U13" s="40">
        <f>'Diesel Interest Calculations'!V14</f>
        <v>-112752.08765794829</v>
      </c>
      <c r="V13" s="40">
        <f>'Diesel Interest Calculations'!W14</f>
        <v>-101958.66594459768</v>
      </c>
      <c r="W13" s="40">
        <f>'Diesel Interest Calculations'!X14</f>
        <v>-90355.737602745794</v>
      </c>
      <c r="X13" s="40">
        <f>'Diesel Interest Calculations'!Y14</f>
        <v>-77882.589635255004</v>
      </c>
      <c r="Y13" s="40">
        <f>'Diesel Interest Calculations'!Z14</f>
        <v>-64473.955570202415</v>
      </c>
      <c r="Z13" s="40">
        <f>'Diesel Interest Calculations'!AA14</f>
        <v>-50059.673950270881</v>
      </c>
      <c r="AA13" s="40">
        <f>'Diesel Interest Calculations'!AB14</f>
        <v>-34564.321208844478</v>
      </c>
      <c r="AB13" s="40">
        <f>'Diesel Interest Calculations'!AC14</f>
        <v>-17906.817011811094</v>
      </c>
      <c r="AC13" s="40"/>
      <c r="AD13" s="40">
        <f t="shared" ref="AD13" si="3">SUM(D13:AC13)</f>
        <v>-3555585.5125655751</v>
      </c>
    </row>
    <row r="14" spans="1:30" x14ac:dyDescent="0.3">
      <c r="A14" s="34"/>
      <c r="B14" s="34"/>
      <c r="C14" s="34"/>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5" spans="1:30" x14ac:dyDescent="0.3">
      <c r="A15" s="34" t="s">
        <v>41</v>
      </c>
      <c r="B15" s="34"/>
      <c r="C15" s="34"/>
      <c r="D15" s="42">
        <f t="shared" ref="D15:AB15" si="4">SUM(D11:D14)</f>
        <v>31293.036320597632</v>
      </c>
      <c r="E15" s="42">
        <f t="shared" si="4"/>
        <v>34449.60507704434</v>
      </c>
      <c r="F15" s="42">
        <f t="shared" si="4"/>
        <v>37842.916490224539</v>
      </c>
      <c r="G15" s="42">
        <f t="shared" si="4"/>
        <v>41490.726259393297</v>
      </c>
      <c r="H15" s="42">
        <f t="shared" si="4"/>
        <v>45412.121761249698</v>
      </c>
      <c r="I15" s="42">
        <f t="shared" si="4"/>
        <v>49627.621925745305</v>
      </c>
      <c r="J15" s="42">
        <f t="shared" si="4"/>
        <v>54159.284602578089</v>
      </c>
      <c r="K15" s="42">
        <f t="shared" si="4"/>
        <v>59030.821980173321</v>
      </c>
      <c r="L15" s="42">
        <f t="shared" si="4"/>
        <v>64267.724661088228</v>
      </c>
      <c r="M15" s="42">
        <f t="shared" si="4"/>
        <v>69897.395043071738</v>
      </c>
      <c r="N15" s="42">
        <f t="shared" si="4"/>
        <v>75949.290703704028</v>
      </c>
      <c r="O15" s="42">
        <f t="shared" si="4"/>
        <v>82455.078538883739</v>
      </c>
      <c r="P15" s="42">
        <f t="shared" si="4"/>
        <v>89448.800461701903</v>
      </c>
      <c r="Q15" s="42">
        <f t="shared" si="4"/>
        <v>96967.051528731448</v>
      </c>
      <c r="R15" s="42">
        <f t="shared" si="4"/>
        <v>105049.1714257882</v>
      </c>
      <c r="S15" s="42">
        <f t="shared" si="4"/>
        <v>113737.45031512421</v>
      </c>
      <c r="T15" s="42">
        <f t="shared" si="4"/>
        <v>123077.35012116043</v>
      </c>
      <c r="U15" s="42">
        <f t="shared" si="4"/>
        <v>133117.74241264936</v>
      </c>
      <c r="V15" s="42">
        <f t="shared" si="4"/>
        <v>143911.16412599996</v>
      </c>
      <c r="W15" s="42">
        <f t="shared" si="4"/>
        <v>155514.09246785185</v>
      </c>
      <c r="X15" s="42">
        <f t="shared" si="4"/>
        <v>167987.24043534265</v>
      </c>
      <c r="Y15" s="42">
        <f t="shared" si="4"/>
        <v>181395.87450039524</v>
      </c>
      <c r="Z15" s="42">
        <f t="shared" si="4"/>
        <v>195810.15612032678</v>
      </c>
      <c r="AA15" s="42">
        <f t="shared" si="4"/>
        <v>211305.50886175316</v>
      </c>
      <c r="AB15" s="42">
        <f t="shared" si="4"/>
        <v>227963.01305878654</v>
      </c>
      <c r="AC15" s="40"/>
      <c r="AD15" s="42">
        <f>SUM(AD11:AD14)</f>
        <v>9241066.2183660269</v>
      </c>
    </row>
    <row r="16" spans="1:30" x14ac:dyDescent="0.3">
      <c r="A16" s="34"/>
      <c r="B16" s="34"/>
      <c r="C16" s="34"/>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x14ac:dyDescent="0.3">
      <c r="A17" s="39" t="s">
        <v>20</v>
      </c>
      <c r="B17" s="34"/>
      <c r="C17" s="34"/>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row>
    <row r="18" spans="1:30" x14ac:dyDescent="0.3">
      <c r="A18" s="34" t="s">
        <v>21</v>
      </c>
      <c r="B18" s="34"/>
      <c r="C18" s="34"/>
      <c r="D18" s="40">
        <f>-'Diesel Summary'!B22</f>
        <v>-2861023.916666667</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f t="shared" ref="AD18:AD19" si="5">SUM(D18:AC18)</f>
        <v>-2861023.916666667</v>
      </c>
    </row>
    <row r="19" spans="1:30" x14ac:dyDescent="0.3">
      <c r="A19" s="34" t="s">
        <v>40</v>
      </c>
      <c r="B19" s="34"/>
      <c r="C19" s="34"/>
      <c r="D19" s="40">
        <f>'Diesel Interest Calculations'!D9</f>
        <v>2861023.916666667</v>
      </c>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f t="shared" si="5"/>
        <v>2861023.916666667</v>
      </c>
    </row>
    <row r="20" spans="1:30" x14ac:dyDescent="0.3">
      <c r="A20" s="34"/>
      <c r="B20" s="34"/>
      <c r="C20" s="34"/>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3">
      <c r="A21" s="34"/>
      <c r="B21" s="34"/>
      <c r="C21" s="34"/>
      <c r="D21" s="41">
        <f t="shared" ref="D21:AB21" si="6">SUM(D18:D20)</f>
        <v>0</v>
      </c>
      <c r="E21" s="41">
        <f t="shared" si="6"/>
        <v>0</v>
      </c>
      <c r="F21" s="41">
        <f t="shared" si="6"/>
        <v>0</v>
      </c>
      <c r="G21" s="41">
        <f t="shared" si="6"/>
        <v>0</v>
      </c>
      <c r="H21" s="41">
        <f t="shared" si="6"/>
        <v>0</v>
      </c>
      <c r="I21" s="41">
        <f t="shared" si="6"/>
        <v>0</v>
      </c>
      <c r="J21" s="41">
        <f t="shared" si="6"/>
        <v>0</v>
      </c>
      <c r="K21" s="41">
        <f t="shared" si="6"/>
        <v>0</v>
      </c>
      <c r="L21" s="41">
        <f t="shared" si="6"/>
        <v>0</v>
      </c>
      <c r="M21" s="41">
        <f t="shared" si="6"/>
        <v>0</v>
      </c>
      <c r="N21" s="41">
        <f t="shared" si="6"/>
        <v>0</v>
      </c>
      <c r="O21" s="41">
        <f t="shared" si="6"/>
        <v>0</v>
      </c>
      <c r="P21" s="41">
        <f t="shared" si="6"/>
        <v>0</v>
      </c>
      <c r="Q21" s="41">
        <f t="shared" si="6"/>
        <v>0</v>
      </c>
      <c r="R21" s="41">
        <f t="shared" si="6"/>
        <v>0</v>
      </c>
      <c r="S21" s="41">
        <f t="shared" si="6"/>
        <v>0</v>
      </c>
      <c r="T21" s="41">
        <f t="shared" si="6"/>
        <v>0</v>
      </c>
      <c r="U21" s="41">
        <f t="shared" si="6"/>
        <v>0</v>
      </c>
      <c r="V21" s="41">
        <f t="shared" si="6"/>
        <v>0</v>
      </c>
      <c r="W21" s="41">
        <f t="shared" si="6"/>
        <v>0</v>
      </c>
      <c r="X21" s="41">
        <f t="shared" si="6"/>
        <v>0</v>
      </c>
      <c r="Y21" s="41">
        <f t="shared" si="6"/>
        <v>0</v>
      </c>
      <c r="Z21" s="41">
        <f t="shared" si="6"/>
        <v>0</v>
      </c>
      <c r="AA21" s="41">
        <f t="shared" si="6"/>
        <v>0</v>
      </c>
      <c r="AB21" s="41">
        <f t="shared" si="6"/>
        <v>0</v>
      </c>
      <c r="AC21" s="40"/>
      <c r="AD21" s="41">
        <f>SUM(AD18:AD20)</f>
        <v>0</v>
      </c>
    </row>
    <row r="22" spans="1:30" x14ac:dyDescent="0.3">
      <c r="A22" s="34"/>
      <c r="B22" s="34"/>
      <c r="C22" s="34"/>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30" x14ac:dyDescent="0.3">
      <c r="A23" s="34" t="s">
        <v>22</v>
      </c>
      <c r="B23" s="34"/>
      <c r="C23" s="34"/>
      <c r="D23" s="40">
        <f>'Diesel Interest Calculations'!E13</f>
        <v>-42087.583419289585</v>
      </c>
      <c r="E23" s="40">
        <f>'Diesel Interest Calculations'!F13</f>
        <v>-45244.152175736293</v>
      </c>
      <c r="F23" s="40">
        <f>'Diesel Interest Calculations'!G13</f>
        <v>-48637.463588916493</v>
      </c>
      <c r="G23" s="40">
        <f>'Diesel Interest Calculations'!H13</f>
        <v>-52285.273358085251</v>
      </c>
      <c r="H23" s="40">
        <f>'Diesel Interest Calculations'!I13</f>
        <v>-56206.668859941652</v>
      </c>
      <c r="I23" s="40">
        <f>'Diesel Interest Calculations'!J13</f>
        <v>-60422.169024437258</v>
      </c>
      <c r="J23" s="40">
        <f>'Diesel Interest Calculations'!K13</f>
        <v>-64953.831701270043</v>
      </c>
      <c r="K23" s="40">
        <f>'Diesel Interest Calculations'!L13</f>
        <v>-69825.369078865275</v>
      </c>
      <c r="L23" s="40">
        <f>'Diesel Interest Calculations'!M13</f>
        <v>-75062.271759780182</v>
      </c>
      <c r="M23" s="40">
        <f>'Diesel Interest Calculations'!N13</f>
        <v>-80691.942141763691</v>
      </c>
      <c r="N23" s="40">
        <f>'Diesel Interest Calculations'!O13</f>
        <v>-86743.837802395981</v>
      </c>
      <c r="O23" s="40">
        <f>'Diesel Interest Calculations'!P13</f>
        <v>-93249.625637575693</v>
      </c>
      <c r="P23" s="40">
        <f>'Diesel Interest Calculations'!Q13</f>
        <v>-100243.34756039386</v>
      </c>
      <c r="Q23" s="40">
        <f>'Diesel Interest Calculations'!R13</f>
        <v>-107761.5986274234</v>
      </c>
      <c r="R23" s="40">
        <f>'Diesel Interest Calculations'!S13</f>
        <v>-115843.71852448015</v>
      </c>
      <c r="S23" s="40">
        <f>'Diesel Interest Calculations'!T13</f>
        <v>-124531.99741381616</v>
      </c>
      <c r="T23" s="40">
        <f>'Diesel Interest Calculations'!U13</f>
        <v>-133871.89721985237</v>
      </c>
      <c r="U23" s="40">
        <f>'Diesel Interest Calculations'!V13</f>
        <v>-143912.28951134131</v>
      </c>
      <c r="V23" s="40">
        <f>'Diesel Interest Calculations'!W13</f>
        <v>-154705.71122469191</v>
      </c>
      <c r="W23" s="40">
        <f>'Diesel Interest Calculations'!X13</f>
        <v>-166308.6395665438</v>
      </c>
      <c r="X23" s="40">
        <f>'Diesel Interest Calculations'!Y13</f>
        <v>-178781.78753403458</v>
      </c>
      <c r="Y23" s="40">
        <f>'Diesel Interest Calculations'!Z13</f>
        <v>-192190.42159908719</v>
      </c>
      <c r="Z23" s="40">
        <f>'Diesel Interest Calculations'!AA13</f>
        <v>-206604.7032190187</v>
      </c>
      <c r="AA23" s="40">
        <f>'Diesel Interest Calculations'!AB13</f>
        <v>-222100.05596044511</v>
      </c>
      <c r="AB23" s="40">
        <f>'Diesel Interest Calculations'!AC13</f>
        <v>-238757.5601574785</v>
      </c>
      <c r="AC23" s="40"/>
      <c r="AD23" s="40">
        <f>SUM(D23:AC23)</f>
        <v>-2861023.9166666646</v>
      </c>
    </row>
    <row r="24" spans="1:30" x14ac:dyDescent="0.3">
      <c r="A24" s="34"/>
      <c r="B24" s="34"/>
      <c r="C24" s="34"/>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3">
      <c r="A25" s="34"/>
      <c r="B25" s="34"/>
      <c r="C25" s="34"/>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x14ac:dyDescent="0.3">
      <c r="A26" s="34" t="s">
        <v>42</v>
      </c>
      <c r="B26" s="34"/>
      <c r="C26" s="34"/>
      <c r="D26" s="41">
        <f t="shared" ref="D26:AB26" si="7">D15+D21+D23</f>
        <v>-10794.547098691954</v>
      </c>
      <c r="E26" s="41">
        <f t="shared" si="7"/>
        <v>-10794.547098691954</v>
      </c>
      <c r="F26" s="41">
        <f t="shared" si="7"/>
        <v>-10794.547098691954</v>
      </c>
      <c r="G26" s="41">
        <f t="shared" si="7"/>
        <v>-10794.547098691954</v>
      </c>
      <c r="H26" s="41">
        <f t="shared" si="7"/>
        <v>-10794.547098691954</v>
      </c>
      <c r="I26" s="41">
        <f t="shared" si="7"/>
        <v>-10794.547098691954</v>
      </c>
      <c r="J26" s="41">
        <f t="shared" si="7"/>
        <v>-10794.547098691954</v>
      </c>
      <c r="K26" s="41">
        <f t="shared" si="7"/>
        <v>-10794.547098691954</v>
      </c>
      <c r="L26" s="41">
        <f t="shared" si="7"/>
        <v>-10794.547098691954</v>
      </c>
      <c r="M26" s="41">
        <f t="shared" si="7"/>
        <v>-10794.547098691954</v>
      </c>
      <c r="N26" s="41">
        <f t="shared" si="7"/>
        <v>-10794.547098691954</v>
      </c>
      <c r="O26" s="41">
        <f t="shared" si="7"/>
        <v>-10794.547098691954</v>
      </c>
      <c r="P26" s="41">
        <f t="shared" si="7"/>
        <v>-10794.547098691954</v>
      </c>
      <c r="Q26" s="41">
        <f t="shared" si="7"/>
        <v>-10794.547098691954</v>
      </c>
      <c r="R26" s="41">
        <f t="shared" si="7"/>
        <v>-10794.547098691954</v>
      </c>
      <c r="S26" s="41">
        <f t="shared" si="7"/>
        <v>-10794.547098691954</v>
      </c>
      <c r="T26" s="41">
        <f t="shared" si="7"/>
        <v>-10794.547098691939</v>
      </c>
      <c r="U26" s="41">
        <f t="shared" si="7"/>
        <v>-10794.547098691954</v>
      </c>
      <c r="V26" s="41">
        <f t="shared" si="7"/>
        <v>-10794.547098691954</v>
      </c>
      <c r="W26" s="41">
        <f t="shared" si="7"/>
        <v>-10794.547098691954</v>
      </c>
      <c r="X26" s="41">
        <f t="shared" si="7"/>
        <v>-10794.547098691924</v>
      </c>
      <c r="Y26" s="41">
        <f t="shared" si="7"/>
        <v>-10794.547098691954</v>
      </c>
      <c r="Z26" s="41">
        <f t="shared" si="7"/>
        <v>-10794.547098691924</v>
      </c>
      <c r="AA26" s="41">
        <f t="shared" si="7"/>
        <v>-10794.547098691954</v>
      </c>
      <c r="AB26" s="41">
        <f t="shared" si="7"/>
        <v>-10794.547098691954</v>
      </c>
      <c r="AC26" s="40"/>
      <c r="AD26" s="41">
        <f>AD23+AD15</f>
        <v>6380042.3016993627</v>
      </c>
    </row>
    <row r="27" spans="1:30" x14ac:dyDescent="0.3">
      <c r="A27" s="34"/>
      <c r="B27" s="34"/>
      <c r="C27" s="34"/>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3">
      <c r="A28" s="34" t="s">
        <v>43</v>
      </c>
      <c r="B28" s="34"/>
      <c r="C28" s="34"/>
      <c r="D28" s="40"/>
      <c r="E28" s="40">
        <f>D30</f>
        <v>-10794.547098691954</v>
      </c>
      <c r="F28" s="40">
        <f t="shared" ref="F28:AB28" si="8">E30</f>
        <v>-21589.094197383907</v>
      </c>
      <c r="G28" s="40">
        <f t="shared" si="8"/>
        <v>-32383.641296075861</v>
      </c>
      <c r="H28" s="40">
        <f t="shared" si="8"/>
        <v>-43178.188394767814</v>
      </c>
      <c r="I28" s="40">
        <f t="shared" si="8"/>
        <v>-53972.735493459768</v>
      </c>
      <c r="J28" s="40">
        <f t="shared" si="8"/>
        <v>-64767.282592151721</v>
      </c>
      <c r="K28" s="40">
        <f t="shared" si="8"/>
        <v>-75561.829690843675</v>
      </c>
      <c r="L28" s="40">
        <f t="shared" si="8"/>
        <v>-86356.376789535629</v>
      </c>
      <c r="M28" s="40">
        <f t="shared" si="8"/>
        <v>-97150.923888227582</v>
      </c>
      <c r="N28" s="40">
        <f t="shared" si="8"/>
        <v>-107945.47098691954</v>
      </c>
      <c r="O28" s="40">
        <f t="shared" si="8"/>
        <v>-118740.01808561149</v>
      </c>
      <c r="P28" s="40">
        <f t="shared" si="8"/>
        <v>-129534.56518430344</v>
      </c>
      <c r="Q28" s="40">
        <f t="shared" si="8"/>
        <v>-140329.1122829954</v>
      </c>
      <c r="R28" s="40">
        <f t="shared" si="8"/>
        <v>-151123.65938168735</v>
      </c>
      <c r="S28" s="40">
        <f t="shared" si="8"/>
        <v>-161918.2064803793</v>
      </c>
      <c r="T28" s="40">
        <f t="shared" si="8"/>
        <v>-172712.75357907126</v>
      </c>
      <c r="U28" s="40">
        <f t="shared" si="8"/>
        <v>-183507.30067776318</v>
      </c>
      <c r="V28" s="40">
        <f t="shared" si="8"/>
        <v>-194301.84777645514</v>
      </c>
      <c r="W28" s="40">
        <f t="shared" si="8"/>
        <v>-205096.39487514709</v>
      </c>
      <c r="X28" s="40">
        <f t="shared" si="8"/>
        <v>-215890.94197383904</v>
      </c>
      <c r="Y28" s="40">
        <f t="shared" si="8"/>
        <v>-226685.48907253097</v>
      </c>
      <c r="Z28" s="40">
        <f t="shared" si="8"/>
        <v>-237480.03617122292</v>
      </c>
      <c r="AA28" s="40">
        <f t="shared" si="8"/>
        <v>-248274.58326991485</v>
      </c>
      <c r="AB28" s="40">
        <f t="shared" si="8"/>
        <v>-259069.1303686068</v>
      </c>
      <c r="AC28" s="40"/>
      <c r="AD28" s="40">
        <f>D28</f>
        <v>0</v>
      </c>
    </row>
    <row r="29" spans="1:30" x14ac:dyDescent="0.3">
      <c r="A29" s="34"/>
      <c r="B29" s="34"/>
      <c r="C29" s="34"/>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ht="13.5" thickBot="1" x14ac:dyDescent="0.35">
      <c r="A30" s="34" t="s">
        <v>44</v>
      </c>
      <c r="B30" s="34"/>
      <c r="C30" s="34"/>
      <c r="D30" s="43">
        <f>SUM(D26:D29)</f>
        <v>-10794.547098691954</v>
      </c>
      <c r="E30" s="43">
        <f>SUM(E26:E29)</f>
        <v>-21589.094197383907</v>
      </c>
      <c r="F30" s="43">
        <f t="shared" ref="F30:AD30" si="9">SUM(F26:F29)</f>
        <v>-32383.641296075861</v>
      </c>
      <c r="G30" s="43">
        <f t="shared" si="9"/>
        <v>-43178.188394767814</v>
      </c>
      <c r="H30" s="43">
        <f t="shared" si="9"/>
        <v>-53972.735493459768</v>
      </c>
      <c r="I30" s="43">
        <f t="shared" si="9"/>
        <v>-64767.282592151721</v>
      </c>
      <c r="J30" s="43">
        <f t="shared" si="9"/>
        <v>-75561.829690843675</v>
      </c>
      <c r="K30" s="43">
        <f t="shared" si="9"/>
        <v>-86356.376789535629</v>
      </c>
      <c r="L30" s="43">
        <f t="shared" si="9"/>
        <v>-97150.923888227582</v>
      </c>
      <c r="M30" s="43">
        <f t="shared" si="9"/>
        <v>-107945.47098691954</v>
      </c>
      <c r="N30" s="43">
        <f t="shared" si="9"/>
        <v>-118740.01808561149</v>
      </c>
      <c r="O30" s="43">
        <f t="shared" si="9"/>
        <v>-129534.56518430344</v>
      </c>
      <c r="P30" s="43">
        <f t="shared" si="9"/>
        <v>-140329.1122829954</v>
      </c>
      <c r="Q30" s="43">
        <f t="shared" si="9"/>
        <v>-151123.65938168735</v>
      </c>
      <c r="R30" s="43">
        <f t="shared" si="9"/>
        <v>-161918.2064803793</v>
      </c>
      <c r="S30" s="43">
        <f t="shared" si="9"/>
        <v>-172712.75357907126</v>
      </c>
      <c r="T30" s="43">
        <f t="shared" si="9"/>
        <v>-183507.30067776318</v>
      </c>
      <c r="U30" s="43">
        <f t="shared" si="9"/>
        <v>-194301.84777645514</v>
      </c>
      <c r="V30" s="43">
        <f t="shared" si="9"/>
        <v>-205096.39487514709</v>
      </c>
      <c r="W30" s="43">
        <f t="shared" si="9"/>
        <v>-215890.94197383904</v>
      </c>
      <c r="X30" s="43">
        <f t="shared" si="9"/>
        <v>-226685.48907253097</v>
      </c>
      <c r="Y30" s="43">
        <f t="shared" si="9"/>
        <v>-237480.03617122292</v>
      </c>
      <c r="Z30" s="43">
        <f t="shared" si="9"/>
        <v>-248274.58326991485</v>
      </c>
      <c r="AA30" s="43">
        <f t="shared" si="9"/>
        <v>-259069.1303686068</v>
      </c>
      <c r="AB30" s="43">
        <f t="shared" si="9"/>
        <v>-269863.67746729875</v>
      </c>
      <c r="AC30" s="40"/>
      <c r="AD30" s="43">
        <f t="shared" si="9"/>
        <v>6380042.3016993627</v>
      </c>
    </row>
    <row r="34" spans="1:28" x14ac:dyDescent="0.3">
      <c r="A34" s="35" t="s">
        <v>78</v>
      </c>
    </row>
    <row r="36" spans="1:28" x14ac:dyDescent="0.3">
      <c r="A36" s="35" t="s">
        <v>79</v>
      </c>
      <c r="D36" s="34">
        <f>D11</f>
        <v>245869.83007059764</v>
      </c>
      <c r="E36" s="34">
        <f t="shared" ref="E36:AB36" si="10">E11</f>
        <v>245869.83007059764</v>
      </c>
      <c r="F36" s="34">
        <f t="shared" si="10"/>
        <v>245869.83007059764</v>
      </c>
      <c r="G36" s="34">
        <f t="shared" si="10"/>
        <v>245869.83007059764</v>
      </c>
      <c r="H36" s="34">
        <f t="shared" si="10"/>
        <v>245869.83007059764</v>
      </c>
      <c r="I36" s="34">
        <f t="shared" si="10"/>
        <v>245869.83007059764</v>
      </c>
      <c r="J36" s="34">
        <f t="shared" si="10"/>
        <v>245869.83007059764</v>
      </c>
      <c r="K36" s="34">
        <f t="shared" si="10"/>
        <v>245869.83007059764</v>
      </c>
      <c r="L36" s="34">
        <f t="shared" si="10"/>
        <v>245869.83007059764</v>
      </c>
      <c r="M36" s="34">
        <f t="shared" si="10"/>
        <v>245869.83007059764</v>
      </c>
      <c r="N36" s="34">
        <f t="shared" si="10"/>
        <v>245869.83007059764</v>
      </c>
      <c r="O36" s="34">
        <f t="shared" si="10"/>
        <v>245869.83007059764</v>
      </c>
      <c r="P36" s="34">
        <f t="shared" si="10"/>
        <v>245869.83007059764</v>
      </c>
      <c r="Q36" s="34">
        <f t="shared" si="10"/>
        <v>245869.83007059764</v>
      </c>
      <c r="R36" s="34">
        <f t="shared" si="10"/>
        <v>245869.83007059764</v>
      </c>
      <c r="S36" s="34">
        <f t="shared" si="10"/>
        <v>245869.83007059764</v>
      </c>
      <c r="T36" s="34">
        <f t="shared" si="10"/>
        <v>245869.83007059764</v>
      </c>
      <c r="U36" s="34">
        <f t="shared" si="10"/>
        <v>245869.83007059764</v>
      </c>
      <c r="V36" s="34">
        <f t="shared" si="10"/>
        <v>245869.83007059764</v>
      </c>
      <c r="W36" s="34">
        <f t="shared" si="10"/>
        <v>245869.83007059764</v>
      </c>
      <c r="X36" s="34">
        <f t="shared" si="10"/>
        <v>245869.83007059764</v>
      </c>
      <c r="Y36" s="34">
        <f t="shared" si="10"/>
        <v>245869.83007059764</v>
      </c>
      <c r="Z36" s="34">
        <f t="shared" si="10"/>
        <v>245869.83007059764</v>
      </c>
      <c r="AA36" s="34">
        <f t="shared" si="10"/>
        <v>245869.83007059764</v>
      </c>
      <c r="AB36" s="34">
        <f t="shared" si="10"/>
        <v>245869.83007059764</v>
      </c>
    </row>
    <row r="37" spans="1:28" x14ac:dyDescent="0.3">
      <c r="A37" s="35" t="s">
        <v>80</v>
      </c>
      <c r="D37" s="34">
        <f>-D23-D13</f>
        <v>256664.3771692896</v>
      </c>
      <c r="E37" s="34">
        <f t="shared" ref="E37:AB37" si="11">-E23-E13</f>
        <v>256664.3771692896</v>
      </c>
      <c r="F37" s="34">
        <f t="shared" si="11"/>
        <v>256664.3771692896</v>
      </c>
      <c r="G37" s="34">
        <f t="shared" si="11"/>
        <v>256664.3771692896</v>
      </c>
      <c r="H37" s="34">
        <f t="shared" si="11"/>
        <v>256664.3771692896</v>
      </c>
      <c r="I37" s="34">
        <f t="shared" si="11"/>
        <v>256664.3771692896</v>
      </c>
      <c r="J37" s="34">
        <f t="shared" si="11"/>
        <v>256664.3771692896</v>
      </c>
      <c r="K37" s="34">
        <f t="shared" si="11"/>
        <v>256664.3771692896</v>
      </c>
      <c r="L37" s="34">
        <f t="shared" si="11"/>
        <v>256664.3771692896</v>
      </c>
      <c r="M37" s="34">
        <f t="shared" si="11"/>
        <v>256664.3771692896</v>
      </c>
      <c r="N37" s="34">
        <f t="shared" si="11"/>
        <v>256664.3771692896</v>
      </c>
      <c r="O37" s="34">
        <f t="shared" si="11"/>
        <v>256664.3771692896</v>
      </c>
      <c r="P37" s="34">
        <f t="shared" si="11"/>
        <v>256664.3771692896</v>
      </c>
      <c r="Q37" s="34">
        <f t="shared" si="11"/>
        <v>256664.3771692896</v>
      </c>
      <c r="R37" s="34">
        <f t="shared" si="11"/>
        <v>256664.3771692896</v>
      </c>
      <c r="S37" s="34">
        <f t="shared" si="11"/>
        <v>256664.3771692896</v>
      </c>
      <c r="T37" s="34">
        <f t="shared" si="11"/>
        <v>256664.37716928957</v>
      </c>
      <c r="U37" s="34">
        <f t="shared" si="11"/>
        <v>256664.3771692896</v>
      </c>
      <c r="V37" s="34">
        <f t="shared" si="11"/>
        <v>256664.3771692896</v>
      </c>
      <c r="W37" s="34">
        <f t="shared" si="11"/>
        <v>256664.3771692896</v>
      </c>
      <c r="X37" s="34">
        <f t="shared" si="11"/>
        <v>256664.37716928957</v>
      </c>
      <c r="Y37" s="34">
        <f t="shared" si="11"/>
        <v>256664.3771692896</v>
      </c>
      <c r="Z37" s="34">
        <f t="shared" si="11"/>
        <v>256664.37716928957</v>
      </c>
      <c r="AA37" s="34">
        <f t="shared" si="11"/>
        <v>256664.3771692896</v>
      </c>
      <c r="AB37" s="34">
        <f t="shared" si="11"/>
        <v>256664.3771692896</v>
      </c>
    </row>
    <row r="39" spans="1:28" x14ac:dyDescent="0.3">
      <c r="A39" s="35" t="s">
        <v>81</v>
      </c>
      <c r="D39" s="44">
        <f>D36/D37</f>
        <v>0.9579429478381718</v>
      </c>
      <c r="E39" s="44">
        <f t="shared" ref="E39:W39" si="12">E36/E37</f>
        <v>0.9579429478381718</v>
      </c>
      <c r="F39" s="44">
        <f t="shared" si="12"/>
        <v>0.9579429478381718</v>
      </c>
      <c r="G39" s="44">
        <f t="shared" si="12"/>
        <v>0.9579429478381718</v>
      </c>
      <c r="H39" s="44">
        <f t="shared" si="12"/>
        <v>0.9579429478381718</v>
      </c>
      <c r="I39" s="44">
        <f t="shared" si="12"/>
        <v>0.9579429478381718</v>
      </c>
      <c r="J39" s="44">
        <f t="shared" si="12"/>
        <v>0.9579429478381718</v>
      </c>
      <c r="K39" s="44">
        <f t="shared" si="12"/>
        <v>0.9579429478381718</v>
      </c>
      <c r="L39" s="44">
        <f t="shared" si="12"/>
        <v>0.9579429478381718</v>
      </c>
      <c r="M39" s="44">
        <f t="shared" si="12"/>
        <v>0.9579429478381718</v>
      </c>
      <c r="N39" s="44">
        <f t="shared" si="12"/>
        <v>0.9579429478381718</v>
      </c>
      <c r="O39" s="44">
        <f t="shared" si="12"/>
        <v>0.9579429478381718</v>
      </c>
      <c r="P39" s="44">
        <f t="shared" si="12"/>
        <v>0.9579429478381718</v>
      </c>
      <c r="Q39" s="44">
        <f t="shared" si="12"/>
        <v>0.9579429478381718</v>
      </c>
      <c r="R39" s="44">
        <f t="shared" si="12"/>
        <v>0.9579429478381718</v>
      </c>
      <c r="S39" s="44">
        <f t="shared" si="12"/>
        <v>0.9579429478381718</v>
      </c>
      <c r="T39" s="44">
        <f t="shared" si="12"/>
        <v>0.95794294783817191</v>
      </c>
      <c r="U39" s="44">
        <f t="shared" si="12"/>
        <v>0.9579429478381718</v>
      </c>
      <c r="V39" s="44">
        <f t="shared" si="12"/>
        <v>0.9579429478381718</v>
      </c>
      <c r="W39" s="44">
        <f t="shared" si="12"/>
        <v>0.9579429478381718</v>
      </c>
      <c r="X39" s="44"/>
      <c r="Y39" s="44"/>
      <c r="Z39" s="44"/>
      <c r="AA39" s="44"/>
      <c r="AB39" s="44"/>
    </row>
    <row r="43" spans="1:28" x14ac:dyDescent="0.3">
      <c r="A43" s="35" t="s">
        <v>192</v>
      </c>
    </row>
    <row r="44" spans="1:28" x14ac:dyDescent="0.3">
      <c r="A44" s="35" t="s">
        <v>193</v>
      </c>
      <c r="D44" s="85">
        <v>1</v>
      </c>
      <c r="E44" s="85">
        <f>D44+'Diesel Summary'!$R$10</f>
        <v>1</v>
      </c>
      <c r="F44" s="85">
        <f>E44+'Diesel Summary'!$R$10</f>
        <v>1</v>
      </c>
      <c r="G44" s="85">
        <f>F44+'Diesel Summary'!$R$10</f>
        <v>1</v>
      </c>
      <c r="H44" s="85">
        <f>G44+'Diesel Summary'!$R$10</f>
        <v>1</v>
      </c>
      <c r="I44" s="85">
        <f>H44+'Diesel Summary'!$R$10</f>
        <v>1</v>
      </c>
      <c r="J44" s="85">
        <f>I44+'Diesel Summary'!$R$10</f>
        <v>1</v>
      </c>
      <c r="K44" s="85">
        <f>J44+'Diesel Summary'!$R$10</f>
        <v>1</v>
      </c>
      <c r="L44" s="85">
        <f>K44+'Diesel Summary'!$R$10</f>
        <v>1</v>
      </c>
      <c r="M44" s="85">
        <f>L44+'Diesel Summary'!$R$10</f>
        <v>1</v>
      </c>
      <c r="N44" s="85">
        <f>M44+'Diesel Summary'!$R$10</f>
        <v>1</v>
      </c>
      <c r="O44" s="85">
        <f>N44+'Diesel Summary'!$R$10</f>
        <v>1</v>
      </c>
      <c r="P44" s="85">
        <f>O44+'Diesel Summary'!$R$10</f>
        <v>1</v>
      </c>
      <c r="Q44" s="85">
        <f>P44+'Diesel Summary'!$R$10</f>
        <v>1</v>
      </c>
      <c r="R44" s="85">
        <f>Q44+'Diesel Summary'!$R$10</f>
        <v>1</v>
      </c>
      <c r="S44" s="85">
        <f>R44+'Diesel Summary'!$R$10</f>
        <v>1</v>
      </c>
      <c r="T44" s="85">
        <f>S44+'Diesel Summary'!$R$10</f>
        <v>1</v>
      </c>
      <c r="U44" s="85">
        <f>T44+'Diesel Summary'!$R$10</f>
        <v>1</v>
      </c>
      <c r="V44" s="85">
        <f>U44+'Diesel Summary'!$R$10</f>
        <v>1</v>
      </c>
      <c r="W44" s="85">
        <f>V44+'Diesel Summary'!$R$10</f>
        <v>1</v>
      </c>
      <c r="X44" s="85">
        <f>W44+'Diesel Summary'!$R$10</f>
        <v>1</v>
      </c>
      <c r="Y44" s="85">
        <f>X44+'Diesel Summary'!$R$10</f>
        <v>1</v>
      </c>
      <c r="Z44" s="85">
        <f>Y44+'Diesel Summary'!$R$10</f>
        <v>1</v>
      </c>
      <c r="AA44" s="85">
        <f>Z44+'Diesel Summary'!$R$10</f>
        <v>1</v>
      </c>
      <c r="AB44" s="85">
        <f>AA44+'Diesel Summary'!$R$10</f>
        <v>1</v>
      </c>
    </row>
    <row r="45" spans="1:28" x14ac:dyDescent="0.3">
      <c r="A45" s="35" t="s">
        <v>4</v>
      </c>
      <c r="D45" s="85">
        <v>1</v>
      </c>
      <c r="E45" s="85">
        <f>D45+'Diesel Summary'!$R$11</f>
        <v>1</v>
      </c>
      <c r="F45" s="85">
        <f>E45+'Diesel Summary'!$R$11</f>
        <v>1</v>
      </c>
      <c r="G45" s="85">
        <f>F45+'Diesel Summary'!$R$11</f>
        <v>1</v>
      </c>
      <c r="H45" s="85">
        <f>G45+'Diesel Summary'!$R$11</f>
        <v>1</v>
      </c>
      <c r="I45" s="85">
        <f>H45+'Diesel Summary'!$R$11</f>
        <v>1</v>
      </c>
      <c r="J45" s="85">
        <f>I45+'Diesel Summary'!$R$11</f>
        <v>1</v>
      </c>
      <c r="K45" s="85">
        <f>J45+'Diesel Summary'!$R$11</f>
        <v>1</v>
      </c>
      <c r="L45" s="85">
        <f>K45+'Diesel Summary'!$R$11</f>
        <v>1</v>
      </c>
      <c r="M45" s="85">
        <f>L45+'Diesel Summary'!$R$11</f>
        <v>1</v>
      </c>
      <c r="N45" s="85">
        <f>M45+'Diesel Summary'!$R$11</f>
        <v>1</v>
      </c>
      <c r="O45" s="85">
        <f>N45+'Diesel Summary'!$R$11</f>
        <v>1</v>
      </c>
      <c r="P45" s="85">
        <f>O45+'Diesel Summary'!$R$11</f>
        <v>1</v>
      </c>
      <c r="Q45" s="85">
        <f>P45+'Diesel Summary'!$R$11</f>
        <v>1</v>
      </c>
      <c r="R45" s="85">
        <f>Q45+'Diesel Summary'!$R$11</f>
        <v>1</v>
      </c>
      <c r="S45" s="85">
        <f>R45+'Diesel Summary'!$R$11</f>
        <v>1</v>
      </c>
      <c r="T45" s="85">
        <f>S45+'Diesel Summary'!$R$11</f>
        <v>1</v>
      </c>
      <c r="U45" s="85">
        <f>T45+'Diesel Summary'!$R$11</f>
        <v>1</v>
      </c>
      <c r="V45" s="85">
        <f>U45+'Diesel Summary'!$R$11</f>
        <v>1</v>
      </c>
      <c r="W45" s="85">
        <f>V45+'Diesel Summary'!$R$11</f>
        <v>1</v>
      </c>
      <c r="X45" s="85">
        <f>W45+'Diesel Summary'!$R$11</f>
        <v>1</v>
      </c>
      <c r="Y45" s="85">
        <f>X45+'Diesel Summary'!$R$11</f>
        <v>1</v>
      </c>
      <c r="Z45" s="85">
        <f>Y45+'Diesel Summary'!$R$11</f>
        <v>1</v>
      </c>
      <c r="AA45" s="85">
        <f>Z45+'Diesel Summary'!$R$11</f>
        <v>1</v>
      </c>
      <c r="AB45" s="85">
        <f>AA45+'Diesel Summary'!$R$11</f>
        <v>1</v>
      </c>
    </row>
    <row r="46" spans="1:28" x14ac:dyDescent="0.3">
      <c r="A46" s="35" t="s">
        <v>163</v>
      </c>
      <c r="D46" s="85">
        <v>1</v>
      </c>
      <c r="E46" s="85">
        <f>D46+'Diesel Summary'!$R$12</f>
        <v>1</v>
      </c>
      <c r="F46" s="85">
        <f>E46+'Diesel Summary'!$R$12</f>
        <v>1</v>
      </c>
      <c r="G46" s="85">
        <f>F46+'Diesel Summary'!$R$12</f>
        <v>1</v>
      </c>
      <c r="H46" s="85">
        <f>G46+'Diesel Summary'!$R$12</f>
        <v>1</v>
      </c>
      <c r="I46" s="85">
        <f>H46+'Diesel Summary'!$R$12</f>
        <v>1</v>
      </c>
      <c r="J46" s="85">
        <f>I46+'Diesel Summary'!$R$12</f>
        <v>1</v>
      </c>
      <c r="K46" s="85">
        <f>J46+'Diesel Summary'!$R$12</f>
        <v>1</v>
      </c>
      <c r="L46" s="85">
        <f>K46+'Diesel Summary'!$R$12</f>
        <v>1</v>
      </c>
      <c r="M46" s="85">
        <f>L46+'Diesel Summary'!$R$12</f>
        <v>1</v>
      </c>
      <c r="N46" s="85">
        <f>M46+'Diesel Summary'!$R$12</f>
        <v>1</v>
      </c>
      <c r="O46" s="85">
        <f>N46+'Diesel Summary'!$R$12</f>
        <v>1</v>
      </c>
      <c r="P46" s="85">
        <f>O46+'Diesel Summary'!$R$12</f>
        <v>1</v>
      </c>
      <c r="Q46" s="85">
        <f>P46+'Diesel Summary'!$R$12</f>
        <v>1</v>
      </c>
      <c r="R46" s="85">
        <f>Q46+'Diesel Summary'!$R$12</f>
        <v>1</v>
      </c>
      <c r="S46" s="85">
        <f>R46+'Diesel Summary'!$R$12</f>
        <v>1</v>
      </c>
      <c r="T46" s="85">
        <f>S46+'Diesel Summary'!$R$12</f>
        <v>1</v>
      </c>
      <c r="U46" s="85">
        <f>T46+'Diesel Summary'!$R$12</f>
        <v>1</v>
      </c>
      <c r="V46" s="85">
        <f>U46+'Diesel Summary'!$R$12</f>
        <v>1</v>
      </c>
      <c r="W46" s="85">
        <f>V46+'Diesel Summary'!$R$12</f>
        <v>1</v>
      </c>
      <c r="X46" s="85">
        <f>W46+'Diesel Summary'!$R$12</f>
        <v>1</v>
      </c>
      <c r="Y46" s="85">
        <f>X46+'Diesel Summary'!$R$12</f>
        <v>1</v>
      </c>
      <c r="Z46" s="85">
        <f>Y46+'Diesel Summary'!$R$12</f>
        <v>1</v>
      </c>
      <c r="AA46" s="85">
        <f>Z46+'Diesel Summary'!$R$12</f>
        <v>1</v>
      </c>
      <c r="AB46" s="85">
        <f>AA46+'Diesel Summary'!$R$12</f>
        <v>1</v>
      </c>
    </row>
  </sheetData>
  <sheetProtection algorithmName="SHA-512" hashValue="xxu1jvGe7cm3kPdlSRhVSaCWYLDP2HWoe5UYe9LwKK+SmALOzmM36GpXjAhGgOw+xbo8DCMLjCgLQOEZpv2UPw==" saltValue="bL0nQ4KpUBiiM8xrvGT71w==" spinCount="100000" sheet="1" objects="1" scenarios="1" selectLockedCells="1" selectUnlockedCells="1"/>
  <mergeCells count="1">
    <mergeCell ref="D3:AB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5C09F-BC47-4035-B829-0948930B7889}">
  <dimension ref="A1:AD27"/>
  <sheetViews>
    <sheetView workbookViewId="0">
      <selection activeCell="D5" sqref="D5"/>
    </sheetView>
  </sheetViews>
  <sheetFormatPr defaultRowHeight="14.5" x14ac:dyDescent="0.35"/>
  <cols>
    <col min="3" max="3" width="5.453125" customWidth="1"/>
    <col min="4" max="28" width="9.453125" bestFit="1" customWidth="1"/>
    <col min="30" max="30" width="11.54296875" customWidth="1"/>
  </cols>
  <sheetData>
    <row r="1" spans="1:30" x14ac:dyDescent="0.35">
      <c r="A1" s="16" t="s">
        <v>45</v>
      </c>
      <c r="B1" s="4"/>
      <c r="C1" s="4"/>
      <c r="D1" s="16" t="str">
        <f>'Generation &amp; Ops Scenarios'!B27</f>
        <v>100% Diesel (current)</v>
      </c>
      <c r="E1" s="4"/>
      <c r="F1" s="4"/>
      <c r="G1" s="4"/>
      <c r="H1" s="4"/>
      <c r="I1" s="4"/>
      <c r="J1" s="4"/>
      <c r="K1" s="4"/>
      <c r="L1" s="4"/>
      <c r="M1" s="4"/>
      <c r="N1" s="4"/>
      <c r="O1" s="4"/>
      <c r="P1" s="4"/>
      <c r="Q1" s="4"/>
      <c r="R1" s="4"/>
      <c r="S1" s="4"/>
      <c r="T1" s="4"/>
      <c r="U1" s="4"/>
      <c r="V1" s="4"/>
      <c r="W1" s="4"/>
      <c r="X1" s="4"/>
      <c r="Y1" s="4"/>
      <c r="Z1" s="4"/>
      <c r="AA1" s="4"/>
      <c r="AB1" s="4"/>
      <c r="AC1" s="4"/>
      <c r="AD1" s="4"/>
    </row>
    <row r="2" spans="1:30" x14ac:dyDescent="0.35">
      <c r="A2" s="4"/>
      <c r="B2" s="4"/>
      <c r="C2" s="4"/>
      <c r="D2" s="17"/>
      <c r="E2" s="17"/>
      <c r="F2" s="17"/>
      <c r="G2" s="17"/>
      <c r="H2" s="17"/>
      <c r="I2" s="17"/>
      <c r="J2" s="17"/>
      <c r="K2" s="17"/>
      <c r="L2" s="17"/>
      <c r="M2" s="17"/>
      <c r="N2" s="17"/>
      <c r="O2" s="17"/>
      <c r="P2" s="17"/>
      <c r="Q2" s="17"/>
      <c r="R2" s="17"/>
      <c r="S2" s="17"/>
      <c r="T2" s="17"/>
      <c r="U2" s="17"/>
      <c r="V2" s="17"/>
      <c r="W2" s="17"/>
      <c r="X2" s="17"/>
      <c r="Y2" s="17"/>
      <c r="Z2" s="17"/>
      <c r="AA2" s="17"/>
      <c r="AB2" s="17"/>
      <c r="AC2" s="17"/>
      <c r="AD2" s="4"/>
    </row>
    <row r="3" spans="1:30" x14ac:dyDescent="0.35">
      <c r="A3" s="4"/>
      <c r="B3" s="4"/>
      <c r="C3" s="4"/>
      <c r="D3" s="17">
        <v>1</v>
      </c>
      <c r="E3" s="17">
        <v>2</v>
      </c>
      <c r="F3" s="17">
        <v>3</v>
      </c>
      <c r="G3" s="17">
        <v>4</v>
      </c>
      <c r="H3" s="17">
        <v>5</v>
      </c>
      <c r="I3" s="17">
        <v>6</v>
      </c>
      <c r="J3" s="17">
        <v>7</v>
      </c>
      <c r="K3" s="17">
        <v>8</v>
      </c>
      <c r="L3" s="17">
        <v>9</v>
      </c>
      <c r="M3" s="17">
        <v>10</v>
      </c>
      <c r="N3" s="17">
        <v>11</v>
      </c>
      <c r="O3" s="17">
        <v>12</v>
      </c>
      <c r="P3" s="17">
        <v>13</v>
      </c>
      <c r="Q3" s="17">
        <v>14</v>
      </c>
      <c r="R3" s="17">
        <v>15</v>
      </c>
      <c r="S3" s="17">
        <v>16</v>
      </c>
      <c r="T3" s="17">
        <v>17</v>
      </c>
      <c r="U3" s="17">
        <v>18</v>
      </c>
      <c r="V3" s="17">
        <v>19</v>
      </c>
      <c r="W3" s="17">
        <v>20</v>
      </c>
      <c r="X3" s="17">
        <v>21</v>
      </c>
      <c r="Y3" s="17">
        <v>22</v>
      </c>
      <c r="Z3" s="17">
        <v>23</v>
      </c>
      <c r="AA3" s="17">
        <v>24</v>
      </c>
      <c r="AB3" s="17">
        <v>25</v>
      </c>
      <c r="AC3" s="17"/>
      <c r="AD3" s="17" t="s">
        <v>46</v>
      </c>
    </row>
    <row r="4" spans="1:30" ht="15.5" x14ac:dyDescent="0.35">
      <c r="A4" s="18" t="s">
        <v>3</v>
      </c>
      <c r="B4" s="18"/>
      <c r="C4" s="18"/>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5">
      <c r="A5" s="4" t="s">
        <v>76</v>
      </c>
      <c r="B5" s="4"/>
      <c r="C5" s="4"/>
      <c r="D5" s="19">
        <f>'Diesel Cash Flow'!D7</f>
        <v>840000</v>
      </c>
      <c r="E5" s="19">
        <f>'Diesel Cash Flow'!E7</f>
        <v>840000</v>
      </c>
      <c r="F5" s="19">
        <f>'Diesel Cash Flow'!F7</f>
        <v>840000</v>
      </c>
      <c r="G5" s="19">
        <f>'Diesel Cash Flow'!G7</f>
        <v>840000</v>
      </c>
      <c r="H5" s="19">
        <f>'Diesel Cash Flow'!H7</f>
        <v>840000</v>
      </c>
      <c r="I5" s="19">
        <f>'Diesel Cash Flow'!I7</f>
        <v>840000</v>
      </c>
      <c r="J5" s="19">
        <f>'Diesel Cash Flow'!J7</f>
        <v>840000</v>
      </c>
      <c r="K5" s="19">
        <f>'Diesel Cash Flow'!K7</f>
        <v>840000</v>
      </c>
      <c r="L5" s="19">
        <f>'Diesel Cash Flow'!L7</f>
        <v>840000</v>
      </c>
      <c r="M5" s="19">
        <f>'Diesel Cash Flow'!M7</f>
        <v>840000</v>
      </c>
      <c r="N5" s="19">
        <f>'Diesel Cash Flow'!N7</f>
        <v>840000</v>
      </c>
      <c r="O5" s="19">
        <f>'Diesel Cash Flow'!O7</f>
        <v>840000</v>
      </c>
      <c r="P5" s="19">
        <f>'Diesel Cash Flow'!P7</f>
        <v>840000</v>
      </c>
      <c r="Q5" s="19">
        <f>'Diesel Cash Flow'!Q7</f>
        <v>840000</v>
      </c>
      <c r="R5" s="19">
        <f>'Diesel Cash Flow'!R7</f>
        <v>840000</v>
      </c>
      <c r="S5" s="19">
        <f>'Diesel Cash Flow'!S7</f>
        <v>840000</v>
      </c>
      <c r="T5" s="19">
        <f>'Diesel Cash Flow'!T7</f>
        <v>840000</v>
      </c>
      <c r="U5" s="19">
        <f>'Diesel Cash Flow'!U7</f>
        <v>840000</v>
      </c>
      <c r="V5" s="19">
        <f>'Diesel Cash Flow'!V7</f>
        <v>840000</v>
      </c>
      <c r="W5" s="19">
        <f>'Diesel Cash Flow'!W7</f>
        <v>840000</v>
      </c>
      <c r="X5" s="19">
        <f>'Diesel Cash Flow'!X7</f>
        <v>840000</v>
      </c>
      <c r="Y5" s="19">
        <f>'Diesel Cash Flow'!Y7</f>
        <v>840000</v>
      </c>
      <c r="Z5" s="19">
        <f>'Diesel Cash Flow'!Z7</f>
        <v>840000</v>
      </c>
      <c r="AA5" s="19">
        <f>'Diesel Cash Flow'!AA7</f>
        <v>840000</v>
      </c>
      <c r="AB5" s="19">
        <f>'Diesel Cash Flow'!AB7</f>
        <v>840000</v>
      </c>
      <c r="AC5" s="19"/>
      <c r="AD5" s="19">
        <f>SUM(D5:AC5)</f>
        <v>21000000</v>
      </c>
    </row>
    <row r="6" spans="1:30" x14ac:dyDescent="0.35">
      <c r="A6" s="4" t="s">
        <v>52</v>
      </c>
      <c r="B6" s="4"/>
      <c r="C6" s="4"/>
      <c r="D6" s="19">
        <v>0</v>
      </c>
      <c r="E6" s="19">
        <v>0</v>
      </c>
      <c r="F6" s="19">
        <v>0</v>
      </c>
      <c r="G6" s="19">
        <v>0</v>
      </c>
      <c r="H6" s="19">
        <v>0</v>
      </c>
      <c r="I6" s="19">
        <v>0</v>
      </c>
      <c r="J6" s="19">
        <v>0</v>
      </c>
      <c r="K6" s="19">
        <v>0</v>
      </c>
      <c r="L6" s="19">
        <v>0</v>
      </c>
      <c r="M6" s="19">
        <v>0</v>
      </c>
      <c r="N6" s="19">
        <v>0</v>
      </c>
      <c r="O6" s="19">
        <v>0</v>
      </c>
      <c r="P6" s="19">
        <v>0</v>
      </c>
      <c r="Q6" s="19">
        <v>0</v>
      </c>
      <c r="R6" s="19">
        <v>0</v>
      </c>
      <c r="S6" s="19">
        <v>0</v>
      </c>
      <c r="T6" s="19">
        <v>0</v>
      </c>
      <c r="U6" s="19">
        <v>0</v>
      </c>
      <c r="V6" s="19">
        <v>0</v>
      </c>
      <c r="W6" s="19">
        <v>0</v>
      </c>
      <c r="X6" s="19">
        <v>0</v>
      </c>
      <c r="Y6" s="19">
        <v>0</v>
      </c>
      <c r="Z6" s="19">
        <v>0</v>
      </c>
      <c r="AA6" s="19">
        <v>0</v>
      </c>
      <c r="AB6" s="19">
        <v>0</v>
      </c>
      <c r="AC6" s="19"/>
      <c r="AD6" s="19">
        <f t="shared" ref="AD6" si="0">SUM(D6:AC6)</f>
        <v>0</v>
      </c>
    </row>
    <row r="7" spans="1:30" x14ac:dyDescent="0.35">
      <c r="A7" s="4"/>
      <c r="B7" s="4"/>
      <c r="C7" s="4"/>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ht="15" thickBot="1" x14ac:dyDescent="0.4">
      <c r="A8" s="4" t="s">
        <v>47</v>
      </c>
      <c r="B8" s="4"/>
      <c r="C8" s="4"/>
      <c r="D8" s="24">
        <f t="shared" ref="D8:AB8" si="1">SUM(D5:D7)</f>
        <v>840000</v>
      </c>
      <c r="E8" s="24">
        <f t="shared" si="1"/>
        <v>840000</v>
      </c>
      <c r="F8" s="24">
        <f t="shared" si="1"/>
        <v>840000</v>
      </c>
      <c r="G8" s="24">
        <f t="shared" si="1"/>
        <v>840000</v>
      </c>
      <c r="H8" s="24">
        <f t="shared" si="1"/>
        <v>840000</v>
      </c>
      <c r="I8" s="24">
        <f t="shared" si="1"/>
        <v>840000</v>
      </c>
      <c r="J8" s="24">
        <f t="shared" si="1"/>
        <v>840000</v>
      </c>
      <c r="K8" s="24">
        <f t="shared" si="1"/>
        <v>840000</v>
      </c>
      <c r="L8" s="24">
        <f t="shared" si="1"/>
        <v>840000</v>
      </c>
      <c r="M8" s="24">
        <f t="shared" si="1"/>
        <v>840000</v>
      </c>
      <c r="N8" s="24">
        <f t="shared" si="1"/>
        <v>840000</v>
      </c>
      <c r="O8" s="24">
        <f t="shared" si="1"/>
        <v>840000</v>
      </c>
      <c r="P8" s="24">
        <f t="shared" si="1"/>
        <v>840000</v>
      </c>
      <c r="Q8" s="24">
        <f t="shared" si="1"/>
        <v>840000</v>
      </c>
      <c r="R8" s="24">
        <f t="shared" si="1"/>
        <v>840000</v>
      </c>
      <c r="S8" s="24">
        <f t="shared" si="1"/>
        <v>840000</v>
      </c>
      <c r="T8" s="24">
        <f t="shared" si="1"/>
        <v>840000</v>
      </c>
      <c r="U8" s="24">
        <f t="shared" si="1"/>
        <v>840000</v>
      </c>
      <c r="V8" s="24">
        <f t="shared" si="1"/>
        <v>840000</v>
      </c>
      <c r="W8" s="24">
        <f t="shared" si="1"/>
        <v>840000</v>
      </c>
      <c r="X8" s="24">
        <f t="shared" si="1"/>
        <v>840000</v>
      </c>
      <c r="Y8" s="24">
        <f t="shared" si="1"/>
        <v>840000</v>
      </c>
      <c r="Z8" s="24">
        <f t="shared" si="1"/>
        <v>840000</v>
      </c>
      <c r="AA8" s="24">
        <f t="shared" si="1"/>
        <v>840000</v>
      </c>
      <c r="AB8" s="24">
        <f t="shared" si="1"/>
        <v>840000</v>
      </c>
      <c r="AC8" s="19"/>
      <c r="AD8" s="24">
        <f>SUM(AD5:AD7)</f>
        <v>21000000</v>
      </c>
    </row>
    <row r="9" spans="1:30" ht="15" thickTop="1" x14ac:dyDescent="0.35">
      <c r="A9" s="4"/>
      <c r="B9" s="4"/>
      <c r="C9" s="4"/>
      <c r="D9" s="19"/>
      <c r="E9" s="19"/>
      <c r="F9" s="19"/>
      <c r="G9" s="19"/>
      <c r="H9" s="19"/>
      <c r="I9" s="19"/>
      <c r="J9" s="19"/>
      <c r="K9" s="19"/>
      <c r="L9" s="19"/>
      <c r="M9" s="19"/>
      <c r="N9" s="19"/>
      <c r="O9" s="19"/>
      <c r="P9" s="19"/>
      <c r="Q9" s="19"/>
      <c r="R9" s="19"/>
      <c r="S9" s="19"/>
      <c r="T9" s="19"/>
      <c r="U9" s="19"/>
      <c r="V9" s="19"/>
      <c r="W9" s="19"/>
      <c r="X9" s="19"/>
      <c r="Y9" s="19"/>
      <c r="Z9" s="19"/>
      <c r="AA9" s="19"/>
      <c r="AB9" s="19"/>
      <c r="AC9" s="19"/>
      <c r="AD9" s="19"/>
    </row>
    <row r="10" spans="1:30" x14ac:dyDescent="0.35">
      <c r="A10" s="4"/>
      <c r="B10" s="4"/>
      <c r="C10" s="4"/>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0" ht="15.5" x14ac:dyDescent="0.35">
      <c r="A11" s="18" t="s">
        <v>2</v>
      </c>
      <c r="B11" s="18"/>
      <c r="C11" s="18"/>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row>
    <row r="12" spans="1:30" x14ac:dyDescent="0.35">
      <c r="A12" s="4" t="s">
        <v>4</v>
      </c>
      <c r="B12" s="4"/>
      <c r="C12" s="4"/>
      <c r="D12" s="19">
        <f>'Diesel Cash Flow'!D8</f>
        <v>-328133.93076273572</v>
      </c>
      <c r="E12" s="19">
        <f>'Diesel Cash Flow'!E8</f>
        <v>-328133.93076273572</v>
      </c>
      <c r="F12" s="19">
        <f>'Diesel Cash Flow'!F8</f>
        <v>-328133.93076273572</v>
      </c>
      <c r="G12" s="19">
        <f>'Diesel Cash Flow'!G8</f>
        <v>-328133.93076273572</v>
      </c>
      <c r="H12" s="19">
        <f>'Diesel Cash Flow'!H8</f>
        <v>-328133.93076273572</v>
      </c>
      <c r="I12" s="19">
        <f>'Diesel Cash Flow'!I8</f>
        <v>-328133.93076273572</v>
      </c>
      <c r="J12" s="19">
        <f>'Diesel Cash Flow'!J8</f>
        <v>-328133.93076273572</v>
      </c>
      <c r="K12" s="19">
        <f>'Diesel Cash Flow'!K8</f>
        <v>-328133.93076273572</v>
      </c>
      <c r="L12" s="19">
        <f>'Diesel Cash Flow'!L8</f>
        <v>-328133.93076273572</v>
      </c>
      <c r="M12" s="19">
        <f>'Diesel Cash Flow'!M8</f>
        <v>-328133.93076273572</v>
      </c>
      <c r="N12" s="19">
        <f>'Diesel Cash Flow'!N8</f>
        <v>-328133.93076273572</v>
      </c>
      <c r="O12" s="19">
        <f>'Diesel Cash Flow'!O8</f>
        <v>-328133.93076273572</v>
      </c>
      <c r="P12" s="19">
        <f>'Diesel Cash Flow'!P8</f>
        <v>-328133.93076273572</v>
      </c>
      <c r="Q12" s="19">
        <f>'Diesel Cash Flow'!Q8</f>
        <v>-328133.93076273572</v>
      </c>
      <c r="R12" s="19">
        <f>'Diesel Cash Flow'!R8</f>
        <v>-328133.93076273572</v>
      </c>
      <c r="S12" s="19">
        <f>'Diesel Cash Flow'!S8</f>
        <v>-328133.93076273572</v>
      </c>
      <c r="T12" s="19">
        <f>'Diesel Cash Flow'!T8</f>
        <v>-328133.93076273572</v>
      </c>
      <c r="U12" s="19">
        <f>'Diesel Cash Flow'!U8</f>
        <v>-328133.93076273572</v>
      </c>
      <c r="V12" s="19">
        <f>'Diesel Cash Flow'!V8</f>
        <v>-328133.93076273572</v>
      </c>
      <c r="W12" s="19">
        <f>'Diesel Cash Flow'!W8</f>
        <v>-328133.93076273572</v>
      </c>
      <c r="X12" s="19">
        <f>'Diesel Cash Flow'!X8</f>
        <v>-328133.93076273572</v>
      </c>
      <c r="Y12" s="19">
        <f>'Diesel Cash Flow'!Y8</f>
        <v>-328133.93076273572</v>
      </c>
      <c r="Z12" s="19">
        <f>'Diesel Cash Flow'!Z8</f>
        <v>-328133.93076273572</v>
      </c>
      <c r="AA12" s="19">
        <f>'Diesel Cash Flow'!AA8</f>
        <v>-328133.93076273572</v>
      </c>
      <c r="AB12" s="19">
        <f>'Diesel Cash Flow'!AB8</f>
        <v>-328133.93076273572</v>
      </c>
      <c r="AC12" s="19"/>
      <c r="AD12" s="19">
        <f t="shared" ref="AD12:AD13" si="2">SUM(D12:AC12)</f>
        <v>-8203348.2690683976</v>
      </c>
    </row>
    <row r="13" spans="1:30" x14ac:dyDescent="0.35">
      <c r="A13" s="4" t="s">
        <v>2</v>
      </c>
      <c r="B13" s="4"/>
      <c r="C13" s="4"/>
      <c r="D13" s="19">
        <f>'Diesel Cash Flow'!D9</f>
        <v>-265996.23916666664</v>
      </c>
      <c r="E13" s="19">
        <f>'Diesel Cash Flow'!E9</f>
        <v>-265996.23916666664</v>
      </c>
      <c r="F13" s="19">
        <f>'Diesel Cash Flow'!F9</f>
        <v>-265996.23916666664</v>
      </c>
      <c r="G13" s="19">
        <f>'Diesel Cash Flow'!G9</f>
        <v>-265996.23916666664</v>
      </c>
      <c r="H13" s="19">
        <f>'Diesel Cash Flow'!H9</f>
        <v>-265996.23916666664</v>
      </c>
      <c r="I13" s="19">
        <f>'Diesel Cash Flow'!I9</f>
        <v>-265996.23916666664</v>
      </c>
      <c r="J13" s="19">
        <f>'Diesel Cash Flow'!J9</f>
        <v>-265996.23916666664</v>
      </c>
      <c r="K13" s="19">
        <f>'Diesel Cash Flow'!K9</f>
        <v>-265996.23916666664</v>
      </c>
      <c r="L13" s="19">
        <f>'Diesel Cash Flow'!L9</f>
        <v>-265996.23916666664</v>
      </c>
      <c r="M13" s="19">
        <f>'Diesel Cash Flow'!M9</f>
        <v>-265996.23916666664</v>
      </c>
      <c r="N13" s="19">
        <f>'Diesel Cash Flow'!N9</f>
        <v>-265996.23916666664</v>
      </c>
      <c r="O13" s="19">
        <f>'Diesel Cash Flow'!O9</f>
        <v>-265996.23916666664</v>
      </c>
      <c r="P13" s="19">
        <f>'Diesel Cash Flow'!P9</f>
        <v>-265996.23916666664</v>
      </c>
      <c r="Q13" s="19">
        <f>'Diesel Cash Flow'!Q9</f>
        <v>-265996.23916666664</v>
      </c>
      <c r="R13" s="19">
        <f>'Diesel Cash Flow'!R9</f>
        <v>-265996.23916666664</v>
      </c>
      <c r="S13" s="19">
        <f>'Diesel Cash Flow'!S9</f>
        <v>-265996.23916666664</v>
      </c>
      <c r="T13" s="19">
        <f>'Diesel Cash Flow'!T9</f>
        <v>-265996.23916666664</v>
      </c>
      <c r="U13" s="19">
        <f>'Diesel Cash Flow'!U9</f>
        <v>-265996.23916666664</v>
      </c>
      <c r="V13" s="19">
        <f>'Diesel Cash Flow'!V9</f>
        <v>-265996.23916666664</v>
      </c>
      <c r="W13" s="19">
        <f>'Diesel Cash Flow'!W9</f>
        <v>-265996.23916666664</v>
      </c>
      <c r="X13" s="19">
        <f>'Diesel Cash Flow'!X9</f>
        <v>-265996.23916666664</v>
      </c>
      <c r="Y13" s="19">
        <f>'Diesel Cash Flow'!Y9</f>
        <v>-265996.23916666664</v>
      </c>
      <c r="Z13" s="19">
        <f>'Diesel Cash Flow'!Z9</f>
        <v>-265996.23916666664</v>
      </c>
      <c r="AA13" s="19">
        <f>'Diesel Cash Flow'!AA9</f>
        <v>-265996.23916666664</v>
      </c>
      <c r="AB13" s="19">
        <f>'Diesel Cash Flow'!AB9</f>
        <v>-265996.23916666664</v>
      </c>
      <c r="AC13" s="19"/>
      <c r="AD13" s="19">
        <f t="shared" si="2"/>
        <v>-6649905.9791666679</v>
      </c>
    </row>
    <row r="14" spans="1:30" ht="15" thickBot="1" x14ac:dyDescent="0.4">
      <c r="A14" s="4" t="s">
        <v>48</v>
      </c>
      <c r="B14" s="4"/>
      <c r="C14" s="4"/>
      <c r="D14" s="24">
        <f t="shared" ref="D14:AB14" si="3">SUM(D12:D13)</f>
        <v>-594130.16992940241</v>
      </c>
      <c r="E14" s="24">
        <f t="shared" si="3"/>
        <v>-594130.16992940241</v>
      </c>
      <c r="F14" s="24">
        <f t="shared" si="3"/>
        <v>-594130.16992940241</v>
      </c>
      <c r="G14" s="24">
        <f t="shared" si="3"/>
        <v>-594130.16992940241</v>
      </c>
      <c r="H14" s="24">
        <f t="shared" si="3"/>
        <v>-594130.16992940241</v>
      </c>
      <c r="I14" s="24">
        <f t="shared" si="3"/>
        <v>-594130.16992940241</v>
      </c>
      <c r="J14" s="24">
        <f t="shared" si="3"/>
        <v>-594130.16992940241</v>
      </c>
      <c r="K14" s="24">
        <f t="shared" si="3"/>
        <v>-594130.16992940241</v>
      </c>
      <c r="L14" s="24">
        <f t="shared" si="3"/>
        <v>-594130.16992940241</v>
      </c>
      <c r="M14" s="24">
        <f t="shared" si="3"/>
        <v>-594130.16992940241</v>
      </c>
      <c r="N14" s="24">
        <f t="shared" si="3"/>
        <v>-594130.16992940241</v>
      </c>
      <c r="O14" s="24">
        <f t="shared" si="3"/>
        <v>-594130.16992940241</v>
      </c>
      <c r="P14" s="24">
        <f t="shared" si="3"/>
        <v>-594130.16992940241</v>
      </c>
      <c r="Q14" s="24">
        <f t="shared" si="3"/>
        <v>-594130.16992940241</v>
      </c>
      <c r="R14" s="24">
        <f t="shared" si="3"/>
        <v>-594130.16992940241</v>
      </c>
      <c r="S14" s="24">
        <f t="shared" si="3"/>
        <v>-594130.16992940241</v>
      </c>
      <c r="T14" s="24">
        <f t="shared" si="3"/>
        <v>-594130.16992940241</v>
      </c>
      <c r="U14" s="24">
        <f t="shared" si="3"/>
        <v>-594130.16992940241</v>
      </c>
      <c r="V14" s="24">
        <f t="shared" si="3"/>
        <v>-594130.16992940241</v>
      </c>
      <c r="W14" s="24">
        <f t="shared" si="3"/>
        <v>-594130.16992940241</v>
      </c>
      <c r="X14" s="24">
        <f t="shared" si="3"/>
        <v>-594130.16992940241</v>
      </c>
      <c r="Y14" s="24">
        <f t="shared" si="3"/>
        <v>-594130.16992940241</v>
      </c>
      <c r="Z14" s="24">
        <f t="shared" si="3"/>
        <v>-594130.16992940241</v>
      </c>
      <c r="AA14" s="24">
        <f t="shared" si="3"/>
        <v>-594130.16992940241</v>
      </c>
      <c r="AB14" s="24">
        <f t="shared" si="3"/>
        <v>-594130.16992940241</v>
      </c>
      <c r="AC14" s="19"/>
      <c r="AD14" s="24">
        <f>SUM(AD12:AD13)</f>
        <v>-14853254.248235065</v>
      </c>
    </row>
    <row r="15" spans="1:30" ht="15" thickTop="1" x14ac:dyDescent="0.35">
      <c r="A15" s="4"/>
      <c r="B15" s="4"/>
      <c r="C15" s="4"/>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row>
    <row r="16" spans="1:30" x14ac:dyDescent="0.35">
      <c r="A16" s="16" t="s">
        <v>49</v>
      </c>
      <c r="B16" s="16"/>
      <c r="C16" s="16"/>
      <c r="D16" s="25">
        <f>D8+D14</f>
        <v>245869.83007059759</v>
      </c>
      <c r="E16" s="25">
        <f t="shared" ref="E16:AB16" si="4">E8+E14</f>
        <v>245869.83007059759</v>
      </c>
      <c r="F16" s="25">
        <f t="shared" si="4"/>
        <v>245869.83007059759</v>
      </c>
      <c r="G16" s="25">
        <f t="shared" si="4"/>
        <v>245869.83007059759</v>
      </c>
      <c r="H16" s="25">
        <f t="shared" si="4"/>
        <v>245869.83007059759</v>
      </c>
      <c r="I16" s="25">
        <f t="shared" si="4"/>
        <v>245869.83007059759</v>
      </c>
      <c r="J16" s="25">
        <f t="shared" si="4"/>
        <v>245869.83007059759</v>
      </c>
      <c r="K16" s="25">
        <f t="shared" si="4"/>
        <v>245869.83007059759</v>
      </c>
      <c r="L16" s="25">
        <f t="shared" si="4"/>
        <v>245869.83007059759</v>
      </c>
      <c r="M16" s="25">
        <f t="shared" si="4"/>
        <v>245869.83007059759</v>
      </c>
      <c r="N16" s="25">
        <f t="shared" si="4"/>
        <v>245869.83007059759</v>
      </c>
      <c r="O16" s="25">
        <f t="shared" si="4"/>
        <v>245869.83007059759</v>
      </c>
      <c r="P16" s="25">
        <f t="shared" si="4"/>
        <v>245869.83007059759</v>
      </c>
      <c r="Q16" s="25">
        <f t="shared" si="4"/>
        <v>245869.83007059759</v>
      </c>
      <c r="R16" s="25">
        <f t="shared" si="4"/>
        <v>245869.83007059759</v>
      </c>
      <c r="S16" s="25">
        <f t="shared" si="4"/>
        <v>245869.83007059759</v>
      </c>
      <c r="T16" s="25">
        <f t="shared" si="4"/>
        <v>245869.83007059759</v>
      </c>
      <c r="U16" s="25">
        <f t="shared" si="4"/>
        <v>245869.83007059759</v>
      </c>
      <c r="V16" s="25">
        <f t="shared" si="4"/>
        <v>245869.83007059759</v>
      </c>
      <c r="W16" s="25">
        <f t="shared" si="4"/>
        <v>245869.83007059759</v>
      </c>
      <c r="X16" s="25">
        <f t="shared" si="4"/>
        <v>245869.83007059759</v>
      </c>
      <c r="Y16" s="25">
        <f t="shared" si="4"/>
        <v>245869.83007059759</v>
      </c>
      <c r="Z16" s="25">
        <f t="shared" si="4"/>
        <v>245869.83007059759</v>
      </c>
      <c r="AA16" s="25">
        <f t="shared" si="4"/>
        <v>245869.83007059759</v>
      </c>
      <c r="AB16" s="25">
        <f t="shared" si="4"/>
        <v>245869.83007059759</v>
      </c>
      <c r="AC16" s="26"/>
      <c r="AD16" s="25">
        <f>AD8-AD14</f>
        <v>35853254.248235062</v>
      </c>
    </row>
    <row r="17" spans="1:30" x14ac:dyDescent="0.35">
      <c r="A17" s="14"/>
      <c r="B17" s="14"/>
      <c r="C17" s="14"/>
      <c r="D17" s="27">
        <f t="shared" ref="D17:AB17" si="5">D16/D8</f>
        <v>0.29270217865547332</v>
      </c>
      <c r="E17" s="27">
        <f t="shared" si="5"/>
        <v>0.29270217865547332</v>
      </c>
      <c r="F17" s="27">
        <f t="shared" si="5"/>
        <v>0.29270217865547332</v>
      </c>
      <c r="G17" s="27">
        <f t="shared" si="5"/>
        <v>0.29270217865547332</v>
      </c>
      <c r="H17" s="27">
        <f t="shared" si="5"/>
        <v>0.29270217865547332</v>
      </c>
      <c r="I17" s="27">
        <f t="shared" si="5"/>
        <v>0.29270217865547332</v>
      </c>
      <c r="J17" s="27">
        <f t="shared" si="5"/>
        <v>0.29270217865547332</v>
      </c>
      <c r="K17" s="27">
        <f t="shared" si="5"/>
        <v>0.29270217865547332</v>
      </c>
      <c r="L17" s="27">
        <f t="shared" si="5"/>
        <v>0.29270217865547332</v>
      </c>
      <c r="M17" s="27">
        <f t="shared" si="5"/>
        <v>0.29270217865547332</v>
      </c>
      <c r="N17" s="27">
        <f t="shared" si="5"/>
        <v>0.29270217865547332</v>
      </c>
      <c r="O17" s="27">
        <f t="shared" si="5"/>
        <v>0.29270217865547332</v>
      </c>
      <c r="P17" s="27">
        <f t="shared" si="5"/>
        <v>0.29270217865547332</v>
      </c>
      <c r="Q17" s="27">
        <f t="shared" si="5"/>
        <v>0.29270217865547332</v>
      </c>
      <c r="R17" s="27">
        <f t="shared" si="5"/>
        <v>0.29270217865547332</v>
      </c>
      <c r="S17" s="27">
        <f t="shared" si="5"/>
        <v>0.29270217865547332</v>
      </c>
      <c r="T17" s="27">
        <f t="shared" si="5"/>
        <v>0.29270217865547332</v>
      </c>
      <c r="U17" s="27">
        <f t="shared" si="5"/>
        <v>0.29270217865547332</v>
      </c>
      <c r="V17" s="27">
        <f t="shared" si="5"/>
        <v>0.29270217865547332</v>
      </c>
      <c r="W17" s="27">
        <f t="shared" si="5"/>
        <v>0.29270217865547332</v>
      </c>
      <c r="X17" s="27">
        <f t="shared" si="5"/>
        <v>0.29270217865547332</v>
      </c>
      <c r="Y17" s="27">
        <f t="shared" si="5"/>
        <v>0.29270217865547332</v>
      </c>
      <c r="Z17" s="27">
        <f t="shared" si="5"/>
        <v>0.29270217865547332</v>
      </c>
      <c r="AA17" s="27">
        <f t="shared" si="5"/>
        <v>0.29270217865547332</v>
      </c>
      <c r="AB17" s="27">
        <f t="shared" si="5"/>
        <v>0.29270217865547332</v>
      </c>
      <c r="AC17" s="27"/>
      <c r="AD17" s="27">
        <f>AD16/AD8</f>
        <v>1.7072978213445267</v>
      </c>
    </row>
    <row r="18" spans="1:30" x14ac:dyDescent="0.35">
      <c r="A18" s="4"/>
      <c r="B18" s="4"/>
      <c r="C18" s="4"/>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x14ac:dyDescent="0.35">
      <c r="A19" s="4" t="s">
        <v>63</v>
      </c>
      <c r="B19" s="4"/>
      <c r="C19" s="4"/>
      <c r="D19" s="19">
        <f>-'Diesel Summary'!$B$22/'Diesel Summary'!$R$9</f>
        <v>-114440.95666666668</v>
      </c>
      <c r="E19" s="19">
        <f>-'Diesel Summary'!$B$22/'Diesel Summary'!$R$9</f>
        <v>-114440.95666666668</v>
      </c>
      <c r="F19" s="19">
        <f>-'Diesel Summary'!$B$22/'Diesel Summary'!$R$9</f>
        <v>-114440.95666666668</v>
      </c>
      <c r="G19" s="19">
        <f>-'Diesel Summary'!$B$22/'Diesel Summary'!$R$9</f>
        <v>-114440.95666666668</v>
      </c>
      <c r="H19" s="19">
        <f>-'Diesel Summary'!$B$22/'Diesel Summary'!$R$9</f>
        <v>-114440.95666666668</v>
      </c>
      <c r="I19" s="19">
        <f>-'Diesel Summary'!$B$22/'Diesel Summary'!$R$9</f>
        <v>-114440.95666666668</v>
      </c>
      <c r="J19" s="19">
        <f>-'Diesel Summary'!$B$22/'Diesel Summary'!$R$9</f>
        <v>-114440.95666666668</v>
      </c>
      <c r="K19" s="19">
        <f>-'Diesel Summary'!$B$22/'Diesel Summary'!$R$9</f>
        <v>-114440.95666666668</v>
      </c>
      <c r="L19" s="19">
        <f>-'Diesel Summary'!$B$22/'Diesel Summary'!$R$9</f>
        <v>-114440.95666666668</v>
      </c>
      <c r="M19" s="19">
        <f>-'Diesel Summary'!$B$22/'Diesel Summary'!$R$9</f>
        <v>-114440.95666666668</v>
      </c>
      <c r="N19" s="19">
        <f>-'Diesel Summary'!$B$22/'Diesel Summary'!$R$9</f>
        <v>-114440.95666666668</v>
      </c>
      <c r="O19" s="19">
        <f>-'Diesel Summary'!$B$22/'Diesel Summary'!$R$9</f>
        <v>-114440.95666666668</v>
      </c>
      <c r="P19" s="19">
        <f>-'Diesel Summary'!$B$22/'Diesel Summary'!$R$9</f>
        <v>-114440.95666666668</v>
      </c>
      <c r="Q19" s="19">
        <f>-'Diesel Summary'!$B$22/'Diesel Summary'!$R$9</f>
        <v>-114440.95666666668</v>
      </c>
      <c r="R19" s="19">
        <f>-'Diesel Summary'!$B$22/'Diesel Summary'!$R$9</f>
        <v>-114440.95666666668</v>
      </c>
      <c r="S19" s="19">
        <f>-'Diesel Summary'!$B$22/'Diesel Summary'!$R$9</f>
        <v>-114440.95666666668</v>
      </c>
      <c r="T19" s="19">
        <f>-'Diesel Summary'!$B$22/'Diesel Summary'!$R$9</f>
        <v>-114440.95666666668</v>
      </c>
      <c r="U19" s="19">
        <f>-'Diesel Summary'!$B$22/'Diesel Summary'!$R$9</f>
        <v>-114440.95666666668</v>
      </c>
      <c r="V19" s="19">
        <f>-'Diesel Summary'!$B$22/'Diesel Summary'!$R$9</f>
        <v>-114440.95666666668</v>
      </c>
      <c r="W19" s="19">
        <f>-'Diesel Summary'!$B$22/'Diesel Summary'!$R$9</f>
        <v>-114440.95666666668</v>
      </c>
      <c r="X19" s="19">
        <f>-'Diesel Summary'!$B$22/'Diesel Summary'!$R$9</f>
        <v>-114440.95666666668</v>
      </c>
      <c r="Y19" s="19">
        <f>-'Diesel Summary'!$B$22/'Diesel Summary'!$R$9</f>
        <v>-114440.95666666668</v>
      </c>
      <c r="Z19" s="19">
        <f>-'Diesel Summary'!$B$22/'Diesel Summary'!$R$9</f>
        <v>-114440.95666666668</v>
      </c>
      <c r="AA19" s="19">
        <f>-'Diesel Summary'!$B$22/'Diesel Summary'!$R$9</f>
        <v>-114440.95666666668</v>
      </c>
      <c r="AB19" s="19">
        <f>-'Diesel Summary'!$B$22/'Diesel Summary'!$R$9</f>
        <v>-114440.95666666668</v>
      </c>
      <c r="AC19" s="19"/>
      <c r="AD19" s="19">
        <f t="shared" ref="AD19" si="6">SUM(D19:AC19)</f>
        <v>-2861023.916666667</v>
      </c>
    </row>
    <row r="20" spans="1:30" x14ac:dyDescent="0.35">
      <c r="A20" s="4"/>
      <c r="B20" s="4"/>
      <c r="C20" s="4"/>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1:30" x14ac:dyDescent="0.35">
      <c r="A21" s="16" t="s">
        <v>50</v>
      </c>
      <c r="B21" s="16"/>
      <c r="C21" s="16"/>
      <c r="D21" s="25">
        <f>+D16+D19</f>
        <v>131428.87340393092</v>
      </c>
      <c r="E21" s="25">
        <f t="shared" ref="E21:AB21" si="7">+E16+E19</f>
        <v>131428.87340393092</v>
      </c>
      <c r="F21" s="25">
        <f t="shared" si="7"/>
        <v>131428.87340393092</v>
      </c>
      <c r="G21" s="25">
        <f t="shared" si="7"/>
        <v>131428.87340393092</v>
      </c>
      <c r="H21" s="25">
        <f t="shared" si="7"/>
        <v>131428.87340393092</v>
      </c>
      <c r="I21" s="25">
        <f t="shared" si="7"/>
        <v>131428.87340393092</v>
      </c>
      <c r="J21" s="25">
        <f t="shared" si="7"/>
        <v>131428.87340393092</v>
      </c>
      <c r="K21" s="25">
        <f t="shared" si="7"/>
        <v>131428.87340393092</v>
      </c>
      <c r="L21" s="25">
        <f t="shared" si="7"/>
        <v>131428.87340393092</v>
      </c>
      <c r="M21" s="25">
        <f t="shared" si="7"/>
        <v>131428.87340393092</v>
      </c>
      <c r="N21" s="25">
        <f t="shared" si="7"/>
        <v>131428.87340393092</v>
      </c>
      <c r="O21" s="25">
        <f t="shared" si="7"/>
        <v>131428.87340393092</v>
      </c>
      <c r="P21" s="25">
        <f t="shared" si="7"/>
        <v>131428.87340393092</v>
      </c>
      <c r="Q21" s="25">
        <f t="shared" si="7"/>
        <v>131428.87340393092</v>
      </c>
      <c r="R21" s="25">
        <f t="shared" si="7"/>
        <v>131428.87340393092</v>
      </c>
      <c r="S21" s="25">
        <f t="shared" si="7"/>
        <v>131428.87340393092</v>
      </c>
      <c r="T21" s="25">
        <f t="shared" si="7"/>
        <v>131428.87340393092</v>
      </c>
      <c r="U21" s="25">
        <f t="shared" si="7"/>
        <v>131428.87340393092</v>
      </c>
      <c r="V21" s="25">
        <f t="shared" si="7"/>
        <v>131428.87340393092</v>
      </c>
      <c r="W21" s="25">
        <f t="shared" si="7"/>
        <v>131428.87340393092</v>
      </c>
      <c r="X21" s="25">
        <f t="shared" si="7"/>
        <v>131428.87340393092</v>
      </c>
      <c r="Y21" s="25">
        <f t="shared" si="7"/>
        <v>131428.87340393092</v>
      </c>
      <c r="Z21" s="25">
        <f t="shared" si="7"/>
        <v>131428.87340393092</v>
      </c>
      <c r="AA21" s="25">
        <f t="shared" si="7"/>
        <v>131428.87340393092</v>
      </c>
      <c r="AB21" s="25">
        <f t="shared" si="7"/>
        <v>131428.87340393092</v>
      </c>
      <c r="AC21" s="26"/>
      <c r="AD21" s="25">
        <f t="shared" ref="AD21" si="8">+AD16-AD19</f>
        <v>38714278.164901726</v>
      </c>
    </row>
    <row r="22" spans="1:30" x14ac:dyDescent="0.35">
      <c r="A22" s="4"/>
      <c r="B22" s="4"/>
      <c r="C22" s="4"/>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1:30" x14ac:dyDescent="0.35">
      <c r="A23" s="4" t="s">
        <v>51</v>
      </c>
      <c r="B23" s="4"/>
      <c r="C23" s="4"/>
      <c r="D23" s="19">
        <f>'Diesel Interest Calculations'!E14</f>
        <v>-214576.79375000001</v>
      </c>
      <c r="E23" s="19">
        <f>'Diesel Interest Calculations'!F14</f>
        <v>-211420.2249935533</v>
      </c>
      <c r="F23" s="19">
        <f>'Diesel Interest Calculations'!G14</f>
        <v>-208026.9135803731</v>
      </c>
      <c r="G23" s="19">
        <f>'Diesel Interest Calculations'!H14</f>
        <v>-204379.10381120435</v>
      </c>
      <c r="H23" s="19">
        <f>'Diesel Interest Calculations'!I14</f>
        <v>-200457.70830934795</v>
      </c>
      <c r="I23" s="19">
        <f>'Diesel Interest Calculations'!J14</f>
        <v>-196242.20814485234</v>
      </c>
      <c r="J23" s="19">
        <f>'Diesel Interest Calculations'!K14</f>
        <v>-191710.54546801955</v>
      </c>
      <c r="K23" s="19">
        <f>'Diesel Interest Calculations'!L14</f>
        <v>-186839.00809042432</v>
      </c>
      <c r="L23" s="19">
        <f>'Diesel Interest Calculations'!M14</f>
        <v>-181602.10540950942</v>
      </c>
      <c r="M23" s="19">
        <f>'Diesel Interest Calculations'!N14</f>
        <v>-175972.43502752591</v>
      </c>
      <c r="N23" s="19">
        <f>'Diesel Interest Calculations'!O14</f>
        <v>-169920.53936689362</v>
      </c>
      <c r="O23" s="19">
        <f>'Diesel Interest Calculations'!P14</f>
        <v>-163414.7515317139</v>
      </c>
      <c r="P23" s="19">
        <f>'Diesel Interest Calculations'!Q14</f>
        <v>-156421.02960889574</v>
      </c>
      <c r="Q23" s="19">
        <f>'Diesel Interest Calculations'!R14</f>
        <v>-148902.7785418662</v>
      </c>
      <c r="R23" s="19">
        <f>'Diesel Interest Calculations'!S14</f>
        <v>-140820.65864480945</v>
      </c>
      <c r="S23" s="19">
        <f>'Diesel Interest Calculations'!T14</f>
        <v>-132132.37975547343</v>
      </c>
      <c r="T23" s="19">
        <f>'Diesel Interest Calculations'!U14</f>
        <v>-122792.47994943721</v>
      </c>
      <c r="U23" s="19">
        <f>'Diesel Interest Calculations'!V14</f>
        <v>-112752.08765794829</v>
      </c>
      <c r="V23" s="19">
        <f>'Diesel Interest Calculations'!W14</f>
        <v>-101958.66594459768</v>
      </c>
      <c r="W23" s="19">
        <f>'Diesel Interest Calculations'!X14</f>
        <v>-90355.737602745794</v>
      </c>
      <c r="X23" s="19">
        <f>'Diesel Interest Calculations'!Y14</f>
        <v>-77882.589635255004</v>
      </c>
      <c r="Y23" s="19">
        <f>'Diesel Interest Calculations'!Z14</f>
        <v>-64473.955570202415</v>
      </c>
      <c r="Z23" s="19">
        <f>'Diesel Interest Calculations'!AA14</f>
        <v>-50059.673950270881</v>
      </c>
      <c r="AA23" s="19">
        <f>'Diesel Interest Calculations'!AB14</f>
        <v>-34564.321208844478</v>
      </c>
      <c r="AB23" s="19">
        <f>'Diesel Interest Calculations'!AC14</f>
        <v>-17906.817011811094</v>
      </c>
      <c r="AC23" s="19"/>
      <c r="AD23" s="19">
        <f t="shared" ref="AD23" si="9">SUM(D23:AC23)</f>
        <v>-3555585.5125655751</v>
      </c>
    </row>
    <row r="24" spans="1:30" x14ac:dyDescent="0.35">
      <c r="A24" s="4"/>
      <c r="B24" s="4"/>
      <c r="C24" s="4"/>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15" thickBot="1" x14ac:dyDescent="0.4">
      <c r="A25" s="16" t="s">
        <v>54</v>
      </c>
      <c r="B25" s="16"/>
      <c r="C25" s="16"/>
      <c r="D25" s="28">
        <f>+D21+D23</f>
        <v>-83147.920346069091</v>
      </c>
      <c r="E25" s="28">
        <f t="shared" ref="E25:AB25" si="10">+E21+E23</f>
        <v>-79991.351589622383</v>
      </c>
      <c r="F25" s="28">
        <f t="shared" si="10"/>
        <v>-76598.040176442184</v>
      </c>
      <c r="G25" s="28">
        <f t="shared" si="10"/>
        <v>-72950.230407273426</v>
      </c>
      <c r="H25" s="28">
        <f t="shared" si="10"/>
        <v>-69028.834905417025</v>
      </c>
      <c r="I25" s="28">
        <f t="shared" si="10"/>
        <v>-64813.334740921418</v>
      </c>
      <c r="J25" s="28">
        <f t="shared" si="10"/>
        <v>-60281.672064088634</v>
      </c>
      <c r="K25" s="28">
        <f t="shared" si="10"/>
        <v>-55410.134686493402</v>
      </c>
      <c r="L25" s="28">
        <f t="shared" si="10"/>
        <v>-50173.232005578495</v>
      </c>
      <c r="M25" s="28">
        <f t="shared" si="10"/>
        <v>-44543.561623594986</v>
      </c>
      <c r="N25" s="28">
        <f t="shared" si="10"/>
        <v>-38491.665962962696</v>
      </c>
      <c r="O25" s="28">
        <f t="shared" si="10"/>
        <v>-31985.878127782984</v>
      </c>
      <c r="P25" s="28">
        <f t="shared" si="10"/>
        <v>-24992.15620496482</v>
      </c>
      <c r="Q25" s="28">
        <f t="shared" si="10"/>
        <v>-17473.905137935275</v>
      </c>
      <c r="R25" s="28">
        <f t="shared" si="10"/>
        <v>-9391.7852408785257</v>
      </c>
      <c r="S25" s="28">
        <f t="shared" si="10"/>
        <v>-703.50635154251358</v>
      </c>
      <c r="T25" s="28">
        <f t="shared" si="10"/>
        <v>8636.3934544937074</v>
      </c>
      <c r="U25" s="28">
        <f t="shared" si="10"/>
        <v>18676.785745982634</v>
      </c>
      <c r="V25" s="28">
        <f t="shared" si="10"/>
        <v>29470.207459333236</v>
      </c>
      <c r="W25" s="28">
        <f t="shared" si="10"/>
        <v>41073.135801185126</v>
      </c>
      <c r="X25" s="28">
        <f t="shared" si="10"/>
        <v>53546.283768675916</v>
      </c>
      <c r="Y25" s="28">
        <f t="shared" si="10"/>
        <v>66954.917833728512</v>
      </c>
      <c r="Z25" s="28">
        <f t="shared" si="10"/>
        <v>81369.19945366004</v>
      </c>
      <c r="AA25" s="28">
        <f t="shared" si="10"/>
        <v>96864.552195086435</v>
      </c>
      <c r="AB25" s="28">
        <f t="shared" si="10"/>
        <v>113522.05639211982</v>
      </c>
      <c r="AC25" s="19"/>
      <c r="AD25" s="25">
        <f t="shared" ref="AD25" si="11">+AD21-AD23</f>
        <v>42269863.677467301</v>
      </c>
    </row>
    <row r="26" spans="1:30" ht="15" thickTop="1" x14ac:dyDescent="0.35">
      <c r="A26" s="4"/>
      <c r="B26" s="4"/>
      <c r="C26" s="4"/>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row>
    <row r="27" spans="1:30" x14ac:dyDescent="0.35">
      <c r="D27" s="45">
        <f>D25/3000000*100</f>
        <v>-2.7715973448689697</v>
      </c>
      <c r="E27" s="45">
        <f t="shared" ref="E27:AB27" si="12">E25/3000000*100</f>
        <v>-2.666378386320746</v>
      </c>
      <c r="F27" s="45">
        <f t="shared" si="12"/>
        <v>-2.5532680058814061</v>
      </c>
      <c r="G27" s="45">
        <f t="shared" si="12"/>
        <v>-2.4316743469091144</v>
      </c>
      <c r="H27" s="45">
        <f t="shared" si="12"/>
        <v>-2.3009611635139007</v>
      </c>
      <c r="I27" s="45">
        <f t="shared" si="12"/>
        <v>-2.1604444913640473</v>
      </c>
      <c r="J27" s="45">
        <f t="shared" si="12"/>
        <v>-2.0093890688029545</v>
      </c>
      <c r="K27" s="45">
        <f t="shared" si="12"/>
        <v>-1.8470044895497801</v>
      </c>
      <c r="L27" s="45">
        <f t="shared" si="12"/>
        <v>-1.6724410668526164</v>
      </c>
      <c r="M27" s="45">
        <f t="shared" si="12"/>
        <v>-1.4847853874531662</v>
      </c>
      <c r="N27" s="45">
        <f t="shared" si="12"/>
        <v>-1.2830555320987564</v>
      </c>
      <c r="O27" s="45">
        <f t="shared" si="12"/>
        <v>-1.0661959375927661</v>
      </c>
      <c r="P27" s="45">
        <f t="shared" si="12"/>
        <v>-0.83307187349882739</v>
      </c>
      <c r="Q27" s="45">
        <f t="shared" si="12"/>
        <v>-0.58246350459784246</v>
      </c>
      <c r="R27" s="45">
        <f t="shared" si="12"/>
        <v>-0.31305950802928417</v>
      </c>
      <c r="S27" s="45">
        <f t="shared" si="12"/>
        <v>-2.3450211718083785E-2</v>
      </c>
      <c r="T27" s="45">
        <f t="shared" si="12"/>
        <v>0.2878797818164569</v>
      </c>
      <c r="U27" s="45">
        <f t="shared" si="12"/>
        <v>0.62255952486608779</v>
      </c>
      <c r="V27" s="45">
        <f t="shared" si="12"/>
        <v>0.98234024864444125</v>
      </c>
      <c r="W27" s="45">
        <f t="shared" si="12"/>
        <v>1.3691045267061708</v>
      </c>
      <c r="X27" s="45">
        <f t="shared" si="12"/>
        <v>1.7848761256225305</v>
      </c>
      <c r="Y27" s="45">
        <f t="shared" si="12"/>
        <v>2.2318305944576169</v>
      </c>
      <c r="Z27" s="45">
        <f t="shared" si="12"/>
        <v>2.7123066484553346</v>
      </c>
      <c r="AA27" s="45">
        <f t="shared" si="12"/>
        <v>3.2288184065028815</v>
      </c>
      <c r="AB27" s="45">
        <f t="shared" si="12"/>
        <v>3.7840685464039936</v>
      </c>
    </row>
  </sheetData>
  <sheetProtection algorithmName="SHA-512" hashValue="K3MCpthxx77+gm74YkeklZitys5j3YnR+U/Ghnfb4avI4oLeEvQ5InYWIBHEj6stACBNfc7nLOXuzzhvUghgYw==" saltValue="dpMFmZ7YVVWnKz7PUrOTvg=="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D499-7D09-4C03-83FB-E48320329FA4}">
  <sheetPr>
    <pageSetUpPr fitToPage="1"/>
  </sheetPr>
  <dimension ref="A1:Z65"/>
  <sheetViews>
    <sheetView topLeftCell="A19" zoomScale="80" workbookViewId="0">
      <selection activeCell="K24" sqref="K24"/>
    </sheetView>
  </sheetViews>
  <sheetFormatPr defaultColWidth="16.453125" defaultRowHeight="14.5" x14ac:dyDescent="0.35"/>
  <cols>
    <col min="1" max="1" width="39.54296875" style="89" customWidth="1"/>
    <col min="2" max="2" width="22.7265625" style="89" customWidth="1"/>
    <col min="3" max="3" width="10.54296875" style="90" customWidth="1"/>
    <col min="4" max="4" width="12.1796875" style="89" customWidth="1"/>
    <col min="5" max="5" width="15.453125" style="89" customWidth="1"/>
    <col min="6" max="6" width="10.81640625" style="89" customWidth="1"/>
    <col min="7" max="7" width="11.54296875" style="89" customWidth="1"/>
    <col min="8" max="9" width="14.26953125" style="89" customWidth="1"/>
    <col min="10" max="10" width="12" style="89" customWidth="1"/>
    <col min="11" max="11" width="13.7265625" style="89" customWidth="1"/>
    <col min="12" max="12" width="12.26953125" style="89" customWidth="1"/>
    <col min="13" max="13" width="10.81640625" style="89" customWidth="1"/>
    <col min="14" max="14" width="10.7265625" style="89" customWidth="1"/>
    <col min="15" max="15" width="10.81640625" style="89" customWidth="1"/>
    <col min="16" max="16" width="10.453125" style="89" customWidth="1"/>
    <col min="17" max="17" width="12.54296875" style="89" customWidth="1"/>
    <col min="18" max="18" width="11.54296875" style="89" customWidth="1"/>
    <col min="19" max="19" width="10.81640625" style="89" bestFit="1" customWidth="1"/>
    <col min="20" max="20" width="12.453125" style="89" customWidth="1"/>
    <col min="21" max="21" width="11.7265625" style="89" customWidth="1"/>
    <col min="22" max="16384" width="16.453125" style="89"/>
  </cols>
  <sheetData>
    <row r="1" spans="1:19" ht="21" x14ac:dyDescent="0.35">
      <c r="A1" s="326" t="s">
        <v>154</v>
      </c>
      <c r="B1" s="424" t="str">
        <f>'Generation &amp; Ops Scenarios'!C27</f>
        <v>Mix 1 Wind, Solar Diesel standby</v>
      </c>
      <c r="C1" s="416"/>
      <c r="D1" s="416"/>
    </row>
    <row r="2" spans="1:19" x14ac:dyDescent="0.35">
      <c r="A2" s="327" t="s">
        <v>152</v>
      </c>
      <c r="B2" s="328">
        <f>'Generation &amp; Ops Scenarios'!C35+'Generation &amp; Ops Scenarios'!C36+'Generation &amp; Ops Scenarios'!C37</f>
        <v>1200</v>
      </c>
      <c r="C2" s="310"/>
      <c r="D2" s="310"/>
    </row>
    <row r="3" spans="1:19" ht="15" thickBot="1" x14ac:dyDescent="0.4"/>
    <row r="4" spans="1:19" ht="15" thickBot="1" x14ac:dyDescent="0.4">
      <c r="A4" s="417" t="s">
        <v>1</v>
      </c>
      <c r="B4" s="418"/>
      <c r="C4" s="89"/>
      <c r="D4" s="419" t="s">
        <v>2</v>
      </c>
      <c r="E4" s="420"/>
      <c r="F4" s="420"/>
      <c r="G4" s="420"/>
      <c r="H4" s="421"/>
      <c r="K4" s="419" t="s">
        <v>3</v>
      </c>
      <c r="L4" s="420"/>
      <c r="M4" s="421"/>
      <c r="P4" s="417" t="s">
        <v>77</v>
      </c>
      <c r="Q4" s="422"/>
      <c r="R4" s="418"/>
    </row>
    <row r="5" spans="1:19" x14ac:dyDescent="0.35">
      <c r="A5" s="89" t="s">
        <v>83</v>
      </c>
      <c r="B5" s="329">
        <f>'Generation &amp; Ops Scenarios'!C55</f>
        <v>90000</v>
      </c>
      <c r="C5" s="89"/>
      <c r="D5" s="413" t="s">
        <v>9</v>
      </c>
      <c r="E5" s="414"/>
      <c r="F5" s="161"/>
      <c r="G5" s="161"/>
      <c r="H5" s="311">
        <f>'Generation &amp; Ops Scenarios'!$D$13</f>
        <v>160000</v>
      </c>
      <c r="K5" s="295" t="s">
        <v>153</v>
      </c>
      <c r="L5" s="161"/>
      <c r="M5" s="56">
        <f>H21</f>
        <v>1400000</v>
      </c>
      <c r="P5" s="399" t="s">
        <v>25</v>
      </c>
      <c r="Q5" s="400"/>
      <c r="R5" s="86">
        <f>'Generation &amp; Ops Scenarios'!$B$11</f>
        <v>1</v>
      </c>
    </row>
    <row r="6" spans="1:19" x14ac:dyDescent="0.35">
      <c r="A6" s="89" t="s">
        <v>84</v>
      </c>
      <c r="B6" s="330">
        <f>'Generation &amp; Ops Scenarios'!C56</f>
        <v>600000</v>
      </c>
      <c r="C6" s="89"/>
      <c r="D6" s="413" t="s">
        <v>10</v>
      </c>
      <c r="E6" s="414"/>
      <c r="F6" s="161"/>
      <c r="G6" s="161"/>
      <c r="H6" s="312">
        <f>'Generation &amp; Ops Scenarios'!$D$12</f>
        <v>40000</v>
      </c>
      <c r="K6" s="295" t="s">
        <v>15</v>
      </c>
      <c r="L6" s="313"/>
      <c r="M6" s="56">
        <f>'Generation &amp; Ops Scenarios'!B2</f>
        <v>60</v>
      </c>
      <c r="P6" s="399" t="s">
        <v>5</v>
      </c>
      <c r="Q6" s="400"/>
      <c r="R6" s="74">
        <f>'Generation &amp; Ops Scenarios'!B14</f>
        <v>7.4999999999999997E-2</v>
      </c>
    </row>
    <row r="7" spans="1:19" x14ac:dyDescent="0.35">
      <c r="A7" s="89" t="s">
        <v>85</v>
      </c>
      <c r="B7" s="330">
        <f>'Generation &amp; Ops Scenarios'!C57</f>
        <v>390000</v>
      </c>
      <c r="C7" s="89"/>
      <c r="D7" s="413" t="s">
        <v>11</v>
      </c>
      <c r="E7" s="414"/>
      <c r="F7" s="161"/>
      <c r="G7" s="161"/>
      <c r="H7" s="300">
        <f>SUM(H5:H6)</f>
        <v>200000</v>
      </c>
      <c r="K7" s="295" t="s">
        <v>28</v>
      </c>
      <c r="L7" s="313"/>
      <c r="M7" s="314">
        <v>0</v>
      </c>
      <c r="P7" s="399" t="s">
        <v>26</v>
      </c>
      <c r="Q7" s="400"/>
      <c r="R7" s="87">
        <f>R5*B22</f>
        <v>4058923.916666667</v>
      </c>
    </row>
    <row r="8" spans="1:19" x14ac:dyDescent="0.35">
      <c r="A8" s="89" t="s">
        <v>86</v>
      </c>
      <c r="B8" s="330">
        <f>'Generation &amp; Ops Scenarios'!C58</f>
        <v>0</v>
      </c>
      <c r="C8" s="89"/>
      <c r="D8" s="413"/>
      <c r="E8" s="414"/>
      <c r="F8" s="161"/>
      <c r="G8" s="161"/>
      <c r="H8" s="300"/>
      <c r="K8" s="401" t="s">
        <v>72</v>
      </c>
      <c r="L8" s="402"/>
      <c r="M8" s="315">
        <f>'Generation &amp; Ops Scenarios'!$G$10</f>
        <v>0</v>
      </c>
      <c r="P8" s="399" t="s">
        <v>27</v>
      </c>
      <c r="Q8" s="400"/>
      <c r="R8" s="87">
        <f>'Generation &amp; Ops Scenarios'!$B$12</f>
        <v>25</v>
      </c>
    </row>
    <row r="9" spans="1:19" x14ac:dyDescent="0.35">
      <c r="A9" s="89" t="s">
        <v>87</v>
      </c>
      <c r="B9" s="330">
        <f>'Generation &amp; Ops Scenarios'!C59</f>
        <v>250000</v>
      </c>
      <c r="C9" s="89"/>
      <c r="D9" s="111" t="s">
        <v>103</v>
      </c>
      <c r="E9" s="161"/>
      <c r="F9" s="161"/>
      <c r="G9" s="161"/>
      <c r="H9" s="77">
        <f>B5*'Generation &amp; Ops Scenarios'!$B$20</f>
        <v>13500</v>
      </c>
      <c r="K9" s="401" t="s">
        <v>73</v>
      </c>
      <c r="L9" s="402"/>
      <c r="M9" s="315">
        <f>'Generation &amp; Ops Scenarios'!$G$11</f>
        <v>0</v>
      </c>
      <c r="P9" s="399" t="s">
        <v>53</v>
      </c>
      <c r="Q9" s="400"/>
      <c r="R9" s="87">
        <f>'Generation &amp; Ops Scenarios'!B13</f>
        <v>25</v>
      </c>
    </row>
    <row r="10" spans="1:19" x14ac:dyDescent="0.35">
      <c r="A10" s="89" t="s">
        <v>88</v>
      </c>
      <c r="B10" s="330">
        <f>SUM(B5:B9)*0.1</f>
        <v>133000</v>
      </c>
      <c r="C10" s="89"/>
      <c r="D10" s="111" t="s">
        <v>105</v>
      </c>
      <c r="E10" s="161"/>
      <c r="F10" s="161"/>
      <c r="G10" s="161"/>
      <c r="H10" s="77">
        <f>B7*'Generation &amp; Ops Scenarios'!$B$21</f>
        <v>3900</v>
      </c>
      <c r="K10" s="401" t="s">
        <v>74</v>
      </c>
      <c r="L10" s="402"/>
      <c r="M10" s="315">
        <f>'Generation &amp; Ops Scenarios'!$G$12</f>
        <v>0</v>
      </c>
      <c r="P10" s="399" t="s">
        <v>56</v>
      </c>
      <c r="Q10" s="400"/>
      <c r="R10" s="74">
        <f>'Generation &amp; Ops Scenarios'!$G$16</f>
        <v>0</v>
      </c>
    </row>
    <row r="11" spans="1:19" ht="15" thickBot="1" x14ac:dyDescent="0.4">
      <c r="A11" s="89" t="s">
        <v>8</v>
      </c>
      <c r="B11" s="330">
        <f>SUM(B5:B10)*0.1</f>
        <v>146300</v>
      </c>
      <c r="C11" s="89"/>
      <c r="D11" s="111" t="s">
        <v>107</v>
      </c>
      <c r="E11" s="161"/>
      <c r="F11" s="161"/>
      <c r="G11" s="161"/>
      <c r="H11" s="77">
        <f>B6*'Generation &amp; Ops Scenarios'!$B$22</f>
        <v>12000</v>
      </c>
      <c r="K11" s="411" t="s">
        <v>75</v>
      </c>
      <c r="L11" s="412"/>
      <c r="M11" s="316">
        <f>'Generation &amp; Ops Scenarios'!$G$13</f>
        <v>0</v>
      </c>
      <c r="P11" s="399" t="s">
        <v>55</v>
      </c>
      <c r="Q11" s="400"/>
      <c r="R11" s="74">
        <f>'Generation &amp; Ops Scenarios'!$G$17</f>
        <v>0</v>
      </c>
    </row>
    <row r="12" spans="1:19" ht="15" thickBot="1" x14ac:dyDescent="0.4">
      <c r="A12" s="89" t="s">
        <v>89</v>
      </c>
      <c r="B12" s="331">
        <f>SUM(B5:B11)</f>
        <v>1609300</v>
      </c>
      <c r="C12" s="89"/>
      <c r="D12" s="111" t="s">
        <v>108</v>
      </c>
      <c r="E12" s="161"/>
      <c r="F12" s="161"/>
      <c r="G12" s="161"/>
      <c r="H12" s="77">
        <f>B8*'Generation &amp; Ops Scenarios'!B23</f>
        <v>0</v>
      </c>
      <c r="P12" s="403" t="s">
        <v>57</v>
      </c>
      <c r="Q12" s="404"/>
      <c r="R12" s="332">
        <f>'Generation &amp; Ops Scenarios'!$G$18</f>
        <v>0</v>
      </c>
    </row>
    <row r="13" spans="1:19" x14ac:dyDescent="0.35">
      <c r="B13" s="333"/>
      <c r="C13" s="89"/>
      <c r="D13" s="111" t="s">
        <v>109</v>
      </c>
      <c r="E13" s="161"/>
      <c r="F13" s="161"/>
      <c r="G13" s="161"/>
      <c r="H13" s="77">
        <f>B21*'Generation &amp; Ops Scenarios'!$B$24</f>
        <v>24496.23916666667</v>
      </c>
      <c r="K13" s="408" t="s">
        <v>230</v>
      </c>
      <c r="L13" s="409"/>
      <c r="M13" s="410"/>
    </row>
    <row r="14" spans="1:19" ht="15" thickBot="1" x14ac:dyDescent="0.4">
      <c r="A14" s="89" t="s">
        <v>166</v>
      </c>
      <c r="B14" s="330">
        <f>'Generation &amp; Ops Scenarios'!C64</f>
        <v>542630</v>
      </c>
      <c r="C14" s="89"/>
      <c r="D14" s="111" t="s">
        <v>162</v>
      </c>
      <c r="E14" s="161"/>
      <c r="F14" s="161"/>
      <c r="G14" s="161"/>
      <c r="H14" s="77">
        <f>'Generation &amp; Ops Scenarios'!B81*M5/100</f>
        <v>14000</v>
      </c>
      <c r="K14" s="405" t="s">
        <v>231</v>
      </c>
      <c r="L14" s="406"/>
      <c r="M14" s="407"/>
    </row>
    <row r="15" spans="1:19" x14ac:dyDescent="0.35">
      <c r="A15" s="89" t="s">
        <v>170</v>
      </c>
      <c r="B15" s="330">
        <f>'Generation &amp; Ops Scenarios'!C65</f>
        <v>359081.8</v>
      </c>
      <c r="C15" s="89"/>
      <c r="D15" s="111" t="s">
        <v>151</v>
      </c>
      <c r="E15" s="161"/>
      <c r="F15" s="161"/>
      <c r="G15" s="161"/>
      <c r="H15" s="56">
        <f>('Generation &amp; Ops Scenarios'!D15+('Generation &amp; Ops Scenarios'!D16*'Generation &amp; Ops Scenarios'!C37/100)+('Generation &amp; Ops Scenarios'!D17*'Generation &amp; Ops Scenarios'!C36/100))</f>
        <v>14450</v>
      </c>
      <c r="K15" s="292" t="s">
        <v>229</v>
      </c>
      <c r="L15" s="293"/>
      <c r="M15" s="294">
        <f>'Generation &amp; Ops Scenarios'!C48</f>
        <v>112458.12406417122</v>
      </c>
    </row>
    <row r="16" spans="1:19" x14ac:dyDescent="0.35">
      <c r="A16" s="89" t="s">
        <v>175</v>
      </c>
      <c r="B16" s="330">
        <f>'Generation &amp; Ops Scenarios'!C66</f>
        <v>196652.5</v>
      </c>
      <c r="C16" s="89"/>
      <c r="D16" s="317" t="s">
        <v>14</v>
      </c>
      <c r="E16" s="318"/>
      <c r="F16" s="161"/>
      <c r="G16" s="161"/>
      <c r="H16" s="299">
        <f>SUM(H7:H15)</f>
        <v>282346.23916666664</v>
      </c>
      <c r="J16" s="161"/>
      <c r="K16" s="295" t="s">
        <v>232</v>
      </c>
      <c r="L16" s="163"/>
      <c r="M16" s="87">
        <f>'Generation &amp; Ops Scenarios'!C41+'Generation &amp; Ops Scenarios'!C43</f>
        <v>328500</v>
      </c>
      <c r="N16" s="161"/>
      <c r="O16" s="161"/>
      <c r="P16" s="161"/>
      <c r="Q16" s="161"/>
      <c r="R16" s="161"/>
      <c r="S16" s="161"/>
    </row>
    <row r="17" spans="1:26" x14ac:dyDescent="0.35">
      <c r="A17" s="89" t="s">
        <v>174</v>
      </c>
      <c r="B17" s="330">
        <f>'Generation &amp; Ops Scenarios'!C67</f>
        <v>113166.53333333334</v>
      </c>
      <c r="C17" s="89"/>
      <c r="D17" s="319"/>
      <c r="E17" s="320"/>
      <c r="F17" s="161"/>
      <c r="G17" s="161"/>
      <c r="H17" s="300"/>
      <c r="J17" s="161"/>
      <c r="K17" s="295" t="s">
        <v>233</v>
      </c>
      <c r="L17" s="163"/>
      <c r="M17" s="87">
        <f>'Generation &amp; Ops Scenarios'!C42+'Generation &amp; Ops Scenarios'!C44</f>
        <v>1024920</v>
      </c>
      <c r="N17" s="161"/>
      <c r="O17" s="161"/>
      <c r="P17" s="161"/>
      <c r="Q17" s="161"/>
      <c r="R17" s="161"/>
      <c r="S17" s="161"/>
    </row>
    <row r="18" spans="1:26" ht="15" thickBot="1" x14ac:dyDescent="0.4">
      <c r="A18" s="89" t="s">
        <v>182</v>
      </c>
      <c r="B18" s="330">
        <f>'Generation &amp; Ops Scenarios'!C68</f>
        <v>855400</v>
      </c>
      <c r="C18" s="89"/>
      <c r="D18" s="317" t="s">
        <v>12</v>
      </c>
      <c r="E18" s="318"/>
      <c r="F18" s="161"/>
      <c r="G18" s="161"/>
      <c r="H18" s="301">
        <f>'Generation &amp; Ops Scenarios'!B17</f>
        <v>87</v>
      </c>
      <c r="J18" s="161"/>
      <c r="K18" s="296" t="s">
        <v>234</v>
      </c>
      <c r="L18" s="261"/>
      <c r="M18" s="297">
        <f>SUM(M15:M17)</f>
        <v>1465878.1240641712</v>
      </c>
      <c r="N18" s="161"/>
      <c r="O18" s="161"/>
      <c r="P18" s="161"/>
      <c r="Q18" s="161"/>
      <c r="R18" s="161"/>
      <c r="S18" s="161"/>
    </row>
    <row r="19" spans="1:26" x14ac:dyDescent="0.35">
      <c r="A19" s="89" t="s">
        <v>185</v>
      </c>
      <c r="B19" s="330">
        <f>'Generation &amp; Ops Scenarios'!C69</f>
        <v>160000</v>
      </c>
      <c r="C19" s="89"/>
      <c r="D19" s="317" t="s">
        <v>155</v>
      </c>
      <c r="E19" s="318"/>
      <c r="F19" s="161"/>
      <c r="G19" s="161"/>
      <c r="H19" s="302">
        <f>'Generation &amp; Ops Scenarios'!B18</f>
        <v>3.9583333333333335</v>
      </c>
      <c r="J19" s="161"/>
      <c r="K19" s="161"/>
      <c r="L19" s="161"/>
      <c r="M19" s="161"/>
      <c r="N19" s="161"/>
      <c r="O19" s="161"/>
      <c r="P19" s="161"/>
      <c r="Q19" s="161"/>
      <c r="R19" s="161"/>
      <c r="S19" s="161"/>
    </row>
    <row r="20" spans="1:26" x14ac:dyDescent="0.35">
      <c r="A20" s="89" t="s">
        <v>8</v>
      </c>
      <c r="B20" s="330">
        <f>SUM(B14:B19)*0.1</f>
        <v>222693.08333333337</v>
      </c>
      <c r="C20" s="89"/>
      <c r="D20" s="317"/>
      <c r="E20" s="318"/>
      <c r="F20" s="161"/>
      <c r="G20" s="161"/>
      <c r="H20" s="303"/>
      <c r="J20" s="161"/>
      <c r="K20" s="161"/>
      <c r="L20" s="161"/>
      <c r="M20" s="161"/>
      <c r="N20" s="161"/>
      <c r="O20" s="161"/>
      <c r="P20" s="161"/>
      <c r="Q20" s="161"/>
      <c r="R20" s="161"/>
      <c r="S20" s="161"/>
    </row>
    <row r="21" spans="1:26" x14ac:dyDescent="0.35">
      <c r="A21" s="89" t="s">
        <v>90</v>
      </c>
      <c r="B21" s="331">
        <f>SUM(B14:B20)</f>
        <v>2449623.916666667</v>
      </c>
      <c r="C21" s="89"/>
      <c r="D21" s="317" t="s">
        <v>13</v>
      </c>
      <c r="E21" s="318"/>
      <c r="F21" s="161"/>
      <c r="G21" s="161"/>
      <c r="H21" s="304">
        <f>'Generation &amp; Ops Scenarios'!B3</f>
        <v>1400000</v>
      </c>
      <c r="J21" s="161"/>
      <c r="K21" s="161"/>
      <c r="L21" s="161"/>
      <c r="M21" s="161"/>
      <c r="N21" s="161"/>
      <c r="O21" s="161"/>
      <c r="P21" s="161"/>
      <c r="Q21" s="161"/>
      <c r="R21" s="161"/>
      <c r="S21" s="161"/>
    </row>
    <row r="22" spans="1:26" ht="15" thickBot="1" x14ac:dyDescent="0.4">
      <c r="A22" s="108" t="s">
        <v>6</v>
      </c>
      <c r="B22" s="334">
        <f>B12+B21</f>
        <v>4058923.916666667</v>
      </c>
      <c r="C22" s="89"/>
      <c r="D22" s="317"/>
      <c r="E22" s="318"/>
      <c r="F22" s="161"/>
      <c r="G22" s="161"/>
      <c r="H22" s="305"/>
      <c r="I22" s="321"/>
      <c r="J22" s="161"/>
      <c r="K22" s="161"/>
      <c r="L22" s="161"/>
      <c r="M22" s="161"/>
      <c r="N22" s="161"/>
      <c r="O22" s="161"/>
      <c r="P22" s="161"/>
      <c r="Q22" s="161"/>
      <c r="R22" s="161"/>
      <c r="S22" s="161"/>
    </row>
    <row r="23" spans="1:26" x14ac:dyDescent="0.35">
      <c r="A23" s="161"/>
      <c r="B23" s="335"/>
      <c r="C23" s="89"/>
      <c r="D23" s="322" t="s">
        <v>157</v>
      </c>
      <c r="E23" s="323"/>
      <c r="F23" s="161"/>
      <c r="G23" s="161"/>
      <c r="H23" s="290">
        <f>H18/H19</f>
        <v>21.978947368421053</v>
      </c>
      <c r="I23" s="161"/>
      <c r="J23" s="161"/>
      <c r="K23" s="161"/>
      <c r="L23" s="161"/>
      <c r="M23" s="161"/>
      <c r="N23" s="161"/>
      <c r="O23" s="161"/>
      <c r="P23" s="161"/>
      <c r="Q23" s="161"/>
      <c r="R23" s="161"/>
      <c r="S23" s="161"/>
    </row>
    <row r="24" spans="1:26" ht="15" thickBot="1" x14ac:dyDescent="0.4">
      <c r="A24" s="161"/>
      <c r="B24" s="335"/>
      <c r="C24" s="89"/>
      <c r="D24" s="324" t="s">
        <v>238</v>
      </c>
      <c r="E24" s="325"/>
      <c r="F24" s="258"/>
      <c r="G24" s="258"/>
      <c r="H24" s="291">
        <f>-'Mix 1 Cash Flow'!D8/'Mix 1 Summary'!H21*100</f>
        <v>1.7655079928269888</v>
      </c>
      <c r="I24" s="161"/>
      <c r="J24" s="161"/>
      <c r="K24" s="161"/>
      <c r="L24" s="161"/>
      <c r="M24" s="161"/>
      <c r="N24" s="161"/>
      <c r="O24" s="161"/>
      <c r="P24" s="161"/>
      <c r="Q24" s="161"/>
      <c r="R24" s="161"/>
      <c r="S24" s="161"/>
    </row>
    <row r="25" spans="1:26" x14ac:dyDescent="0.35">
      <c r="A25" s="161"/>
      <c r="B25" s="335"/>
      <c r="C25" s="89"/>
      <c r="D25" s="323"/>
      <c r="E25" s="336"/>
      <c r="F25" s="161"/>
      <c r="G25" s="161"/>
      <c r="H25" s="307"/>
      <c r="I25" s="161"/>
      <c r="J25" s="161"/>
      <c r="K25" s="161"/>
      <c r="L25" s="161"/>
      <c r="M25" s="161"/>
      <c r="N25" s="161"/>
      <c r="O25" s="161"/>
      <c r="P25" s="161"/>
      <c r="Q25" s="161"/>
      <c r="R25" s="161"/>
      <c r="S25" s="161"/>
    </row>
    <row r="26" spans="1:26" ht="15" thickBot="1" x14ac:dyDescent="0.4"/>
    <row r="27" spans="1:26" ht="15" thickBot="1" x14ac:dyDescent="0.4">
      <c r="A27" s="91"/>
      <c r="B27" s="92" t="s">
        <v>7</v>
      </c>
      <c r="C27" s="93"/>
      <c r="D27" s="93"/>
      <c r="E27" s="93"/>
      <c r="F27" s="93"/>
      <c r="G27" s="93"/>
      <c r="H27" s="93"/>
      <c r="I27" s="93"/>
      <c r="J27" s="93"/>
      <c r="K27" s="93"/>
      <c r="L27" s="93"/>
      <c r="M27" s="93"/>
      <c r="N27" s="93"/>
      <c r="O27" s="93"/>
      <c r="P27" s="93"/>
      <c r="Q27" s="93"/>
      <c r="R27" s="93"/>
      <c r="S27" s="93"/>
      <c r="T27" s="93"/>
      <c r="U27" s="93"/>
      <c r="V27" s="93"/>
      <c r="W27" s="93"/>
      <c r="X27" s="93"/>
      <c r="Y27" s="93"/>
      <c r="Z27" s="93"/>
    </row>
    <row r="28" spans="1:26" x14ac:dyDescent="0.35">
      <c r="A28" s="95"/>
      <c r="B28" s="96">
        <v>1</v>
      </c>
      <c r="C28" s="96">
        <v>2</v>
      </c>
      <c r="D28" s="96">
        <v>3</v>
      </c>
      <c r="E28" s="96">
        <v>4</v>
      </c>
      <c r="F28" s="96">
        <v>5</v>
      </c>
      <c r="G28" s="96">
        <v>6</v>
      </c>
      <c r="H28" s="96">
        <v>7</v>
      </c>
      <c r="I28" s="96">
        <v>8</v>
      </c>
      <c r="J28" s="96">
        <v>9</v>
      </c>
      <c r="K28" s="96">
        <v>10</v>
      </c>
      <c r="L28" s="96">
        <v>11</v>
      </c>
      <c r="M28" s="96">
        <v>12</v>
      </c>
      <c r="N28" s="96">
        <v>13</v>
      </c>
      <c r="O28" s="96">
        <v>14</v>
      </c>
      <c r="P28" s="96">
        <v>15</v>
      </c>
      <c r="Q28" s="96">
        <v>16</v>
      </c>
      <c r="R28" s="96">
        <v>17</v>
      </c>
      <c r="S28" s="96">
        <v>18</v>
      </c>
      <c r="T28" s="96">
        <v>19</v>
      </c>
      <c r="U28" s="96">
        <v>20</v>
      </c>
      <c r="V28" s="96">
        <v>21</v>
      </c>
      <c r="W28" s="96">
        <v>22</v>
      </c>
      <c r="X28" s="96">
        <v>23</v>
      </c>
      <c r="Y28" s="96">
        <v>24</v>
      </c>
      <c r="Z28" s="96">
        <v>25</v>
      </c>
    </row>
    <row r="29" spans="1:26" x14ac:dyDescent="0.35">
      <c r="A29" s="97" t="s">
        <v>65</v>
      </c>
      <c r="B29" s="98">
        <f>'Mix 1 Profit and Loss '!D8</f>
        <v>840000</v>
      </c>
      <c r="C29" s="98">
        <f>'Mix 1 Profit and Loss '!E8</f>
        <v>840000</v>
      </c>
      <c r="D29" s="98">
        <f>'Mix 1 Profit and Loss '!F8</f>
        <v>840000</v>
      </c>
      <c r="E29" s="98">
        <f>'Mix 1 Profit and Loss '!G8</f>
        <v>840000</v>
      </c>
      <c r="F29" s="98">
        <f>'Mix 1 Profit and Loss '!H8</f>
        <v>840000</v>
      </c>
      <c r="G29" s="98">
        <f>'Mix 1 Profit and Loss '!I8</f>
        <v>840000</v>
      </c>
      <c r="H29" s="98">
        <f>'Mix 1 Profit and Loss '!J8</f>
        <v>840000</v>
      </c>
      <c r="I29" s="98">
        <f>'Mix 1 Profit and Loss '!K8</f>
        <v>840000</v>
      </c>
      <c r="J29" s="98">
        <f>'Mix 1 Profit and Loss '!L8</f>
        <v>840000</v>
      </c>
      <c r="K29" s="98">
        <f>'Mix 1 Profit and Loss '!M8</f>
        <v>840000</v>
      </c>
      <c r="L29" s="98">
        <f>'Mix 1 Profit and Loss '!N8</f>
        <v>840000</v>
      </c>
      <c r="M29" s="98">
        <f>'Mix 1 Profit and Loss '!O8</f>
        <v>840000</v>
      </c>
      <c r="N29" s="98">
        <f>'Mix 1 Profit and Loss '!P8</f>
        <v>840000</v>
      </c>
      <c r="O29" s="98">
        <f>'Mix 1 Profit and Loss '!Q8</f>
        <v>840000</v>
      </c>
      <c r="P29" s="98">
        <f>'Mix 1 Profit and Loss '!R8</f>
        <v>840000</v>
      </c>
      <c r="Q29" s="98">
        <f>'Mix 1 Profit and Loss '!S8</f>
        <v>840000</v>
      </c>
      <c r="R29" s="98">
        <f>'Mix 1 Profit and Loss '!T8</f>
        <v>840000</v>
      </c>
      <c r="S29" s="98">
        <f>'Mix 1 Profit and Loss '!U8</f>
        <v>840000</v>
      </c>
      <c r="T29" s="98">
        <f>'Mix 1 Profit and Loss '!V8</f>
        <v>840000</v>
      </c>
      <c r="U29" s="98">
        <f>'Mix 1 Profit and Loss '!W8</f>
        <v>840000</v>
      </c>
      <c r="V29" s="98">
        <f>'Mix 1 Profit and Loss '!X8</f>
        <v>840000</v>
      </c>
      <c r="W29" s="98">
        <f>'Mix 1 Profit and Loss '!Y8</f>
        <v>840000</v>
      </c>
      <c r="X29" s="98">
        <f>'Mix 1 Profit and Loss '!Z8</f>
        <v>840000</v>
      </c>
      <c r="Y29" s="98">
        <f>'Mix 1 Profit and Loss '!AA8</f>
        <v>840000</v>
      </c>
      <c r="Z29" s="98">
        <f>'Mix 1 Profit and Loss '!AB8</f>
        <v>840000</v>
      </c>
    </row>
    <row r="30" spans="1:26" x14ac:dyDescent="0.35">
      <c r="A30" s="99" t="s">
        <v>66</v>
      </c>
      <c r="B30" s="98">
        <f>'Mix 1 Profit and Loss '!D14</f>
        <v>-307063.35106624448</v>
      </c>
      <c r="C30" s="98">
        <f>'Mix 1 Profit and Loss '!E14</f>
        <v>-307063.35106624448</v>
      </c>
      <c r="D30" s="98">
        <f>'Mix 1 Profit and Loss '!F14</f>
        <v>-307063.35106624448</v>
      </c>
      <c r="E30" s="98">
        <f>'Mix 1 Profit and Loss '!G14</f>
        <v>-307063.35106624448</v>
      </c>
      <c r="F30" s="98">
        <f>'Mix 1 Profit and Loss '!H14</f>
        <v>-307063.35106624448</v>
      </c>
      <c r="G30" s="98">
        <f>'Mix 1 Profit and Loss '!I14</f>
        <v>-307063.35106624448</v>
      </c>
      <c r="H30" s="98">
        <f>'Mix 1 Profit and Loss '!J14</f>
        <v>-307063.35106624448</v>
      </c>
      <c r="I30" s="98">
        <f>'Mix 1 Profit and Loss '!K14</f>
        <v>-307063.35106624448</v>
      </c>
      <c r="J30" s="98">
        <f>'Mix 1 Profit and Loss '!L14</f>
        <v>-307063.35106624448</v>
      </c>
      <c r="K30" s="98">
        <f>'Mix 1 Profit and Loss '!M14</f>
        <v>-307063.35106624448</v>
      </c>
      <c r="L30" s="98">
        <f>'Mix 1 Profit and Loss '!N14</f>
        <v>-307063.35106624448</v>
      </c>
      <c r="M30" s="98">
        <f>'Mix 1 Profit and Loss '!O14</f>
        <v>-307063.35106624448</v>
      </c>
      <c r="N30" s="98">
        <f>'Mix 1 Profit and Loss '!P14</f>
        <v>-307063.35106624448</v>
      </c>
      <c r="O30" s="98">
        <f>'Mix 1 Profit and Loss '!Q14</f>
        <v>-307063.35106624448</v>
      </c>
      <c r="P30" s="98">
        <f>'Mix 1 Profit and Loss '!R14</f>
        <v>-307063.35106624448</v>
      </c>
      <c r="Q30" s="98">
        <f>'Mix 1 Profit and Loss '!S14</f>
        <v>-307063.35106624448</v>
      </c>
      <c r="R30" s="98">
        <f>'Mix 1 Profit and Loss '!T14</f>
        <v>-307063.35106624448</v>
      </c>
      <c r="S30" s="98">
        <f>'Mix 1 Profit and Loss '!U14</f>
        <v>-307063.35106624448</v>
      </c>
      <c r="T30" s="98">
        <f>'Mix 1 Profit and Loss '!V14</f>
        <v>-307063.35106624448</v>
      </c>
      <c r="U30" s="98">
        <f>'Mix 1 Profit and Loss '!W14</f>
        <v>-307063.35106624448</v>
      </c>
      <c r="V30" s="98">
        <f>'Mix 1 Profit and Loss '!X14</f>
        <v>-307063.35106624448</v>
      </c>
      <c r="W30" s="98">
        <f>'Mix 1 Profit and Loss '!Y14</f>
        <v>-307063.35106624448</v>
      </c>
      <c r="X30" s="98">
        <f>'Mix 1 Profit and Loss '!Z14</f>
        <v>-307063.35106624448</v>
      </c>
      <c r="Y30" s="98">
        <f>'Mix 1 Profit and Loss '!AA14</f>
        <v>-307063.35106624448</v>
      </c>
      <c r="Z30" s="98">
        <f>'Mix 1 Profit and Loss '!AB14</f>
        <v>-307063.35106624448</v>
      </c>
    </row>
    <row r="31" spans="1:26" x14ac:dyDescent="0.35">
      <c r="A31" s="100" t="s">
        <v>67</v>
      </c>
      <c r="B31" s="101">
        <f>SUM(B29:B30)</f>
        <v>532936.64893375547</v>
      </c>
      <c r="C31" s="101">
        <f t="shared" ref="C31:U31" si="0">SUM(C29:C30)</f>
        <v>532936.64893375547</v>
      </c>
      <c r="D31" s="101">
        <f t="shared" si="0"/>
        <v>532936.64893375547</v>
      </c>
      <c r="E31" s="101">
        <f t="shared" si="0"/>
        <v>532936.64893375547</v>
      </c>
      <c r="F31" s="101">
        <f t="shared" si="0"/>
        <v>532936.64893375547</v>
      </c>
      <c r="G31" s="101">
        <f t="shared" si="0"/>
        <v>532936.64893375547</v>
      </c>
      <c r="H31" s="101">
        <f t="shared" si="0"/>
        <v>532936.64893375547</v>
      </c>
      <c r="I31" s="101">
        <f t="shared" si="0"/>
        <v>532936.64893375547</v>
      </c>
      <c r="J31" s="101">
        <f t="shared" si="0"/>
        <v>532936.64893375547</v>
      </c>
      <c r="K31" s="101">
        <f t="shared" si="0"/>
        <v>532936.64893375547</v>
      </c>
      <c r="L31" s="101">
        <f t="shared" si="0"/>
        <v>532936.64893375547</v>
      </c>
      <c r="M31" s="101">
        <f t="shared" si="0"/>
        <v>532936.64893375547</v>
      </c>
      <c r="N31" s="101">
        <f t="shared" si="0"/>
        <v>532936.64893375547</v>
      </c>
      <c r="O31" s="101">
        <f t="shared" si="0"/>
        <v>532936.64893375547</v>
      </c>
      <c r="P31" s="101">
        <f t="shared" si="0"/>
        <v>532936.64893375547</v>
      </c>
      <c r="Q31" s="101">
        <f t="shared" si="0"/>
        <v>532936.64893375547</v>
      </c>
      <c r="R31" s="101">
        <f t="shared" si="0"/>
        <v>532936.64893375547</v>
      </c>
      <c r="S31" s="101">
        <f t="shared" si="0"/>
        <v>532936.64893375547</v>
      </c>
      <c r="T31" s="101">
        <f t="shared" si="0"/>
        <v>532936.64893375547</v>
      </c>
      <c r="U31" s="101">
        <f t="shared" si="0"/>
        <v>532936.64893375547</v>
      </c>
      <c r="V31" s="101">
        <f t="shared" ref="V31:Z31" si="1">SUM(V29:V30)</f>
        <v>532936.64893375547</v>
      </c>
      <c r="W31" s="101">
        <f t="shared" si="1"/>
        <v>532936.64893375547</v>
      </c>
      <c r="X31" s="101">
        <f t="shared" si="1"/>
        <v>532936.64893375547</v>
      </c>
      <c r="Y31" s="101">
        <f t="shared" si="1"/>
        <v>532936.64893375547</v>
      </c>
      <c r="Z31" s="101">
        <f t="shared" si="1"/>
        <v>532936.64893375547</v>
      </c>
    </row>
    <row r="32" spans="1:26" x14ac:dyDescent="0.35">
      <c r="A32" s="99" t="s">
        <v>68</v>
      </c>
      <c r="B32" s="98">
        <f>'Mix 1 Profit and Loss '!D19</f>
        <v>-162356.95666666667</v>
      </c>
      <c r="C32" s="98">
        <f>'Mix 1 Profit and Loss '!E19</f>
        <v>-162356.95666666667</v>
      </c>
      <c r="D32" s="98">
        <f>'Mix 1 Profit and Loss '!F19</f>
        <v>-162356.95666666667</v>
      </c>
      <c r="E32" s="98">
        <f>'Mix 1 Profit and Loss '!G19</f>
        <v>-162356.95666666667</v>
      </c>
      <c r="F32" s="98">
        <f>'Mix 1 Profit and Loss '!H19</f>
        <v>-162356.95666666667</v>
      </c>
      <c r="G32" s="98">
        <f>'Mix 1 Profit and Loss '!I19</f>
        <v>-162356.95666666667</v>
      </c>
      <c r="H32" s="98">
        <f>'Mix 1 Profit and Loss '!J19</f>
        <v>-162356.95666666667</v>
      </c>
      <c r="I32" s="98">
        <f>'Mix 1 Profit and Loss '!K19</f>
        <v>-162356.95666666667</v>
      </c>
      <c r="J32" s="98">
        <f>'Mix 1 Profit and Loss '!L19</f>
        <v>-162356.95666666667</v>
      </c>
      <c r="K32" s="98">
        <f>'Mix 1 Profit and Loss '!M19</f>
        <v>-162356.95666666667</v>
      </c>
      <c r="L32" s="98">
        <f>'Mix 1 Profit and Loss '!N19</f>
        <v>-162356.95666666667</v>
      </c>
      <c r="M32" s="98">
        <f>'Mix 1 Profit and Loss '!O19</f>
        <v>-162356.95666666667</v>
      </c>
      <c r="N32" s="98">
        <f>'Mix 1 Profit and Loss '!P19</f>
        <v>-162356.95666666667</v>
      </c>
      <c r="O32" s="98">
        <f>'Mix 1 Profit and Loss '!Q19</f>
        <v>-162356.95666666667</v>
      </c>
      <c r="P32" s="98">
        <f>'Mix 1 Profit and Loss '!R19</f>
        <v>-162356.95666666667</v>
      </c>
      <c r="Q32" s="98">
        <f>'Mix 1 Profit and Loss '!S19</f>
        <v>-162356.95666666667</v>
      </c>
      <c r="R32" s="98">
        <f>'Mix 1 Profit and Loss '!T19</f>
        <v>-162356.95666666667</v>
      </c>
      <c r="S32" s="98">
        <f>'Mix 1 Profit and Loss '!U19</f>
        <v>-162356.95666666667</v>
      </c>
      <c r="T32" s="98">
        <f>'Mix 1 Profit and Loss '!V19</f>
        <v>-162356.95666666667</v>
      </c>
      <c r="U32" s="98">
        <f>'Mix 1 Profit and Loss '!W19</f>
        <v>-162356.95666666667</v>
      </c>
      <c r="V32" s="98">
        <f>'Mix 1 Profit and Loss '!X19</f>
        <v>-162356.95666666667</v>
      </c>
      <c r="W32" s="98">
        <f>'Mix 1 Profit and Loss '!Y19</f>
        <v>-162356.95666666667</v>
      </c>
      <c r="X32" s="98">
        <f>'Mix 1 Profit and Loss '!Z19</f>
        <v>-162356.95666666667</v>
      </c>
      <c r="Y32" s="98">
        <f>'Mix 1 Profit and Loss '!AA19</f>
        <v>-162356.95666666667</v>
      </c>
      <c r="Z32" s="98">
        <f>'Mix 1 Profit and Loss '!AB19</f>
        <v>-162356.95666666667</v>
      </c>
    </row>
    <row r="33" spans="1:26" x14ac:dyDescent="0.35">
      <c r="A33" s="100" t="s">
        <v>64</v>
      </c>
      <c r="B33" s="101">
        <f>SUM(B31:B32)</f>
        <v>370579.6922670888</v>
      </c>
      <c r="C33" s="101">
        <f t="shared" ref="C33:U33" si="2">SUM(C31:C32)</f>
        <v>370579.6922670888</v>
      </c>
      <c r="D33" s="101">
        <f t="shared" si="2"/>
        <v>370579.6922670888</v>
      </c>
      <c r="E33" s="101">
        <f t="shared" si="2"/>
        <v>370579.6922670888</v>
      </c>
      <c r="F33" s="101">
        <f t="shared" si="2"/>
        <v>370579.6922670888</v>
      </c>
      <c r="G33" s="101">
        <f t="shared" si="2"/>
        <v>370579.6922670888</v>
      </c>
      <c r="H33" s="101">
        <f t="shared" si="2"/>
        <v>370579.6922670888</v>
      </c>
      <c r="I33" s="101">
        <f t="shared" si="2"/>
        <v>370579.6922670888</v>
      </c>
      <c r="J33" s="101">
        <f t="shared" si="2"/>
        <v>370579.6922670888</v>
      </c>
      <c r="K33" s="101">
        <f t="shared" si="2"/>
        <v>370579.6922670888</v>
      </c>
      <c r="L33" s="101">
        <f t="shared" si="2"/>
        <v>370579.6922670888</v>
      </c>
      <c r="M33" s="101">
        <f t="shared" si="2"/>
        <v>370579.6922670888</v>
      </c>
      <c r="N33" s="101">
        <f t="shared" si="2"/>
        <v>370579.6922670888</v>
      </c>
      <c r="O33" s="101">
        <f t="shared" si="2"/>
        <v>370579.6922670888</v>
      </c>
      <c r="P33" s="101">
        <f t="shared" si="2"/>
        <v>370579.6922670888</v>
      </c>
      <c r="Q33" s="101">
        <f t="shared" si="2"/>
        <v>370579.6922670888</v>
      </c>
      <c r="R33" s="101">
        <f t="shared" si="2"/>
        <v>370579.6922670888</v>
      </c>
      <c r="S33" s="101">
        <f t="shared" si="2"/>
        <v>370579.6922670888</v>
      </c>
      <c r="T33" s="101">
        <f t="shared" si="2"/>
        <v>370579.6922670888</v>
      </c>
      <c r="U33" s="101">
        <f t="shared" si="2"/>
        <v>370579.6922670888</v>
      </c>
      <c r="V33" s="101">
        <f t="shared" ref="V33:Z33" si="3">SUM(V31:V32)</f>
        <v>370579.6922670888</v>
      </c>
      <c r="W33" s="101">
        <f t="shared" si="3"/>
        <v>370579.6922670888</v>
      </c>
      <c r="X33" s="101">
        <f t="shared" si="3"/>
        <v>370579.6922670888</v>
      </c>
      <c r="Y33" s="101">
        <f t="shared" si="3"/>
        <v>370579.6922670888</v>
      </c>
      <c r="Z33" s="101">
        <f t="shared" si="3"/>
        <v>370579.6922670888</v>
      </c>
    </row>
    <row r="34" spans="1:26" x14ac:dyDescent="0.35">
      <c r="A34" s="95" t="s">
        <v>69</v>
      </c>
      <c r="B34" s="102">
        <f>'Mix 1 Profit and Loss '!D23</f>
        <v>-304419.29375000001</v>
      </c>
      <c r="C34" s="102">
        <f>'Mix 1 Profit and Loss '!E23</f>
        <v>-299941.08147588809</v>
      </c>
      <c r="D34" s="102">
        <f>'Mix 1 Profit and Loss '!F23</f>
        <v>-295127.00328121783</v>
      </c>
      <c r="E34" s="102">
        <f>'Mix 1 Profit and Loss '!G23</f>
        <v>-289951.86922194727</v>
      </c>
      <c r="F34" s="102">
        <f>'Mix 1 Profit and Loss '!H23</f>
        <v>-284388.60010823142</v>
      </c>
      <c r="G34" s="102">
        <f>'Mix 1 Profit and Loss '!I23</f>
        <v>-278408.08581098687</v>
      </c>
      <c r="H34" s="102">
        <f>'Mix 1 Profit and Loss '!J23</f>
        <v>-271979.03294144903</v>
      </c>
      <c r="I34" s="102">
        <f>'Mix 1 Profit and Loss '!K23</f>
        <v>-265067.80110669584</v>
      </c>
      <c r="J34" s="102">
        <f>'Mix 1 Profit and Loss '!L23</f>
        <v>-257638.22688433609</v>
      </c>
      <c r="K34" s="102">
        <f>'Mix 1 Profit and Loss '!M23</f>
        <v>-249651.43459529942</v>
      </c>
      <c r="L34" s="102">
        <f>'Mix 1 Profit and Loss '!N23</f>
        <v>-241065.63288458498</v>
      </c>
      <c r="M34" s="102">
        <f>'Mix 1 Profit and Loss '!O23</f>
        <v>-231835.89604556697</v>
      </c>
      <c r="N34" s="102">
        <f>'Mix 1 Profit and Loss '!P23</f>
        <v>-221913.92894362262</v>
      </c>
      <c r="O34" s="102">
        <f>'Mix 1 Profit and Loss '!Q23</f>
        <v>-211247.81430903243</v>
      </c>
      <c r="P34" s="102">
        <f>'Mix 1 Profit and Loss '!R23</f>
        <v>-199781.74107684795</v>
      </c>
      <c r="Q34" s="102">
        <f>'Mix 1 Profit and Loss '!S23</f>
        <v>-187455.71235224968</v>
      </c>
      <c r="R34" s="102">
        <f>'Mix 1 Profit and Loss '!T23</f>
        <v>-174205.23147330648</v>
      </c>
      <c r="S34" s="102">
        <f>'Mix 1 Profit and Loss '!U23</f>
        <v>-159960.96452844256</v>
      </c>
      <c r="T34" s="102">
        <f>'Mix 1 Profit and Loss '!V23</f>
        <v>-144648.37756271387</v>
      </c>
      <c r="U34" s="102">
        <f>'Mix 1 Profit and Loss '!W23</f>
        <v>-128187.34657455553</v>
      </c>
      <c r="V34" s="102">
        <f>'Mix 1 Profit and Loss '!X23</f>
        <v>-110491.7382622853</v>
      </c>
      <c r="W34" s="102">
        <f>'Mix 1 Profit and Loss '!Y23</f>
        <v>-91468.959326594821</v>
      </c>
      <c r="X34" s="102">
        <f>'Mix 1 Profit and Loss '!Z23</f>
        <v>-71019.471970727536</v>
      </c>
      <c r="Y34" s="102">
        <f>'Mix 1 Profit and Loss '!AA23</f>
        <v>-49036.273063170214</v>
      </c>
      <c r="Z34" s="102">
        <f>'Mix 1 Profit and Loss '!AB23</f>
        <v>-25404.334237546089</v>
      </c>
    </row>
    <row r="35" spans="1:26" ht="15" thickBot="1" x14ac:dyDescent="0.4">
      <c r="A35" s="103" t="s">
        <v>70</v>
      </c>
      <c r="B35" s="104">
        <f>SUM(B33:B34)</f>
        <v>66160.39851708879</v>
      </c>
      <c r="C35" s="104">
        <f t="shared" ref="C35:U35" si="4">SUM(C33:C34)</f>
        <v>70638.610791200714</v>
      </c>
      <c r="D35" s="104">
        <f t="shared" si="4"/>
        <v>75452.688985870976</v>
      </c>
      <c r="E35" s="104">
        <f t="shared" si="4"/>
        <v>80627.823045141529</v>
      </c>
      <c r="F35" s="104">
        <f t="shared" si="4"/>
        <v>86191.092158857384</v>
      </c>
      <c r="G35" s="104">
        <f t="shared" si="4"/>
        <v>92171.60645610193</v>
      </c>
      <c r="H35" s="104">
        <f t="shared" si="4"/>
        <v>98600.659325639775</v>
      </c>
      <c r="I35" s="104">
        <f t="shared" si="4"/>
        <v>105511.89116039296</v>
      </c>
      <c r="J35" s="104">
        <f t="shared" si="4"/>
        <v>112941.46538275271</v>
      </c>
      <c r="K35" s="104">
        <f t="shared" si="4"/>
        <v>120928.25767178938</v>
      </c>
      <c r="L35" s="104">
        <f t="shared" si="4"/>
        <v>129514.05938250382</v>
      </c>
      <c r="M35" s="104">
        <f t="shared" si="4"/>
        <v>138743.79622152183</v>
      </c>
      <c r="N35" s="104">
        <f t="shared" si="4"/>
        <v>148665.76332346618</v>
      </c>
      <c r="O35" s="104">
        <f t="shared" si="4"/>
        <v>159331.87795805637</v>
      </c>
      <c r="P35" s="104">
        <f t="shared" si="4"/>
        <v>170797.95119024086</v>
      </c>
      <c r="Q35" s="104">
        <f t="shared" si="4"/>
        <v>183123.97991483912</v>
      </c>
      <c r="R35" s="104">
        <f t="shared" si="4"/>
        <v>196374.46079378232</v>
      </c>
      <c r="S35" s="104">
        <f t="shared" si="4"/>
        <v>210618.72773864624</v>
      </c>
      <c r="T35" s="104">
        <f t="shared" si="4"/>
        <v>225931.31470437493</v>
      </c>
      <c r="U35" s="104">
        <f t="shared" si="4"/>
        <v>242392.34569253327</v>
      </c>
      <c r="V35" s="104">
        <f t="shared" ref="V35:Z35" si="5">SUM(V33:V34)</f>
        <v>260087.9540048035</v>
      </c>
      <c r="W35" s="104">
        <f t="shared" si="5"/>
        <v>279110.73294049397</v>
      </c>
      <c r="X35" s="104">
        <f t="shared" si="5"/>
        <v>299560.22029636125</v>
      </c>
      <c r="Y35" s="104">
        <f t="shared" si="5"/>
        <v>321543.4192039186</v>
      </c>
      <c r="Z35" s="104">
        <f t="shared" si="5"/>
        <v>345175.35802954272</v>
      </c>
    </row>
    <row r="36" spans="1:26" ht="15" thickBot="1" x14ac:dyDescent="0.4"/>
    <row r="37" spans="1:26" ht="15" thickBot="1" x14ac:dyDescent="0.4">
      <c r="A37" s="105" t="s">
        <v>71</v>
      </c>
      <c r="B37" s="106">
        <f>'Mix 1 Cash Flow'!D26</f>
        <v>168807.8581955969</v>
      </c>
      <c r="C37" s="106">
        <f>'Mix 1 Cash Flow'!E26</f>
        <v>168807.8581955969</v>
      </c>
      <c r="D37" s="106">
        <f>'Mix 1 Cash Flow'!F26</f>
        <v>168807.8581955969</v>
      </c>
      <c r="E37" s="106">
        <f>'Mix 1 Cash Flow'!G26</f>
        <v>168807.8581955969</v>
      </c>
      <c r="F37" s="106">
        <f>'Mix 1 Cash Flow'!H26</f>
        <v>168807.8581955969</v>
      </c>
      <c r="G37" s="106">
        <f>'Mix 1 Cash Flow'!I26</f>
        <v>168807.8581955969</v>
      </c>
      <c r="H37" s="106">
        <f>'Mix 1 Cash Flow'!J26</f>
        <v>168807.8581955969</v>
      </c>
      <c r="I37" s="106">
        <f>'Mix 1 Cash Flow'!K26</f>
        <v>168807.8581955969</v>
      </c>
      <c r="J37" s="106">
        <f>'Mix 1 Cash Flow'!L26</f>
        <v>168807.8581955969</v>
      </c>
      <c r="K37" s="106">
        <f>'Mix 1 Cash Flow'!M26</f>
        <v>168807.8581955969</v>
      </c>
      <c r="L37" s="106">
        <f>'Mix 1 Cash Flow'!N26</f>
        <v>168807.85819559693</v>
      </c>
      <c r="M37" s="106">
        <f>'Mix 1 Cash Flow'!O26</f>
        <v>168807.85819559687</v>
      </c>
      <c r="N37" s="106">
        <f>'Mix 1 Cash Flow'!P26</f>
        <v>168807.8581955969</v>
      </c>
      <c r="O37" s="106">
        <f>'Mix 1 Cash Flow'!Q26</f>
        <v>168807.85819559693</v>
      </c>
      <c r="P37" s="106">
        <f>'Mix 1 Cash Flow'!R26</f>
        <v>168807.8581955969</v>
      </c>
      <c r="Q37" s="106">
        <f>'Mix 1 Cash Flow'!S26</f>
        <v>168807.85819559693</v>
      </c>
      <c r="R37" s="106">
        <f>'Mix 1 Cash Flow'!T26</f>
        <v>168807.8581955969</v>
      </c>
      <c r="S37" s="106">
        <f>'Mix 1 Cash Flow'!U26</f>
        <v>168807.85819559687</v>
      </c>
      <c r="T37" s="106">
        <f>'Mix 1 Cash Flow'!V26</f>
        <v>168807.8581955969</v>
      </c>
      <c r="U37" s="107">
        <f>'Mix 1 Cash Flow'!W26</f>
        <v>168807.85819559693</v>
      </c>
      <c r="V37" s="107">
        <f>'Mix 1 Cash Flow'!X26</f>
        <v>168807.8581955969</v>
      </c>
      <c r="W37" s="107">
        <f>'Mix 1 Cash Flow'!Y26</f>
        <v>168807.8581955969</v>
      </c>
      <c r="X37" s="107">
        <f>'Mix 1 Cash Flow'!Z26</f>
        <v>168807.8581955969</v>
      </c>
      <c r="Y37" s="107">
        <f>'Mix 1 Cash Flow'!AA26</f>
        <v>168807.8581955969</v>
      </c>
      <c r="Z37" s="107">
        <f>'Mix 1 Cash Flow'!AB26</f>
        <v>168807.8581955969</v>
      </c>
    </row>
    <row r="38" spans="1:26" ht="15" thickBot="1" x14ac:dyDescent="0.4"/>
    <row r="39" spans="1:26" ht="15" thickBot="1" x14ac:dyDescent="0.4">
      <c r="A39" s="397" t="s">
        <v>0</v>
      </c>
      <c r="B39" s="398"/>
    </row>
    <row r="40" spans="1:26" ht="15" thickBot="1" x14ac:dyDescent="0.4">
      <c r="A40" s="108" t="s">
        <v>58</v>
      </c>
      <c r="B40" s="109">
        <f>'Generation &amp; Ops Scenarios'!$G$20</f>
        <v>0.05</v>
      </c>
      <c r="E40" s="110"/>
    </row>
    <row r="41" spans="1:26" x14ac:dyDescent="0.35">
      <c r="A41" s="111" t="s">
        <v>59</v>
      </c>
      <c r="B41" s="112">
        <f>NPV(B40,'Mix 1 Cash Flow'!D26:M26)</f>
        <v>1303489.5349498172</v>
      </c>
    </row>
    <row r="42" spans="1:26" x14ac:dyDescent="0.35">
      <c r="A42" s="111" t="s">
        <v>60</v>
      </c>
      <c r="B42" s="112">
        <f>NPV(B40,'Mix 1 Cash Flow'!D26:R26)</f>
        <v>1752167.8422279768</v>
      </c>
    </row>
    <row r="43" spans="1:26" x14ac:dyDescent="0.35">
      <c r="A43" s="111" t="s">
        <v>62</v>
      </c>
      <c r="B43" s="112">
        <f>NPV(B40,'Mix 1 Cash Flow'!D26:W26)</f>
        <v>2103719.0363071901</v>
      </c>
    </row>
    <row r="44" spans="1:26" ht="15" thickBot="1" x14ac:dyDescent="0.4">
      <c r="A44" s="108" t="s">
        <v>61</v>
      </c>
      <c r="B44" s="113">
        <f>NPV(B40,'Mix 1 Cash Flow'!D26:AB26)</f>
        <v>2379168.5957214856</v>
      </c>
      <c r="D44" s="114"/>
    </row>
    <row r="46" spans="1:26" x14ac:dyDescent="0.35">
      <c r="A46" s="89" t="s">
        <v>82</v>
      </c>
      <c r="B46" s="115">
        <f>MIN('Mix 1 Cash Flow'!D39:W39)</f>
        <v>1.4635938230904266</v>
      </c>
    </row>
    <row r="47" spans="1:26" x14ac:dyDescent="0.35">
      <c r="A47" s="116" t="s">
        <v>121</v>
      </c>
      <c r="B47" s="117">
        <f>'Generation &amp; Ops Scenarios'!C41</f>
        <v>328500</v>
      </c>
      <c r="C47" s="118">
        <f t="shared" ref="C47:C53" si="6">B47</f>
        <v>328500</v>
      </c>
      <c r="D47" s="118">
        <f t="shared" ref="D47:U53" si="7">C47</f>
        <v>328500</v>
      </c>
      <c r="E47" s="118">
        <f t="shared" si="7"/>
        <v>328500</v>
      </c>
      <c r="F47" s="118">
        <f t="shared" si="7"/>
        <v>328500</v>
      </c>
      <c r="G47" s="118">
        <f t="shared" si="7"/>
        <v>328500</v>
      </c>
      <c r="H47" s="118">
        <f t="shared" si="7"/>
        <v>328500</v>
      </c>
      <c r="I47" s="118">
        <f t="shared" si="7"/>
        <v>328500</v>
      </c>
      <c r="J47" s="118">
        <f t="shared" si="7"/>
        <v>328500</v>
      </c>
      <c r="K47" s="118">
        <f t="shared" ref="K47:K53" si="8">J47</f>
        <v>328500</v>
      </c>
      <c r="L47" s="118">
        <f t="shared" si="7"/>
        <v>328500</v>
      </c>
      <c r="M47" s="118">
        <f t="shared" si="7"/>
        <v>328500</v>
      </c>
      <c r="N47" s="118">
        <f t="shared" ref="N47:N53" si="9">M47</f>
        <v>328500</v>
      </c>
      <c r="O47" s="118">
        <f t="shared" si="7"/>
        <v>328500</v>
      </c>
      <c r="P47" s="118">
        <f t="shared" si="7"/>
        <v>328500</v>
      </c>
      <c r="Q47" s="118">
        <f t="shared" si="7"/>
        <v>328500</v>
      </c>
      <c r="R47" s="118">
        <f t="shared" si="7"/>
        <v>328500</v>
      </c>
      <c r="S47" s="118">
        <f t="shared" si="7"/>
        <v>328500</v>
      </c>
      <c r="T47" s="118">
        <f t="shared" si="7"/>
        <v>328500</v>
      </c>
      <c r="U47" s="118">
        <f t="shared" si="7"/>
        <v>328500</v>
      </c>
      <c r="V47" s="118">
        <f t="shared" ref="V47:V53" si="10">U47</f>
        <v>328500</v>
      </c>
      <c r="W47" s="118">
        <f t="shared" ref="W47:W53" si="11">V47</f>
        <v>328500</v>
      </c>
      <c r="X47" s="118">
        <f t="shared" ref="X47:X53" si="12">W47</f>
        <v>328500</v>
      </c>
      <c r="Y47" s="118">
        <f t="shared" ref="Y47:Y53" si="13">X47</f>
        <v>328500</v>
      </c>
      <c r="Z47" s="118">
        <f t="shared" ref="Z47:Z53" si="14">Y47</f>
        <v>328500</v>
      </c>
    </row>
    <row r="48" spans="1:26" x14ac:dyDescent="0.35">
      <c r="A48" s="116" t="s">
        <v>122</v>
      </c>
      <c r="B48" s="117">
        <f>'Generation &amp; Ops Scenarios'!C42</f>
        <v>1024920</v>
      </c>
      <c r="C48" s="118">
        <f t="shared" si="6"/>
        <v>1024920</v>
      </c>
      <c r="D48" s="118">
        <f t="shared" ref="D48:R48" si="15">C48</f>
        <v>1024920</v>
      </c>
      <c r="E48" s="118">
        <f t="shared" si="15"/>
        <v>1024920</v>
      </c>
      <c r="F48" s="118">
        <f t="shared" si="15"/>
        <v>1024920</v>
      </c>
      <c r="G48" s="118">
        <f t="shared" si="15"/>
        <v>1024920</v>
      </c>
      <c r="H48" s="118">
        <f t="shared" si="15"/>
        <v>1024920</v>
      </c>
      <c r="I48" s="118">
        <f t="shared" si="15"/>
        <v>1024920</v>
      </c>
      <c r="J48" s="118">
        <f t="shared" si="15"/>
        <v>1024920</v>
      </c>
      <c r="K48" s="118">
        <f t="shared" si="8"/>
        <v>1024920</v>
      </c>
      <c r="L48" s="118">
        <f t="shared" si="15"/>
        <v>1024920</v>
      </c>
      <c r="M48" s="118">
        <f t="shared" si="15"/>
        <v>1024920</v>
      </c>
      <c r="N48" s="118">
        <f t="shared" si="9"/>
        <v>1024920</v>
      </c>
      <c r="O48" s="118">
        <f t="shared" si="15"/>
        <v>1024920</v>
      </c>
      <c r="P48" s="118">
        <f t="shared" si="15"/>
        <v>1024920</v>
      </c>
      <c r="Q48" s="118">
        <f t="shared" si="15"/>
        <v>1024920</v>
      </c>
      <c r="R48" s="118">
        <f t="shared" si="15"/>
        <v>1024920</v>
      </c>
      <c r="S48" s="118">
        <f t="shared" si="7"/>
        <v>1024920</v>
      </c>
      <c r="T48" s="118">
        <f t="shared" si="7"/>
        <v>1024920</v>
      </c>
      <c r="U48" s="118">
        <f t="shared" si="7"/>
        <v>1024920</v>
      </c>
      <c r="V48" s="118">
        <f t="shared" si="10"/>
        <v>1024920</v>
      </c>
      <c r="W48" s="118">
        <f t="shared" si="11"/>
        <v>1024920</v>
      </c>
      <c r="X48" s="118">
        <f t="shared" si="12"/>
        <v>1024920</v>
      </c>
      <c r="Y48" s="118">
        <f t="shared" si="13"/>
        <v>1024920</v>
      </c>
      <c r="Z48" s="118">
        <f t="shared" si="14"/>
        <v>1024920</v>
      </c>
    </row>
    <row r="49" spans="1:26" x14ac:dyDescent="0.35">
      <c r="A49" s="116" t="s">
        <v>123</v>
      </c>
      <c r="B49" s="117">
        <f>'Generation &amp; Ops Scenarios'!C43</f>
        <v>0</v>
      </c>
      <c r="C49" s="118">
        <f t="shared" si="6"/>
        <v>0</v>
      </c>
      <c r="D49" s="118">
        <f t="shared" si="7"/>
        <v>0</v>
      </c>
      <c r="E49" s="118">
        <f t="shared" si="7"/>
        <v>0</v>
      </c>
      <c r="F49" s="118">
        <f t="shared" si="7"/>
        <v>0</v>
      </c>
      <c r="G49" s="118">
        <f t="shared" si="7"/>
        <v>0</v>
      </c>
      <c r="H49" s="118">
        <f t="shared" si="7"/>
        <v>0</v>
      </c>
      <c r="I49" s="118">
        <f t="shared" si="7"/>
        <v>0</v>
      </c>
      <c r="J49" s="118">
        <f t="shared" si="7"/>
        <v>0</v>
      </c>
      <c r="K49" s="118">
        <f t="shared" si="8"/>
        <v>0</v>
      </c>
      <c r="L49" s="118">
        <f t="shared" si="7"/>
        <v>0</v>
      </c>
      <c r="M49" s="118">
        <f t="shared" si="7"/>
        <v>0</v>
      </c>
      <c r="N49" s="118">
        <f t="shared" si="9"/>
        <v>0</v>
      </c>
      <c r="O49" s="118">
        <f t="shared" si="7"/>
        <v>0</v>
      </c>
      <c r="P49" s="118">
        <f t="shared" si="7"/>
        <v>0</v>
      </c>
      <c r="Q49" s="118">
        <f t="shared" si="7"/>
        <v>0</v>
      </c>
      <c r="R49" s="118">
        <f t="shared" si="7"/>
        <v>0</v>
      </c>
      <c r="S49" s="118">
        <f t="shared" si="7"/>
        <v>0</v>
      </c>
      <c r="T49" s="118">
        <f t="shared" si="7"/>
        <v>0</v>
      </c>
      <c r="U49" s="118">
        <f t="shared" si="7"/>
        <v>0</v>
      </c>
      <c r="V49" s="118">
        <f t="shared" si="10"/>
        <v>0</v>
      </c>
      <c r="W49" s="118">
        <f t="shared" si="11"/>
        <v>0</v>
      </c>
      <c r="X49" s="118">
        <f t="shared" si="12"/>
        <v>0</v>
      </c>
      <c r="Y49" s="118">
        <f t="shared" si="13"/>
        <v>0</v>
      </c>
      <c r="Z49" s="118">
        <f t="shared" si="14"/>
        <v>0</v>
      </c>
    </row>
    <row r="50" spans="1:26" x14ac:dyDescent="0.35">
      <c r="A50" s="116" t="s">
        <v>124</v>
      </c>
      <c r="B50" s="117">
        <f>'Generation &amp; Ops Scenarios'!C44</f>
        <v>0</v>
      </c>
      <c r="C50" s="118">
        <f t="shared" si="6"/>
        <v>0</v>
      </c>
      <c r="D50" s="118">
        <f t="shared" si="7"/>
        <v>0</v>
      </c>
      <c r="E50" s="118">
        <f t="shared" si="7"/>
        <v>0</v>
      </c>
      <c r="F50" s="118">
        <f t="shared" si="7"/>
        <v>0</v>
      </c>
      <c r="G50" s="118">
        <f t="shared" si="7"/>
        <v>0</v>
      </c>
      <c r="H50" s="118">
        <f t="shared" si="7"/>
        <v>0</v>
      </c>
      <c r="I50" s="118">
        <f t="shared" si="7"/>
        <v>0</v>
      </c>
      <c r="J50" s="118">
        <f t="shared" si="7"/>
        <v>0</v>
      </c>
      <c r="K50" s="118">
        <f t="shared" si="8"/>
        <v>0</v>
      </c>
      <c r="L50" s="118">
        <f t="shared" si="7"/>
        <v>0</v>
      </c>
      <c r="M50" s="118">
        <f t="shared" si="7"/>
        <v>0</v>
      </c>
      <c r="N50" s="118">
        <f t="shared" si="9"/>
        <v>0</v>
      </c>
      <c r="O50" s="118">
        <f t="shared" si="7"/>
        <v>0</v>
      </c>
      <c r="P50" s="118">
        <f t="shared" si="7"/>
        <v>0</v>
      </c>
      <c r="Q50" s="118">
        <f t="shared" si="7"/>
        <v>0</v>
      </c>
      <c r="R50" s="118">
        <f t="shared" si="7"/>
        <v>0</v>
      </c>
      <c r="S50" s="118">
        <f t="shared" si="7"/>
        <v>0</v>
      </c>
      <c r="T50" s="118">
        <f t="shared" si="7"/>
        <v>0</v>
      </c>
      <c r="U50" s="118">
        <f t="shared" si="7"/>
        <v>0</v>
      </c>
      <c r="V50" s="118">
        <f t="shared" si="10"/>
        <v>0</v>
      </c>
      <c r="W50" s="118">
        <f t="shared" si="11"/>
        <v>0</v>
      </c>
      <c r="X50" s="118">
        <f t="shared" si="12"/>
        <v>0</v>
      </c>
      <c r="Y50" s="118">
        <f t="shared" si="13"/>
        <v>0</v>
      </c>
      <c r="Z50" s="118">
        <f t="shared" si="14"/>
        <v>0</v>
      </c>
    </row>
    <row r="51" spans="1:26" x14ac:dyDescent="0.35">
      <c r="A51" s="116" t="s">
        <v>125</v>
      </c>
      <c r="B51" s="117">
        <f>'Generation &amp; Ops Scenarios'!C45</f>
        <v>1353420</v>
      </c>
      <c r="C51" s="118">
        <f t="shared" si="6"/>
        <v>1353420</v>
      </c>
      <c r="D51" s="118">
        <f t="shared" si="7"/>
        <v>1353420</v>
      </c>
      <c r="E51" s="118">
        <f t="shared" si="7"/>
        <v>1353420</v>
      </c>
      <c r="F51" s="118">
        <f t="shared" si="7"/>
        <v>1353420</v>
      </c>
      <c r="G51" s="118">
        <f t="shared" si="7"/>
        <v>1353420</v>
      </c>
      <c r="H51" s="118">
        <f t="shared" si="7"/>
        <v>1353420</v>
      </c>
      <c r="I51" s="118">
        <f t="shared" si="7"/>
        <v>1353420</v>
      </c>
      <c r="J51" s="118">
        <f t="shared" si="7"/>
        <v>1353420</v>
      </c>
      <c r="K51" s="118">
        <f t="shared" si="8"/>
        <v>1353420</v>
      </c>
      <c r="L51" s="118">
        <f t="shared" si="7"/>
        <v>1353420</v>
      </c>
      <c r="M51" s="118">
        <f t="shared" si="7"/>
        <v>1353420</v>
      </c>
      <c r="N51" s="118">
        <f t="shared" si="9"/>
        <v>1353420</v>
      </c>
      <c r="O51" s="118">
        <f t="shared" si="7"/>
        <v>1353420</v>
      </c>
      <c r="P51" s="118">
        <f t="shared" si="7"/>
        <v>1353420</v>
      </c>
      <c r="Q51" s="118">
        <f t="shared" si="7"/>
        <v>1353420</v>
      </c>
      <c r="R51" s="118">
        <f t="shared" si="7"/>
        <v>1353420</v>
      </c>
      <c r="S51" s="118">
        <f t="shared" si="7"/>
        <v>1353420</v>
      </c>
      <c r="T51" s="118">
        <f t="shared" si="7"/>
        <v>1353420</v>
      </c>
      <c r="U51" s="118">
        <f t="shared" si="7"/>
        <v>1353420</v>
      </c>
      <c r="V51" s="118">
        <f t="shared" si="10"/>
        <v>1353420</v>
      </c>
      <c r="W51" s="118">
        <f t="shared" si="11"/>
        <v>1353420</v>
      </c>
      <c r="X51" s="118">
        <f t="shared" si="12"/>
        <v>1353420</v>
      </c>
      <c r="Y51" s="118">
        <f t="shared" si="13"/>
        <v>1353420</v>
      </c>
      <c r="Z51" s="118">
        <f t="shared" si="14"/>
        <v>1353420</v>
      </c>
    </row>
    <row r="52" spans="1:26" x14ac:dyDescent="0.35">
      <c r="A52" s="116" t="s">
        <v>126</v>
      </c>
      <c r="B52" s="117">
        <f>'Generation &amp; Ops Scenarios'!C46</f>
        <v>0</v>
      </c>
      <c r="C52" s="118">
        <f t="shared" si="6"/>
        <v>0</v>
      </c>
      <c r="D52" s="118">
        <f t="shared" ref="D52:U52" si="16">C52</f>
        <v>0</v>
      </c>
      <c r="E52" s="118">
        <f t="shared" si="16"/>
        <v>0</v>
      </c>
      <c r="F52" s="118">
        <f t="shared" si="16"/>
        <v>0</v>
      </c>
      <c r="G52" s="118">
        <f t="shared" si="16"/>
        <v>0</v>
      </c>
      <c r="H52" s="118">
        <f t="shared" si="16"/>
        <v>0</v>
      </c>
      <c r="I52" s="118">
        <f t="shared" si="16"/>
        <v>0</v>
      </c>
      <c r="J52" s="118">
        <f t="shared" si="16"/>
        <v>0</v>
      </c>
      <c r="K52" s="118">
        <f t="shared" si="8"/>
        <v>0</v>
      </c>
      <c r="L52" s="118">
        <f t="shared" si="16"/>
        <v>0</v>
      </c>
      <c r="M52" s="118">
        <f t="shared" si="16"/>
        <v>0</v>
      </c>
      <c r="N52" s="118">
        <f t="shared" si="9"/>
        <v>0</v>
      </c>
      <c r="O52" s="118">
        <f t="shared" si="16"/>
        <v>0</v>
      </c>
      <c r="P52" s="118">
        <f t="shared" si="16"/>
        <v>0</v>
      </c>
      <c r="Q52" s="118">
        <f t="shared" si="16"/>
        <v>0</v>
      </c>
      <c r="R52" s="118">
        <f t="shared" si="16"/>
        <v>0</v>
      </c>
      <c r="S52" s="118">
        <f t="shared" si="16"/>
        <v>0</v>
      </c>
      <c r="T52" s="118">
        <f t="shared" si="16"/>
        <v>0</v>
      </c>
      <c r="U52" s="118">
        <f t="shared" si="16"/>
        <v>0</v>
      </c>
      <c r="V52" s="118">
        <f t="shared" si="10"/>
        <v>0</v>
      </c>
      <c r="W52" s="118">
        <f t="shared" si="11"/>
        <v>0</v>
      </c>
      <c r="X52" s="118">
        <f t="shared" si="12"/>
        <v>0</v>
      </c>
      <c r="Y52" s="118">
        <f t="shared" si="13"/>
        <v>0</v>
      </c>
      <c r="Z52" s="118">
        <f t="shared" si="14"/>
        <v>0</v>
      </c>
    </row>
    <row r="53" spans="1:26" x14ac:dyDescent="0.35">
      <c r="A53" s="116" t="s">
        <v>127</v>
      </c>
      <c r="B53" s="117">
        <f>'Generation &amp; Ops Scenarios'!C47</f>
        <v>0</v>
      </c>
      <c r="C53" s="118">
        <f t="shared" si="6"/>
        <v>0</v>
      </c>
      <c r="D53" s="118">
        <f t="shared" si="7"/>
        <v>0</v>
      </c>
      <c r="E53" s="118">
        <f t="shared" si="7"/>
        <v>0</v>
      </c>
      <c r="F53" s="118">
        <f t="shared" si="7"/>
        <v>0</v>
      </c>
      <c r="G53" s="118">
        <f t="shared" si="7"/>
        <v>0</v>
      </c>
      <c r="H53" s="118">
        <f t="shared" si="7"/>
        <v>0</v>
      </c>
      <c r="I53" s="118">
        <f t="shared" si="7"/>
        <v>0</v>
      </c>
      <c r="J53" s="118">
        <f t="shared" si="7"/>
        <v>0</v>
      </c>
      <c r="K53" s="118">
        <f t="shared" si="8"/>
        <v>0</v>
      </c>
      <c r="L53" s="118">
        <f t="shared" si="7"/>
        <v>0</v>
      </c>
      <c r="M53" s="118">
        <f t="shared" si="7"/>
        <v>0</v>
      </c>
      <c r="N53" s="118">
        <f t="shared" si="9"/>
        <v>0</v>
      </c>
      <c r="O53" s="118">
        <f t="shared" si="7"/>
        <v>0</v>
      </c>
      <c r="P53" s="118">
        <f t="shared" si="7"/>
        <v>0</v>
      </c>
      <c r="Q53" s="118">
        <f t="shared" si="7"/>
        <v>0</v>
      </c>
      <c r="R53" s="118">
        <f t="shared" si="7"/>
        <v>0</v>
      </c>
      <c r="S53" s="118">
        <f t="shared" si="7"/>
        <v>0</v>
      </c>
      <c r="T53" s="118">
        <f t="shared" si="7"/>
        <v>0</v>
      </c>
      <c r="U53" s="118">
        <f t="shared" si="7"/>
        <v>0</v>
      </c>
      <c r="V53" s="118">
        <f t="shared" si="10"/>
        <v>0</v>
      </c>
      <c r="W53" s="118">
        <f t="shared" si="11"/>
        <v>0</v>
      </c>
      <c r="X53" s="118">
        <f t="shared" si="12"/>
        <v>0</v>
      </c>
      <c r="Y53" s="118">
        <f t="shared" si="13"/>
        <v>0</v>
      </c>
      <c r="Z53" s="118">
        <f t="shared" si="14"/>
        <v>0</v>
      </c>
    </row>
    <row r="54" spans="1:26" x14ac:dyDescent="0.35">
      <c r="A54" s="116" t="s">
        <v>128</v>
      </c>
      <c r="B54" s="117">
        <f>B57-B51</f>
        <v>46580</v>
      </c>
      <c r="C54" s="117">
        <f t="shared" ref="C54:K54" si="17">C57-C51</f>
        <v>46580</v>
      </c>
      <c r="D54" s="117">
        <f t="shared" si="17"/>
        <v>46580</v>
      </c>
      <c r="E54" s="117">
        <f t="shared" si="17"/>
        <v>46580</v>
      </c>
      <c r="F54" s="117">
        <f t="shared" si="17"/>
        <v>46580</v>
      </c>
      <c r="G54" s="117">
        <f t="shared" si="17"/>
        <v>46580</v>
      </c>
      <c r="H54" s="117">
        <f t="shared" si="17"/>
        <v>46580</v>
      </c>
      <c r="I54" s="117">
        <f t="shared" si="17"/>
        <v>46580</v>
      </c>
      <c r="J54" s="117">
        <f t="shared" si="17"/>
        <v>46580</v>
      </c>
      <c r="K54" s="117">
        <f t="shared" si="17"/>
        <v>46580</v>
      </c>
      <c r="L54" s="117">
        <f t="shared" ref="L54:S54" si="18">L57-L51</f>
        <v>46580</v>
      </c>
      <c r="M54" s="117">
        <f>M57-M51</f>
        <v>46580</v>
      </c>
      <c r="N54" s="117">
        <f t="shared" si="18"/>
        <v>46580</v>
      </c>
      <c r="O54" s="117">
        <f t="shared" si="18"/>
        <v>46580</v>
      </c>
      <c r="P54" s="117">
        <f t="shared" si="18"/>
        <v>46580</v>
      </c>
      <c r="Q54" s="117">
        <f t="shared" si="18"/>
        <v>46580</v>
      </c>
      <c r="R54" s="117">
        <f t="shared" si="18"/>
        <v>46580</v>
      </c>
      <c r="S54" s="117">
        <f t="shared" si="18"/>
        <v>46580</v>
      </c>
      <c r="T54" s="119">
        <f t="shared" ref="T54:U54" si="19">T57-T51</f>
        <v>46580</v>
      </c>
      <c r="U54" s="119">
        <f t="shared" si="19"/>
        <v>46580</v>
      </c>
      <c r="V54" s="119">
        <f t="shared" ref="V54:Z54" si="20">V57-V51</f>
        <v>46580</v>
      </c>
      <c r="W54" s="119">
        <f t="shared" si="20"/>
        <v>46580</v>
      </c>
      <c r="X54" s="119">
        <f t="shared" si="20"/>
        <v>46580</v>
      </c>
      <c r="Y54" s="119">
        <f t="shared" si="20"/>
        <v>46580</v>
      </c>
      <c r="Z54" s="119">
        <f t="shared" si="20"/>
        <v>46580</v>
      </c>
    </row>
    <row r="55" spans="1:26" x14ac:dyDescent="0.35">
      <c r="A55" s="116"/>
      <c r="B55" s="120"/>
      <c r="C55" s="118"/>
      <c r="D55" s="116"/>
      <c r="E55" s="116"/>
      <c r="F55" s="121"/>
      <c r="G55" s="116"/>
      <c r="H55" s="116"/>
      <c r="I55" s="116"/>
      <c r="J55" s="116"/>
      <c r="K55" s="116"/>
      <c r="L55" s="116"/>
      <c r="M55" s="116"/>
      <c r="N55" s="116"/>
      <c r="O55" s="116"/>
      <c r="P55" s="116"/>
      <c r="Q55" s="116"/>
      <c r="R55" s="116"/>
      <c r="S55" s="116"/>
      <c r="T55" s="116"/>
      <c r="U55" s="116"/>
      <c r="V55" s="116"/>
      <c r="W55" s="116"/>
      <c r="X55" s="116"/>
      <c r="Y55" s="116"/>
      <c r="Z55" s="116"/>
    </row>
    <row r="56" spans="1:26" x14ac:dyDescent="0.35">
      <c r="A56" s="116"/>
      <c r="B56" s="116"/>
      <c r="C56" s="118"/>
      <c r="D56" s="116"/>
      <c r="E56" s="116"/>
      <c r="F56" s="116"/>
      <c r="G56" s="116"/>
      <c r="H56" s="116"/>
      <c r="I56" s="116"/>
      <c r="J56" s="116"/>
      <c r="K56" s="116"/>
      <c r="L56" s="116"/>
      <c r="M56" s="116"/>
      <c r="N56" s="116"/>
      <c r="O56" s="116"/>
      <c r="P56" s="116"/>
      <c r="Q56" s="116"/>
      <c r="R56" s="116"/>
      <c r="S56" s="116"/>
      <c r="T56" s="116"/>
      <c r="U56" s="116"/>
      <c r="V56" s="116"/>
      <c r="W56" s="116"/>
      <c r="X56" s="116"/>
      <c r="Y56" s="116"/>
      <c r="Z56" s="116"/>
    </row>
    <row r="57" spans="1:26" x14ac:dyDescent="0.35">
      <c r="A57" s="116" t="s">
        <v>236</v>
      </c>
      <c r="B57" s="122">
        <f>M5</f>
        <v>1400000</v>
      </c>
      <c r="C57" s="123">
        <f>B57*(1+'Mix 1 Summary'!$M$8)</f>
        <v>1400000</v>
      </c>
      <c r="D57" s="123">
        <f>C57*(1+'Mix 1 Summary'!$M$8)</f>
        <v>1400000</v>
      </c>
      <c r="E57" s="123">
        <f>D57*(1+'Mix 1 Summary'!$M$8)</f>
        <v>1400000</v>
      </c>
      <c r="F57" s="123">
        <f>E57*(1+'Mix 1 Summary'!$M$8)</f>
        <v>1400000</v>
      </c>
      <c r="G57" s="123">
        <f>F57*(1+'Mix 1 Summary'!$M$9)</f>
        <v>1400000</v>
      </c>
      <c r="H57" s="123">
        <f>G57*(1+'Mix 1 Summary'!$M$9)</f>
        <v>1400000</v>
      </c>
      <c r="I57" s="123">
        <f>H57*(1+'Mix 1 Summary'!$M$9)</f>
        <v>1400000</v>
      </c>
      <c r="J57" s="123">
        <f>I57*(1+'Mix 1 Summary'!$M$9)</f>
        <v>1400000</v>
      </c>
      <c r="K57" s="123">
        <f>J57*(1+'Mix 1 Summary'!$M$9)</f>
        <v>1400000</v>
      </c>
      <c r="L57" s="123">
        <f>K57*(1+'Mix 1 Summary'!$M$10)</f>
        <v>1400000</v>
      </c>
      <c r="M57" s="123">
        <f>L57*(1+'Mix 1 Summary'!$M$10)</f>
        <v>1400000</v>
      </c>
      <c r="N57" s="123">
        <f>M57*(1+'Mix 1 Summary'!$M$10)</f>
        <v>1400000</v>
      </c>
      <c r="O57" s="123">
        <f>N57*(1+'Mix 1 Summary'!$M$10)</f>
        <v>1400000</v>
      </c>
      <c r="P57" s="123">
        <f>O57*(1+'Mix 1 Summary'!$M$10)</f>
        <v>1400000</v>
      </c>
      <c r="Q57" s="123">
        <f>P57*(1+'Mix 1 Summary'!$M$11)</f>
        <v>1400000</v>
      </c>
      <c r="R57" s="123">
        <f>Q57*(1+'Mix 1 Summary'!$M$11)</f>
        <v>1400000</v>
      </c>
      <c r="S57" s="123">
        <f>R57*(1+'Mix 1 Summary'!$M$11)</f>
        <v>1400000</v>
      </c>
      <c r="T57" s="123">
        <f>S57*(1+'Mix 1 Summary'!$M$11)</f>
        <v>1400000</v>
      </c>
      <c r="U57" s="123">
        <f>T57*(1+'Mix 1 Summary'!$M$11)</f>
        <v>1400000</v>
      </c>
      <c r="V57" s="123">
        <f>U57*(1+'Mix 1 Summary'!$M$11)</f>
        <v>1400000</v>
      </c>
      <c r="W57" s="123">
        <f>V57*(1+'Mix 1 Summary'!$M$11)</f>
        <v>1400000</v>
      </c>
      <c r="X57" s="123">
        <f>W57*(1+'Mix 1 Summary'!$M$11)</f>
        <v>1400000</v>
      </c>
      <c r="Y57" s="123">
        <f>X57*(1+'Mix 1 Summary'!$M$11)</f>
        <v>1400000</v>
      </c>
      <c r="Z57" s="123">
        <f>Y57*(1+'Mix 1 Summary'!$M$11)</f>
        <v>1400000</v>
      </c>
    </row>
    <row r="58" spans="1:26" x14ac:dyDescent="0.35">
      <c r="A58" s="116"/>
      <c r="B58" s="116"/>
      <c r="C58" s="118"/>
      <c r="D58" s="116"/>
      <c r="E58" s="116"/>
      <c r="F58" s="116"/>
      <c r="G58" s="116"/>
      <c r="H58" s="116"/>
      <c r="I58" s="116"/>
      <c r="J58" s="116"/>
      <c r="K58" s="116"/>
      <c r="L58" s="116"/>
      <c r="M58" s="116"/>
      <c r="N58" s="116"/>
      <c r="O58" s="116"/>
      <c r="P58" s="116"/>
      <c r="Q58" s="116"/>
      <c r="R58" s="116"/>
      <c r="S58" s="116"/>
      <c r="T58" s="116"/>
      <c r="U58" s="116"/>
      <c r="V58" s="116"/>
      <c r="W58" s="116"/>
      <c r="X58" s="116"/>
      <c r="Y58" s="116"/>
      <c r="Z58" s="116"/>
    </row>
    <row r="59" spans="1:26" x14ac:dyDescent="0.35">
      <c r="A59" s="116" t="s">
        <v>134</v>
      </c>
      <c r="B59" s="120">
        <f>-'Mix 1 Cash Flow'!D8/'Mix 1 Summary'!B57*100</f>
        <v>1.7655079928269888</v>
      </c>
      <c r="C59" s="120">
        <f>-'Mix 1 Cash Flow'!E8/'Mix 1 Summary'!C57*100</f>
        <v>1.7655079928269888</v>
      </c>
      <c r="D59" s="120">
        <f>-'Mix 1 Cash Flow'!F8/'Mix 1 Summary'!D57*100</f>
        <v>1.7655079928269888</v>
      </c>
      <c r="E59" s="120">
        <f>-'Mix 1 Cash Flow'!G8/'Mix 1 Summary'!E57*100</f>
        <v>1.7655079928269888</v>
      </c>
      <c r="F59" s="120">
        <f>-'Mix 1 Cash Flow'!H8/'Mix 1 Summary'!F57*100</f>
        <v>1.7655079928269888</v>
      </c>
      <c r="G59" s="120">
        <f>-'Mix 1 Cash Flow'!I8/'Mix 1 Summary'!G57*100</f>
        <v>1.7655079928269888</v>
      </c>
      <c r="H59" s="120">
        <f>-'Mix 1 Cash Flow'!J8/'Mix 1 Summary'!H57*100</f>
        <v>1.7655079928269888</v>
      </c>
      <c r="I59" s="120">
        <f>-'Mix 1 Cash Flow'!K8/'Mix 1 Summary'!I57*100</f>
        <v>1.7655079928269888</v>
      </c>
      <c r="J59" s="120">
        <f>-'Mix 1 Cash Flow'!L8/'Mix 1 Summary'!J57*100</f>
        <v>1.7655079928269888</v>
      </c>
      <c r="K59" s="120">
        <f>-'Mix 1 Cash Flow'!M8/'Mix 1 Summary'!K57*100</f>
        <v>1.7655079928269888</v>
      </c>
      <c r="L59" s="120">
        <f>-'Mix 1 Cash Flow'!N8/'Mix 1 Summary'!L57*100</f>
        <v>1.7655079928269888</v>
      </c>
      <c r="M59" s="120">
        <f>-'Mix 1 Cash Flow'!O8/'Mix 1 Summary'!M57*100</f>
        <v>1.7655079928269888</v>
      </c>
      <c r="N59" s="120">
        <f>-'Mix 1 Cash Flow'!P8/'Mix 1 Summary'!N57*100</f>
        <v>1.7655079928269888</v>
      </c>
      <c r="O59" s="120">
        <f>-'Mix 1 Cash Flow'!Q8/'Mix 1 Summary'!O57*100</f>
        <v>1.7655079928269888</v>
      </c>
      <c r="P59" s="120">
        <f>-'Mix 1 Cash Flow'!R8/'Mix 1 Summary'!P57*100</f>
        <v>1.7655079928269888</v>
      </c>
      <c r="Q59" s="120">
        <f>-'Mix 1 Cash Flow'!S8/'Mix 1 Summary'!Q57*100</f>
        <v>1.7655079928269888</v>
      </c>
      <c r="R59" s="120">
        <f>-'Mix 1 Cash Flow'!T8/'Mix 1 Summary'!R57*100</f>
        <v>1.7655079928269888</v>
      </c>
      <c r="S59" s="120">
        <f>-'Mix 1 Cash Flow'!U8/'Mix 1 Summary'!S57*100</f>
        <v>1.7655079928269888</v>
      </c>
      <c r="T59" s="120">
        <f>-'Mix 1 Cash Flow'!V8/'Mix 1 Summary'!T57*100</f>
        <v>1.7655079928269888</v>
      </c>
      <c r="U59" s="120">
        <f>-'Mix 1 Cash Flow'!W8/'Mix 1 Summary'!U57*100</f>
        <v>1.7655079928269888</v>
      </c>
      <c r="V59" s="120">
        <f>-'Mix 1 Cash Flow'!X8/'Mix 1 Summary'!V57*100</f>
        <v>1.7655079928269888</v>
      </c>
      <c r="W59" s="120">
        <f>-'Mix 1 Cash Flow'!Y8/'Mix 1 Summary'!W57*100</f>
        <v>1.7655079928269888</v>
      </c>
      <c r="X59" s="120">
        <f>-'Mix 1 Cash Flow'!Z8/'Mix 1 Summary'!X57*100</f>
        <v>1.7655079928269888</v>
      </c>
      <c r="Y59" s="120">
        <f>-'Mix 1 Cash Flow'!AA8/'Mix 1 Summary'!Y57*100</f>
        <v>1.7655079928269888</v>
      </c>
      <c r="Z59" s="120">
        <f>-'Mix 1 Cash Flow'!AB8/'Mix 1 Summary'!Z57*100</f>
        <v>1.7655079928269888</v>
      </c>
    </row>
    <row r="60" spans="1:26" x14ac:dyDescent="0.35">
      <c r="A60" s="116" t="s">
        <v>159</v>
      </c>
      <c r="B60" s="120">
        <f>-'Mix 1 Interest Calculations'!E14/'Mix 1 Summary'!B57*100</f>
        <v>21.744235267857142</v>
      </c>
      <c r="C60" s="120">
        <f>-'Mix 1 Interest Calculations'!F14/'Mix 1 Summary'!C57*100</f>
        <v>21.424362962563436</v>
      </c>
      <c r="D60" s="120">
        <f>-'Mix 1 Interest Calculations'!G14/'Mix 1 Summary'!D57*100</f>
        <v>21.0805002343727</v>
      </c>
      <c r="E60" s="120">
        <f>-'Mix 1 Interest Calculations'!H14/'Mix 1 Summary'!E57*100</f>
        <v>20.71084780156766</v>
      </c>
      <c r="F60" s="120">
        <f>-'Mix 1 Interest Calculations'!I14/'Mix 1 Summary'!F57*100</f>
        <v>20.313471436302244</v>
      </c>
      <c r="G60" s="120">
        <f>-'Mix 1 Interest Calculations'!J14/'Mix 1 Summary'!G57*100</f>
        <v>19.886291843641921</v>
      </c>
      <c r="H60" s="120">
        <f>-'Mix 1 Interest Calculations'!K14/'Mix 1 Summary'!H57*100</f>
        <v>19.427073781532073</v>
      </c>
      <c r="I60" s="120">
        <f>-'Mix 1 Interest Calculations'!L14/'Mix 1 Summary'!I57*100</f>
        <v>18.933414364763991</v>
      </c>
      <c r="J60" s="120">
        <f>-'Mix 1 Interest Calculations'!M14/'Mix 1 Summary'!J57*100</f>
        <v>18.402730491738293</v>
      </c>
      <c r="K60" s="120">
        <f>-'Mix 1 Interest Calculations'!N14/'Mix 1 Summary'!K57*100</f>
        <v>17.832245328235675</v>
      </c>
      <c r="L60" s="120">
        <f>-'Mix 1 Interest Calculations'!O14/'Mix 1 Summary'!L57*100</f>
        <v>17.218973777470357</v>
      </c>
      <c r="M60" s="120">
        <f>-'Mix 1 Interest Calculations'!P14/'Mix 1 Summary'!M57*100</f>
        <v>16.55970686039764</v>
      </c>
      <c r="N60" s="120">
        <f>-'Mix 1 Interest Calculations'!Q14/'Mix 1 Summary'!N57*100</f>
        <v>15.850994924544473</v>
      </c>
      <c r="O60" s="120">
        <f>-'Mix 1 Interest Calculations'!R14/'Mix 1 Summary'!O57*100</f>
        <v>15.089129593502316</v>
      </c>
      <c r="P60" s="120">
        <f>-'Mix 1 Interest Calculations'!S14/'Mix 1 Summary'!P57*100</f>
        <v>14.270124362631996</v>
      </c>
      <c r="Q60" s="120">
        <f>-'Mix 1 Interest Calculations'!T14/'Mix 1 Summary'!Q57*100</f>
        <v>13.389693739446408</v>
      </c>
      <c r="R60" s="120">
        <f>-'Mix 1 Interest Calculations'!U14/'Mix 1 Summary'!R57*100</f>
        <v>12.443230819521892</v>
      </c>
      <c r="S60" s="120">
        <f>-'Mix 1 Interest Calculations'!V14/'Mix 1 Summary'!S57*100</f>
        <v>11.425783180603039</v>
      </c>
      <c r="T60" s="120">
        <f>-'Mix 1 Interest Calculations'!W14/'Mix 1 Summary'!T57*100</f>
        <v>10.332026968765277</v>
      </c>
      <c r="U60" s="120">
        <f>-'Mix 1 Interest Calculations'!X14/'Mix 1 Summary'!U57*100</f>
        <v>9.1562390410396812</v>
      </c>
      <c r="V60" s="120">
        <f>-'Mix 1 Interest Calculations'!Y14/'Mix 1 Summary'!V57*100</f>
        <v>7.8922670187346649</v>
      </c>
      <c r="W60" s="120">
        <f>-'Mix 1 Interest Calculations'!Z14/'Mix 1 Summary'!W57*100</f>
        <v>6.5334970947567728</v>
      </c>
      <c r="X60" s="120">
        <f>-'Mix 1 Interest Calculations'!AA14/'Mix 1 Summary'!X57*100</f>
        <v>5.072819426480538</v>
      </c>
      <c r="Y60" s="120">
        <f>-'Mix 1 Interest Calculations'!AB14/'Mix 1 Summary'!Y57*100</f>
        <v>3.5025909330835865</v>
      </c>
      <c r="Z60" s="120">
        <f>-'Mix 1 Interest Calculations'!AC14/'Mix 1 Summary'!Z57*100</f>
        <v>1.8145953026818633</v>
      </c>
    </row>
    <row r="61" spans="1:26" x14ac:dyDescent="0.35">
      <c r="A61" s="116" t="s">
        <v>160</v>
      </c>
      <c r="B61" s="124">
        <f>-'Mix 1 Interest Calculations'!E13/B57*100</f>
        <v>4.2649640705827538</v>
      </c>
      <c r="C61" s="124">
        <f>-'Mix 1 Interest Calculations'!F13/C57*100</f>
        <v>4.5848363758764634</v>
      </c>
      <c r="D61" s="124">
        <f>-'Mix 1 Interest Calculations'!G13/D57*100</f>
        <v>4.9286991040671957</v>
      </c>
      <c r="E61" s="124">
        <f>-'Mix 1 Interest Calculations'!H13/E57*100</f>
        <v>5.2983515368722349</v>
      </c>
      <c r="F61" s="124">
        <f>-'Mix 1 Interest Calculations'!I13/F57*100</f>
        <v>5.6957279021376541</v>
      </c>
      <c r="G61" s="124">
        <f>-'Mix 1 Interest Calculations'!J13/G57*100</f>
        <v>6.1229074947979782</v>
      </c>
      <c r="H61" s="124">
        <f>-'Mix 1 Interest Calculations'!K13/H57*100</f>
        <v>6.5821255569078234</v>
      </c>
      <c r="I61" s="124">
        <f>-'Mix 1 Interest Calculations'!L13/I57*100</f>
        <v>7.0757849736759093</v>
      </c>
      <c r="J61" s="124">
        <f>-'Mix 1 Interest Calculations'!M13/J57*100</f>
        <v>7.6064688467016053</v>
      </c>
      <c r="K61" s="124">
        <f>-'Mix 1 Interest Calculations'!N13/K57*100</f>
        <v>8.1769540102042253</v>
      </c>
      <c r="L61" s="124">
        <f>-'Mix 1 Interest Calculations'!O13/L57*100</f>
        <v>8.7902255609695423</v>
      </c>
      <c r="M61" s="124">
        <f>-'Mix 1 Interest Calculations'!P13/M57*100</f>
        <v>9.4494924780422576</v>
      </c>
      <c r="N61" s="124">
        <f>-'Mix 1 Interest Calculations'!Q13/N57*100</f>
        <v>10.158204413895424</v>
      </c>
      <c r="O61" s="124">
        <f>-'Mix 1 Interest Calculations'!R13/O57*100</f>
        <v>10.920069744937582</v>
      </c>
      <c r="P61" s="124">
        <f>-'Mix 1 Interest Calculations'!S13/P57*100</f>
        <v>11.739074975807902</v>
      </c>
      <c r="Q61" s="124">
        <f>-'Mix 1 Interest Calculations'!T13/Q57*100</f>
        <v>12.619505598993491</v>
      </c>
      <c r="R61" s="124">
        <f>-'Mix 1 Interest Calculations'!U13/R57*100</f>
        <v>13.565968518918007</v>
      </c>
      <c r="S61" s="124">
        <f>-'Mix 1 Interest Calculations'!V13/S57*100</f>
        <v>14.583416157836856</v>
      </c>
      <c r="T61" s="124">
        <f>-'Mix 1 Interest Calculations'!W13/T57*100</f>
        <v>15.677172369674622</v>
      </c>
      <c r="U61" s="124">
        <f>-'Mix 1 Interest Calculations'!X13/U57*100</f>
        <v>16.852960297400216</v>
      </c>
      <c r="V61" s="124">
        <f>-'Mix 1 Interest Calculations'!Y13/V57*100</f>
        <v>18.116932319705235</v>
      </c>
      <c r="W61" s="124">
        <f>-'Mix 1 Interest Calculations'!Z13/W57*100</f>
        <v>19.475702243683124</v>
      </c>
      <c r="X61" s="124">
        <f>-'Mix 1 Interest Calculations'!AA13/X57*100</f>
        <v>20.936379911959357</v>
      </c>
      <c r="Y61" s="124">
        <f>-'Mix 1 Interest Calculations'!AB13/Y57*100</f>
        <v>22.506608405356314</v>
      </c>
      <c r="Z61" s="124">
        <f>-'Mix 1 Interest Calculations'!AC13/Z57*100</f>
        <v>24.194604035758037</v>
      </c>
    </row>
    <row r="62" spans="1:26" x14ac:dyDescent="0.35">
      <c r="A62" s="116" t="s">
        <v>161</v>
      </c>
      <c r="B62" s="120">
        <f>-'Mix 1 Cash Flow'!D9/'Mix 1 Summary'!B57*100</f>
        <v>20.167588511904761</v>
      </c>
      <c r="C62" s="120">
        <f>-'Mix 1 Cash Flow'!E9/'Mix 1 Summary'!C57*100</f>
        <v>20.167588511904761</v>
      </c>
      <c r="D62" s="120">
        <f>-'Mix 1 Cash Flow'!F9/'Mix 1 Summary'!D57*100</f>
        <v>20.167588511904761</v>
      </c>
      <c r="E62" s="120">
        <f>-'Mix 1 Cash Flow'!G9/'Mix 1 Summary'!E57*100</f>
        <v>20.167588511904761</v>
      </c>
      <c r="F62" s="120">
        <f>-'Mix 1 Cash Flow'!H9/'Mix 1 Summary'!F57*100</f>
        <v>20.167588511904761</v>
      </c>
      <c r="G62" s="120">
        <f>-'Mix 1 Cash Flow'!I9/'Mix 1 Summary'!G57*100</f>
        <v>20.167588511904761</v>
      </c>
      <c r="H62" s="120">
        <f>-'Mix 1 Cash Flow'!J9/'Mix 1 Summary'!H57*100</f>
        <v>20.167588511904761</v>
      </c>
      <c r="I62" s="120">
        <f>-'Mix 1 Cash Flow'!K9/'Mix 1 Summary'!I57*100</f>
        <v>20.167588511904761</v>
      </c>
      <c r="J62" s="120">
        <f>-'Mix 1 Cash Flow'!L9/'Mix 1 Summary'!J57*100</f>
        <v>20.167588511904761</v>
      </c>
      <c r="K62" s="120">
        <f>-'Mix 1 Cash Flow'!M9/'Mix 1 Summary'!K57*100</f>
        <v>20.167588511904761</v>
      </c>
      <c r="L62" s="120">
        <f>-'Mix 1 Cash Flow'!N9/'Mix 1 Summary'!L57*100</f>
        <v>20.167588511904761</v>
      </c>
      <c r="M62" s="120">
        <f>-'Mix 1 Cash Flow'!O9/'Mix 1 Summary'!M57*100</f>
        <v>20.167588511904761</v>
      </c>
      <c r="N62" s="120">
        <f>-'Mix 1 Cash Flow'!P9/'Mix 1 Summary'!N57*100</f>
        <v>20.167588511904761</v>
      </c>
      <c r="O62" s="120">
        <f>-'Mix 1 Cash Flow'!Q9/'Mix 1 Summary'!O57*100</f>
        <v>20.167588511904761</v>
      </c>
      <c r="P62" s="120">
        <f>-'Mix 1 Cash Flow'!R9/'Mix 1 Summary'!P57*100</f>
        <v>20.167588511904761</v>
      </c>
      <c r="Q62" s="120">
        <f>-'Mix 1 Cash Flow'!S9/'Mix 1 Summary'!Q57*100</f>
        <v>20.167588511904761</v>
      </c>
      <c r="R62" s="120">
        <f>-'Mix 1 Cash Flow'!T9/'Mix 1 Summary'!R57*100</f>
        <v>20.167588511904761</v>
      </c>
      <c r="S62" s="120">
        <f>-'Mix 1 Cash Flow'!U9/'Mix 1 Summary'!S57*100</f>
        <v>20.167588511904761</v>
      </c>
      <c r="T62" s="120">
        <f>-'Mix 1 Cash Flow'!V9/'Mix 1 Summary'!T57*100</f>
        <v>20.167588511904761</v>
      </c>
      <c r="U62" s="120">
        <f>-'Mix 1 Cash Flow'!W9/'Mix 1 Summary'!U57*100</f>
        <v>20.167588511904761</v>
      </c>
      <c r="V62" s="120">
        <f>-'Mix 1 Cash Flow'!X9/'Mix 1 Summary'!V57*100</f>
        <v>20.167588511904761</v>
      </c>
      <c r="W62" s="120">
        <f>-'Mix 1 Cash Flow'!Y9/'Mix 1 Summary'!W57*100</f>
        <v>20.167588511904761</v>
      </c>
      <c r="X62" s="120">
        <f>-'Mix 1 Cash Flow'!Z9/'Mix 1 Summary'!X57*100</f>
        <v>20.167588511904761</v>
      </c>
      <c r="Y62" s="120">
        <f>-'Mix 1 Cash Flow'!AA9/'Mix 1 Summary'!Y57*100</f>
        <v>20.167588511904761</v>
      </c>
      <c r="Z62" s="120">
        <f>-'Mix 1 Cash Flow'!AB9/'Mix 1 Summary'!Z57*100</f>
        <v>20.167588511904761</v>
      </c>
    </row>
    <row r="63" spans="1:26" x14ac:dyDescent="0.35">
      <c r="A63" s="116"/>
      <c r="B63" s="120">
        <f>SUM(B59:B62)</f>
        <v>47.942295843171649</v>
      </c>
      <c r="C63" s="120">
        <f t="shared" ref="C63:U63" si="21">SUM(C59:C62)</f>
        <v>47.942295843171649</v>
      </c>
      <c r="D63" s="120">
        <f t="shared" si="21"/>
        <v>47.942295843171649</v>
      </c>
      <c r="E63" s="120">
        <f t="shared" si="21"/>
        <v>47.942295843171649</v>
      </c>
      <c r="F63" s="120">
        <f t="shared" si="21"/>
        <v>47.942295843171649</v>
      </c>
      <c r="G63" s="120">
        <f t="shared" si="21"/>
        <v>47.942295843171649</v>
      </c>
      <c r="H63" s="120">
        <f t="shared" si="21"/>
        <v>47.942295843171649</v>
      </c>
      <c r="I63" s="120">
        <f t="shared" si="21"/>
        <v>47.942295843171649</v>
      </c>
      <c r="J63" s="120">
        <f t="shared" si="21"/>
        <v>47.942295843171649</v>
      </c>
      <c r="K63" s="120">
        <f t="shared" si="21"/>
        <v>47.942295843171649</v>
      </c>
      <c r="L63" s="120">
        <f t="shared" si="21"/>
        <v>47.942295843171649</v>
      </c>
      <c r="M63" s="120">
        <f t="shared" si="21"/>
        <v>47.942295843171649</v>
      </c>
      <c r="N63" s="120">
        <f t="shared" si="21"/>
        <v>47.942295843171649</v>
      </c>
      <c r="O63" s="120">
        <f t="shared" si="21"/>
        <v>47.942295843171649</v>
      </c>
      <c r="P63" s="120">
        <f t="shared" si="21"/>
        <v>47.942295843171649</v>
      </c>
      <c r="Q63" s="120">
        <f t="shared" si="21"/>
        <v>47.942295843171649</v>
      </c>
      <c r="R63" s="120">
        <f t="shared" si="21"/>
        <v>47.942295843171649</v>
      </c>
      <c r="S63" s="120">
        <f t="shared" si="21"/>
        <v>47.942295843171642</v>
      </c>
      <c r="T63" s="120">
        <f t="shared" si="21"/>
        <v>47.942295843171649</v>
      </c>
      <c r="U63" s="120">
        <f t="shared" si="21"/>
        <v>47.942295843171649</v>
      </c>
      <c r="V63" s="120">
        <f t="shared" ref="V63:Z63" si="22">SUM(V59:V62)</f>
        <v>47.942295843171649</v>
      </c>
      <c r="W63" s="120">
        <f t="shared" si="22"/>
        <v>47.942295843171649</v>
      </c>
      <c r="X63" s="120">
        <f t="shared" si="22"/>
        <v>47.942295843171642</v>
      </c>
      <c r="Y63" s="120">
        <f t="shared" si="22"/>
        <v>47.942295843171649</v>
      </c>
      <c r="Z63" s="120">
        <f t="shared" si="22"/>
        <v>47.942295843171649</v>
      </c>
    </row>
    <row r="64" spans="1:26" x14ac:dyDescent="0.35">
      <c r="A64" s="116" t="s">
        <v>142</v>
      </c>
      <c r="B64" s="124">
        <f>B65-B63</f>
        <v>12.057704156828351</v>
      </c>
      <c r="C64" s="124">
        <f t="shared" ref="C64:U64" si="23">C65-C63</f>
        <v>12.057704156828351</v>
      </c>
      <c r="D64" s="124">
        <f t="shared" si="23"/>
        <v>12.057704156828351</v>
      </c>
      <c r="E64" s="124">
        <f t="shared" si="23"/>
        <v>12.057704156828351</v>
      </c>
      <c r="F64" s="124">
        <f t="shared" si="23"/>
        <v>12.057704156828351</v>
      </c>
      <c r="G64" s="124">
        <f t="shared" si="23"/>
        <v>12.057704156828351</v>
      </c>
      <c r="H64" s="124">
        <f t="shared" si="23"/>
        <v>12.057704156828351</v>
      </c>
      <c r="I64" s="124">
        <f t="shared" si="23"/>
        <v>12.057704156828351</v>
      </c>
      <c r="J64" s="124">
        <f t="shared" si="23"/>
        <v>12.057704156828351</v>
      </c>
      <c r="K64" s="124">
        <f t="shared" si="23"/>
        <v>12.057704156828351</v>
      </c>
      <c r="L64" s="124">
        <f t="shared" si="23"/>
        <v>12.057704156828351</v>
      </c>
      <c r="M64" s="124">
        <f t="shared" si="23"/>
        <v>12.057704156828351</v>
      </c>
      <c r="N64" s="124">
        <f t="shared" si="23"/>
        <v>12.057704156828351</v>
      </c>
      <c r="O64" s="124">
        <f t="shared" si="23"/>
        <v>12.057704156828351</v>
      </c>
      <c r="P64" s="124">
        <f t="shared" si="23"/>
        <v>12.057704156828351</v>
      </c>
      <c r="Q64" s="124">
        <f t="shared" si="23"/>
        <v>12.057704156828351</v>
      </c>
      <c r="R64" s="124">
        <f t="shared" si="23"/>
        <v>12.057704156828351</v>
      </c>
      <c r="S64" s="124">
        <f t="shared" si="23"/>
        <v>12.057704156828358</v>
      </c>
      <c r="T64" s="124">
        <f t="shared" si="23"/>
        <v>12.057704156828351</v>
      </c>
      <c r="U64" s="124">
        <f t="shared" si="23"/>
        <v>12.057704156828351</v>
      </c>
      <c r="V64" s="124">
        <f t="shared" ref="V64:Z64" si="24">V65-V63</f>
        <v>12.057704156828351</v>
      </c>
      <c r="W64" s="124">
        <f t="shared" si="24"/>
        <v>12.057704156828351</v>
      </c>
      <c r="X64" s="124">
        <f t="shared" si="24"/>
        <v>12.057704156828358</v>
      </c>
      <c r="Y64" s="124">
        <f t="shared" si="24"/>
        <v>12.057704156828351</v>
      </c>
      <c r="Z64" s="124">
        <f t="shared" si="24"/>
        <v>12.057704156828351</v>
      </c>
    </row>
    <row r="65" spans="1:26" x14ac:dyDescent="0.35">
      <c r="A65" s="116" t="s">
        <v>163</v>
      </c>
      <c r="B65" s="125">
        <f t="shared" ref="B65:Z65" si="25">$M$6</f>
        <v>60</v>
      </c>
      <c r="C65" s="125">
        <f t="shared" si="25"/>
        <v>60</v>
      </c>
      <c r="D65" s="125">
        <f t="shared" si="25"/>
        <v>60</v>
      </c>
      <c r="E65" s="125">
        <f t="shared" si="25"/>
        <v>60</v>
      </c>
      <c r="F65" s="125">
        <f t="shared" si="25"/>
        <v>60</v>
      </c>
      <c r="G65" s="125">
        <f t="shared" si="25"/>
        <v>60</v>
      </c>
      <c r="H65" s="125">
        <f t="shared" si="25"/>
        <v>60</v>
      </c>
      <c r="I65" s="125">
        <f t="shared" si="25"/>
        <v>60</v>
      </c>
      <c r="J65" s="125">
        <f t="shared" si="25"/>
        <v>60</v>
      </c>
      <c r="K65" s="125">
        <f t="shared" si="25"/>
        <v>60</v>
      </c>
      <c r="L65" s="125">
        <f t="shared" si="25"/>
        <v>60</v>
      </c>
      <c r="M65" s="125">
        <f t="shared" si="25"/>
        <v>60</v>
      </c>
      <c r="N65" s="125">
        <f t="shared" si="25"/>
        <v>60</v>
      </c>
      <c r="O65" s="125">
        <f t="shared" si="25"/>
        <v>60</v>
      </c>
      <c r="P65" s="125">
        <f t="shared" si="25"/>
        <v>60</v>
      </c>
      <c r="Q65" s="125">
        <f t="shared" si="25"/>
        <v>60</v>
      </c>
      <c r="R65" s="125">
        <f t="shared" si="25"/>
        <v>60</v>
      </c>
      <c r="S65" s="125">
        <f t="shared" si="25"/>
        <v>60</v>
      </c>
      <c r="T65" s="125">
        <f t="shared" si="25"/>
        <v>60</v>
      </c>
      <c r="U65" s="125">
        <f t="shared" si="25"/>
        <v>60</v>
      </c>
      <c r="V65" s="125">
        <f t="shared" si="25"/>
        <v>60</v>
      </c>
      <c r="W65" s="125">
        <f t="shared" si="25"/>
        <v>60</v>
      </c>
      <c r="X65" s="125">
        <f t="shared" si="25"/>
        <v>60</v>
      </c>
      <c r="Y65" s="125">
        <f t="shared" si="25"/>
        <v>60</v>
      </c>
      <c r="Z65" s="125">
        <f t="shared" si="25"/>
        <v>60</v>
      </c>
    </row>
  </sheetData>
  <sheetProtection algorithmName="SHA-512" hashValue="VuRJE0t9QYufpMlA7Sp8rq7+Go86aPSwYMLlsMrBprOyj1rYVIWek1G47Bjih4cJq23FEisY8skvPp2VvI+ilQ==" saltValue="s/4eb0wne746nIAXZTPCwQ==" spinCount="100000" sheet="1" objects="1" scenarios="1" selectLockedCells="1" selectUnlockedCells="1"/>
  <mergeCells count="24">
    <mergeCell ref="A39:B39"/>
    <mergeCell ref="P4:R4"/>
    <mergeCell ref="P5:Q5"/>
    <mergeCell ref="P6:Q6"/>
    <mergeCell ref="P7:Q7"/>
    <mergeCell ref="P8:Q8"/>
    <mergeCell ref="P9:Q9"/>
    <mergeCell ref="D5:E5"/>
    <mergeCell ref="D6:E6"/>
    <mergeCell ref="K11:L11"/>
    <mergeCell ref="D7:E7"/>
    <mergeCell ref="D8:E8"/>
    <mergeCell ref="K8:L8"/>
    <mergeCell ref="K13:M13"/>
    <mergeCell ref="K14:M14"/>
    <mergeCell ref="P10:Q10"/>
    <mergeCell ref="K10:L10"/>
    <mergeCell ref="P11:Q11"/>
    <mergeCell ref="P12:Q12"/>
    <mergeCell ref="K9:L9"/>
    <mergeCell ref="B1:D1"/>
    <mergeCell ref="D4:H4"/>
    <mergeCell ref="K4:M4"/>
    <mergeCell ref="A4:B4"/>
  </mergeCells>
  <pageMargins left="0.7" right="0.7" top="0.75" bottom="0.75" header="0.3" footer="0.3"/>
  <pageSetup paperSize="8" scale="66" orientation="landscape" r:id="rId1"/>
  <extLst>
    <ext xmlns:x14="http://schemas.microsoft.com/office/spreadsheetml/2009/9/main" uri="{78C0D931-6437-407d-A8EE-F0AAD7539E65}">
      <x14:conditionalFormattings>
        <x14:conditionalFormatting xmlns:xm="http://schemas.microsoft.com/office/excel/2006/main">
          <x14:cfRule type="cellIs" priority="2" operator="greaterThan" id="{979DDEF1-A456-40E7-974C-BA212D36E158}">
            <xm:f>'Generation &amp; Ops Scenarios'!$C$35*8760*0.3</xm:f>
            <x14:dxf>
              <font>
                <color rgb="FFFF0000"/>
              </font>
              <fill>
                <patternFill>
                  <bgColor theme="5" tint="0.79998168889431442"/>
                </patternFill>
              </fill>
            </x14:dxf>
          </x14:cfRule>
          <xm:sqref>B54:Z54</xm:sqref>
        </x14:conditionalFormatting>
        <x14:conditionalFormatting xmlns:xm="http://schemas.microsoft.com/office/excel/2006/main">
          <x14:cfRule type="cellIs" priority="5" operator="greaterThan" id="{8D10E478-984C-46EE-83D7-38DBB0CEFCF8}">
            <xm:f>'Generation &amp; Ops Scenarios'!$C$35*8760*0.3+$B$51</xm:f>
            <x14:dxf>
              <font>
                <color rgb="FFFF0000"/>
              </font>
              <fill>
                <patternFill>
                  <bgColor theme="5" tint="0.79998168889431442"/>
                </patternFill>
              </fill>
            </x14:dxf>
          </x14:cfRule>
          <xm:sqref>B57:Z57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89428-C385-4725-958D-A894362DA2E5}">
  <sheetPr>
    <pageSetUpPr fitToPage="1"/>
  </sheetPr>
  <dimension ref="A1:AC18"/>
  <sheetViews>
    <sheetView workbookViewId="0">
      <selection activeCell="D1" sqref="D1"/>
    </sheetView>
  </sheetViews>
  <sheetFormatPr defaultRowHeight="14.5" x14ac:dyDescent="0.35"/>
  <cols>
    <col min="2" max="2" width="5.453125" customWidth="1"/>
    <col min="3" max="3" width="14.54296875" customWidth="1"/>
    <col min="4" max="4" width="9.26953125" customWidth="1"/>
    <col min="5" max="5" width="12.54296875" customWidth="1"/>
    <col min="6" max="6" width="12.1796875" customWidth="1"/>
    <col min="7" max="7" width="10.26953125" customWidth="1"/>
    <col min="8" max="8" width="10.1796875" customWidth="1"/>
    <col min="9" max="9" width="10.453125" customWidth="1"/>
    <col min="10" max="10" width="10" customWidth="1"/>
    <col min="11" max="11" width="9.81640625" customWidth="1"/>
    <col min="12" max="12" width="10" customWidth="1"/>
    <col min="13" max="13" width="9.54296875" customWidth="1"/>
    <col min="14" max="14" width="9.81640625" customWidth="1"/>
    <col min="15" max="15" width="10" customWidth="1"/>
    <col min="16" max="17" width="10.7265625" customWidth="1"/>
    <col min="18" max="18" width="11.1796875" customWidth="1"/>
    <col min="19" max="19" width="11" customWidth="1"/>
    <col min="20" max="20" width="10.26953125" customWidth="1"/>
    <col min="21" max="21" width="10.1796875" customWidth="1"/>
    <col min="22" max="22" width="10.26953125" customWidth="1"/>
    <col min="23" max="23" width="10" customWidth="1"/>
    <col min="24" max="26" width="10.1796875" customWidth="1"/>
    <col min="27" max="28" width="9.54296875" customWidth="1"/>
    <col min="29" max="29" width="9.453125" customWidth="1"/>
  </cols>
  <sheetData>
    <row r="1" spans="1:29" x14ac:dyDescent="0.35">
      <c r="A1" s="5" t="s">
        <v>29</v>
      </c>
      <c r="B1" s="5"/>
      <c r="D1" s="5" t="str">
        <f>'Generation &amp; Ops Scenarios'!C27</f>
        <v>Mix 1 Wind, Solar Diesel standby</v>
      </c>
    </row>
    <row r="3" spans="1:29" x14ac:dyDescent="0.35">
      <c r="D3" t="s">
        <v>30</v>
      </c>
      <c r="E3" s="22">
        <v>1</v>
      </c>
      <c r="F3" s="22">
        <v>2</v>
      </c>
      <c r="G3" s="22">
        <v>3</v>
      </c>
      <c r="H3" s="22">
        <v>4</v>
      </c>
      <c r="I3" s="22">
        <v>5</v>
      </c>
      <c r="J3" s="22">
        <v>6</v>
      </c>
      <c r="K3" s="22">
        <v>7</v>
      </c>
      <c r="L3" s="22">
        <v>8</v>
      </c>
      <c r="M3" s="22">
        <v>9</v>
      </c>
      <c r="N3" s="22">
        <v>10</v>
      </c>
      <c r="O3" s="22">
        <v>11</v>
      </c>
      <c r="P3" s="22">
        <v>12</v>
      </c>
      <c r="Q3" s="22">
        <v>13</v>
      </c>
      <c r="R3" s="22">
        <v>14</v>
      </c>
      <c r="S3" s="22">
        <v>15</v>
      </c>
      <c r="T3" s="22">
        <v>16</v>
      </c>
      <c r="U3" s="22">
        <v>17</v>
      </c>
      <c r="V3" s="22">
        <v>18</v>
      </c>
      <c r="W3" s="22">
        <v>19</v>
      </c>
      <c r="X3" s="22">
        <v>20</v>
      </c>
      <c r="Y3" s="22">
        <v>21</v>
      </c>
      <c r="Z3" s="22">
        <v>22</v>
      </c>
      <c r="AA3" s="22">
        <v>23</v>
      </c>
      <c r="AB3" s="22">
        <v>24</v>
      </c>
      <c r="AC3" s="22">
        <v>25</v>
      </c>
    </row>
    <row r="4" spans="1:29" x14ac:dyDescent="0.35">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x14ac:dyDescent="0.35">
      <c r="A5" t="s">
        <v>31</v>
      </c>
      <c r="C5" s="19"/>
      <c r="D5" s="19">
        <f>'Mix 1 Summary'!B22</f>
        <v>4058923.916666667</v>
      </c>
      <c r="E5" s="19"/>
      <c r="F5" s="19"/>
      <c r="G5" s="19"/>
      <c r="H5" s="19"/>
      <c r="I5" s="19"/>
      <c r="J5" s="19"/>
      <c r="K5" s="19"/>
      <c r="L5" s="19"/>
      <c r="M5" s="19"/>
      <c r="N5" s="19"/>
      <c r="O5" s="19"/>
      <c r="P5" s="19"/>
      <c r="Q5" s="19"/>
      <c r="R5" s="19"/>
      <c r="S5" s="19"/>
      <c r="T5" s="19"/>
      <c r="U5" s="19"/>
      <c r="V5" s="19"/>
      <c r="W5" s="19"/>
      <c r="X5" s="19"/>
      <c r="Y5" s="19"/>
      <c r="Z5" s="19"/>
      <c r="AA5" s="19"/>
      <c r="AB5" s="19"/>
      <c r="AC5" s="19"/>
    </row>
    <row r="6" spans="1:29" x14ac:dyDescent="0.35">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x14ac:dyDescent="0.35">
      <c r="A7" t="s">
        <v>38</v>
      </c>
      <c r="C7" s="19"/>
      <c r="D7" s="21">
        <f>'Mix 1 Summary'!R5</f>
        <v>1</v>
      </c>
      <c r="E7" s="19"/>
      <c r="F7" s="19"/>
      <c r="G7" s="19"/>
      <c r="H7" s="19"/>
      <c r="I7" s="19"/>
      <c r="J7" s="19"/>
      <c r="K7" s="19"/>
      <c r="L7" s="19"/>
      <c r="M7" s="19"/>
      <c r="N7" s="19"/>
      <c r="O7" s="19"/>
      <c r="P7" s="19"/>
      <c r="Q7" s="19"/>
      <c r="R7" s="19"/>
      <c r="S7" s="19"/>
      <c r="T7" s="19"/>
      <c r="U7" s="19"/>
      <c r="V7" s="19"/>
      <c r="W7" s="19"/>
      <c r="X7" s="19"/>
      <c r="Y7" s="19"/>
      <c r="Z7" s="19"/>
      <c r="AA7" s="19"/>
      <c r="AB7" s="19"/>
      <c r="AC7" s="19"/>
    </row>
    <row r="8" spans="1:29" x14ac:dyDescent="0.35">
      <c r="C8" s="19"/>
      <c r="D8" s="19"/>
      <c r="E8" s="19"/>
      <c r="F8" s="19"/>
      <c r="G8" s="19"/>
      <c r="H8" s="19"/>
      <c r="I8" s="19"/>
      <c r="J8" s="19"/>
      <c r="K8" s="19"/>
      <c r="L8" s="19"/>
      <c r="M8" s="19"/>
      <c r="N8" s="19"/>
      <c r="O8" s="19"/>
      <c r="P8" s="19"/>
      <c r="Q8" s="19"/>
      <c r="R8" s="19"/>
      <c r="S8" s="19"/>
      <c r="T8" s="19"/>
      <c r="U8" s="19"/>
      <c r="V8" s="19"/>
      <c r="W8" s="19"/>
      <c r="X8" s="19"/>
      <c r="Y8" s="19"/>
      <c r="Z8" s="19"/>
      <c r="AA8" s="19"/>
      <c r="AB8" s="19"/>
      <c r="AC8" s="19"/>
    </row>
    <row r="9" spans="1:29" x14ac:dyDescent="0.35">
      <c r="C9" t="s">
        <v>32</v>
      </c>
      <c r="D9" s="19">
        <f>D5*D7</f>
        <v>4058923.916666667</v>
      </c>
      <c r="E9" s="19"/>
      <c r="F9" s="19"/>
      <c r="G9" s="19"/>
      <c r="H9" s="19"/>
      <c r="I9" s="19"/>
      <c r="J9" s="19"/>
      <c r="K9" s="19"/>
      <c r="L9" s="19"/>
      <c r="M9" s="19"/>
      <c r="N9" s="19"/>
      <c r="O9" s="19"/>
      <c r="P9" s="19"/>
      <c r="Q9" s="19"/>
      <c r="R9" s="19"/>
      <c r="S9" s="19"/>
      <c r="T9" s="19"/>
      <c r="U9" s="19"/>
      <c r="V9" s="19"/>
      <c r="W9" s="19"/>
      <c r="X9" s="19"/>
      <c r="Y9" s="19"/>
      <c r="Z9" s="19"/>
      <c r="AA9" s="19"/>
      <c r="AB9" s="19"/>
      <c r="AC9" s="19"/>
    </row>
    <row r="10" spans="1:29" x14ac:dyDescent="0.35">
      <c r="C10" t="s">
        <v>33</v>
      </c>
      <c r="D10" s="21">
        <f>'Mix 1 Summary'!R6</f>
        <v>7.4999999999999997E-2</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x14ac:dyDescent="0.35">
      <c r="C11" s="19" t="s">
        <v>34</v>
      </c>
      <c r="D11" s="19">
        <f>'Mix 1 Summary'!R8</f>
        <v>25</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x14ac:dyDescent="0.35">
      <c r="C12" s="19" t="s">
        <v>35</v>
      </c>
      <c r="D12" s="19"/>
      <c r="E12" s="19">
        <f>+D9</f>
        <v>4058923.916666667</v>
      </c>
      <c r="F12" s="19">
        <f t="shared" ref="F12" si="0">E15</f>
        <v>3999214.4196785083</v>
      </c>
      <c r="G12" s="19">
        <f t="shared" ref="G12" si="1">F15</f>
        <v>3935026.7104162378</v>
      </c>
      <c r="H12" s="19">
        <f t="shared" ref="H12" si="2">G15</f>
        <v>3866024.922959297</v>
      </c>
      <c r="I12" s="19">
        <f t="shared" ref="I12" si="3">H15</f>
        <v>3791848.0014430857</v>
      </c>
      <c r="J12" s="19">
        <f t="shared" ref="J12" si="4">I15</f>
        <v>3712107.8108131588</v>
      </c>
      <c r="K12" s="19">
        <f t="shared" ref="K12" si="5">J15</f>
        <v>3626387.1058859872</v>
      </c>
      <c r="L12" s="19">
        <f t="shared" ref="L12" si="6">K15</f>
        <v>3534237.3480892777</v>
      </c>
      <c r="M12" s="19">
        <f t="shared" ref="M12" si="7">L15</f>
        <v>3435176.3584578149</v>
      </c>
      <c r="N12" s="19">
        <f t="shared" ref="N12" si="8">M15</f>
        <v>3328685.7946039923</v>
      </c>
      <c r="O12" s="19">
        <f t="shared" ref="O12" si="9">N15</f>
        <v>3214208.4384611333</v>
      </c>
      <c r="P12" s="19">
        <f t="shared" ref="P12" si="10">O15</f>
        <v>3091145.2806075597</v>
      </c>
      <c r="Q12" s="19">
        <f t="shared" ref="Q12" si="11">P15</f>
        <v>2958852.3859149683</v>
      </c>
      <c r="R12" s="19">
        <f t="shared" ref="R12" si="12">Q15</f>
        <v>2816637.5241204323</v>
      </c>
      <c r="S12" s="19">
        <f t="shared" ref="S12" si="13">R15</f>
        <v>2663756.5476913061</v>
      </c>
      <c r="T12" s="19">
        <f t="shared" ref="T12" si="14">S15</f>
        <v>2499409.4980299957</v>
      </c>
      <c r="U12" s="19">
        <f t="shared" ref="U12" si="15">T15</f>
        <v>2322736.4196440866</v>
      </c>
      <c r="V12" s="19">
        <f t="shared" ref="V12" si="16">U15</f>
        <v>2132812.8603792344</v>
      </c>
      <c r="W12" s="19">
        <f t="shared" ref="W12" si="17">V15</f>
        <v>1928645.0341695184</v>
      </c>
      <c r="X12" s="19">
        <f t="shared" ref="X12" si="18">W15</f>
        <v>1709164.6209940738</v>
      </c>
      <c r="Y12" s="19">
        <f t="shared" ref="Y12" si="19">X15</f>
        <v>1473223.1768304708</v>
      </c>
      <c r="Z12" s="19">
        <f t="shared" ref="Z12" si="20">Y15</f>
        <v>1219586.1243545976</v>
      </c>
      <c r="AA12" s="19">
        <f t="shared" ref="AA12" si="21">Z15</f>
        <v>946926.29294303386</v>
      </c>
      <c r="AB12" s="19">
        <f t="shared" ref="AB12" si="22">AA15</f>
        <v>653816.9741756029</v>
      </c>
      <c r="AC12" s="19">
        <f t="shared" ref="AC12" si="23">AB15</f>
        <v>338724.45650061453</v>
      </c>
    </row>
    <row r="13" spans="1:29" x14ac:dyDescent="0.35">
      <c r="C13" s="19" t="s">
        <v>36</v>
      </c>
      <c r="D13" s="19"/>
      <c r="E13" s="46">
        <f>E16-E14</f>
        <v>-59709.496988158557</v>
      </c>
      <c r="F13" s="19">
        <f>F16-F14</f>
        <v>-64187.70926227048</v>
      </c>
      <c r="G13" s="19">
        <f t="shared" ref="G13:AC13" si="24">G16-G14</f>
        <v>-69001.787456940743</v>
      </c>
      <c r="H13" s="19">
        <f t="shared" si="24"/>
        <v>-74176.921516211296</v>
      </c>
      <c r="I13" s="19">
        <f t="shared" si="24"/>
        <v>-79740.19062992715</v>
      </c>
      <c r="J13" s="19">
        <f t="shared" si="24"/>
        <v>-85720.704927171697</v>
      </c>
      <c r="K13" s="19">
        <f t="shared" si="24"/>
        <v>-92149.757796709542</v>
      </c>
      <c r="L13" s="19">
        <f t="shared" si="24"/>
        <v>-99060.989631462726</v>
      </c>
      <c r="M13" s="19">
        <f t="shared" si="24"/>
        <v>-106490.56385382247</v>
      </c>
      <c r="N13" s="19">
        <f t="shared" si="24"/>
        <v>-114477.35614285915</v>
      </c>
      <c r="O13" s="19">
        <f t="shared" si="24"/>
        <v>-123063.15785357359</v>
      </c>
      <c r="P13" s="19">
        <f t="shared" si="24"/>
        <v>-132292.8946925916</v>
      </c>
      <c r="Q13" s="19">
        <f t="shared" si="24"/>
        <v>-142214.86179453594</v>
      </c>
      <c r="R13" s="19">
        <f t="shared" si="24"/>
        <v>-152880.97642912614</v>
      </c>
      <c r="S13" s="19">
        <f t="shared" si="24"/>
        <v>-164347.04966131062</v>
      </c>
      <c r="T13" s="19">
        <f t="shared" si="24"/>
        <v>-176673.07838590888</v>
      </c>
      <c r="U13" s="19">
        <f t="shared" si="24"/>
        <v>-189923.55926485208</v>
      </c>
      <c r="V13" s="19">
        <f t="shared" si="24"/>
        <v>-204167.826209716</v>
      </c>
      <c r="W13" s="19">
        <f t="shared" si="24"/>
        <v>-219480.4131754447</v>
      </c>
      <c r="X13" s="19">
        <f t="shared" si="24"/>
        <v>-235941.44416360304</v>
      </c>
      <c r="Y13" s="19">
        <f t="shared" si="24"/>
        <v>-253637.05247587326</v>
      </c>
      <c r="Z13" s="19">
        <f t="shared" si="24"/>
        <v>-272659.83141156373</v>
      </c>
      <c r="AA13" s="19">
        <f t="shared" si="24"/>
        <v>-293109.31876743102</v>
      </c>
      <c r="AB13" s="19">
        <f t="shared" si="24"/>
        <v>-315092.51767498837</v>
      </c>
      <c r="AC13" s="19">
        <f t="shared" si="24"/>
        <v>-338724.45650061249</v>
      </c>
    </row>
    <row r="14" spans="1:29" x14ac:dyDescent="0.35">
      <c r="C14" s="19" t="s">
        <v>39</v>
      </c>
      <c r="D14" s="19"/>
      <c r="E14" s="19">
        <f>-E12*$D$10</f>
        <v>-304419.29375000001</v>
      </c>
      <c r="F14" s="19">
        <f t="shared" ref="F14:AC14" si="25">-F12*$D$10</f>
        <v>-299941.08147588809</v>
      </c>
      <c r="G14" s="19">
        <f t="shared" si="25"/>
        <v>-295127.00328121783</v>
      </c>
      <c r="H14" s="19">
        <f t="shared" si="25"/>
        <v>-289951.86922194727</v>
      </c>
      <c r="I14" s="19">
        <f t="shared" si="25"/>
        <v>-284388.60010823142</v>
      </c>
      <c r="J14" s="19">
        <f t="shared" si="25"/>
        <v>-278408.08581098687</v>
      </c>
      <c r="K14" s="19">
        <f t="shared" si="25"/>
        <v>-271979.03294144903</v>
      </c>
      <c r="L14" s="19">
        <f t="shared" si="25"/>
        <v>-265067.80110669584</v>
      </c>
      <c r="M14" s="19">
        <f t="shared" si="25"/>
        <v>-257638.22688433609</v>
      </c>
      <c r="N14" s="19">
        <f t="shared" si="25"/>
        <v>-249651.43459529942</v>
      </c>
      <c r="O14" s="19">
        <f t="shared" si="25"/>
        <v>-241065.63288458498</v>
      </c>
      <c r="P14" s="19">
        <f t="shared" si="25"/>
        <v>-231835.89604556697</v>
      </c>
      <c r="Q14" s="19">
        <f t="shared" si="25"/>
        <v>-221913.92894362262</v>
      </c>
      <c r="R14" s="19">
        <f t="shared" si="25"/>
        <v>-211247.81430903243</v>
      </c>
      <c r="S14" s="19">
        <f t="shared" si="25"/>
        <v>-199781.74107684795</v>
      </c>
      <c r="T14" s="19">
        <f t="shared" si="25"/>
        <v>-187455.71235224968</v>
      </c>
      <c r="U14" s="19">
        <f t="shared" si="25"/>
        <v>-174205.23147330648</v>
      </c>
      <c r="V14" s="19">
        <f t="shared" si="25"/>
        <v>-159960.96452844256</v>
      </c>
      <c r="W14" s="19">
        <f t="shared" si="25"/>
        <v>-144648.37756271387</v>
      </c>
      <c r="X14" s="19">
        <f t="shared" si="25"/>
        <v>-128187.34657455553</v>
      </c>
      <c r="Y14" s="19">
        <f t="shared" si="25"/>
        <v>-110491.7382622853</v>
      </c>
      <c r="Z14" s="19">
        <f t="shared" si="25"/>
        <v>-91468.959326594821</v>
      </c>
      <c r="AA14" s="19">
        <f t="shared" si="25"/>
        <v>-71019.471970727536</v>
      </c>
      <c r="AB14" s="19">
        <f t="shared" si="25"/>
        <v>-49036.273063170214</v>
      </c>
      <c r="AC14" s="19">
        <f t="shared" si="25"/>
        <v>-25404.334237546089</v>
      </c>
    </row>
    <row r="15" spans="1:29" x14ac:dyDescent="0.35">
      <c r="C15" s="19" t="s">
        <v>37</v>
      </c>
      <c r="D15" s="19"/>
      <c r="E15" s="20">
        <f>E12+E13</f>
        <v>3999214.4196785083</v>
      </c>
      <c r="F15" s="20">
        <f t="shared" ref="F15:AC15" si="26">F12+F13</f>
        <v>3935026.7104162378</v>
      </c>
      <c r="G15" s="20">
        <f t="shared" si="26"/>
        <v>3866024.922959297</v>
      </c>
      <c r="H15" s="20">
        <f t="shared" si="26"/>
        <v>3791848.0014430857</v>
      </c>
      <c r="I15" s="20">
        <f t="shared" si="26"/>
        <v>3712107.8108131588</v>
      </c>
      <c r="J15" s="20">
        <f t="shared" si="26"/>
        <v>3626387.1058859872</v>
      </c>
      <c r="K15" s="20">
        <f t="shared" si="26"/>
        <v>3534237.3480892777</v>
      </c>
      <c r="L15" s="20">
        <f t="shared" si="26"/>
        <v>3435176.3584578149</v>
      </c>
      <c r="M15" s="20">
        <f t="shared" si="26"/>
        <v>3328685.7946039923</v>
      </c>
      <c r="N15" s="20">
        <f t="shared" si="26"/>
        <v>3214208.4384611333</v>
      </c>
      <c r="O15" s="20">
        <f t="shared" si="26"/>
        <v>3091145.2806075597</v>
      </c>
      <c r="P15" s="20">
        <f t="shared" si="26"/>
        <v>2958852.3859149683</v>
      </c>
      <c r="Q15" s="20">
        <f t="shared" si="26"/>
        <v>2816637.5241204323</v>
      </c>
      <c r="R15" s="20">
        <f t="shared" si="26"/>
        <v>2663756.5476913061</v>
      </c>
      <c r="S15" s="20">
        <f t="shared" si="26"/>
        <v>2499409.4980299957</v>
      </c>
      <c r="T15" s="20">
        <f t="shared" si="26"/>
        <v>2322736.4196440866</v>
      </c>
      <c r="U15" s="20">
        <f t="shared" si="26"/>
        <v>2132812.8603792344</v>
      </c>
      <c r="V15" s="20">
        <f t="shared" si="26"/>
        <v>1928645.0341695184</v>
      </c>
      <c r="W15" s="20">
        <f t="shared" si="26"/>
        <v>1709164.6209940738</v>
      </c>
      <c r="X15" s="20">
        <f t="shared" si="26"/>
        <v>1473223.1768304708</v>
      </c>
      <c r="Y15" s="20">
        <f t="shared" si="26"/>
        <v>1219586.1243545976</v>
      </c>
      <c r="Z15" s="20">
        <f t="shared" si="26"/>
        <v>946926.29294303386</v>
      </c>
      <c r="AA15" s="20">
        <f t="shared" si="26"/>
        <v>653816.9741756029</v>
      </c>
      <c r="AB15" s="20">
        <f t="shared" si="26"/>
        <v>338724.45650061453</v>
      </c>
      <c r="AC15" s="20">
        <f t="shared" si="26"/>
        <v>2.0372681319713593E-9</v>
      </c>
    </row>
    <row r="16" spans="1:29" x14ac:dyDescent="0.35">
      <c r="C16" s="19"/>
      <c r="D16" s="19"/>
      <c r="E16" s="19">
        <f>PMT(D10,25,D9)</f>
        <v>-364128.79073815857</v>
      </c>
      <c r="F16" s="19">
        <f>E16</f>
        <v>-364128.79073815857</v>
      </c>
      <c r="G16" s="19">
        <f t="shared" ref="G16:AC16" si="27">F16</f>
        <v>-364128.79073815857</v>
      </c>
      <c r="H16" s="19">
        <f t="shared" si="27"/>
        <v>-364128.79073815857</v>
      </c>
      <c r="I16" s="19">
        <f t="shared" si="27"/>
        <v>-364128.79073815857</v>
      </c>
      <c r="J16" s="19">
        <f t="shared" si="27"/>
        <v>-364128.79073815857</v>
      </c>
      <c r="K16" s="19">
        <f t="shared" si="27"/>
        <v>-364128.79073815857</v>
      </c>
      <c r="L16" s="19">
        <f t="shared" si="27"/>
        <v>-364128.79073815857</v>
      </c>
      <c r="M16" s="19">
        <f t="shared" si="27"/>
        <v>-364128.79073815857</v>
      </c>
      <c r="N16" s="19">
        <f t="shared" si="27"/>
        <v>-364128.79073815857</v>
      </c>
      <c r="O16" s="19">
        <f t="shared" si="27"/>
        <v>-364128.79073815857</v>
      </c>
      <c r="P16" s="19">
        <f t="shared" si="27"/>
        <v>-364128.79073815857</v>
      </c>
      <c r="Q16" s="19">
        <f t="shared" si="27"/>
        <v>-364128.79073815857</v>
      </c>
      <c r="R16" s="19">
        <f t="shared" si="27"/>
        <v>-364128.79073815857</v>
      </c>
      <c r="S16" s="19">
        <f t="shared" si="27"/>
        <v>-364128.79073815857</v>
      </c>
      <c r="T16" s="19">
        <f t="shared" si="27"/>
        <v>-364128.79073815857</v>
      </c>
      <c r="U16" s="19">
        <f t="shared" si="27"/>
        <v>-364128.79073815857</v>
      </c>
      <c r="V16" s="19">
        <f t="shared" si="27"/>
        <v>-364128.79073815857</v>
      </c>
      <c r="W16" s="19">
        <f t="shared" si="27"/>
        <v>-364128.79073815857</v>
      </c>
      <c r="X16" s="19">
        <f t="shared" si="27"/>
        <v>-364128.79073815857</v>
      </c>
      <c r="Y16" s="19">
        <f t="shared" si="27"/>
        <v>-364128.79073815857</v>
      </c>
      <c r="Z16" s="19">
        <f t="shared" si="27"/>
        <v>-364128.79073815857</v>
      </c>
      <c r="AA16" s="19">
        <f t="shared" si="27"/>
        <v>-364128.79073815857</v>
      </c>
      <c r="AB16" s="19">
        <f t="shared" si="27"/>
        <v>-364128.79073815857</v>
      </c>
      <c r="AC16" s="19">
        <f t="shared" si="27"/>
        <v>-364128.79073815857</v>
      </c>
    </row>
    <row r="17" spans="3:29" x14ac:dyDescent="0.35">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row>
    <row r="18" spans="3:29" x14ac:dyDescent="0.35">
      <c r="E18" s="4">
        <f>E16-E14</f>
        <v>-59709.496988158557</v>
      </c>
      <c r="F18" s="4">
        <f t="shared" ref="F18:P18" si="28">F13+-F16</f>
        <v>299941.08147588809</v>
      </c>
      <c r="G18" s="4">
        <f t="shared" si="28"/>
        <v>295127.00328121783</v>
      </c>
      <c r="H18" s="4">
        <f t="shared" si="28"/>
        <v>289951.86922194727</v>
      </c>
      <c r="I18" s="4">
        <f t="shared" si="28"/>
        <v>284388.60010823142</v>
      </c>
      <c r="J18" s="4">
        <f t="shared" si="28"/>
        <v>278408.08581098687</v>
      </c>
      <c r="K18" s="4">
        <f t="shared" si="28"/>
        <v>271979.03294144903</v>
      </c>
      <c r="L18" s="4">
        <f t="shared" si="28"/>
        <v>265067.80110669584</v>
      </c>
      <c r="M18" s="4">
        <f t="shared" si="28"/>
        <v>257638.22688433609</v>
      </c>
      <c r="N18" s="4">
        <f t="shared" si="28"/>
        <v>249651.43459529942</v>
      </c>
      <c r="O18" s="4">
        <f t="shared" si="28"/>
        <v>241065.63288458498</v>
      </c>
      <c r="P18" s="4">
        <f t="shared" si="28"/>
        <v>231835.89604556697</v>
      </c>
    </row>
  </sheetData>
  <sheetProtection algorithmName="SHA-512" hashValue="g69JOBSpz5gMzkHAASj2OGc4jxdVhX3n9Z5E6VMZG7FgVKmhTb0StJ8Vq+nSlntBGUcvjTwSvZIb2DEupwHhHw==" saltValue="S4PV0PwZ1HNK8lsPd6i30A==" spinCount="100000" sheet="1" objects="1" scenarios="1" selectLockedCells="1" selectUnlockedCells="1"/>
  <pageMargins left="0.7" right="0.7" top="0.75" bottom="0.75" header="0.3" footer="0.3"/>
  <pageSetup paperSize="9" scale="4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89673-202A-41CA-A488-86D77B44A7B7}">
  <sheetPr>
    <pageSetUpPr fitToPage="1"/>
  </sheetPr>
  <dimension ref="A1:AD46"/>
  <sheetViews>
    <sheetView workbookViewId="0">
      <selection activeCell="A8" sqref="A8:XFD8"/>
    </sheetView>
  </sheetViews>
  <sheetFormatPr defaultColWidth="9.1796875" defaultRowHeight="13" x14ac:dyDescent="0.3"/>
  <cols>
    <col min="1" max="2" width="9.1796875" style="35"/>
    <col min="3" max="4" width="10.7265625" style="35" customWidth="1"/>
    <col min="5" max="5" width="9" style="35" customWidth="1"/>
    <col min="6" max="6" width="10.7265625" style="35" customWidth="1"/>
    <col min="7" max="7" width="10" style="35" customWidth="1"/>
    <col min="8" max="8" width="9.81640625" style="35" customWidth="1"/>
    <col min="9" max="9" width="9.7265625" style="35" customWidth="1"/>
    <col min="10" max="11" width="10.26953125" style="35" customWidth="1"/>
    <col min="12" max="13" width="10" style="35" customWidth="1"/>
    <col min="14" max="14" width="10.1796875" style="35" customWidth="1"/>
    <col min="15" max="15" width="9.81640625" style="35" customWidth="1"/>
    <col min="16" max="16" width="10.26953125" style="35" customWidth="1"/>
    <col min="17" max="18" width="9.81640625" style="35" customWidth="1"/>
    <col min="19" max="19" width="10.453125" style="35" customWidth="1"/>
    <col min="20" max="21" width="10.1796875" style="35" customWidth="1"/>
    <col min="22" max="22" width="9.81640625" style="35" customWidth="1"/>
    <col min="23" max="23" width="9.7265625" style="35" customWidth="1"/>
    <col min="24" max="24" width="10" style="35" customWidth="1"/>
    <col min="25" max="28" width="10.453125" style="35" customWidth="1"/>
    <col min="29" max="29" width="9.1796875" style="35"/>
    <col min="30" max="30" width="11.1796875" style="35" bestFit="1" customWidth="1"/>
    <col min="31" max="16384" width="9.1796875" style="35"/>
  </cols>
  <sheetData>
    <row r="1" spans="1:30" x14ac:dyDescent="0.3">
      <c r="A1" s="33" t="s">
        <v>16</v>
      </c>
      <c r="B1" s="34"/>
      <c r="C1" s="33" t="str">
        <f>'Generation &amp; Ops Scenarios'!C27</f>
        <v>Mix 1 Wind, Solar Diesel standby</v>
      </c>
      <c r="D1" s="34"/>
      <c r="E1" s="34"/>
      <c r="F1" s="34"/>
      <c r="G1" s="34"/>
      <c r="H1" s="34"/>
      <c r="I1" s="34"/>
      <c r="J1" s="34"/>
      <c r="K1" s="34"/>
      <c r="L1" s="34"/>
      <c r="M1" s="34"/>
      <c r="N1" s="34"/>
      <c r="O1" s="34"/>
      <c r="P1" s="34"/>
      <c r="Q1" s="34"/>
      <c r="R1" s="34"/>
      <c r="S1" s="34"/>
      <c r="T1" s="34"/>
      <c r="U1" s="34"/>
      <c r="V1" s="34"/>
      <c r="W1" s="34"/>
      <c r="X1" s="34"/>
      <c r="Y1" s="34"/>
      <c r="Z1" s="34"/>
      <c r="AA1" s="34"/>
      <c r="AB1" s="34"/>
      <c r="AC1" s="34"/>
      <c r="AD1" s="34"/>
    </row>
    <row r="2" spans="1:30" x14ac:dyDescent="0.3">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x14ac:dyDescent="0.3">
      <c r="A3" s="34"/>
      <c r="B3" s="34"/>
      <c r="C3" s="34"/>
      <c r="D3" s="423" t="s">
        <v>7</v>
      </c>
      <c r="E3" s="423"/>
      <c r="F3" s="423"/>
      <c r="G3" s="423"/>
      <c r="H3" s="423"/>
      <c r="I3" s="423"/>
      <c r="J3" s="423"/>
      <c r="K3" s="423"/>
      <c r="L3" s="423"/>
      <c r="M3" s="423"/>
      <c r="N3" s="423"/>
      <c r="O3" s="423"/>
      <c r="P3" s="423"/>
      <c r="Q3" s="423"/>
      <c r="R3" s="423"/>
      <c r="S3" s="423"/>
      <c r="T3" s="423"/>
      <c r="U3" s="423"/>
      <c r="V3" s="423"/>
      <c r="W3" s="423"/>
      <c r="X3" s="423"/>
      <c r="Y3" s="423"/>
      <c r="Z3" s="423"/>
      <c r="AA3" s="423"/>
      <c r="AB3" s="423"/>
      <c r="AC3" s="36"/>
      <c r="AD3" s="34"/>
    </row>
    <row r="4" spans="1:30" x14ac:dyDescent="0.3">
      <c r="A4" s="34"/>
      <c r="B4" s="34"/>
      <c r="C4" s="34" t="s">
        <v>7</v>
      </c>
      <c r="D4" s="37">
        <v>1</v>
      </c>
      <c r="E4" s="37">
        <v>2</v>
      </c>
      <c r="F4" s="37">
        <v>3</v>
      </c>
      <c r="G4" s="37">
        <v>4</v>
      </c>
      <c r="H4" s="37">
        <v>5</v>
      </c>
      <c r="I4" s="37">
        <v>6</v>
      </c>
      <c r="J4" s="37">
        <v>7</v>
      </c>
      <c r="K4" s="37">
        <v>8</v>
      </c>
      <c r="L4" s="37">
        <v>9</v>
      </c>
      <c r="M4" s="37">
        <v>10</v>
      </c>
      <c r="N4" s="37">
        <v>11</v>
      </c>
      <c r="O4" s="37">
        <v>12</v>
      </c>
      <c r="P4" s="37">
        <v>13</v>
      </c>
      <c r="Q4" s="37">
        <v>14</v>
      </c>
      <c r="R4" s="37">
        <v>15</v>
      </c>
      <c r="S4" s="37">
        <v>16</v>
      </c>
      <c r="T4" s="37">
        <v>17</v>
      </c>
      <c r="U4" s="37">
        <v>18</v>
      </c>
      <c r="V4" s="37">
        <v>19</v>
      </c>
      <c r="W4" s="37">
        <v>20</v>
      </c>
      <c r="X4" s="37">
        <v>21</v>
      </c>
      <c r="Y4" s="37">
        <v>22</v>
      </c>
      <c r="Z4" s="37">
        <v>23</v>
      </c>
      <c r="AA4" s="37">
        <v>24</v>
      </c>
      <c r="AB4" s="37">
        <v>25</v>
      </c>
      <c r="AC4" s="36"/>
      <c r="AD4" s="37" t="s">
        <v>46</v>
      </c>
    </row>
    <row r="5" spans="1:30" x14ac:dyDescent="0.3">
      <c r="A5" s="38"/>
      <c r="B5" s="38"/>
      <c r="C5" s="38"/>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3">
      <c r="A6" s="39" t="s">
        <v>17</v>
      </c>
      <c r="B6" s="34"/>
      <c r="C6" s="34"/>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x14ac:dyDescent="0.3">
      <c r="A7" s="34" t="s">
        <v>3</v>
      </c>
      <c r="B7" s="34"/>
      <c r="C7" s="34"/>
      <c r="D7" s="40">
        <f>'Mix 1 Summary'!M5*'Mix 1 Summary'!M6/100</f>
        <v>840000</v>
      </c>
      <c r="E7" s="40">
        <f>D7*(1+'Mix 1 Summary'!$M$8)*E44</f>
        <v>840000</v>
      </c>
      <c r="F7" s="40">
        <f>E7*(1+'Mix 1 Summary'!$M$8)*F44</f>
        <v>840000</v>
      </c>
      <c r="G7" s="40">
        <f>F7*(1+'Mix 1 Summary'!$M$8)*G44</f>
        <v>840000</v>
      </c>
      <c r="H7" s="40">
        <f>G7*(1+'Mix 1 Summary'!$M$8)*H44</f>
        <v>840000</v>
      </c>
      <c r="I7" s="40">
        <f>H7*(1+'Mix 1 Summary'!$M$8)*I44</f>
        <v>840000</v>
      </c>
      <c r="J7" s="40">
        <f>I7*(1+'Mix 1 Summary'!$M$8)*J44</f>
        <v>840000</v>
      </c>
      <c r="K7" s="40">
        <f>J7*(1+'Mix 1 Summary'!$M$8)*K44</f>
        <v>840000</v>
      </c>
      <c r="L7" s="40">
        <f>K7*(1+'Mix 1 Summary'!$M$8)*L44</f>
        <v>840000</v>
      </c>
      <c r="M7" s="40">
        <f>L7*(1+'Mix 1 Summary'!$M$8)*M44</f>
        <v>840000</v>
      </c>
      <c r="N7" s="40">
        <f>M7*(1+'Mix 1 Summary'!$M$8)*N44</f>
        <v>840000</v>
      </c>
      <c r="O7" s="40">
        <f>N7*(1+'Mix 1 Summary'!$M$8)*O44</f>
        <v>840000</v>
      </c>
      <c r="P7" s="40">
        <f>O7*(1+'Mix 1 Summary'!$M$8)*P44</f>
        <v>840000</v>
      </c>
      <c r="Q7" s="40">
        <f>P7*(1+'Mix 1 Summary'!$M$8)*Q44</f>
        <v>840000</v>
      </c>
      <c r="R7" s="40">
        <f>Q7*(1+'Mix 1 Summary'!$M$8)*R44</f>
        <v>840000</v>
      </c>
      <c r="S7" s="40">
        <f>R7*(1+'Mix 1 Summary'!$M$8)*S44</f>
        <v>840000</v>
      </c>
      <c r="T7" s="40">
        <f>S7*(1+'Mix 1 Summary'!$M$8)*T44</f>
        <v>840000</v>
      </c>
      <c r="U7" s="40">
        <f>T7*(1+'Mix 1 Summary'!$M$8)*U44</f>
        <v>840000</v>
      </c>
      <c r="V7" s="40">
        <f>U7*(1+'Mix 1 Summary'!$M$8)*V44</f>
        <v>840000</v>
      </c>
      <c r="W7" s="40">
        <f>V7*(1+'Mix 1 Summary'!$M$8)*W44</f>
        <v>840000</v>
      </c>
      <c r="X7" s="40">
        <f>W7*(1+'Mix 1 Summary'!$M$8)*X44</f>
        <v>840000</v>
      </c>
      <c r="Y7" s="40">
        <f>X7*(1+'Mix 1 Summary'!$M$8)*Y44</f>
        <v>840000</v>
      </c>
      <c r="Z7" s="40">
        <f>Y7*(1+'Mix 1 Summary'!$M$8)*Z44</f>
        <v>840000</v>
      </c>
      <c r="AA7" s="40">
        <f>Z7*(1+'Mix 1 Summary'!$M$8)*AA44</f>
        <v>840000</v>
      </c>
      <c r="AB7" s="40">
        <f>AA7*(1+'Mix 1 Summary'!$M$8)*AB44</f>
        <v>840000</v>
      </c>
      <c r="AC7" s="40"/>
      <c r="AD7" s="40">
        <f>SUM(D7:AC7)</f>
        <v>21000000</v>
      </c>
    </row>
    <row r="8" spans="1:30" s="309" customFormat="1" x14ac:dyDescent="0.3">
      <c r="A8" s="308" t="s">
        <v>23</v>
      </c>
      <c r="B8" s="308"/>
      <c r="C8" s="308"/>
      <c r="D8" s="47">
        <f>-IF('Mix 1 Summary'!$M$18&gt;'Generation &amp; Ops Scenarios'!$C$45, ('Mix 1 Summary'!$M$18-'Generation &amp; Ops Scenarios'!$C$45)*'Mix 1 Summary'!$H$23/100, 0)</f>
        <v>-24717.111899577845</v>
      </c>
      <c r="E8" s="47">
        <f>-IF('Mix 1 Summary'!$M$18&gt;'Generation &amp; Ops Scenarios'!$C$45, ('Mix 1 Summary'!$M$18-'Generation &amp; Ops Scenarios'!$C$45)*'Mix 1 Summary'!$H$23/100, 0)</f>
        <v>-24717.111899577845</v>
      </c>
      <c r="F8" s="47">
        <f>-IF('Mix 1 Summary'!$M$18&gt;'Generation &amp; Ops Scenarios'!$C$45, ('Mix 1 Summary'!$M$18-'Generation &amp; Ops Scenarios'!$C$45)*'Mix 1 Summary'!$H$23/100, 0)</f>
        <v>-24717.111899577845</v>
      </c>
      <c r="G8" s="47">
        <f>-IF('Mix 1 Summary'!$M$18&gt;'Generation &amp; Ops Scenarios'!$C$45, ('Mix 1 Summary'!$M$18-'Generation &amp; Ops Scenarios'!$C$45)*'Mix 1 Summary'!$H$23/100, 0)</f>
        <v>-24717.111899577845</v>
      </c>
      <c r="H8" s="47">
        <f>-IF('Mix 1 Summary'!$M$18&gt;'Generation &amp; Ops Scenarios'!$C$45, ('Mix 1 Summary'!$M$18-'Generation &amp; Ops Scenarios'!$C$45)*'Mix 1 Summary'!$H$23/100, 0)</f>
        <v>-24717.111899577845</v>
      </c>
      <c r="I8" s="47">
        <f>-IF('Mix 1 Summary'!$M$18&gt;'Generation &amp; Ops Scenarios'!$C$45, ('Mix 1 Summary'!$M$18-'Generation &amp; Ops Scenarios'!$C$45)*'Mix 1 Summary'!$H$23/100, 0)</f>
        <v>-24717.111899577845</v>
      </c>
      <c r="J8" s="47">
        <f>-IF('Mix 1 Summary'!$M$18&gt;'Generation &amp; Ops Scenarios'!$C$45, ('Mix 1 Summary'!$M$18-'Generation &amp; Ops Scenarios'!$C$45)*'Mix 1 Summary'!$H$23/100, 0)</f>
        <v>-24717.111899577845</v>
      </c>
      <c r="K8" s="47">
        <f>-IF('Mix 1 Summary'!$M$18&gt;'Generation &amp; Ops Scenarios'!$C$45, ('Mix 1 Summary'!$M$18-'Generation &amp; Ops Scenarios'!$C$45)*'Mix 1 Summary'!$H$23/100, 0)</f>
        <v>-24717.111899577845</v>
      </c>
      <c r="L8" s="47">
        <f>-IF('Mix 1 Summary'!$M$18&gt;'Generation &amp; Ops Scenarios'!$C$45, ('Mix 1 Summary'!$M$18-'Generation &amp; Ops Scenarios'!$C$45)*'Mix 1 Summary'!$H$23/100, 0)</f>
        <v>-24717.111899577845</v>
      </c>
      <c r="M8" s="47">
        <f>-IF('Mix 1 Summary'!$M$18&gt;'Generation &amp; Ops Scenarios'!$C$45, ('Mix 1 Summary'!$M$18-'Generation &amp; Ops Scenarios'!$C$45)*'Mix 1 Summary'!$H$23/100, 0)</f>
        <v>-24717.111899577845</v>
      </c>
      <c r="N8" s="47">
        <f>-IF('Mix 1 Summary'!$M$18&gt;'Generation &amp; Ops Scenarios'!$C$45, ('Mix 1 Summary'!$M$18-'Generation &amp; Ops Scenarios'!$C$45)*'Mix 1 Summary'!$H$23/100, 0)</f>
        <v>-24717.111899577845</v>
      </c>
      <c r="O8" s="47">
        <f>-IF('Mix 1 Summary'!$M$18&gt;'Generation &amp; Ops Scenarios'!$C$45, ('Mix 1 Summary'!$M$18-'Generation &amp; Ops Scenarios'!$C$45)*'Mix 1 Summary'!$H$23/100, 0)</f>
        <v>-24717.111899577845</v>
      </c>
      <c r="P8" s="47">
        <f>-IF('Mix 1 Summary'!$M$18&gt;'Generation &amp; Ops Scenarios'!$C$45, ('Mix 1 Summary'!$M$18-'Generation &amp; Ops Scenarios'!$C$45)*'Mix 1 Summary'!$H$23/100, 0)</f>
        <v>-24717.111899577845</v>
      </c>
      <c r="Q8" s="47">
        <f>-IF('Mix 1 Summary'!$M$18&gt;'Generation &amp; Ops Scenarios'!$C$45, ('Mix 1 Summary'!$M$18-'Generation &amp; Ops Scenarios'!$C$45)*'Mix 1 Summary'!$H$23/100, 0)</f>
        <v>-24717.111899577845</v>
      </c>
      <c r="R8" s="47">
        <f>-IF('Mix 1 Summary'!$M$18&gt;'Generation &amp; Ops Scenarios'!$C$45, ('Mix 1 Summary'!$M$18-'Generation &amp; Ops Scenarios'!$C$45)*'Mix 1 Summary'!$H$23/100, 0)</f>
        <v>-24717.111899577845</v>
      </c>
      <c r="S8" s="47">
        <f>-IF('Mix 1 Summary'!$M$18&gt;'Generation &amp; Ops Scenarios'!$C$45, ('Mix 1 Summary'!$M$18-'Generation &amp; Ops Scenarios'!$C$45)*'Mix 1 Summary'!$H$23/100, 0)</f>
        <v>-24717.111899577845</v>
      </c>
      <c r="T8" s="47">
        <f>-IF('Mix 1 Summary'!$M$18&gt;'Generation &amp; Ops Scenarios'!$C$45, ('Mix 1 Summary'!$M$18-'Generation &amp; Ops Scenarios'!$C$45)*'Mix 1 Summary'!$H$23/100, 0)</f>
        <v>-24717.111899577845</v>
      </c>
      <c r="U8" s="47">
        <f>-IF('Mix 1 Summary'!$M$18&gt;'Generation &amp; Ops Scenarios'!$C$45, ('Mix 1 Summary'!$M$18-'Generation &amp; Ops Scenarios'!$C$45)*'Mix 1 Summary'!$H$23/100, 0)</f>
        <v>-24717.111899577845</v>
      </c>
      <c r="V8" s="47">
        <f>-IF('Mix 1 Summary'!$M$18&gt;'Generation &amp; Ops Scenarios'!$C$45, ('Mix 1 Summary'!$M$18-'Generation &amp; Ops Scenarios'!$C$45)*'Mix 1 Summary'!$H$23/100, 0)</f>
        <v>-24717.111899577845</v>
      </c>
      <c r="W8" s="47">
        <f>-IF('Mix 1 Summary'!$M$18&gt;'Generation &amp; Ops Scenarios'!$C$45, ('Mix 1 Summary'!$M$18-'Generation &amp; Ops Scenarios'!$C$45)*'Mix 1 Summary'!$H$23/100, 0)</f>
        <v>-24717.111899577845</v>
      </c>
      <c r="X8" s="47">
        <f>-IF('Mix 1 Summary'!$M$18&gt;'Generation &amp; Ops Scenarios'!$C$45, ('Mix 1 Summary'!$M$18-'Generation &amp; Ops Scenarios'!$C$45)*'Mix 1 Summary'!$H$23/100, 0)</f>
        <v>-24717.111899577845</v>
      </c>
      <c r="Y8" s="47">
        <f>-IF('Mix 1 Summary'!$M$18&gt;'Generation &amp; Ops Scenarios'!$C$45, ('Mix 1 Summary'!$M$18-'Generation &amp; Ops Scenarios'!$C$45)*'Mix 1 Summary'!$H$23/100, 0)</f>
        <v>-24717.111899577845</v>
      </c>
      <c r="Z8" s="47">
        <f>-IF('Mix 1 Summary'!$M$18&gt;'Generation &amp; Ops Scenarios'!$C$45, ('Mix 1 Summary'!$M$18-'Generation &amp; Ops Scenarios'!$C$45)*'Mix 1 Summary'!$H$23/100, 0)</f>
        <v>-24717.111899577845</v>
      </c>
      <c r="AA8" s="47">
        <f>-IF('Mix 1 Summary'!$M$18&gt;'Generation &amp; Ops Scenarios'!$C$45, ('Mix 1 Summary'!$M$18-'Generation &amp; Ops Scenarios'!$C$45)*'Mix 1 Summary'!$H$23/100, 0)</f>
        <v>-24717.111899577845</v>
      </c>
      <c r="AB8" s="47">
        <f>-IF('Mix 1 Summary'!$M$18&gt;'Generation &amp; Ops Scenarios'!$C$45, ('Mix 1 Summary'!$M$18-'Generation &amp; Ops Scenarios'!$C$45)*'Mix 1 Summary'!$H$23/100, 0)</f>
        <v>-24717.111899577845</v>
      </c>
      <c r="AC8" s="47"/>
      <c r="AD8" s="47">
        <f>SUM(D8:AC8)</f>
        <v>-617927.79748944624</v>
      </c>
    </row>
    <row r="9" spans="1:30" x14ac:dyDescent="0.3">
      <c r="A9" s="34" t="s">
        <v>24</v>
      </c>
      <c r="B9" s="34"/>
      <c r="C9" s="34"/>
      <c r="D9" s="40">
        <f>-'Mix 1 Summary'!H16</f>
        <v>-282346.23916666664</v>
      </c>
      <c r="E9" s="40">
        <f>D9*E44</f>
        <v>-282346.23916666664</v>
      </c>
      <c r="F9" s="40">
        <f t="shared" ref="F9:AB9" si="0">E9*F44</f>
        <v>-282346.23916666664</v>
      </c>
      <c r="G9" s="40">
        <f t="shared" si="0"/>
        <v>-282346.23916666664</v>
      </c>
      <c r="H9" s="40">
        <f t="shared" si="0"/>
        <v>-282346.23916666664</v>
      </c>
      <c r="I9" s="40">
        <f t="shared" si="0"/>
        <v>-282346.23916666664</v>
      </c>
      <c r="J9" s="40">
        <f t="shared" si="0"/>
        <v>-282346.23916666664</v>
      </c>
      <c r="K9" s="40">
        <f t="shared" si="0"/>
        <v>-282346.23916666664</v>
      </c>
      <c r="L9" s="40">
        <f t="shared" si="0"/>
        <v>-282346.23916666664</v>
      </c>
      <c r="M9" s="40">
        <f t="shared" si="0"/>
        <v>-282346.23916666664</v>
      </c>
      <c r="N9" s="40">
        <f t="shared" si="0"/>
        <v>-282346.23916666664</v>
      </c>
      <c r="O9" s="40">
        <f t="shared" si="0"/>
        <v>-282346.23916666664</v>
      </c>
      <c r="P9" s="40">
        <f t="shared" si="0"/>
        <v>-282346.23916666664</v>
      </c>
      <c r="Q9" s="40">
        <f t="shared" si="0"/>
        <v>-282346.23916666664</v>
      </c>
      <c r="R9" s="40">
        <f t="shared" si="0"/>
        <v>-282346.23916666664</v>
      </c>
      <c r="S9" s="40">
        <f t="shared" si="0"/>
        <v>-282346.23916666664</v>
      </c>
      <c r="T9" s="40">
        <f t="shared" si="0"/>
        <v>-282346.23916666664</v>
      </c>
      <c r="U9" s="40">
        <f t="shared" si="0"/>
        <v>-282346.23916666664</v>
      </c>
      <c r="V9" s="40">
        <f t="shared" si="0"/>
        <v>-282346.23916666664</v>
      </c>
      <c r="W9" s="40">
        <f t="shared" si="0"/>
        <v>-282346.23916666664</v>
      </c>
      <c r="X9" s="40">
        <f t="shared" si="0"/>
        <v>-282346.23916666664</v>
      </c>
      <c r="Y9" s="40">
        <f t="shared" si="0"/>
        <v>-282346.23916666664</v>
      </c>
      <c r="Z9" s="40">
        <f t="shared" si="0"/>
        <v>-282346.23916666664</v>
      </c>
      <c r="AA9" s="40">
        <f t="shared" si="0"/>
        <v>-282346.23916666664</v>
      </c>
      <c r="AB9" s="40">
        <f t="shared" si="0"/>
        <v>-282346.23916666664</v>
      </c>
      <c r="AC9" s="40"/>
      <c r="AD9" s="40"/>
    </row>
    <row r="10" spans="1:30" x14ac:dyDescent="0.3">
      <c r="A10" s="34"/>
      <c r="B10" s="34"/>
      <c r="C10" s="34"/>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0" x14ac:dyDescent="0.3">
      <c r="A11" s="34" t="s">
        <v>18</v>
      </c>
      <c r="B11" s="34"/>
      <c r="C11" s="34"/>
      <c r="D11" s="41">
        <f>SUM(D7:D10)</f>
        <v>532936.64893375547</v>
      </c>
      <c r="E11" s="41">
        <f>SUM(E7:E10)</f>
        <v>532936.64893375547</v>
      </c>
      <c r="F11" s="41">
        <f t="shared" ref="F11:AD11" si="1">SUM(F7:F10)</f>
        <v>532936.64893375547</v>
      </c>
      <c r="G11" s="41">
        <f t="shared" si="1"/>
        <v>532936.64893375547</v>
      </c>
      <c r="H11" s="41">
        <f t="shared" si="1"/>
        <v>532936.64893375547</v>
      </c>
      <c r="I11" s="41">
        <f t="shared" si="1"/>
        <v>532936.64893375547</v>
      </c>
      <c r="J11" s="41">
        <f t="shared" si="1"/>
        <v>532936.64893375547</v>
      </c>
      <c r="K11" s="41">
        <f t="shared" si="1"/>
        <v>532936.64893375547</v>
      </c>
      <c r="L11" s="41">
        <f t="shared" si="1"/>
        <v>532936.64893375547</v>
      </c>
      <c r="M11" s="41">
        <f t="shared" si="1"/>
        <v>532936.64893375547</v>
      </c>
      <c r="N11" s="41">
        <f t="shared" si="1"/>
        <v>532936.64893375547</v>
      </c>
      <c r="O11" s="41">
        <f t="shared" si="1"/>
        <v>532936.64893375547</v>
      </c>
      <c r="P11" s="41">
        <f t="shared" si="1"/>
        <v>532936.64893375547</v>
      </c>
      <c r="Q11" s="41">
        <f t="shared" si="1"/>
        <v>532936.64893375547</v>
      </c>
      <c r="R11" s="41">
        <f t="shared" si="1"/>
        <v>532936.64893375547</v>
      </c>
      <c r="S11" s="41">
        <f t="shared" si="1"/>
        <v>532936.64893375547</v>
      </c>
      <c r="T11" s="41">
        <f t="shared" si="1"/>
        <v>532936.64893375547</v>
      </c>
      <c r="U11" s="41">
        <f t="shared" si="1"/>
        <v>532936.64893375547</v>
      </c>
      <c r="V11" s="41">
        <f t="shared" si="1"/>
        <v>532936.64893375547</v>
      </c>
      <c r="W11" s="41">
        <f t="shared" si="1"/>
        <v>532936.64893375547</v>
      </c>
      <c r="X11" s="41">
        <f t="shared" si="1"/>
        <v>532936.64893375547</v>
      </c>
      <c r="Y11" s="41">
        <f t="shared" si="1"/>
        <v>532936.64893375547</v>
      </c>
      <c r="Z11" s="41">
        <f t="shared" si="1"/>
        <v>532936.64893375547</v>
      </c>
      <c r="AA11" s="41">
        <f t="shared" si="1"/>
        <v>532936.64893375547</v>
      </c>
      <c r="AB11" s="41">
        <f t="shared" si="1"/>
        <v>532936.64893375547</v>
      </c>
      <c r="AC11" s="40"/>
      <c r="AD11" s="41">
        <f t="shared" si="1"/>
        <v>20382072.202510554</v>
      </c>
    </row>
    <row r="12" spans="1:30" x14ac:dyDescent="0.3">
      <c r="A12" s="34"/>
      <c r="B12" s="34"/>
      <c r="C12" s="34"/>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row>
    <row r="13" spans="1:30" x14ac:dyDescent="0.3">
      <c r="A13" s="34" t="s">
        <v>19</v>
      </c>
      <c r="B13" s="34"/>
      <c r="C13" s="34"/>
      <c r="D13" s="40">
        <f>'Mix 1 Interest Calculations'!E14</f>
        <v>-304419.29375000001</v>
      </c>
      <c r="E13" s="40">
        <f>'Mix 1 Interest Calculations'!F14</f>
        <v>-299941.08147588809</v>
      </c>
      <c r="F13" s="40">
        <f>'Mix 1 Interest Calculations'!G14</f>
        <v>-295127.00328121783</v>
      </c>
      <c r="G13" s="40">
        <f>'Mix 1 Interest Calculations'!H14</f>
        <v>-289951.86922194727</v>
      </c>
      <c r="H13" s="40">
        <f>'Mix 1 Interest Calculations'!I14</f>
        <v>-284388.60010823142</v>
      </c>
      <c r="I13" s="40">
        <f>'Mix 1 Interest Calculations'!J14</f>
        <v>-278408.08581098687</v>
      </c>
      <c r="J13" s="40">
        <f>'Mix 1 Interest Calculations'!K14</f>
        <v>-271979.03294144903</v>
      </c>
      <c r="K13" s="40">
        <f>'Mix 1 Interest Calculations'!L14</f>
        <v>-265067.80110669584</v>
      </c>
      <c r="L13" s="40">
        <f>'Mix 1 Interest Calculations'!M14</f>
        <v>-257638.22688433609</v>
      </c>
      <c r="M13" s="40">
        <f>'Mix 1 Interest Calculations'!N14</f>
        <v>-249651.43459529942</v>
      </c>
      <c r="N13" s="40">
        <f>'Mix 1 Interest Calculations'!O14</f>
        <v>-241065.63288458498</v>
      </c>
      <c r="O13" s="40">
        <f>'Mix 1 Interest Calculations'!P14</f>
        <v>-231835.89604556697</v>
      </c>
      <c r="P13" s="40">
        <f>'Mix 1 Interest Calculations'!Q14</f>
        <v>-221913.92894362262</v>
      </c>
      <c r="Q13" s="40">
        <f>'Mix 1 Interest Calculations'!R14</f>
        <v>-211247.81430903243</v>
      </c>
      <c r="R13" s="40">
        <f>'Mix 1 Interest Calculations'!S14</f>
        <v>-199781.74107684795</v>
      </c>
      <c r="S13" s="40">
        <f>'Mix 1 Interest Calculations'!T14</f>
        <v>-187455.71235224968</v>
      </c>
      <c r="T13" s="40">
        <f>'Mix 1 Interest Calculations'!U14</f>
        <v>-174205.23147330648</v>
      </c>
      <c r="U13" s="40">
        <f>'Mix 1 Interest Calculations'!V14</f>
        <v>-159960.96452844256</v>
      </c>
      <c r="V13" s="40">
        <f>'Mix 1 Interest Calculations'!W14</f>
        <v>-144648.37756271387</v>
      </c>
      <c r="W13" s="40">
        <f>'Mix 1 Interest Calculations'!X14</f>
        <v>-128187.34657455553</v>
      </c>
      <c r="X13" s="40">
        <f>'Mix 1 Interest Calculations'!Y14</f>
        <v>-110491.7382622853</v>
      </c>
      <c r="Y13" s="40">
        <f>'Mix 1 Interest Calculations'!Z14</f>
        <v>-91468.959326594821</v>
      </c>
      <c r="Z13" s="40">
        <f>'Mix 1 Interest Calculations'!AA14</f>
        <v>-71019.471970727536</v>
      </c>
      <c r="AA13" s="40">
        <f>'Mix 1 Interest Calculations'!AB14</f>
        <v>-49036.273063170214</v>
      </c>
      <c r="AB13" s="40">
        <f>'Mix 1 Interest Calculations'!AC14</f>
        <v>-25404.334237546089</v>
      </c>
      <c r="AC13" s="40"/>
      <c r="AD13" s="40">
        <f t="shared" ref="AD13" si="2">SUM(D13:AC13)</f>
        <v>-5044295.8517872989</v>
      </c>
    </row>
    <row r="14" spans="1:30" x14ac:dyDescent="0.3">
      <c r="A14" s="34"/>
      <c r="B14" s="34"/>
      <c r="C14" s="34"/>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5" spans="1:30" x14ac:dyDescent="0.3">
      <c r="A15" s="34" t="s">
        <v>41</v>
      </c>
      <c r="B15" s="34"/>
      <c r="C15" s="34"/>
      <c r="D15" s="42">
        <f t="shared" ref="D15:AB15" si="3">SUM(D11:D14)</f>
        <v>228517.35518375546</v>
      </c>
      <c r="E15" s="42">
        <f t="shared" si="3"/>
        <v>232995.56745786738</v>
      </c>
      <c r="F15" s="42">
        <f t="shared" si="3"/>
        <v>237809.64565253764</v>
      </c>
      <c r="G15" s="42">
        <f t="shared" si="3"/>
        <v>242984.77971180819</v>
      </c>
      <c r="H15" s="42">
        <f t="shared" si="3"/>
        <v>248548.04882552405</v>
      </c>
      <c r="I15" s="42">
        <f t="shared" si="3"/>
        <v>254528.5631227686</v>
      </c>
      <c r="J15" s="42">
        <f t="shared" si="3"/>
        <v>260957.61599230644</v>
      </c>
      <c r="K15" s="42">
        <f t="shared" si="3"/>
        <v>267868.84782705962</v>
      </c>
      <c r="L15" s="42">
        <f t="shared" si="3"/>
        <v>275298.42204941937</v>
      </c>
      <c r="M15" s="42">
        <f t="shared" si="3"/>
        <v>283285.21433845605</v>
      </c>
      <c r="N15" s="42">
        <f t="shared" si="3"/>
        <v>291871.01604917052</v>
      </c>
      <c r="O15" s="42">
        <f t="shared" si="3"/>
        <v>301100.75288818846</v>
      </c>
      <c r="P15" s="42">
        <f t="shared" si="3"/>
        <v>311022.71999013284</v>
      </c>
      <c r="Q15" s="42">
        <f t="shared" si="3"/>
        <v>321688.83462472307</v>
      </c>
      <c r="R15" s="42">
        <f t="shared" si="3"/>
        <v>333154.90785690752</v>
      </c>
      <c r="S15" s="42">
        <f t="shared" si="3"/>
        <v>345480.93658150581</v>
      </c>
      <c r="T15" s="42">
        <f t="shared" si="3"/>
        <v>358731.41746044898</v>
      </c>
      <c r="U15" s="42">
        <f t="shared" si="3"/>
        <v>372975.68440531287</v>
      </c>
      <c r="V15" s="42">
        <f t="shared" si="3"/>
        <v>388288.2713710416</v>
      </c>
      <c r="W15" s="42">
        <f t="shared" si="3"/>
        <v>404749.30235919997</v>
      </c>
      <c r="X15" s="42">
        <f t="shared" si="3"/>
        <v>422444.91067147016</v>
      </c>
      <c r="Y15" s="42">
        <f t="shared" si="3"/>
        <v>441467.68960716063</v>
      </c>
      <c r="Z15" s="42">
        <f t="shared" si="3"/>
        <v>461917.17696302792</v>
      </c>
      <c r="AA15" s="42">
        <f t="shared" si="3"/>
        <v>483900.37587058527</v>
      </c>
      <c r="AB15" s="42">
        <f t="shared" si="3"/>
        <v>507532.31469620939</v>
      </c>
      <c r="AC15" s="40"/>
      <c r="AD15" s="42">
        <f>SUM(AD11:AD14)</f>
        <v>15337776.350723255</v>
      </c>
    </row>
    <row r="16" spans="1:30" x14ac:dyDescent="0.3">
      <c r="A16" s="34"/>
      <c r="B16" s="34"/>
      <c r="C16" s="34"/>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x14ac:dyDescent="0.3">
      <c r="A17" s="39" t="s">
        <v>20</v>
      </c>
      <c r="B17" s="34"/>
      <c r="C17" s="34"/>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row>
    <row r="18" spans="1:30" x14ac:dyDescent="0.3">
      <c r="A18" s="34" t="s">
        <v>21</v>
      </c>
      <c r="B18" s="34"/>
      <c r="C18" s="34"/>
      <c r="D18" s="40">
        <f>-'Mix 1 Summary'!B22</f>
        <v>-4058923.916666667</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f t="shared" ref="AD18:AD19" si="4">SUM(D18:AC18)</f>
        <v>-4058923.916666667</v>
      </c>
    </row>
    <row r="19" spans="1:30" x14ac:dyDescent="0.3">
      <c r="A19" s="34" t="s">
        <v>40</v>
      </c>
      <c r="B19" s="34"/>
      <c r="C19" s="34"/>
      <c r="D19" s="40">
        <f>'Mix 1 Interest Calculations'!D9</f>
        <v>4058923.916666667</v>
      </c>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f t="shared" si="4"/>
        <v>4058923.916666667</v>
      </c>
    </row>
    <row r="20" spans="1:30" x14ac:dyDescent="0.3">
      <c r="A20" s="34"/>
      <c r="B20" s="34"/>
      <c r="C20" s="34"/>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3">
      <c r="A21" s="34"/>
      <c r="B21" s="34"/>
      <c r="C21" s="34"/>
      <c r="D21" s="41">
        <f t="shared" ref="D21:AB21" si="5">SUM(D18:D20)</f>
        <v>0</v>
      </c>
      <c r="E21" s="41">
        <f t="shared" si="5"/>
        <v>0</v>
      </c>
      <c r="F21" s="41">
        <f t="shared" si="5"/>
        <v>0</v>
      </c>
      <c r="G21" s="41">
        <f t="shared" si="5"/>
        <v>0</v>
      </c>
      <c r="H21" s="41">
        <f t="shared" si="5"/>
        <v>0</v>
      </c>
      <c r="I21" s="41">
        <f t="shared" si="5"/>
        <v>0</v>
      </c>
      <c r="J21" s="41">
        <f t="shared" si="5"/>
        <v>0</v>
      </c>
      <c r="K21" s="41">
        <f t="shared" si="5"/>
        <v>0</v>
      </c>
      <c r="L21" s="41">
        <f t="shared" si="5"/>
        <v>0</v>
      </c>
      <c r="M21" s="41">
        <f t="shared" si="5"/>
        <v>0</v>
      </c>
      <c r="N21" s="41">
        <f t="shared" si="5"/>
        <v>0</v>
      </c>
      <c r="O21" s="41">
        <f t="shared" si="5"/>
        <v>0</v>
      </c>
      <c r="P21" s="41">
        <f t="shared" si="5"/>
        <v>0</v>
      </c>
      <c r="Q21" s="41">
        <f t="shared" si="5"/>
        <v>0</v>
      </c>
      <c r="R21" s="41">
        <f t="shared" si="5"/>
        <v>0</v>
      </c>
      <c r="S21" s="41">
        <f t="shared" si="5"/>
        <v>0</v>
      </c>
      <c r="T21" s="41">
        <f t="shared" si="5"/>
        <v>0</v>
      </c>
      <c r="U21" s="41">
        <f t="shared" si="5"/>
        <v>0</v>
      </c>
      <c r="V21" s="41">
        <f t="shared" si="5"/>
        <v>0</v>
      </c>
      <c r="W21" s="41">
        <f t="shared" si="5"/>
        <v>0</v>
      </c>
      <c r="X21" s="41">
        <f t="shared" si="5"/>
        <v>0</v>
      </c>
      <c r="Y21" s="41">
        <f t="shared" si="5"/>
        <v>0</v>
      </c>
      <c r="Z21" s="41">
        <f t="shared" si="5"/>
        <v>0</v>
      </c>
      <c r="AA21" s="41">
        <f t="shared" si="5"/>
        <v>0</v>
      </c>
      <c r="AB21" s="41">
        <f t="shared" si="5"/>
        <v>0</v>
      </c>
      <c r="AC21" s="40"/>
      <c r="AD21" s="41">
        <f>SUM(AD18:AD20)</f>
        <v>0</v>
      </c>
    </row>
    <row r="22" spans="1:30" x14ac:dyDescent="0.3">
      <c r="A22" s="34"/>
      <c r="B22" s="34"/>
      <c r="C22" s="34"/>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30" x14ac:dyDescent="0.3">
      <c r="A23" s="34" t="s">
        <v>22</v>
      </c>
      <c r="B23" s="34"/>
      <c r="C23" s="34"/>
      <c r="D23" s="40">
        <f>'Mix 1 Interest Calculations'!E13</f>
        <v>-59709.496988158557</v>
      </c>
      <c r="E23" s="40">
        <f>'Mix 1 Interest Calculations'!F13</f>
        <v>-64187.70926227048</v>
      </c>
      <c r="F23" s="40">
        <f>'Mix 1 Interest Calculations'!G13</f>
        <v>-69001.787456940743</v>
      </c>
      <c r="G23" s="40">
        <f>'Mix 1 Interest Calculations'!H13</f>
        <v>-74176.921516211296</v>
      </c>
      <c r="H23" s="40">
        <f>'Mix 1 Interest Calculations'!I13</f>
        <v>-79740.19062992715</v>
      </c>
      <c r="I23" s="40">
        <f>'Mix 1 Interest Calculations'!J13</f>
        <v>-85720.704927171697</v>
      </c>
      <c r="J23" s="40">
        <f>'Mix 1 Interest Calculations'!K13</f>
        <v>-92149.757796709542</v>
      </c>
      <c r="K23" s="40">
        <f>'Mix 1 Interest Calculations'!L13</f>
        <v>-99060.989631462726</v>
      </c>
      <c r="L23" s="40">
        <f>'Mix 1 Interest Calculations'!M13</f>
        <v>-106490.56385382247</v>
      </c>
      <c r="M23" s="40">
        <f>'Mix 1 Interest Calculations'!N13</f>
        <v>-114477.35614285915</v>
      </c>
      <c r="N23" s="40">
        <f>'Mix 1 Interest Calculations'!O13</f>
        <v>-123063.15785357359</v>
      </c>
      <c r="O23" s="40">
        <f>'Mix 1 Interest Calculations'!P13</f>
        <v>-132292.8946925916</v>
      </c>
      <c r="P23" s="40">
        <f>'Mix 1 Interest Calculations'!Q13</f>
        <v>-142214.86179453594</v>
      </c>
      <c r="Q23" s="40">
        <f>'Mix 1 Interest Calculations'!R13</f>
        <v>-152880.97642912614</v>
      </c>
      <c r="R23" s="40">
        <f>'Mix 1 Interest Calculations'!S13</f>
        <v>-164347.04966131062</v>
      </c>
      <c r="S23" s="40">
        <f>'Mix 1 Interest Calculations'!T13</f>
        <v>-176673.07838590888</v>
      </c>
      <c r="T23" s="40">
        <f>'Mix 1 Interest Calculations'!U13</f>
        <v>-189923.55926485208</v>
      </c>
      <c r="U23" s="40">
        <f>'Mix 1 Interest Calculations'!V13</f>
        <v>-204167.826209716</v>
      </c>
      <c r="V23" s="40">
        <f>'Mix 1 Interest Calculations'!W13</f>
        <v>-219480.4131754447</v>
      </c>
      <c r="W23" s="40">
        <f>'Mix 1 Interest Calculations'!X13</f>
        <v>-235941.44416360304</v>
      </c>
      <c r="X23" s="40">
        <f>'Mix 1 Interest Calculations'!Y13</f>
        <v>-253637.05247587326</v>
      </c>
      <c r="Y23" s="40">
        <f>'Mix 1 Interest Calculations'!Z13</f>
        <v>-272659.83141156373</v>
      </c>
      <c r="Z23" s="40">
        <f>'Mix 1 Interest Calculations'!AA13</f>
        <v>-293109.31876743102</v>
      </c>
      <c r="AA23" s="40">
        <f>'Mix 1 Interest Calculations'!AB13</f>
        <v>-315092.51767498837</v>
      </c>
      <c r="AB23" s="40">
        <f>'Mix 1 Interest Calculations'!AC13</f>
        <v>-338724.45650061249</v>
      </c>
      <c r="AC23" s="40"/>
      <c r="AD23" s="40">
        <f>SUM(D23:AC23)</f>
        <v>-4058923.9166666665</v>
      </c>
    </row>
    <row r="24" spans="1:30" x14ac:dyDescent="0.3">
      <c r="A24" s="34"/>
      <c r="B24" s="34"/>
      <c r="C24" s="34"/>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3">
      <c r="A25" s="34"/>
      <c r="B25" s="34"/>
      <c r="C25" s="34"/>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x14ac:dyDescent="0.3">
      <c r="A26" s="34" t="s">
        <v>42</v>
      </c>
      <c r="B26" s="34"/>
      <c r="C26" s="34"/>
      <c r="D26" s="41">
        <f t="shared" ref="D26:AB26" si="6">D15+D21+D23</f>
        <v>168807.8581955969</v>
      </c>
      <c r="E26" s="41">
        <f t="shared" si="6"/>
        <v>168807.8581955969</v>
      </c>
      <c r="F26" s="41">
        <f t="shared" si="6"/>
        <v>168807.8581955969</v>
      </c>
      <c r="G26" s="41">
        <f t="shared" si="6"/>
        <v>168807.8581955969</v>
      </c>
      <c r="H26" s="41">
        <f t="shared" si="6"/>
        <v>168807.8581955969</v>
      </c>
      <c r="I26" s="41">
        <f t="shared" si="6"/>
        <v>168807.8581955969</v>
      </c>
      <c r="J26" s="41">
        <f t="shared" si="6"/>
        <v>168807.8581955969</v>
      </c>
      <c r="K26" s="41">
        <f t="shared" si="6"/>
        <v>168807.8581955969</v>
      </c>
      <c r="L26" s="41">
        <f t="shared" si="6"/>
        <v>168807.8581955969</v>
      </c>
      <c r="M26" s="41">
        <f t="shared" si="6"/>
        <v>168807.8581955969</v>
      </c>
      <c r="N26" s="41">
        <f t="shared" si="6"/>
        <v>168807.85819559693</v>
      </c>
      <c r="O26" s="41">
        <f t="shared" si="6"/>
        <v>168807.85819559687</v>
      </c>
      <c r="P26" s="41">
        <f t="shared" si="6"/>
        <v>168807.8581955969</v>
      </c>
      <c r="Q26" s="41">
        <f t="shared" si="6"/>
        <v>168807.85819559693</v>
      </c>
      <c r="R26" s="41">
        <f t="shared" si="6"/>
        <v>168807.8581955969</v>
      </c>
      <c r="S26" s="41">
        <f t="shared" si="6"/>
        <v>168807.85819559693</v>
      </c>
      <c r="T26" s="41">
        <f t="shared" si="6"/>
        <v>168807.8581955969</v>
      </c>
      <c r="U26" s="41">
        <f t="shared" si="6"/>
        <v>168807.85819559687</v>
      </c>
      <c r="V26" s="41">
        <f t="shared" si="6"/>
        <v>168807.8581955969</v>
      </c>
      <c r="W26" s="41">
        <f t="shared" si="6"/>
        <v>168807.85819559693</v>
      </c>
      <c r="X26" s="41">
        <f t="shared" si="6"/>
        <v>168807.8581955969</v>
      </c>
      <c r="Y26" s="41">
        <f t="shared" si="6"/>
        <v>168807.8581955969</v>
      </c>
      <c r="Z26" s="41">
        <f t="shared" si="6"/>
        <v>168807.8581955969</v>
      </c>
      <c r="AA26" s="41">
        <f t="shared" si="6"/>
        <v>168807.8581955969</v>
      </c>
      <c r="AB26" s="41">
        <f t="shared" si="6"/>
        <v>168807.8581955969</v>
      </c>
      <c r="AC26" s="40"/>
      <c r="AD26" s="41">
        <f>AD23+AD15</f>
        <v>11278852.434056589</v>
      </c>
    </row>
    <row r="27" spans="1:30" x14ac:dyDescent="0.3">
      <c r="A27" s="34"/>
      <c r="B27" s="34"/>
      <c r="C27" s="34"/>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3">
      <c r="A28" s="34" t="s">
        <v>43</v>
      </c>
      <c r="B28" s="34"/>
      <c r="C28" s="34"/>
      <c r="D28" s="40"/>
      <c r="E28" s="40">
        <f>D30</f>
        <v>168807.8581955969</v>
      </c>
      <c r="F28" s="40">
        <f t="shared" ref="F28:AB28" si="7">E30</f>
        <v>337615.7163911938</v>
      </c>
      <c r="G28" s="40">
        <f t="shared" si="7"/>
        <v>506423.5745867907</v>
      </c>
      <c r="H28" s="40">
        <f t="shared" si="7"/>
        <v>675231.43278238759</v>
      </c>
      <c r="I28" s="40">
        <f t="shared" si="7"/>
        <v>844039.29097798443</v>
      </c>
      <c r="J28" s="40">
        <f t="shared" si="7"/>
        <v>1012847.1491735813</v>
      </c>
      <c r="K28" s="40">
        <f t="shared" si="7"/>
        <v>1181655.0073691781</v>
      </c>
      <c r="L28" s="40">
        <f t="shared" si="7"/>
        <v>1350462.865564775</v>
      </c>
      <c r="M28" s="40">
        <f t="shared" si="7"/>
        <v>1519270.7237603718</v>
      </c>
      <c r="N28" s="40">
        <f t="shared" si="7"/>
        <v>1688078.5819559686</v>
      </c>
      <c r="O28" s="40">
        <f t="shared" si="7"/>
        <v>1856886.4401515655</v>
      </c>
      <c r="P28" s="40">
        <f t="shared" si="7"/>
        <v>2025694.2983471623</v>
      </c>
      <c r="Q28" s="40">
        <f t="shared" si="7"/>
        <v>2194502.1565427594</v>
      </c>
      <c r="R28" s="40">
        <f t="shared" si="7"/>
        <v>2363310.0147383562</v>
      </c>
      <c r="S28" s="40">
        <f t="shared" si="7"/>
        <v>2532117.8729339531</v>
      </c>
      <c r="T28" s="40">
        <f t="shared" si="7"/>
        <v>2700925.7311295499</v>
      </c>
      <c r="U28" s="40">
        <f t="shared" si="7"/>
        <v>2869733.5893251467</v>
      </c>
      <c r="V28" s="40">
        <f t="shared" si="7"/>
        <v>3038541.4475207436</v>
      </c>
      <c r="W28" s="40">
        <f t="shared" si="7"/>
        <v>3207349.3057163404</v>
      </c>
      <c r="X28" s="40">
        <f t="shared" si="7"/>
        <v>3376157.1639119373</v>
      </c>
      <c r="Y28" s="40">
        <f t="shared" si="7"/>
        <v>3544965.0221075341</v>
      </c>
      <c r="Z28" s="40">
        <f t="shared" si="7"/>
        <v>3713772.880303131</v>
      </c>
      <c r="AA28" s="40">
        <f t="shared" si="7"/>
        <v>3882580.7384987278</v>
      </c>
      <c r="AB28" s="40">
        <f t="shared" si="7"/>
        <v>4051388.5966943246</v>
      </c>
      <c r="AC28" s="40"/>
      <c r="AD28" s="40">
        <f>D28</f>
        <v>0</v>
      </c>
    </row>
    <row r="29" spans="1:30" x14ac:dyDescent="0.3">
      <c r="A29" s="34"/>
      <c r="B29" s="34"/>
      <c r="C29" s="34"/>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ht="13.5" thickBot="1" x14ac:dyDescent="0.35">
      <c r="A30" s="34" t="s">
        <v>44</v>
      </c>
      <c r="B30" s="34"/>
      <c r="C30" s="34"/>
      <c r="D30" s="43">
        <f>SUM(D26:D29)</f>
        <v>168807.8581955969</v>
      </c>
      <c r="E30" s="43">
        <f>SUM(E26:E29)</f>
        <v>337615.7163911938</v>
      </c>
      <c r="F30" s="43">
        <f t="shared" ref="F30:AD30" si="8">SUM(F26:F29)</f>
        <v>506423.5745867907</v>
      </c>
      <c r="G30" s="43">
        <f t="shared" si="8"/>
        <v>675231.43278238759</v>
      </c>
      <c r="H30" s="43">
        <f t="shared" si="8"/>
        <v>844039.29097798443</v>
      </c>
      <c r="I30" s="43">
        <f t="shared" si="8"/>
        <v>1012847.1491735813</v>
      </c>
      <c r="J30" s="43">
        <f t="shared" si="8"/>
        <v>1181655.0073691781</v>
      </c>
      <c r="K30" s="43">
        <f t="shared" si="8"/>
        <v>1350462.865564775</v>
      </c>
      <c r="L30" s="43">
        <f t="shared" si="8"/>
        <v>1519270.7237603718</v>
      </c>
      <c r="M30" s="43">
        <f t="shared" si="8"/>
        <v>1688078.5819559686</v>
      </c>
      <c r="N30" s="43">
        <f t="shared" si="8"/>
        <v>1856886.4401515655</v>
      </c>
      <c r="O30" s="43">
        <f t="shared" si="8"/>
        <v>2025694.2983471623</v>
      </c>
      <c r="P30" s="43">
        <f t="shared" si="8"/>
        <v>2194502.1565427594</v>
      </c>
      <c r="Q30" s="43">
        <f t="shared" si="8"/>
        <v>2363310.0147383562</v>
      </c>
      <c r="R30" s="43">
        <f t="shared" si="8"/>
        <v>2532117.8729339531</v>
      </c>
      <c r="S30" s="43">
        <f t="shared" si="8"/>
        <v>2700925.7311295499</v>
      </c>
      <c r="T30" s="43">
        <f t="shared" si="8"/>
        <v>2869733.5893251467</v>
      </c>
      <c r="U30" s="43">
        <f t="shared" si="8"/>
        <v>3038541.4475207436</v>
      </c>
      <c r="V30" s="43">
        <f t="shared" si="8"/>
        <v>3207349.3057163404</v>
      </c>
      <c r="W30" s="43">
        <f t="shared" si="8"/>
        <v>3376157.1639119373</v>
      </c>
      <c r="X30" s="43">
        <f t="shared" si="8"/>
        <v>3544965.0221075341</v>
      </c>
      <c r="Y30" s="43">
        <f t="shared" si="8"/>
        <v>3713772.880303131</v>
      </c>
      <c r="Z30" s="43">
        <f t="shared" si="8"/>
        <v>3882580.7384987278</v>
      </c>
      <c r="AA30" s="43">
        <f t="shared" si="8"/>
        <v>4051388.5966943246</v>
      </c>
      <c r="AB30" s="43">
        <f t="shared" si="8"/>
        <v>4220196.4548899215</v>
      </c>
      <c r="AC30" s="40"/>
      <c r="AD30" s="43">
        <f t="shared" si="8"/>
        <v>11278852.434056589</v>
      </c>
    </row>
    <row r="34" spans="1:28" x14ac:dyDescent="0.3">
      <c r="A34" s="35" t="s">
        <v>78</v>
      </c>
    </row>
    <row r="36" spans="1:28" x14ac:dyDescent="0.3">
      <c r="A36" s="35" t="s">
        <v>79</v>
      </c>
      <c r="D36" s="34">
        <f>D11</f>
        <v>532936.64893375547</v>
      </c>
      <c r="E36" s="34">
        <f t="shared" ref="E36:AB36" si="9">E11</f>
        <v>532936.64893375547</v>
      </c>
      <c r="F36" s="34">
        <f t="shared" si="9"/>
        <v>532936.64893375547</v>
      </c>
      <c r="G36" s="34">
        <f t="shared" si="9"/>
        <v>532936.64893375547</v>
      </c>
      <c r="H36" s="34">
        <f t="shared" si="9"/>
        <v>532936.64893375547</v>
      </c>
      <c r="I36" s="34">
        <f t="shared" si="9"/>
        <v>532936.64893375547</v>
      </c>
      <c r="J36" s="34">
        <f t="shared" si="9"/>
        <v>532936.64893375547</v>
      </c>
      <c r="K36" s="34">
        <f t="shared" si="9"/>
        <v>532936.64893375547</v>
      </c>
      <c r="L36" s="34">
        <f t="shared" si="9"/>
        <v>532936.64893375547</v>
      </c>
      <c r="M36" s="34">
        <f t="shared" si="9"/>
        <v>532936.64893375547</v>
      </c>
      <c r="N36" s="34">
        <f t="shared" si="9"/>
        <v>532936.64893375547</v>
      </c>
      <c r="O36" s="34">
        <f t="shared" si="9"/>
        <v>532936.64893375547</v>
      </c>
      <c r="P36" s="34">
        <f t="shared" si="9"/>
        <v>532936.64893375547</v>
      </c>
      <c r="Q36" s="34">
        <f t="shared" si="9"/>
        <v>532936.64893375547</v>
      </c>
      <c r="R36" s="34">
        <f t="shared" si="9"/>
        <v>532936.64893375547</v>
      </c>
      <c r="S36" s="34">
        <f t="shared" si="9"/>
        <v>532936.64893375547</v>
      </c>
      <c r="T36" s="34">
        <f t="shared" si="9"/>
        <v>532936.64893375547</v>
      </c>
      <c r="U36" s="34">
        <f t="shared" si="9"/>
        <v>532936.64893375547</v>
      </c>
      <c r="V36" s="34">
        <f t="shared" si="9"/>
        <v>532936.64893375547</v>
      </c>
      <c r="W36" s="34">
        <f t="shared" si="9"/>
        <v>532936.64893375547</v>
      </c>
      <c r="X36" s="34">
        <f t="shared" si="9"/>
        <v>532936.64893375547</v>
      </c>
      <c r="Y36" s="34">
        <f t="shared" si="9"/>
        <v>532936.64893375547</v>
      </c>
      <c r="Z36" s="34">
        <f t="shared" si="9"/>
        <v>532936.64893375547</v>
      </c>
      <c r="AA36" s="34">
        <f t="shared" si="9"/>
        <v>532936.64893375547</v>
      </c>
      <c r="AB36" s="34">
        <f t="shared" si="9"/>
        <v>532936.64893375547</v>
      </c>
    </row>
    <row r="37" spans="1:28" x14ac:dyDescent="0.3">
      <c r="A37" s="35" t="s">
        <v>80</v>
      </c>
      <c r="D37" s="34">
        <f>-D23-D13</f>
        <v>364128.79073815857</v>
      </c>
      <c r="E37" s="34">
        <f t="shared" ref="E37:AB37" si="10">-E23-E13</f>
        <v>364128.79073815857</v>
      </c>
      <c r="F37" s="34">
        <f t="shared" si="10"/>
        <v>364128.79073815857</v>
      </c>
      <c r="G37" s="34">
        <f t="shared" si="10"/>
        <v>364128.79073815857</v>
      </c>
      <c r="H37" s="34">
        <f t="shared" si="10"/>
        <v>364128.79073815857</v>
      </c>
      <c r="I37" s="34">
        <f t="shared" si="10"/>
        <v>364128.79073815857</v>
      </c>
      <c r="J37" s="34">
        <f t="shared" si="10"/>
        <v>364128.79073815857</v>
      </c>
      <c r="K37" s="34">
        <f t="shared" si="10"/>
        <v>364128.79073815857</v>
      </c>
      <c r="L37" s="34">
        <f t="shared" si="10"/>
        <v>364128.79073815857</v>
      </c>
      <c r="M37" s="34">
        <f t="shared" si="10"/>
        <v>364128.79073815857</v>
      </c>
      <c r="N37" s="34">
        <f t="shared" si="10"/>
        <v>364128.79073815857</v>
      </c>
      <c r="O37" s="34">
        <f t="shared" si="10"/>
        <v>364128.79073815857</v>
      </c>
      <c r="P37" s="34">
        <f t="shared" si="10"/>
        <v>364128.79073815857</v>
      </c>
      <c r="Q37" s="34">
        <f t="shared" si="10"/>
        <v>364128.79073815857</v>
      </c>
      <c r="R37" s="34">
        <f t="shared" si="10"/>
        <v>364128.79073815857</v>
      </c>
      <c r="S37" s="34">
        <f t="shared" si="10"/>
        <v>364128.79073815857</v>
      </c>
      <c r="T37" s="34">
        <f t="shared" si="10"/>
        <v>364128.79073815857</v>
      </c>
      <c r="U37" s="34">
        <f t="shared" si="10"/>
        <v>364128.79073815857</v>
      </c>
      <c r="V37" s="34">
        <f t="shared" si="10"/>
        <v>364128.79073815857</v>
      </c>
      <c r="W37" s="34">
        <f t="shared" si="10"/>
        <v>364128.79073815857</v>
      </c>
      <c r="X37" s="34">
        <f t="shared" si="10"/>
        <v>364128.79073815857</v>
      </c>
      <c r="Y37" s="34">
        <f t="shared" si="10"/>
        <v>364128.79073815857</v>
      </c>
      <c r="Z37" s="34">
        <f t="shared" si="10"/>
        <v>364128.79073815857</v>
      </c>
      <c r="AA37" s="34">
        <f t="shared" si="10"/>
        <v>364128.79073815857</v>
      </c>
      <c r="AB37" s="34">
        <f t="shared" si="10"/>
        <v>364128.79073815857</v>
      </c>
    </row>
    <row r="39" spans="1:28" x14ac:dyDescent="0.3">
      <c r="A39" s="35" t="s">
        <v>81</v>
      </c>
      <c r="D39" s="44">
        <f>D36/D37</f>
        <v>1.4635938230904266</v>
      </c>
      <c r="E39" s="44">
        <f t="shared" ref="E39:W39" si="11">E36/E37</f>
        <v>1.4635938230904266</v>
      </c>
      <c r="F39" s="44">
        <f t="shared" si="11"/>
        <v>1.4635938230904266</v>
      </c>
      <c r="G39" s="44">
        <f t="shared" si="11"/>
        <v>1.4635938230904266</v>
      </c>
      <c r="H39" s="44">
        <f t="shared" si="11"/>
        <v>1.4635938230904266</v>
      </c>
      <c r="I39" s="44">
        <f t="shared" si="11"/>
        <v>1.4635938230904266</v>
      </c>
      <c r="J39" s="44">
        <f t="shared" si="11"/>
        <v>1.4635938230904266</v>
      </c>
      <c r="K39" s="44">
        <f t="shared" si="11"/>
        <v>1.4635938230904266</v>
      </c>
      <c r="L39" s="44">
        <f t="shared" si="11"/>
        <v>1.4635938230904266</v>
      </c>
      <c r="M39" s="44">
        <f t="shared" si="11"/>
        <v>1.4635938230904266</v>
      </c>
      <c r="N39" s="44">
        <f t="shared" si="11"/>
        <v>1.4635938230904266</v>
      </c>
      <c r="O39" s="44">
        <f t="shared" si="11"/>
        <v>1.4635938230904266</v>
      </c>
      <c r="P39" s="44">
        <f t="shared" si="11"/>
        <v>1.4635938230904266</v>
      </c>
      <c r="Q39" s="44">
        <f t="shared" si="11"/>
        <v>1.4635938230904266</v>
      </c>
      <c r="R39" s="44">
        <f t="shared" si="11"/>
        <v>1.4635938230904266</v>
      </c>
      <c r="S39" s="44">
        <f t="shared" si="11"/>
        <v>1.4635938230904266</v>
      </c>
      <c r="T39" s="44">
        <f t="shared" si="11"/>
        <v>1.4635938230904266</v>
      </c>
      <c r="U39" s="44">
        <f t="shared" si="11"/>
        <v>1.4635938230904266</v>
      </c>
      <c r="V39" s="44">
        <f t="shared" si="11"/>
        <v>1.4635938230904266</v>
      </c>
      <c r="W39" s="44">
        <f t="shared" si="11"/>
        <v>1.4635938230904266</v>
      </c>
      <c r="X39" s="44"/>
      <c r="Y39" s="44"/>
      <c r="Z39" s="44"/>
      <c r="AA39" s="44"/>
      <c r="AB39" s="44"/>
    </row>
    <row r="43" spans="1:28" x14ac:dyDescent="0.3">
      <c r="A43" s="35" t="s">
        <v>192</v>
      </c>
    </row>
    <row r="44" spans="1:28" x14ac:dyDescent="0.3">
      <c r="A44" s="35" t="s">
        <v>193</v>
      </c>
      <c r="D44" s="85">
        <v>1</v>
      </c>
      <c r="E44" s="85">
        <f>D44+'Mix 1 Summary'!$R$10</f>
        <v>1</v>
      </c>
      <c r="F44" s="85">
        <f>E44+'Mix 1 Summary'!$R$10</f>
        <v>1</v>
      </c>
      <c r="G44" s="85">
        <f>F44+'Mix 1 Summary'!$R$10</f>
        <v>1</v>
      </c>
      <c r="H44" s="85">
        <f>G44+'Mix 1 Summary'!$R$10</f>
        <v>1</v>
      </c>
      <c r="I44" s="85">
        <f>H44+'Mix 1 Summary'!$R$10</f>
        <v>1</v>
      </c>
      <c r="J44" s="85">
        <f>I44+'Mix 1 Summary'!$R$10</f>
        <v>1</v>
      </c>
      <c r="K44" s="85">
        <f>J44+'Mix 1 Summary'!$R$10</f>
        <v>1</v>
      </c>
      <c r="L44" s="85">
        <f>K44+'Mix 1 Summary'!$R$10</f>
        <v>1</v>
      </c>
      <c r="M44" s="85">
        <f>L44+'Mix 1 Summary'!$R$10</f>
        <v>1</v>
      </c>
      <c r="N44" s="85">
        <f>M44+'Mix 1 Summary'!$R$10</f>
        <v>1</v>
      </c>
      <c r="O44" s="85">
        <f>N44+'Mix 1 Summary'!$R$10</f>
        <v>1</v>
      </c>
      <c r="P44" s="85">
        <f>O44+'Mix 1 Summary'!$R$10</f>
        <v>1</v>
      </c>
      <c r="Q44" s="85">
        <f>P44+'Mix 1 Summary'!$R$10</f>
        <v>1</v>
      </c>
      <c r="R44" s="85">
        <f>Q44+'Mix 1 Summary'!$R$10</f>
        <v>1</v>
      </c>
      <c r="S44" s="85">
        <f>R44+'Mix 1 Summary'!$R$10</f>
        <v>1</v>
      </c>
      <c r="T44" s="85">
        <f>S44+'Mix 1 Summary'!$R$10</f>
        <v>1</v>
      </c>
      <c r="U44" s="85">
        <f>T44+'Mix 1 Summary'!$R$10</f>
        <v>1</v>
      </c>
      <c r="V44" s="85">
        <f>U44+'Mix 1 Summary'!$R$10</f>
        <v>1</v>
      </c>
      <c r="W44" s="85">
        <f>V44+'Mix 1 Summary'!$R$10</f>
        <v>1</v>
      </c>
      <c r="X44" s="85">
        <f>W44+'Mix 1 Summary'!$R$10</f>
        <v>1</v>
      </c>
      <c r="Y44" s="85">
        <f>X44+'Mix 1 Summary'!$R$10</f>
        <v>1</v>
      </c>
      <c r="Z44" s="85">
        <f>Y44+'Mix 1 Summary'!$R$10</f>
        <v>1</v>
      </c>
      <c r="AA44" s="85">
        <f>Z44+'Mix 1 Summary'!$R$10</f>
        <v>1</v>
      </c>
      <c r="AB44" s="85">
        <f>AA44+'Mix 1 Summary'!$R$10</f>
        <v>1</v>
      </c>
    </row>
    <row r="45" spans="1:28" x14ac:dyDescent="0.3">
      <c r="A45" s="35" t="s">
        <v>4</v>
      </c>
      <c r="D45" s="85">
        <v>1</v>
      </c>
      <c r="E45" s="85">
        <f>D45+'Mix 1 Summary'!$R$11</f>
        <v>1</v>
      </c>
      <c r="F45" s="85">
        <f>E45+'Mix 1 Summary'!$R$11</f>
        <v>1</v>
      </c>
      <c r="G45" s="85">
        <f>F45+'Mix 1 Summary'!$R$11</f>
        <v>1</v>
      </c>
      <c r="H45" s="85">
        <f>G45+'Mix 1 Summary'!$R$11</f>
        <v>1</v>
      </c>
      <c r="I45" s="85">
        <f>H45+'Mix 1 Summary'!$R$11</f>
        <v>1</v>
      </c>
      <c r="J45" s="85">
        <f>I45+'Mix 1 Summary'!$R$11</f>
        <v>1</v>
      </c>
      <c r="K45" s="85">
        <f>J45+'Mix 1 Summary'!$R$11</f>
        <v>1</v>
      </c>
      <c r="L45" s="85">
        <f>K45+'Mix 1 Summary'!$R$11</f>
        <v>1</v>
      </c>
      <c r="M45" s="85">
        <f>L45+'Mix 1 Summary'!$R$11</f>
        <v>1</v>
      </c>
      <c r="N45" s="85">
        <f>M45+'Mix 1 Summary'!$R$11</f>
        <v>1</v>
      </c>
      <c r="O45" s="85">
        <f>N45+'Mix 1 Summary'!$R$11</f>
        <v>1</v>
      </c>
      <c r="P45" s="85">
        <f>O45+'Mix 1 Summary'!$R$11</f>
        <v>1</v>
      </c>
      <c r="Q45" s="85">
        <f>P45+'Mix 1 Summary'!$R$11</f>
        <v>1</v>
      </c>
      <c r="R45" s="85">
        <f>Q45+'Mix 1 Summary'!$R$11</f>
        <v>1</v>
      </c>
      <c r="S45" s="85">
        <f>R45+'Mix 1 Summary'!$R$11</f>
        <v>1</v>
      </c>
      <c r="T45" s="85">
        <f>S45+'Mix 1 Summary'!$R$11</f>
        <v>1</v>
      </c>
      <c r="U45" s="85">
        <f>T45+'Mix 1 Summary'!$R$11</f>
        <v>1</v>
      </c>
      <c r="V45" s="85">
        <f>U45+'Mix 1 Summary'!$R$11</f>
        <v>1</v>
      </c>
      <c r="W45" s="85">
        <f>V45+'Mix 1 Summary'!$R$11</f>
        <v>1</v>
      </c>
      <c r="X45" s="85">
        <f>W45+'Mix 1 Summary'!$R$11</f>
        <v>1</v>
      </c>
      <c r="Y45" s="85">
        <f>X45+'Mix 1 Summary'!$R$11</f>
        <v>1</v>
      </c>
      <c r="Z45" s="85">
        <f>Y45+'Mix 1 Summary'!$R$11</f>
        <v>1</v>
      </c>
      <c r="AA45" s="85">
        <f>Z45+'Mix 1 Summary'!$R$11</f>
        <v>1</v>
      </c>
      <c r="AB45" s="85">
        <f>AA45+'Mix 1 Summary'!$R$11</f>
        <v>1</v>
      </c>
    </row>
    <row r="46" spans="1:28" x14ac:dyDescent="0.3">
      <c r="A46" s="35" t="s">
        <v>163</v>
      </c>
      <c r="D46" s="85">
        <v>1</v>
      </c>
      <c r="E46" s="85">
        <f>D46+'Mix 1 Summary'!$R$12</f>
        <v>1</v>
      </c>
      <c r="F46" s="85">
        <f>E46+'Mix 1 Summary'!$R$12</f>
        <v>1</v>
      </c>
      <c r="G46" s="85">
        <f>F46+'Mix 1 Summary'!$R$12</f>
        <v>1</v>
      </c>
      <c r="H46" s="85">
        <f>G46+'Mix 1 Summary'!$R$12</f>
        <v>1</v>
      </c>
      <c r="I46" s="85">
        <f>H46+'Mix 1 Summary'!$R$12</f>
        <v>1</v>
      </c>
      <c r="J46" s="85">
        <f>I46+'Mix 1 Summary'!$R$12</f>
        <v>1</v>
      </c>
      <c r="K46" s="85">
        <f>J46+'Mix 1 Summary'!$R$12</f>
        <v>1</v>
      </c>
      <c r="L46" s="85">
        <f>K46+'Mix 1 Summary'!$R$12</f>
        <v>1</v>
      </c>
      <c r="M46" s="85">
        <f>L46+'Mix 1 Summary'!$R$12</f>
        <v>1</v>
      </c>
      <c r="N46" s="85">
        <f>M46+'Mix 1 Summary'!$R$12</f>
        <v>1</v>
      </c>
      <c r="O46" s="85">
        <f>N46+'Mix 1 Summary'!$R$12</f>
        <v>1</v>
      </c>
      <c r="P46" s="85">
        <f>O46+'Mix 1 Summary'!$R$12</f>
        <v>1</v>
      </c>
      <c r="Q46" s="85">
        <f>P46+'Mix 1 Summary'!$R$12</f>
        <v>1</v>
      </c>
      <c r="R46" s="85">
        <f>Q46+'Mix 1 Summary'!$R$12</f>
        <v>1</v>
      </c>
      <c r="S46" s="85">
        <f>R46+'Mix 1 Summary'!$R$12</f>
        <v>1</v>
      </c>
      <c r="T46" s="85">
        <f>S46+'Mix 1 Summary'!$R$12</f>
        <v>1</v>
      </c>
      <c r="U46" s="85">
        <f>T46+'Mix 1 Summary'!$R$12</f>
        <v>1</v>
      </c>
      <c r="V46" s="85">
        <f>U46+'Mix 1 Summary'!$R$12</f>
        <v>1</v>
      </c>
      <c r="W46" s="85">
        <f>V46+'Mix 1 Summary'!$R$12</f>
        <v>1</v>
      </c>
      <c r="X46" s="85">
        <f>W46+'Mix 1 Summary'!$R$12</f>
        <v>1</v>
      </c>
      <c r="Y46" s="85">
        <f>X46+'Mix 1 Summary'!$R$12</f>
        <v>1</v>
      </c>
      <c r="Z46" s="85">
        <f>Y46+'Mix 1 Summary'!$R$12</f>
        <v>1</v>
      </c>
      <c r="AA46" s="85">
        <f>Z46+'Mix 1 Summary'!$R$12</f>
        <v>1</v>
      </c>
      <c r="AB46" s="85">
        <f>AA46+'Mix 1 Summary'!$R$12</f>
        <v>1</v>
      </c>
    </row>
  </sheetData>
  <sheetProtection algorithmName="SHA-512" hashValue="cLo6piR7vlUjc/L+3iRaZlrPLNsnL3in88hfKhsLOvM0Iubk+betZK5ry6YujGW+Olw68980hW4OqrqbGo+y9w==" saltValue="MCzwSgiE87Az1tHme9cZWQ==" spinCount="100000" sheet="1" objects="1" scenarios="1" selectLockedCells="1" selectUnlockedCells="1"/>
  <mergeCells count="1">
    <mergeCell ref="D3:AB3"/>
  </mergeCells>
  <pageMargins left="0.7" right="0.7" top="0.75" bottom="0.75" header="0.3" footer="0.3"/>
  <pageSetup paperSize="8"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Summary Output</vt:lpstr>
      <vt:lpstr>Generation &amp; Ops Scenarios</vt:lpstr>
      <vt:lpstr>Diesel Summary</vt:lpstr>
      <vt:lpstr>Diesel Interest Calculations</vt:lpstr>
      <vt:lpstr>Diesel Cash Flow</vt:lpstr>
      <vt:lpstr>Diesel Profit and Loss</vt:lpstr>
      <vt:lpstr>Mix 1 Summary</vt:lpstr>
      <vt:lpstr>Mix 1 Interest Calculations</vt:lpstr>
      <vt:lpstr>Mix 1 Cash Flow</vt:lpstr>
      <vt:lpstr>Mix 1 Profit and Loss </vt:lpstr>
      <vt:lpstr>Mix 2 Summary</vt:lpstr>
      <vt:lpstr>Mix 2 Interest Calculations</vt:lpstr>
      <vt:lpstr>Mix 2 Cash Flow</vt:lpstr>
      <vt:lpstr>Mix 2 Profit and Loss</vt:lpstr>
      <vt:lpstr>Mix 3 Summary</vt:lpstr>
      <vt:lpstr>Mix 3 Interest Calculations</vt:lpstr>
      <vt:lpstr>Mix 3 Cash Flow</vt:lpstr>
      <vt:lpstr>Mix 3 Profit and Loss</vt:lpstr>
      <vt:lpstr>Mix 4 Summary</vt:lpstr>
      <vt:lpstr>Mix 4 Interest Calcualtions</vt:lpstr>
      <vt:lpstr>Mix 4 Cash Flow</vt:lpstr>
      <vt:lpstr>Mix 4 Profit and Loss</vt:lpstr>
      <vt:lpstr>100% Renewable Summary</vt:lpstr>
      <vt:lpstr>100% Renewable Interest Calcula</vt:lpstr>
      <vt:lpstr>100% Renewable Cash Flow</vt:lpstr>
      <vt:lpstr>100% Renewable Profit and Loss</vt:lpstr>
      <vt:lpstr>100% Wind Summary</vt:lpstr>
      <vt:lpstr>100% Wind Interest Calculations</vt:lpstr>
      <vt:lpstr>100% Wind Cash Flow</vt:lpstr>
      <vt:lpstr>100% Wind Profit and Loss</vt:lpstr>
      <vt:lpstr>100% Solar Summary</vt:lpstr>
      <vt:lpstr>100% Solar Interest Calculation</vt:lpstr>
      <vt:lpstr>100% Solar Cash Flow</vt:lpstr>
      <vt:lpstr>100% Solar Profit and Loss</vt:lpstr>
      <vt:lpstr>Distribution Scenario BoQs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Chapman</dc:creator>
  <cp:lastModifiedBy>Anthony White</cp:lastModifiedBy>
  <cp:lastPrinted>2022-05-04T13:12:20Z</cp:lastPrinted>
  <dcterms:created xsi:type="dcterms:W3CDTF">2019-03-07T08:40:30Z</dcterms:created>
  <dcterms:modified xsi:type="dcterms:W3CDTF">2022-05-16T17:52:34Z</dcterms:modified>
</cp:coreProperties>
</file>