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a.mahoney\Dropbox\Income Calculators\"/>
    </mc:Choice>
  </mc:AlternateContent>
  <xr:revisionPtr revIDLastSave="0" documentId="13_ncr:1_{309DBB48-B07A-44C2-A145-24885A2947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-1 BuyDown" sheetId="1" r:id="rId1"/>
    <sheet name="Lis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5" i="1" l="1"/>
  <c r="G45" i="1"/>
  <c r="C42" i="1"/>
  <c r="C41" i="1"/>
  <c r="C40" i="1"/>
  <c r="H36" i="1"/>
  <c r="G36" i="1" s="1"/>
  <c r="G33" i="1"/>
  <c r="C33" i="1"/>
  <c r="G32" i="1"/>
  <c r="C32" i="1"/>
  <c r="H28" i="1"/>
  <c r="G28" i="1"/>
  <c r="C25" i="1"/>
  <c r="C24" i="1"/>
  <c r="H20" i="1"/>
  <c r="G20" i="1"/>
  <c r="G17" i="1"/>
  <c r="C17" i="1"/>
  <c r="E17" i="1" s="1"/>
  <c r="E11" i="1"/>
  <c r="L10" i="1"/>
  <c r="L8" i="1"/>
  <c r="L7" i="1"/>
  <c r="E10" i="1" s="1"/>
  <c r="E24" i="1" l="1"/>
  <c r="E32" i="1"/>
  <c r="E40" i="1"/>
  <c r="E41" i="1"/>
  <c r="E42" i="1"/>
  <c r="E25" i="1"/>
  <c r="D40" i="1"/>
  <c r="D25" i="1"/>
  <c r="F25" i="1" s="1"/>
  <c r="H25" i="1" s="1"/>
  <c r="D42" i="1"/>
  <c r="F42" i="1" s="1"/>
  <c r="H42" i="1" s="1"/>
  <c r="D33" i="1"/>
  <c r="D41" i="1"/>
  <c r="D32" i="1"/>
  <c r="D17" i="1"/>
  <c r="F17" i="1" s="1"/>
  <c r="H17" i="1" s="1"/>
  <c r="H18" i="1" s="1"/>
  <c r="H19" i="1" s="1"/>
  <c r="D24" i="1"/>
  <c r="F24" i="1" s="1"/>
  <c r="H24" i="1" s="1"/>
  <c r="E33" i="1"/>
  <c r="F32" i="1" l="1"/>
  <c r="H32" i="1" s="1"/>
  <c r="F41" i="1"/>
  <c r="H41" i="1" s="1"/>
  <c r="F40" i="1"/>
  <c r="H40" i="1" s="1"/>
  <c r="H43" i="1" s="1"/>
  <c r="H44" i="1" s="1"/>
  <c r="H26" i="1"/>
  <c r="H27" i="1" s="1"/>
  <c r="F33" i="1"/>
  <c r="H33" i="1" s="1"/>
  <c r="H34" i="1" l="1"/>
  <c r="H35" i="1" s="1"/>
</calcChain>
</file>

<file path=xl/sharedStrings.xml><?xml version="1.0" encoding="utf-8"?>
<sst xmlns="http://schemas.openxmlformats.org/spreadsheetml/2006/main" count="96" uniqueCount="61">
  <si>
    <t>BUYDOWN CALCULATOR</t>
  </si>
  <si>
    <t>add clear button</t>
  </si>
  <si>
    <t>Loan amount</t>
  </si>
  <si>
    <t>Borrower Name</t>
  </si>
  <si>
    <t>add dropdown that will adjust conditional formating to only show the calculator they select</t>
  </si>
  <si>
    <t xml:space="preserve">Purchase Price </t>
  </si>
  <si>
    <t>Property Address</t>
  </si>
  <si>
    <t>Interest Rate (Annual)</t>
  </si>
  <si>
    <t>The suggestion is two sheets, one for LLPA calcs and one for seller concessions -spoke with BI submitter and did a dropdown instead of second sheet</t>
  </si>
  <si>
    <t>Loan period in years</t>
  </si>
  <si>
    <t>Buyers Agent</t>
  </si>
  <si>
    <t xml:space="preserve">add fields for the LO to enter a PMI rate factor and an estimate of escrows so that the monthly payment and savings will be more accurate. </t>
  </si>
  <si>
    <t xml:space="preserve">PMI Rate Factor: </t>
  </si>
  <si>
    <t>PMI Monthly Amount:</t>
  </si>
  <si>
    <t xml:space="preserve">Estimated Escrow Amount (Annually): </t>
  </si>
  <si>
    <t xml:space="preserve">Escrow amount monthly: </t>
  </si>
  <si>
    <t xml:space="preserve">PMI should rate * Loan amount / 12 </t>
  </si>
  <si>
    <t>Number of payments per year</t>
  </si>
  <si>
    <t>Buyers Agency</t>
  </si>
  <si>
    <t>So if rate is 2.25% on 400k the monthly amount is 750</t>
  </si>
  <si>
    <t>Monthly Payment</t>
  </si>
  <si>
    <t>Listing Agent</t>
  </si>
  <si>
    <t>Payment without the escrow and PMI</t>
  </si>
  <si>
    <t>Total Payments</t>
  </si>
  <si>
    <t>Listing Agency</t>
  </si>
  <si>
    <t xml:space="preserve">Buydown Type: </t>
  </si>
  <si>
    <t>1-0 Buydown</t>
  </si>
  <si>
    <t>Buydown Option (LLPA or Seller Concessions?):</t>
  </si>
  <si>
    <t>Seller Concessions</t>
  </si>
  <si>
    <t>1-0 BUY DOWN</t>
  </si>
  <si>
    <t>Buydown Rate</t>
  </si>
  <si>
    <t xml:space="preserve">Note Rate Payment </t>
  </si>
  <si>
    <t xml:space="preserve">Buydown Payment </t>
  </si>
  <si>
    <t>Monthly Savings</t>
  </si>
  <si>
    <t># of Payments</t>
  </si>
  <si>
    <t>Annual  Savings / Buydown Cost</t>
  </si>
  <si>
    <t xml:space="preserve">Year 1 </t>
  </si>
  <si>
    <t>1-0 Buydown Total Cost</t>
  </si>
  <si>
    <t>Concession Required (Based on Purchase Price)</t>
  </si>
  <si>
    <t>LLPA Adjustment to Pricing</t>
  </si>
  <si>
    <t>1-1 BUY DOWN</t>
  </si>
  <si>
    <t>Year 1</t>
  </si>
  <si>
    <t>12</t>
  </si>
  <si>
    <t>Year 2</t>
  </si>
  <si>
    <t>1-1 Buydown Total Cost</t>
  </si>
  <si>
    <t>2-1 BUY DOWN</t>
  </si>
  <si>
    <t>2-1 Buydown Total Cost</t>
  </si>
  <si>
    <t>3-2-1 BUY DOWN</t>
  </si>
  <si>
    <t>Year 3</t>
  </si>
  <si>
    <t>3-2-1 Buydown Total Cost</t>
  </si>
  <si>
    <t>OWNER: UND</t>
  </si>
  <si>
    <t>PROPRIETARY AND CONFIDENTIAL TO UWM - FOR USE BY UWM APPROVED PARTIES ONLY. NMLS #3038</t>
  </si>
  <si>
    <t>List for E10:</t>
  </si>
  <si>
    <t>List for E11</t>
  </si>
  <si>
    <t>Select One:</t>
  </si>
  <si>
    <t>LLPA</t>
  </si>
  <si>
    <t>1-1 Buydown</t>
  </si>
  <si>
    <t>2-1 Buydown</t>
  </si>
  <si>
    <t>See Both</t>
  </si>
  <si>
    <t>3-2-1 Buydown</t>
  </si>
  <si>
    <t>See All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</si>
</sst>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"/>
    <numFmt numFmtId="165" formatCode="0.000%"/>
    <numFmt numFmtId="166" formatCode="\$#,##0.00"/>
    <numFmt numFmtId="167" formatCode="\$#,##0.00_);[Red]&quot;($&quot;#,##0.00\)"/>
  </numFmts>
  <fonts count="20">
    <font>
      <sz val="10"/>
      <color rgb="FF000000"/>
      <name val="Arial"/>
      <charset val="1"/>
    </font>
    <font>
      <sz val="24"/>
      <color rgb="FFFFFFFF"/>
      <name val="Futura LT Pro Medium"/>
      <family val="2"/>
      <charset val="1"/>
    </font>
    <font>
      <sz val="6"/>
      <color rgb="FFFFFFFF"/>
      <name val="Arial"/>
      <family val="2"/>
      <charset val="1"/>
    </font>
    <font>
      <sz val="11"/>
      <color rgb="FF000000"/>
      <name val="Futura LT Pro Book"/>
      <family val="2"/>
      <charset val="1"/>
    </font>
    <font>
      <sz val="10"/>
      <color rgb="FF000000"/>
      <name val="Arial"/>
      <family val="2"/>
      <charset val="1"/>
    </font>
    <font>
      <sz val="11"/>
      <color rgb="FFFFFFFF"/>
      <name val="Futura LT Pro Book"/>
      <family val="2"/>
      <charset val="1"/>
    </font>
    <font>
      <sz val="10"/>
      <color rgb="FF000000"/>
      <name val="Futura LT Pro Book"/>
      <family val="2"/>
      <charset val="1"/>
    </font>
    <font>
      <sz val="10"/>
      <color rgb="FFFF0000"/>
      <name val="Arial"/>
      <family val="2"/>
      <charset val="1"/>
    </font>
    <font>
      <i/>
      <sz val="11"/>
      <color rgb="FFFF0000"/>
      <name val="Futura LT Pro Book"/>
      <family val="2"/>
      <charset val="1"/>
    </font>
    <font>
      <sz val="10"/>
      <color rgb="FFFFFFFF"/>
      <name val="Futura LT Pro Book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2F2F2"/>
      <name val="Futura LT Pro Book"/>
      <family val="2"/>
      <charset val="1"/>
    </font>
    <font>
      <sz val="11"/>
      <name val="Futura LT Pro Book"/>
      <family val="2"/>
      <charset val="1"/>
    </font>
    <font>
      <b/>
      <sz val="11"/>
      <color rgb="FFA1CE57"/>
      <name val="Futura LT Pro Book"/>
      <family val="2"/>
      <charset val="1"/>
    </font>
    <font>
      <b/>
      <sz val="11"/>
      <color rgb="FFFFFFFF"/>
      <name val="Futura LT Pro Book"/>
      <family val="2"/>
      <charset val="1"/>
    </font>
    <font>
      <sz val="10"/>
      <color rgb="FFF2F2F2"/>
      <name val="Arial"/>
      <family val="2"/>
      <charset val="1"/>
    </font>
    <font>
      <sz val="10"/>
      <color rgb="FF00B050"/>
      <name val="Arial"/>
      <family val="2"/>
      <charset val="1"/>
    </font>
    <font>
      <sz val="6"/>
      <color rgb="FFBFBFBF"/>
      <name val="Futura LT Pro Medium"/>
      <family val="2"/>
      <charset val="1"/>
    </font>
    <font>
      <sz val="10"/>
      <color rgb="FF000000"/>
      <name val="Arial"/>
      <family val="2"/>
    </font>
    <font>
      <sz val="11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005F9E"/>
        <bgColor rgb="FF008080"/>
      </patternFill>
    </fill>
    <fill>
      <patternFill patternType="solid">
        <fgColor rgb="FFE5E6E2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00A39D"/>
        <bgColor rgb="FF00B050"/>
      </patternFill>
    </fill>
    <fill>
      <patternFill patternType="solid">
        <fgColor rgb="FFA1CE57"/>
        <bgColor rgb="FFBFBFBF"/>
      </patternFill>
    </fill>
    <fill>
      <patternFill patternType="solid">
        <fgColor rgb="FF575757"/>
        <bgColor rgb="FF333333"/>
      </patternFill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0" borderId="1" xfId="0" applyBorder="1"/>
    <xf numFmtId="0" fontId="3" fillId="0" borderId="2" xfId="0" applyFont="1" applyBorder="1"/>
    <xf numFmtId="0" fontId="3" fillId="0" borderId="1" xfId="0" applyFont="1" applyBorder="1"/>
    <xf numFmtId="0" fontId="4" fillId="0" borderId="0" xfId="0" applyFont="1"/>
    <xf numFmtId="0" fontId="0" fillId="0" borderId="3" xfId="0" applyBorder="1"/>
    <xf numFmtId="164" fontId="3" fillId="3" borderId="4" xfId="0" applyNumberFormat="1" applyFont="1" applyFill="1" applyBorder="1" applyAlignment="1" applyProtection="1">
      <alignment horizontal="right"/>
      <protection locked="0"/>
    </xf>
    <xf numFmtId="0" fontId="3" fillId="0" borderId="5" xfId="0" applyFont="1" applyBorder="1"/>
    <xf numFmtId="0" fontId="5" fillId="2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7" fillId="0" borderId="0" xfId="0" applyFont="1"/>
    <xf numFmtId="165" fontId="3" fillId="3" borderId="4" xfId="0" applyNumberFormat="1" applyFont="1" applyFill="1" applyBorder="1" applyAlignment="1" applyProtection="1">
      <alignment horizontal="right"/>
      <protection locked="0"/>
    </xf>
    <xf numFmtId="0" fontId="8" fillId="0" borderId="5" xfId="0" applyFont="1" applyBorder="1"/>
    <xf numFmtId="0" fontId="3" fillId="3" borderId="4" xfId="0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0" fontId="3" fillId="3" borderId="4" xfId="0" applyNumberFormat="1" applyFont="1" applyFill="1" applyBorder="1" applyAlignment="1" applyProtection="1">
      <alignment horizontal="right"/>
      <protection locked="0"/>
    </xf>
    <xf numFmtId="166" fontId="0" fillId="0" borderId="0" xfId="0" applyNumberFormat="1"/>
    <xf numFmtId="166" fontId="3" fillId="3" borderId="4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right"/>
    </xf>
    <xf numFmtId="0" fontId="9" fillId="2" borderId="1" xfId="0" applyFont="1" applyFill="1" applyBorder="1" applyAlignment="1" applyProtection="1">
      <alignment horizontal="left"/>
      <protection locked="0"/>
    </xf>
    <xf numFmtId="166" fontId="3" fillId="0" borderId="4" xfId="0" applyNumberFormat="1" applyFont="1" applyBorder="1" applyAlignment="1">
      <alignment horizontal="right"/>
    </xf>
    <xf numFmtId="167" fontId="0" fillId="0" borderId="0" xfId="0" applyNumberFormat="1"/>
    <xf numFmtId="0" fontId="3" fillId="0" borderId="6" xfId="0" applyFont="1" applyBorder="1"/>
    <xf numFmtId="0" fontId="5" fillId="2" borderId="2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6" fillId="0" borderId="2" xfId="0" applyFont="1" applyBorder="1"/>
    <xf numFmtId="0" fontId="0" fillId="0" borderId="5" xfId="0" applyBorder="1"/>
    <xf numFmtId="0" fontId="3" fillId="0" borderId="4" xfId="0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6" fontId="12" fillId="4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166" fontId="3" fillId="6" borderId="9" xfId="0" applyNumberFormat="1" applyFont="1" applyFill="1" applyBorder="1" applyAlignment="1">
      <alignment horizontal="center" vertical="center"/>
    </xf>
    <xf numFmtId="0" fontId="0" fillId="0" borderId="10" xfId="0" applyBorder="1"/>
    <xf numFmtId="165" fontId="3" fillId="6" borderId="1" xfId="0" applyNumberFormat="1" applyFont="1" applyFill="1" applyBorder="1" applyAlignment="1">
      <alignment horizontal="center" vertical="center"/>
    </xf>
    <xf numFmtId="0" fontId="0" fillId="0" borderId="6" xfId="0" applyBorder="1"/>
    <xf numFmtId="165" fontId="5" fillId="7" borderId="2" xfId="0" applyNumberFormat="1" applyFont="1" applyFill="1" applyBorder="1" applyAlignment="1">
      <alignment horizontal="center" vertical="center"/>
    </xf>
    <xf numFmtId="166" fontId="3" fillId="6" borderId="10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166" fontId="3" fillId="6" borderId="1" xfId="0" applyNumberFormat="1" applyFont="1" applyFill="1" applyBorder="1" applyAlignment="1">
      <alignment horizontal="center" vertical="center"/>
    </xf>
    <xf numFmtId="0" fontId="0" fillId="0" borderId="9" xfId="0" applyBorder="1"/>
    <xf numFmtId="0" fontId="15" fillId="0" borderId="9" xfId="0" applyFont="1" applyBorder="1"/>
    <xf numFmtId="0" fontId="16" fillId="0" borderId="9" xfId="0" applyFont="1" applyBorder="1"/>
    <xf numFmtId="0" fontId="1" fillId="2" borderId="0" xfId="0" applyFont="1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49" fontId="11" fillId="2" borderId="0" xfId="0" applyNumberFormat="1" applyFont="1" applyFill="1" applyAlignment="1">
      <alignment horizontal="center" vertical="center"/>
    </xf>
    <xf numFmtId="2" fontId="11" fillId="5" borderId="9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48"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 style="thin">
          <color auto="1"/>
        </bottom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 style="thin">
          <color auto="1"/>
        </bottom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 style="thin">
          <color auto="1"/>
        </top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  <dxf>
      <font>
        <color rgb="FFFFFFFF"/>
      </font>
      <fill>
        <patternFill>
          <bgColor rgb="FFFFFFFF"/>
        </patternFill>
      </fill>
      <border diagonalUp="0" diagonalDown="0">
        <left/>
        <right/>
        <top/>
        <bottom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A39D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5F9E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E6E2"/>
      <rgbColor rgb="FFFFFF99"/>
      <rgbColor rgb="FF99CCFF"/>
      <rgbColor rgb="FFFF99CC"/>
      <rgbColor rgb="FFCC99FF"/>
      <rgbColor rgb="FFFFCC99"/>
      <rgbColor rgb="FF3366FF"/>
      <rgbColor rgb="FF33CCCC"/>
      <rgbColor rgb="FFA1CE57"/>
      <rgbColor rgb="FFFFCC00"/>
      <rgbColor rgb="FFFF9900"/>
      <rgbColor rgb="FFFF6600"/>
      <rgbColor rgb="FF575757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1141920</xdr:colOff>
      <xdr:row>47</xdr:row>
      <xdr:rowOff>32400</xdr:rowOff>
    </xdr:from>
    <xdr:to>
      <xdr:col>7</xdr:col>
      <xdr:colOff>168120</xdr:colOff>
      <xdr:row>48</xdr:row>
      <xdr:rowOff>97200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81960" y="9204840"/>
          <a:ext cx="266400" cy="22680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0</xdr:row>
          <xdr:rowOff>180975</xdr:rowOff>
        </xdr:from>
        <xdr:to>
          <xdr:col>7</xdr:col>
          <xdr:colOff>1838325</xdr:colOff>
          <xdr:row>0</xdr:row>
          <xdr:rowOff>485775</xdr:rowOff>
        </xdr:to>
        <xdr:sp macro="" textlink="">
          <xdr:nvSpPr>
            <xdr:cNvPr id="1001" name="Button 5" descr="Clear Form" hidden="1">
              <a:extLst>
                <a:ext uri="{63B3BB69-23CF-44E3-9099-C40C66FF867C}">
                  <a14:compatExt spid="_x0000_s1001"/>
                </a:ext>
                <a:ext uri="{FF2B5EF4-FFF2-40B4-BE49-F238E27FC236}">
                  <a16:creationId xmlns:a16="http://schemas.microsoft.com/office/drawing/2014/main" id="{00000000-0008-0000-0000-0000E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ptos Narrow"/>
                </a:rPr>
                <a:t>Clear Form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657225</xdr:colOff>
          <xdr:row>0</xdr:row>
          <xdr:rowOff>180975</xdr:rowOff>
        </xdr:from>
        <xdr:to>
          <xdr:col>8</xdr:col>
          <xdr:colOff>390525</xdr:colOff>
          <xdr:row>1</xdr:row>
          <xdr:rowOff>85725</xdr:rowOff>
        </xdr:to>
        <xdr:sp macro="" textlink="">
          <xdr:nvSpPr>
            <xdr:cNvPr id="1025" name="shape_0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Clear Form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0</xdr:row>
          <xdr:rowOff>180975</xdr:rowOff>
        </xdr:from>
        <xdr:to>
          <xdr:col>8</xdr:col>
          <xdr:colOff>390525</xdr:colOff>
          <xdr:row>1</xdr:row>
          <xdr:rowOff>85725</xdr:rowOff>
        </xdr:to>
        <xdr:sp macro="" textlink="">
          <xdr:nvSpPr>
            <xdr:cNvPr id="1026" name="Button 5" descr="Clear Form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ptos Narrow"/>
                </a:rPr>
                <a:t>Clear Form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tabSelected="1" zoomScaleNormal="100" zoomScalePageLayoutView="60" workbookViewId="0">
      <selection activeCell="E12" sqref="E12"/>
    </sheetView>
  </sheetViews>
  <sheetFormatPr defaultColWidth="5" defaultRowHeight="12.75" zeroHeight="1"/>
  <cols>
    <col min="1" max="1" width="3.42578125" customWidth="1"/>
    <col min="2" max="2" width="10.140625" customWidth="1"/>
    <col min="3" max="3" width="15.5703125" customWidth="1"/>
    <col min="4" max="4" width="21" customWidth="1"/>
    <col min="5" max="5" width="23.5703125" customWidth="1"/>
    <col min="6" max="7" width="17.5703125" customWidth="1"/>
    <col min="8" max="8" width="33.42578125" customWidth="1"/>
    <col min="9" max="9" width="6.5703125" customWidth="1"/>
    <col min="10" max="10" width="5" hidden="1"/>
    <col min="11" max="11" width="14" hidden="1" customWidth="1"/>
    <col min="12" max="12" width="10.5703125" hidden="1" customWidth="1"/>
    <col min="13" max="1024" width="5" hidden="1"/>
  </cols>
  <sheetData>
    <row r="1" spans="1:20" ht="45" customHeight="1">
      <c r="A1" s="1"/>
      <c r="B1" s="51" t="s">
        <v>0</v>
      </c>
      <c r="C1" s="51"/>
      <c r="D1" s="51"/>
      <c r="E1" s="51"/>
      <c r="F1" s="51"/>
      <c r="G1" s="51"/>
      <c r="H1" s="51"/>
      <c r="I1" s="2">
        <v>20221117</v>
      </c>
    </row>
    <row r="2" spans="1:20" ht="14.25">
      <c r="A2" s="3"/>
      <c r="B2" s="4"/>
      <c r="C2" s="4"/>
      <c r="D2" s="4"/>
      <c r="E2" s="4"/>
      <c r="F2" s="5"/>
      <c r="G2" s="5"/>
      <c r="H2" s="5"/>
      <c r="I2" s="5"/>
      <c r="R2" s="6" t="s">
        <v>1</v>
      </c>
    </row>
    <row r="3" spans="1:20" ht="14.25">
      <c r="A3" s="7"/>
      <c r="B3" s="52" t="s">
        <v>2</v>
      </c>
      <c r="C3" s="52"/>
      <c r="D3" s="52"/>
      <c r="E3" s="8">
        <v>315250</v>
      </c>
      <c r="F3" s="9"/>
      <c r="G3" s="10" t="s">
        <v>3</v>
      </c>
      <c r="H3" s="11"/>
      <c r="I3" s="3"/>
      <c r="R3" s="12" t="s">
        <v>4</v>
      </c>
    </row>
    <row r="4" spans="1:20" ht="14.25">
      <c r="A4" s="7"/>
      <c r="B4" s="52" t="s">
        <v>5</v>
      </c>
      <c r="C4" s="52"/>
      <c r="D4" s="52"/>
      <c r="E4" s="8">
        <v>485000</v>
      </c>
      <c r="F4" s="9"/>
      <c r="G4" s="53" t="s">
        <v>6</v>
      </c>
      <c r="H4" s="11"/>
      <c r="I4" s="3"/>
    </row>
    <row r="5" spans="1:20" ht="14.25">
      <c r="A5" s="7"/>
      <c r="B5" s="52" t="s">
        <v>7</v>
      </c>
      <c r="C5" s="52"/>
      <c r="D5" s="52"/>
      <c r="E5" s="13">
        <v>7.1239999999999998E-2</v>
      </c>
      <c r="F5" s="14"/>
      <c r="G5" s="53"/>
      <c r="H5" s="11"/>
      <c r="I5" s="3"/>
      <c r="R5" s="6" t="s">
        <v>8</v>
      </c>
    </row>
    <row r="6" spans="1:20" ht="14.25">
      <c r="A6" s="7"/>
      <c r="B6" s="52" t="s">
        <v>9</v>
      </c>
      <c r="C6" s="52"/>
      <c r="D6" s="52"/>
      <c r="E6" s="15">
        <v>30</v>
      </c>
      <c r="F6" s="9"/>
      <c r="G6" s="10" t="s">
        <v>10</v>
      </c>
      <c r="H6" s="16"/>
      <c r="I6" s="3"/>
      <c r="L6" s="6"/>
      <c r="R6" s="12" t="s">
        <v>11</v>
      </c>
    </row>
    <row r="7" spans="1:20" ht="14.25">
      <c r="A7" s="7"/>
      <c r="B7" s="52" t="s">
        <v>12</v>
      </c>
      <c r="C7" s="52"/>
      <c r="D7" s="52"/>
      <c r="E7" s="17"/>
      <c r="F7" s="9"/>
      <c r="G7" s="10"/>
      <c r="H7" s="16"/>
      <c r="I7" s="3"/>
      <c r="K7" s="6" t="s">
        <v>13</v>
      </c>
      <c r="L7" s="18">
        <f>(E7*E3)/12</f>
        <v>0</v>
      </c>
      <c r="R7" s="6"/>
    </row>
    <row r="8" spans="1:20" ht="14.25">
      <c r="A8" s="7"/>
      <c r="B8" s="52" t="s">
        <v>14</v>
      </c>
      <c r="C8" s="52"/>
      <c r="D8" s="52"/>
      <c r="E8" s="19"/>
      <c r="F8" s="9"/>
      <c r="G8" s="10"/>
      <c r="H8" s="16"/>
      <c r="I8" s="3"/>
      <c r="K8" s="6" t="s">
        <v>15</v>
      </c>
      <c r="L8" s="18">
        <f>E8/12</f>
        <v>0</v>
      </c>
      <c r="R8" s="6" t="s">
        <v>16</v>
      </c>
    </row>
    <row r="9" spans="1:20" ht="14.25">
      <c r="A9" s="7"/>
      <c r="B9" s="52" t="s">
        <v>17</v>
      </c>
      <c r="C9" s="52"/>
      <c r="D9" s="52"/>
      <c r="E9" s="20">
        <v>12</v>
      </c>
      <c r="F9" s="9"/>
      <c r="G9" s="21" t="s">
        <v>18</v>
      </c>
      <c r="H9" s="16"/>
      <c r="I9" s="3"/>
      <c r="R9" s="6" t="s">
        <v>19</v>
      </c>
    </row>
    <row r="10" spans="1:20" ht="14.25">
      <c r="A10" s="7"/>
      <c r="B10" s="52" t="s">
        <v>20</v>
      </c>
      <c r="C10" s="52"/>
      <c r="D10" s="52"/>
      <c r="E10" s="22">
        <f>IF(E3="","",IF(E5="","",IF(E9="","",IF(E11="","",-PMT(E5/E9,E11,E3)+L7+L8))))</f>
        <v>2123.6848678916813</v>
      </c>
      <c r="F10" s="9"/>
      <c r="G10" s="10" t="s">
        <v>21</v>
      </c>
      <c r="H10" s="16"/>
      <c r="I10" s="3"/>
      <c r="K10" s="6" t="s">
        <v>22</v>
      </c>
      <c r="L10" s="23">
        <f>-PMT(E5/E9,E11,E3)</f>
        <v>2123.6848678916813</v>
      </c>
    </row>
    <row r="11" spans="1:20" ht="14.25">
      <c r="A11" s="7"/>
      <c r="B11" s="52" t="s">
        <v>23</v>
      </c>
      <c r="C11" s="52"/>
      <c r="D11" s="52"/>
      <c r="E11" s="20">
        <f>IF(E6="","",E6*12)</f>
        <v>360</v>
      </c>
      <c r="F11" s="24"/>
      <c r="G11" s="25" t="s">
        <v>24</v>
      </c>
      <c r="H11" s="26"/>
      <c r="I11" s="3"/>
      <c r="L11" s="6"/>
      <c r="T11" s="27"/>
    </row>
    <row r="12" spans="1:20" ht="14.25">
      <c r="A12" s="7"/>
      <c r="B12" s="52" t="s">
        <v>25</v>
      </c>
      <c r="C12" s="52"/>
      <c r="D12" s="52"/>
      <c r="E12" s="15" t="s">
        <v>26</v>
      </c>
      <c r="F12" s="28"/>
      <c r="G12" s="28"/>
      <c r="H12" s="28"/>
      <c r="I12" s="29"/>
      <c r="L12" s="18"/>
      <c r="T12" s="6"/>
    </row>
    <row r="13" spans="1:20" ht="14.25">
      <c r="A13" s="7"/>
      <c r="B13" s="52" t="s">
        <v>27</v>
      </c>
      <c r="C13" s="52"/>
      <c r="D13" s="52"/>
      <c r="E13" s="15" t="s">
        <v>58</v>
      </c>
      <c r="F13" s="54"/>
      <c r="G13" s="54"/>
      <c r="H13" s="54"/>
      <c r="I13" s="29"/>
      <c r="L13" s="18"/>
      <c r="T13" s="6"/>
    </row>
    <row r="14" spans="1:20">
      <c r="A14" s="7"/>
      <c r="B14" s="55"/>
      <c r="C14" s="55"/>
      <c r="D14" s="55"/>
      <c r="E14" s="55"/>
      <c r="F14" s="55"/>
      <c r="G14" s="55"/>
      <c r="H14" s="55"/>
      <c r="I14" s="29"/>
      <c r="T14" s="6"/>
    </row>
    <row r="15" spans="1:20" ht="15">
      <c r="A15" s="7"/>
      <c r="B15" s="56" t="s">
        <v>29</v>
      </c>
      <c r="C15" s="56"/>
      <c r="D15" s="56"/>
      <c r="E15" s="56"/>
      <c r="F15" s="56"/>
      <c r="G15" s="56"/>
      <c r="H15" s="56"/>
      <c r="I15" s="29"/>
      <c r="T15" s="6"/>
    </row>
    <row r="16" spans="1:20" ht="15">
      <c r="A16" s="7"/>
      <c r="B16" s="30"/>
      <c r="C16" s="31" t="s">
        <v>30</v>
      </c>
      <c r="D16" s="31" t="s">
        <v>31</v>
      </c>
      <c r="E16" s="32" t="s">
        <v>32</v>
      </c>
      <c r="F16" s="31" t="s">
        <v>33</v>
      </c>
      <c r="G16" s="31" t="s">
        <v>34</v>
      </c>
      <c r="H16" s="31" t="s">
        <v>35</v>
      </c>
      <c r="I16" s="29"/>
      <c r="T16" s="6"/>
    </row>
    <row r="17" spans="1:20" ht="14.25">
      <c r="A17" s="7"/>
      <c r="B17" s="30" t="s">
        <v>36</v>
      </c>
      <c r="C17" s="33">
        <f>E5-0.01</f>
        <v>6.1239999999999996E-2</v>
      </c>
      <c r="D17" s="34">
        <f>E10</f>
        <v>2123.6848678916813</v>
      </c>
      <c r="E17" s="35">
        <f>-PMT(C17/E9,E11,E3)+L7+L8</f>
        <v>1915.2883664051769</v>
      </c>
      <c r="F17" s="34">
        <f>D17-E17</f>
        <v>208.39650148650435</v>
      </c>
      <c r="G17" s="36">
        <f>E9</f>
        <v>12</v>
      </c>
      <c r="H17" s="34">
        <f>F17*G17</f>
        <v>2500.7580178380522</v>
      </c>
      <c r="I17" s="29"/>
      <c r="T17" s="6"/>
    </row>
    <row r="18" spans="1:20" ht="15">
      <c r="A18" s="7"/>
      <c r="B18" s="57" t="s">
        <v>37</v>
      </c>
      <c r="C18" s="57"/>
      <c r="D18" s="57"/>
      <c r="E18" s="57"/>
      <c r="F18" s="57"/>
      <c r="G18" s="57"/>
      <c r="H18" s="37">
        <f>SUM(H17)</f>
        <v>2500.7580178380522</v>
      </c>
      <c r="I18" s="29"/>
      <c r="T18" s="6"/>
    </row>
    <row r="19" spans="1:20" ht="15">
      <c r="A19" s="38"/>
      <c r="B19" s="58" t="s">
        <v>38</v>
      </c>
      <c r="C19" s="58"/>
      <c r="D19" s="58"/>
      <c r="E19" s="58"/>
      <c r="F19" s="58"/>
      <c r="G19" s="58"/>
      <c r="H19" s="39">
        <f>SUM(H18/E4)</f>
        <v>5.1562020986351594E-3</v>
      </c>
      <c r="I19" s="40"/>
    </row>
    <row r="20" spans="1:20" ht="15">
      <c r="A20" s="38"/>
      <c r="B20" s="59" t="s">
        <v>39</v>
      </c>
      <c r="C20" s="59"/>
      <c r="D20" s="59"/>
      <c r="E20" s="59"/>
      <c r="F20" s="59"/>
      <c r="G20" s="41">
        <f>SUM(H20/E3)</f>
        <v>8.7500000000000008E-3</v>
      </c>
      <c r="H20" s="42">
        <f>E3*0.00875</f>
        <v>2758.4375000000005</v>
      </c>
      <c r="I20" s="40"/>
    </row>
    <row r="21" spans="1:20" ht="18" customHeight="1">
      <c r="A21" s="7"/>
      <c r="B21" s="60"/>
      <c r="C21" s="60"/>
      <c r="D21" s="60"/>
      <c r="E21" s="60"/>
      <c r="F21" s="60"/>
      <c r="G21" s="60"/>
      <c r="H21" s="60"/>
      <c r="I21" s="3"/>
    </row>
    <row r="22" spans="1:20" ht="15">
      <c r="A22" s="7"/>
      <c r="B22" s="61" t="s">
        <v>40</v>
      </c>
      <c r="C22" s="61"/>
      <c r="D22" s="61"/>
      <c r="E22" s="61"/>
      <c r="F22" s="61"/>
      <c r="G22" s="61"/>
      <c r="H22" s="61"/>
      <c r="I22" s="29"/>
    </row>
    <row r="23" spans="1:20" ht="15">
      <c r="A23" s="7"/>
      <c r="B23" s="30"/>
      <c r="C23" s="31" t="s">
        <v>30</v>
      </c>
      <c r="D23" s="31" t="s">
        <v>31</v>
      </c>
      <c r="E23" s="32" t="s">
        <v>32</v>
      </c>
      <c r="F23" s="31" t="s">
        <v>33</v>
      </c>
      <c r="G23" s="31" t="s">
        <v>34</v>
      </c>
      <c r="H23" s="31" t="s">
        <v>35</v>
      </c>
      <c r="I23" s="29"/>
    </row>
    <row r="24" spans="1:20" ht="14.25">
      <c r="A24" s="7"/>
      <c r="B24" s="30" t="s">
        <v>41</v>
      </c>
      <c r="C24" s="33">
        <f>E5-0.01</f>
        <v>6.1239999999999996E-2</v>
      </c>
      <c r="D24" s="34">
        <f>E10</f>
        <v>2123.6848678916813</v>
      </c>
      <c r="E24" s="34">
        <f>-PMT(C24/E9,E11,E3)+L7+L8</f>
        <v>1915.2883664051769</v>
      </c>
      <c r="F24" s="34">
        <f>D24-E24</f>
        <v>208.39650148650435</v>
      </c>
      <c r="G24" s="36" t="s">
        <v>42</v>
      </c>
      <c r="H24" s="34">
        <f>F24*G24</f>
        <v>2500.7580178380522</v>
      </c>
      <c r="I24" s="29"/>
    </row>
    <row r="25" spans="1:20" ht="14.25">
      <c r="A25" s="7"/>
      <c r="B25" s="43" t="s">
        <v>43</v>
      </c>
      <c r="C25" s="44">
        <f>E5-0.01</f>
        <v>6.1239999999999996E-2</v>
      </c>
      <c r="D25" s="34">
        <f>E10</f>
        <v>2123.6848678916813</v>
      </c>
      <c r="E25" s="45">
        <f>-PMT(C25/E9,E11,E3)+L7+L8</f>
        <v>1915.2883664051769</v>
      </c>
      <c r="F25" s="34">
        <f>D25-E25</f>
        <v>208.39650148650435</v>
      </c>
      <c r="G25" s="46" t="s">
        <v>42</v>
      </c>
      <c r="H25" s="45">
        <f>F25*G25</f>
        <v>2500.7580178380522</v>
      </c>
      <c r="I25" s="29"/>
    </row>
    <row r="26" spans="1:20" ht="15">
      <c r="A26" s="7"/>
      <c r="B26" s="62" t="s">
        <v>44</v>
      </c>
      <c r="C26" s="62"/>
      <c r="D26" s="62"/>
      <c r="E26" s="62"/>
      <c r="F26" s="62"/>
      <c r="G26" s="62"/>
      <c r="H26" s="47">
        <f>SUM(H24:H25)</f>
        <v>5001.5160356761044</v>
      </c>
      <c r="I26" s="29"/>
    </row>
    <row r="27" spans="1:20" ht="15">
      <c r="A27" s="7"/>
      <c r="B27" s="58" t="s">
        <v>38</v>
      </c>
      <c r="C27" s="58"/>
      <c r="D27" s="58"/>
      <c r="E27" s="58"/>
      <c r="F27" s="58"/>
      <c r="G27" s="58"/>
      <c r="H27" s="39">
        <f>SUM(H26/E4)</f>
        <v>1.0312404197270319E-2</v>
      </c>
      <c r="I27" s="29"/>
    </row>
    <row r="28" spans="1:20" ht="15">
      <c r="A28" s="38"/>
      <c r="B28" s="59" t="s">
        <v>39</v>
      </c>
      <c r="C28" s="59"/>
      <c r="D28" s="59"/>
      <c r="E28" s="59"/>
      <c r="F28" s="59"/>
      <c r="G28" s="41">
        <f>SUM(H28/E3)</f>
        <v>1.4999999999999999E-2</v>
      </c>
      <c r="H28" s="42">
        <f>E3*0.015</f>
        <v>4728.75</v>
      </c>
      <c r="I28" s="40"/>
    </row>
    <row r="29" spans="1:20" ht="18" customHeight="1">
      <c r="A29" s="7"/>
      <c r="B29" s="60"/>
      <c r="C29" s="60"/>
      <c r="D29" s="60"/>
      <c r="E29" s="60"/>
      <c r="F29" s="60"/>
      <c r="G29" s="60"/>
      <c r="H29" s="60"/>
      <c r="I29" s="3"/>
    </row>
    <row r="30" spans="1:20" ht="15">
      <c r="A30" s="7"/>
      <c r="B30" s="61" t="s">
        <v>45</v>
      </c>
      <c r="C30" s="61"/>
      <c r="D30" s="61"/>
      <c r="E30" s="61"/>
      <c r="F30" s="61"/>
      <c r="G30" s="61"/>
      <c r="H30" s="61"/>
      <c r="I30" s="29"/>
    </row>
    <row r="31" spans="1:20" ht="15">
      <c r="A31" s="7"/>
      <c r="B31" s="30"/>
      <c r="C31" s="31" t="s">
        <v>30</v>
      </c>
      <c r="D31" s="31" t="s">
        <v>31</v>
      </c>
      <c r="E31" s="32" t="s">
        <v>32</v>
      </c>
      <c r="F31" s="31" t="s">
        <v>33</v>
      </c>
      <c r="G31" s="31" t="s">
        <v>34</v>
      </c>
      <c r="H31" s="31" t="s">
        <v>35</v>
      </c>
      <c r="I31" s="29"/>
    </row>
    <row r="32" spans="1:20" ht="14.25">
      <c r="A32" s="7"/>
      <c r="B32" s="30" t="s">
        <v>41</v>
      </c>
      <c r="C32" s="33">
        <f>E5-0.02</f>
        <v>5.1239999999999994E-2</v>
      </c>
      <c r="D32" s="34">
        <f>E10</f>
        <v>2123.6848678916813</v>
      </c>
      <c r="E32" s="34">
        <f>-PMT(C32/E9,E11,E3)+L7+L8</f>
        <v>1716.3012139161683</v>
      </c>
      <c r="F32" s="34">
        <f>D32-E32</f>
        <v>407.38365397551297</v>
      </c>
      <c r="G32" s="36">
        <f>E9</f>
        <v>12</v>
      </c>
      <c r="H32" s="34">
        <f>F32*G32</f>
        <v>4888.6038477061556</v>
      </c>
      <c r="I32" s="29"/>
    </row>
    <row r="33" spans="1:9" ht="14.25">
      <c r="A33" s="7"/>
      <c r="B33" s="43" t="s">
        <v>43</v>
      </c>
      <c r="C33" s="44">
        <f>E5-0.01</f>
        <v>6.1239999999999996E-2</v>
      </c>
      <c r="D33" s="45">
        <f>E10</f>
        <v>2123.6848678916813</v>
      </c>
      <c r="E33" s="45">
        <f>-PMT(C33/E9,E11,E3)+L7+L8</f>
        <v>1915.2883664051769</v>
      </c>
      <c r="F33" s="34">
        <f>D33-E33</f>
        <v>208.39650148650435</v>
      </c>
      <c r="G33" s="46">
        <f>E9</f>
        <v>12</v>
      </c>
      <c r="H33" s="45">
        <f>F33*G33</f>
        <v>2500.7580178380522</v>
      </c>
      <c r="I33" s="29"/>
    </row>
    <row r="34" spans="1:9" ht="15">
      <c r="A34" s="7"/>
      <c r="B34" s="62" t="s">
        <v>46</v>
      </c>
      <c r="C34" s="62"/>
      <c r="D34" s="62"/>
      <c r="E34" s="62"/>
      <c r="F34" s="62"/>
      <c r="G34" s="62"/>
      <c r="H34" s="47">
        <f>SUM(H32:H33)</f>
        <v>7389.3618655442078</v>
      </c>
      <c r="I34" s="29"/>
    </row>
    <row r="35" spans="1:9" ht="15">
      <c r="A35" s="7"/>
      <c r="B35" s="58" t="s">
        <v>38</v>
      </c>
      <c r="C35" s="58"/>
      <c r="D35" s="58"/>
      <c r="E35" s="58"/>
      <c r="F35" s="58"/>
      <c r="G35" s="58"/>
      <c r="H35" s="39">
        <f>SUM(H34/E4)</f>
        <v>1.5235797660915892E-2</v>
      </c>
      <c r="I35" s="29"/>
    </row>
    <row r="36" spans="1:9" ht="15">
      <c r="A36" s="38"/>
      <c r="B36" s="59" t="s">
        <v>39</v>
      </c>
      <c r="C36" s="59"/>
      <c r="D36" s="59"/>
      <c r="E36" s="59"/>
      <c r="F36" s="59"/>
      <c r="G36" s="41">
        <f>SUM(H36/E3)</f>
        <v>2.375E-2</v>
      </c>
      <c r="H36" s="42">
        <f>E3*0.02375</f>
        <v>7487.1875</v>
      </c>
      <c r="I36" s="40"/>
    </row>
    <row r="37" spans="1:9" ht="18" customHeight="1">
      <c r="A37" s="7"/>
      <c r="B37" s="60"/>
      <c r="C37" s="60"/>
      <c r="D37" s="60"/>
      <c r="E37" s="60"/>
      <c r="F37" s="60"/>
      <c r="G37" s="60"/>
      <c r="H37" s="60"/>
      <c r="I37" s="3"/>
    </row>
    <row r="38" spans="1:9" ht="15">
      <c r="A38" s="7"/>
      <c r="B38" s="61" t="s">
        <v>47</v>
      </c>
      <c r="C38" s="61"/>
      <c r="D38" s="61"/>
      <c r="E38" s="61"/>
      <c r="F38" s="61"/>
      <c r="G38" s="61"/>
      <c r="H38" s="61"/>
      <c r="I38" s="29"/>
    </row>
    <row r="39" spans="1:9" ht="15">
      <c r="A39" s="7"/>
      <c r="B39" s="30"/>
      <c r="C39" s="31" t="s">
        <v>30</v>
      </c>
      <c r="D39" s="31" t="s">
        <v>31</v>
      </c>
      <c r="E39" s="32" t="s">
        <v>32</v>
      </c>
      <c r="F39" s="31" t="s">
        <v>33</v>
      </c>
      <c r="G39" s="31" t="s">
        <v>34</v>
      </c>
      <c r="H39" s="31" t="s">
        <v>35</v>
      </c>
      <c r="I39" s="29"/>
    </row>
    <row r="40" spans="1:9" ht="14.25">
      <c r="A40" s="7"/>
      <c r="B40" s="30" t="s">
        <v>41</v>
      </c>
      <c r="C40" s="33">
        <f>E5-0.03</f>
        <v>4.1239999999999999E-2</v>
      </c>
      <c r="D40" s="34">
        <f>E10</f>
        <v>2123.6848678916813</v>
      </c>
      <c r="E40" s="34">
        <f>-PMT(C40/E9,E11,E3)+L7+L8</f>
        <v>1527.6751300321607</v>
      </c>
      <c r="F40" s="34">
        <f>D40-E40</f>
        <v>596.00973785952056</v>
      </c>
      <c r="G40" s="36" t="s">
        <v>42</v>
      </c>
      <c r="H40" s="34">
        <f>F40*G40</f>
        <v>7152.1168543142467</v>
      </c>
      <c r="I40" s="29"/>
    </row>
    <row r="41" spans="1:9" ht="14.25">
      <c r="A41" s="7"/>
      <c r="B41" s="43" t="s">
        <v>43</v>
      </c>
      <c r="C41" s="44">
        <f>E5-0.02</f>
        <v>5.1239999999999994E-2</v>
      </c>
      <c r="D41" s="45">
        <f>E10</f>
        <v>2123.6848678916813</v>
      </c>
      <c r="E41" s="45">
        <f>-PMT(C41/E9,E11,E3)+L7+L8</f>
        <v>1716.3012139161683</v>
      </c>
      <c r="F41" s="34">
        <f>D41-E41</f>
        <v>407.38365397551297</v>
      </c>
      <c r="G41" s="46" t="s">
        <v>42</v>
      </c>
      <c r="H41" s="45">
        <f>F41*G41</f>
        <v>4888.6038477061556</v>
      </c>
      <c r="I41" s="29"/>
    </row>
    <row r="42" spans="1:9" ht="14.25">
      <c r="A42" s="7"/>
      <c r="B42" s="43" t="s">
        <v>48</v>
      </c>
      <c r="C42" s="44">
        <f>E5-0.01</f>
        <v>6.1239999999999996E-2</v>
      </c>
      <c r="D42" s="45">
        <f>E10</f>
        <v>2123.6848678916813</v>
      </c>
      <c r="E42" s="45">
        <f>-PMT(C42/E9,E11,E3)+L7+L8</f>
        <v>1915.2883664051769</v>
      </c>
      <c r="F42" s="34">
        <f>D42-E42</f>
        <v>208.39650148650435</v>
      </c>
      <c r="G42" s="46" t="s">
        <v>42</v>
      </c>
      <c r="H42" s="45">
        <f>F42*G42</f>
        <v>2500.7580178380522</v>
      </c>
      <c r="I42" s="29"/>
    </row>
    <row r="43" spans="1:9" ht="15">
      <c r="A43" s="7"/>
      <c r="B43" s="62" t="s">
        <v>49</v>
      </c>
      <c r="C43" s="62"/>
      <c r="D43" s="62"/>
      <c r="E43" s="62"/>
      <c r="F43" s="62"/>
      <c r="G43" s="62"/>
      <c r="H43" s="47">
        <f>SUM(H40:H42)</f>
        <v>14541.478719858454</v>
      </c>
      <c r="I43" s="29"/>
    </row>
    <row r="44" spans="1:9" ht="15">
      <c r="A44" s="7"/>
      <c r="B44" s="58" t="s">
        <v>38</v>
      </c>
      <c r="C44" s="58"/>
      <c r="D44" s="58"/>
      <c r="E44" s="58"/>
      <c r="F44" s="58"/>
      <c r="G44" s="58"/>
      <c r="H44" s="39">
        <f>SUM(H43/E4)</f>
        <v>2.9982430350223618E-2</v>
      </c>
      <c r="I44" s="29"/>
    </row>
    <row r="45" spans="1:9" ht="15">
      <c r="A45" s="38"/>
      <c r="B45" s="59" t="s">
        <v>39</v>
      </c>
      <c r="C45" s="59"/>
      <c r="D45" s="59"/>
      <c r="E45" s="59"/>
      <c r="F45" s="59"/>
      <c r="G45" s="41">
        <f>SUM(H45/E3)</f>
        <v>4.4999999999999998E-2</v>
      </c>
      <c r="H45" s="42">
        <f>E3*0.045</f>
        <v>14186.25</v>
      </c>
      <c r="I45" s="40"/>
    </row>
    <row r="46" spans="1:9">
      <c r="A46" s="3"/>
      <c r="B46" s="48"/>
      <c r="C46" s="48"/>
      <c r="D46" s="48"/>
      <c r="E46" s="48"/>
      <c r="F46" s="49"/>
      <c r="G46" s="48"/>
      <c r="H46" s="50"/>
      <c r="I46" s="3"/>
    </row>
    <row r="47" spans="1:9">
      <c r="A47" s="64"/>
      <c r="B47" s="64"/>
      <c r="C47" s="64"/>
      <c r="D47" s="64"/>
      <c r="E47" s="64"/>
      <c r="F47" s="64"/>
      <c r="G47" s="64"/>
      <c r="H47" s="64"/>
      <c r="I47" s="64"/>
    </row>
    <row r="48" spans="1:9">
      <c r="A48" s="63" t="s">
        <v>50</v>
      </c>
      <c r="B48" s="63"/>
      <c r="C48" s="63" t="s">
        <v>51</v>
      </c>
      <c r="D48" s="63"/>
      <c r="E48" s="63"/>
      <c r="F48" s="63"/>
      <c r="G48" s="63"/>
      <c r="H48" s="63"/>
      <c r="I48" s="3"/>
    </row>
    <row r="49" spans="1:9">
      <c r="A49" s="63"/>
      <c r="B49" s="63"/>
      <c r="C49" s="63"/>
      <c r="D49" s="63"/>
      <c r="E49" s="63"/>
      <c r="F49" s="63"/>
      <c r="G49" s="63"/>
      <c r="H49" s="63"/>
      <c r="I49" s="3"/>
    </row>
    <row r="50" spans="1:9"/>
    <row r="51" spans="1:9"/>
    <row r="52" spans="1:9"/>
  </sheetData>
  <sheetProtection algorithmName="SHA-512" hashValue="fBOLFg8VFcieVe7IMuS+Pfw3JDj5Ia7P/eARvCGNeCbEw5rswnVEsM8lcZ0x5O6Rsy+vWu/gDqu9LWv116QPNQ==" saltValue="9wZW/ueWrS3sNR9HNWMW/g==" spinCount="100000" sheet="1" selectLockedCells="1"/>
  <mergeCells count="37">
    <mergeCell ref="A48:B49"/>
    <mergeCell ref="C48:H49"/>
    <mergeCell ref="B38:H38"/>
    <mergeCell ref="B43:G43"/>
    <mergeCell ref="B44:G44"/>
    <mergeCell ref="B45:F45"/>
    <mergeCell ref="A47:I47"/>
    <mergeCell ref="B30:H30"/>
    <mergeCell ref="B34:G34"/>
    <mergeCell ref="B35:G35"/>
    <mergeCell ref="B36:F36"/>
    <mergeCell ref="B37:H37"/>
    <mergeCell ref="B22:H22"/>
    <mergeCell ref="B26:G26"/>
    <mergeCell ref="B27:G27"/>
    <mergeCell ref="B28:F28"/>
    <mergeCell ref="B29:H29"/>
    <mergeCell ref="B15:H15"/>
    <mergeCell ref="B18:G18"/>
    <mergeCell ref="B19:G19"/>
    <mergeCell ref="B20:F20"/>
    <mergeCell ref="B21:H21"/>
    <mergeCell ref="B11:D11"/>
    <mergeCell ref="B12:D12"/>
    <mergeCell ref="B13:D13"/>
    <mergeCell ref="F13:H13"/>
    <mergeCell ref="B14:H14"/>
    <mergeCell ref="B6:D6"/>
    <mergeCell ref="B7:D7"/>
    <mergeCell ref="B8:D8"/>
    <mergeCell ref="B9:D9"/>
    <mergeCell ref="B10:D10"/>
    <mergeCell ref="B1:H1"/>
    <mergeCell ref="B3:D3"/>
    <mergeCell ref="B4:D4"/>
    <mergeCell ref="G4:G5"/>
    <mergeCell ref="B5:D5"/>
  </mergeCells>
  <conditionalFormatting sqref="B15:H20">
    <cfRule type="expression" dxfId="47" priority="2">
      <formula>$E$12="Select One:"</formula>
    </cfRule>
    <cfRule type="expression" dxfId="46" priority="3">
      <formula>$E$12="3-2-1 Buydown"</formula>
    </cfRule>
    <cfRule type="expression" dxfId="45" priority="4">
      <formula>$E$12="2-1 Buydown"</formula>
    </cfRule>
    <cfRule type="expression" dxfId="44" priority="5">
      <formula>$E$12="1-1 Buydown"</formula>
    </cfRule>
  </conditionalFormatting>
  <conditionalFormatting sqref="B19:H19">
    <cfRule type="expression" dxfId="43" priority="23">
      <formula>$E$13="LLPA"</formula>
    </cfRule>
  </conditionalFormatting>
  <conditionalFormatting sqref="B19:H20">
    <cfRule type="expression" dxfId="42" priority="18">
      <formula>AND($E$12="1-0 Buydown",$E$13="Select One:")</formula>
    </cfRule>
  </conditionalFormatting>
  <conditionalFormatting sqref="B20:H20">
    <cfRule type="expression" dxfId="41" priority="29">
      <formula>$E$13="Seller Concessions"</formula>
    </cfRule>
  </conditionalFormatting>
  <conditionalFormatting sqref="B22:H26">
    <cfRule type="expression" dxfId="40" priority="6">
      <formula>$E$12="Select One:"</formula>
    </cfRule>
    <cfRule type="expression" dxfId="39" priority="7">
      <formula>$E$12="3-2-1 Buydown"</formula>
    </cfRule>
    <cfRule type="expression" dxfId="38" priority="8">
      <formula>$E$12="2-1 Buydown"</formula>
    </cfRule>
    <cfRule type="expression" dxfId="37" priority="9">
      <formula>$E$12="1-0 Buydown"</formula>
    </cfRule>
  </conditionalFormatting>
  <conditionalFormatting sqref="B27:H27">
    <cfRule type="expression" dxfId="36" priority="32">
      <formula>$E$12="1-0 Buydown"</formula>
    </cfRule>
    <cfRule type="expression" dxfId="35" priority="33">
      <formula>$E$12="2-1 Buydown"</formula>
    </cfRule>
    <cfRule type="expression" dxfId="34" priority="34">
      <formula>$E$12="3-2-1 Buydown"</formula>
    </cfRule>
    <cfRule type="expression" dxfId="33" priority="35">
      <formula>$E$12="Select One:"</formula>
    </cfRule>
    <cfRule type="expression" dxfId="32" priority="31">
      <formula>$E$13="LLPA"</formula>
    </cfRule>
  </conditionalFormatting>
  <conditionalFormatting sqref="B27:H28">
    <cfRule type="expression" dxfId="31" priority="30">
      <formula>AND($E$12="1-1 Buydown",$E$13="Select One:")</formula>
    </cfRule>
  </conditionalFormatting>
  <conditionalFormatting sqref="B28:H28">
    <cfRule type="expression" dxfId="30" priority="37">
      <formula>$E$13="Seller Concessions"</formula>
    </cfRule>
    <cfRule type="expression" dxfId="29" priority="38">
      <formula>$E$12="1-0 Buydown"</formula>
    </cfRule>
    <cfRule type="expression" dxfId="28" priority="39">
      <formula>$E$12="2-1 Buydown"</formula>
    </cfRule>
    <cfRule type="expression" dxfId="27" priority="40">
      <formula>$E$12="3-2-1 Buydown"</formula>
    </cfRule>
    <cfRule type="expression" dxfId="26" priority="41">
      <formula>$E$12="Select One:"</formula>
    </cfRule>
  </conditionalFormatting>
  <conditionalFormatting sqref="B30:H34">
    <cfRule type="expression" dxfId="25" priority="10">
      <formula>$E$12="Select One:"</formula>
    </cfRule>
    <cfRule type="expression" dxfId="24" priority="11">
      <formula>$E$12="3-2-1 Buydown"</formula>
    </cfRule>
    <cfRule type="expression" dxfId="23" priority="12">
      <formula>$E$12="1-1 Buydown"</formula>
    </cfRule>
    <cfRule type="expression" dxfId="22" priority="13">
      <formula>$E$12="1-0 Buydown"</formula>
    </cfRule>
  </conditionalFormatting>
  <conditionalFormatting sqref="B35:H35">
    <cfRule type="expression" dxfId="21" priority="43">
      <formula>$E$13="LLPA"</formula>
    </cfRule>
    <cfRule type="expression" dxfId="20" priority="44">
      <formula>$E$12="1-0 Buydown"</formula>
    </cfRule>
    <cfRule type="expression" dxfId="19" priority="45">
      <formula>$E$12="1-1 Buydown"</formula>
    </cfRule>
    <cfRule type="expression" dxfId="18" priority="46">
      <formula>$E$12="3-2-1 Buydown"</formula>
    </cfRule>
    <cfRule type="expression" dxfId="17" priority="47">
      <formula>$E$12="Select One:"</formula>
    </cfRule>
  </conditionalFormatting>
  <conditionalFormatting sqref="B35:H36">
    <cfRule type="expression" dxfId="16" priority="42">
      <formula>AND($E$12="2-1 Buydown",$E$13="Select One:")</formula>
    </cfRule>
  </conditionalFormatting>
  <conditionalFormatting sqref="B36:H36">
    <cfRule type="expression" dxfId="15" priority="49">
      <formula>$E$13="Seller Concessions"</formula>
    </cfRule>
    <cfRule type="expression" dxfId="14" priority="50">
      <formula>$E$12="1-0 Buydown"</formula>
    </cfRule>
    <cfRule type="expression" dxfId="13" priority="51">
      <formula>$E$12="1-1 Buydown"</formula>
    </cfRule>
    <cfRule type="expression" dxfId="12" priority="52">
      <formula>$E$12="3-2-1 Buydown"</formula>
    </cfRule>
    <cfRule type="expression" dxfId="11" priority="53">
      <formula>$E$12="Select One:"</formula>
    </cfRule>
  </conditionalFormatting>
  <conditionalFormatting sqref="B38:H44">
    <cfRule type="expression" dxfId="10" priority="14">
      <formula>$E$12="Select One:"</formula>
    </cfRule>
    <cfRule type="expression" dxfId="9" priority="15">
      <formula>$E$12="2-1 Buydown"</formula>
    </cfRule>
    <cfRule type="expression" dxfId="8" priority="16">
      <formula>$E$12="1-1 Buydown"</formula>
    </cfRule>
    <cfRule type="expression" dxfId="7" priority="17">
      <formula>$E$12="1-0 Buydown"</formula>
    </cfRule>
  </conditionalFormatting>
  <conditionalFormatting sqref="B44:H44">
    <cfRule type="expression" dxfId="6" priority="55">
      <formula>$E$13="LLPA"</formula>
    </cfRule>
  </conditionalFormatting>
  <conditionalFormatting sqref="B44:H45">
    <cfRule type="expression" dxfId="5" priority="54">
      <formula>AND($E$12="3-2-1 Buydown",$E$13="Select One:")</formula>
    </cfRule>
  </conditionalFormatting>
  <conditionalFormatting sqref="B45:H45">
    <cfRule type="expression" dxfId="4" priority="61">
      <formula>$E$13="Seller Concessions"</formula>
    </cfRule>
    <cfRule type="expression" dxfId="3" priority="62">
      <formula>$E$12="1-0 Buydown"</formula>
    </cfRule>
    <cfRule type="expression" dxfId="2" priority="63">
      <formula>$E$12="1-1 Buydown"</formula>
    </cfRule>
    <cfRule type="expression" dxfId="1" priority="64">
      <formula>$E$12="2-1 Buydown"</formula>
    </cfRule>
    <cfRule type="expression" dxfId="0" priority="65">
      <formula>$E$12="Select One:"</formula>
    </cfRule>
  </conditionalFormatting>
  <pageMargins left="0.7" right="0.7" top="0.75" bottom="0.75" header="0.511811023622047" footer="0.511811023622047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hape_0">
              <controlPr defaultSize="0" autoPict="0" macro="Module1.Button5_Click">
                <anchor moveWithCells="1" sizeWithCells="1">
                  <from>
                    <xdr:col>7</xdr:col>
                    <xdr:colOff>657225</xdr:colOff>
                    <xdr:row>0</xdr:row>
                    <xdr:rowOff>180975</xdr:rowOff>
                  </from>
                  <to>
                    <xdr:col>8</xdr:col>
                    <xdr:colOff>390525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5">
              <controlPr defaultSize="0" print="0" autoFill="0" autoPict="0" macro="Module1.Button5_Click" altText="Clear Form">
                <anchor moveWithCells="1">
                  <from>
                    <xdr:col>7</xdr:col>
                    <xdr:colOff>657225</xdr:colOff>
                    <xdr:row>0</xdr:row>
                    <xdr:rowOff>180975</xdr:rowOff>
                  </from>
                  <to>
                    <xdr:col>8</xdr:col>
                    <xdr:colOff>390525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" r:id="rId6" name="Button 5">
              <controlPr defaultSize="0" print="0" autoFill="0" autoPict="0" macro="Module1.Button5_Click" altText="Clear Form">
                <anchor moveWithCells="1">
                  <from>
                    <xdr:col>7</xdr:col>
                    <xdr:colOff>657225</xdr:colOff>
                    <xdr:row>0</xdr:row>
                    <xdr:rowOff>180975</xdr:rowOff>
                  </from>
                  <to>
                    <xdr:col>8</xdr:col>
                    <xdr:colOff>-390525</xdr:colOff>
                    <xdr:row>1</xdr:row>
                    <xdr:rowOff>-85725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List!$A$2:$A$7</xm:f>
          </x14:formula1>
          <x14:formula2>
            <xm:f>0</xm:f>
          </x14:formula2>
          <xm:sqref>E12</xm:sqref>
        </x14:dataValidation>
        <x14:dataValidation type="list" allowBlank="1" showInputMessage="1" showErrorMessage="1" xr:uid="{00000000-0002-0000-0000-000001000000}">
          <x14:formula1>
            <xm:f>List!$C$2:$C$5</xm:f>
          </x14:formula1>
          <x14:formula2>
            <xm:f>0</xm:f>
          </x14:formula2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zoomScaleNormal="100" zoomScalePageLayoutView="60" workbookViewId="0"/>
  </sheetViews>
  <sheetFormatPr defaultColWidth="8.7109375" defaultRowHeight="12.75"/>
  <sheetData>
    <row r="1" spans="1:3">
      <c r="A1" s="27" t="s">
        <v>52</v>
      </c>
      <c r="C1" s="27" t="s">
        <v>53</v>
      </c>
    </row>
    <row r="2" spans="1:3">
      <c r="A2" s="6" t="s">
        <v>54</v>
      </c>
      <c r="C2" t="s">
        <v>54</v>
      </c>
    </row>
    <row r="3" spans="1:3">
      <c r="A3" s="6" t="s">
        <v>26</v>
      </c>
      <c r="C3" t="s">
        <v>55</v>
      </c>
    </row>
    <row r="4" spans="1:3">
      <c r="A4" s="6" t="s">
        <v>56</v>
      </c>
      <c r="C4" t="s">
        <v>28</v>
      </c>
    </row>
    <row r="5" spans="1:3">
      <c r="A5" s="6" t="s">
        <v>57</v>
      </c>
      <c r="C5" t="s">
        <v>58</v>
      </c>
    </row>
    <row r="6" spans="1:3">
      <c r="A6" s="6" t="s">
        <v>59</v>
      </c>
    </row>
    <row r="7" spans="1:3">
      <c r="A7" s="6" t="s">
        <v>60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2-1 BuyDown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Terri Smith</dc:creator>
  <dc:description/>
  <cp:lastModifiedBy>Sara Mahoney</cp:lastModifiedBy>
  <cp:revision>0</cp:revision>
  <dcterms:created xsi:type="dcterms:W3CDTF">2022-06-11T18:51:52Z</dcterms:created>
  <dcterms:modified xsi:type="dcterms:W3CDTF">2025-01-17T21:07:55Z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0x010100BED42BA6542EA847818BCA83FEE3D8BC</vt:lpwstr>
  </property>
  <property fmtid="{D5CDD505-2E9C-101B-9397-08002B2CF9AE}" pid="3" name="MediaServiceImageTags">
    <vt:lpwstr/>
  </property>
</Properties>
</file>