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MD\Southwest Zone\Bonita\Shared\Data\ASSOCIATIONS\LELY MASTER\BUDGETS\2023\"/>
    </mc:Choice>
  </mc:AlternateContent>
  <xr:revisionPtr revIDLastSave="0" documentId="13_ncr:1_{30B05758-D2D5-430E-9C56-13ADDA8F148D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BUDGET" sheetId="7" r:id="rId1"/>
    <sheet name="RESERVE" sheetId="15" r:id="rId2"/>
    <sheet name="ASSESSMENTS" sheetId="12" r:id="rId3"/>
    <sheet name="PARAMETERS" sheetId="13" r:id="rId4"/>
    <sheet name="basAuto_Code" sheetId="4" state="veryHidden" r:id="rId5"/>
  </sheets>
  <externalReferences>
    <externalReference r:id="rId6"/>
  </externalReferences>
  <definedNames>
    <definedName name="AssocName1" localSheetId="1">#REF!</definedName>
    <definedName name="AssocName1">#REF!</definedName>
    <definedName name="AssocName2" localSheetId="1">RESERVE!$A$1</definedName>
    <definedName name="AssocName2">#REF!</definedName>
    <definedName name="AssocName3" localSheetId="1">#REF!</definedName>
    <definedName name="AssocName3">#REF!</definedName>
    <definedName name="cmdCompact">"Button 1"</definedName>
    <definedName name="cmdOK">"Button 2"</definedName>
    <definedName name="cmdStart_Click">[1]!cmdStart_Click</definedName>
    <definedName name="lstAssoc">"List Box 4"</definedName>
    <definedName name="_xlnm.Print_Area" localSheetId="2">ASSESSMENTS!$A$1:$G$67</definedName>
    <definedName name="_xlnm.Print_Area" localSheetId="0">BUDGET!$A$1:$Q$72</definedName>
    <definedName name="_xlnm.Print_Area" localSheetId="1">RESERVE!$A$1:$L$19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7" l="1"/>
  <c r="J14" i="7"/>
  <c r="H14" i="7"/>
  <c r="H47" i="7"/>
  <c r="J47" i="7"/>
  <c r="H12" i="7"/>
  <c r="J12" i="7"/>
  <c r="H13" i="7"/>
  <c r="H10" i="15"/>
  <c r="B12" i="13"/>
  <c r="J13" i="7"/>
  <c r="D58" i="12"/>
  <c r="P4" i="7"/>
  <c r="H58" i="12"/>
  <c r="N47" i="7"/>
  <c r="N12" i="7"/>
  <c r="O12" i="7"/>
  <c r="N37" i="7"/>
  <c r="P37" i="7"/>
  <c r="N15" i="7"/>
  <c r="P15" i="7"/>
  <c r="D49" i="7"/>
  <c r="O47" i="7"/>
  <c r="P47" i="7"/>
  <c r="O37" i="7"/>
  <c r="O15" i="7"/>
  <c r="N29" i="7"/>
  <c r="O29" i="7"/>
  <c r="N32" i="7"/>
  <c r="O32" i="7"/>
  <c r="N33" i="7"/>
  <c r="P33" i="7"/>
  <c r="N34" i="7"/>
  <c r="P34" i="7"/>
  <c r="N35" i="7"/>
  <c r="P35" i="7"/>
  <c r="N36" i="7"/>
  <c r="P36" i="7"/>
  <c r="N38" i="7"/>
  <c r="O38" i="7"/>
  <c r="N41" i="7"/>
  <c r="O41" i="7"/>
  <c r="N44" i="7"/>
  <c r="P44" i="7"/>
  <c r="N45" i="7"/>
  <c r="O45" i="7"/>
  <c r="N46" i="7"/>
  <c r="O46" i="7"/>
  <c r="N50" i="7"/>
  <c r="P50" i="7"/>
  <c r="N51" i="7"/>
  <c r="P51" i="7"/>
  <c r="N13" i="7"/>
  <c r="P13" i="7"/>
  <c r="N16" i="7"/>
  <c r="O16" i="7"/>
  <c r="N21" i="7"/>
  <c r="P21" i="7"/>
  <c r="N22" i="7"/>
  <c r="O22" i="7"/>
  <c r="N23" i="7"/>
  <c r="P23" i="7"/>
  <c r="N24" i="7"/>
  <c r="P24" i="7"/>
  <c r="N25" i="7"/>
  <c r="P25" i="7"/>
  <c r="N26" i="7"/>
  <c r="P26" i="7"/>
  <c r="O44" i="7"/>
  <c r="P32" i="7"/>
  <c r="P29" i="7"/>
  <c r="O51" i="7"/>
  <c r="O36" i="7"/>
  <c r="P22" i="7"/>
  <c r="O50" i="7"/>
  <c r="O25" i="7"/>
  <c r="P16" i="7"/>
  <c r="O13" i="7"/>
  <c r="P46" i="7"/>
  <c r="P41" i="7"/>
  <c r="O33" i="7"/>
  <c r="O23" i="7"/>
  <c r="P45" i="7"/>
  <c r="P38" i="7"/>
  <c r="O35" i="7"/>
  <c r="O34" i="7"/>
  <c r="O26" i="7"/>
  <c r="O24" i="7"/>
  <c r="O21" i="7"/>
  <c r="J22" i="7"/>
  <c r="C58" i="12"/>
  <c r="E62" i="12"/>
  <c r="B6" i="13"/>
  <c r="B9" i="13"/>
  <c r="D52" i="7"/>
  <c r="E49" i="7"/>
  <c r="F17" i="7"/>
  <c r="F49" i="7"/>
  <c r="F52" i="7"/>
  <c r="L42" i="15"/>
  <c r="L45" i="15"/>
  <c r="N49" i="7"/>
  <c r="L52" i="7"/>
  <c r="C61" i="12"/>
  <c r="D17" i="7"/>
  <c r="F14" i="15"/>
  <c r="C63" i="12"/>
  <c r="B2" i="13"/>
  <c r="K4" i="15"/>
  <c r="K12" i="15"/>
  <c r="L12" i="15"/>
  <c r="H11" i="7"/>
  <c r="J11" i="7"/>
  <c r="B4" i="7"/>
  <c r="B1" i="7"/>
  <c r="B1" i="12"/>
  <c r="A5" i="15"/>
  <c r="A1" i="15"/>
  <c r="K13" i="15"/>
  <c r="L13" i="15"/>
  <c r="D14" i="15"/>
  <c r="H12" i="15"/>
  <c r="K8" i="15"/>
  <c r="B5" i="12"/>
  <c r="B3" i="12"/>
  <c r="J14" i="15"/>
  <c r="L11" i="7"/>
  <c r="A4" i="15"/>
  <c r="K10" i="15"/>
  <c r="J10" i="15"/>
  <c r="L10" i="15"/>
  <c r="F7" i="15"/>
  <c r="E7" i="15"/>
  <c r="A3" i="15"/>
  <c r="C14" i="15"/>
  <c r="B3" i="7"/>
  <c r="B2" i="7"/>
  <c r="I14" i="15"/>
  <c r="H34" i="7"/>
  <c r="J34" i="7"/>
  <c r="H35" i="7"/>
  <c r="J35" i="7"/>
  <c r="H36" i="7"/>
  <c r="J36" i="7"/>
  <c r="H38" i="7"/>
  <c r="J38" i="7"/>
  <c r="H37" i="7"/>
  <c r="J37" i="7"/>
  <c r="H32" i="7"/>
  <c r="J32" i="7"/>
  <c r="H33" i="7"/>
  <c r="J33" i="7"/>
  <c r="H15" i="7"/>
  <c r="J15" i="7"/>
  <c r="E58" i="12"/>
  <c r="F62" i="12"/>
  <c r="E8" i="12"/>
  <c r="F8" i="12"/>
  <c r="K14" i="15"/>
  <c r="D54" i="7"/>
  <c r="F54" i="7"/>
  <c r="E24" i="12"/>
  <c r="F24" i="12"/>
  <c r="E32" i="12"/>
  <c r="F32" i="12"/>
  <c r="E48" i="12"/>
  <c r="F48" i="12"/>
  <c r="E16" i="12"/>
  <c r="F16" i="12"/>
  <c r="E50" i="12"/>
  <c r="F50" i="12"/>
  <c r="E36" i="12"/>
  <c r="F36" i="12"/>
  <c r="E20" i="12"/>
  <c r="F20" i="12"/>
  <c r="E54" i="12"/>
  <c r="F54" i="12"/>
  <c r="E44" i="12"/>
  <c r="F44" i="12"/>
  <c r="E28" i="12"/>
  <c r="F28" i="12"/>
  <c r="E12" i="12"/>
  <c r="F12" i="12"/>
  <c r="E52" i="12"/>
  <c r="F52" i="12"/>
  <c r="E40" i="12"/>
  <c r="F40" i="12"/>
  <c r="C62" i="12"/>
  <c r="C64" i="12"/>
  <c r="H62" i="12"/>
  <c r="N11" i="7"/>
  <c r="E55" i="12"/>
  <c r="F55" i="12"/>
  <c r="L10" i="7"/>
  <c r="N10" i="7"/>
  <c r="N52" i="7"/>
  <c r="P49" i="7"/>
  <c r="O49" i="7"/>
  <c r="E46" i="12"/>
  <c r="F46" i="12"/>
  <c r="E42" i="12"/>
  <c r="F42" i="12"/>
  <c r="E38" i="12"/>
  <c r="F38" i="12"/>
  <c r="E34" i="12"/>
  <c r="F34" i="12"/>
  <c r="E30" i="12"/>
  <c r="F30" i="12"/>
  <c r="E26" i="12"/>
  <c r="F26" i="12"/>
  <c r="E22" i="12"/>
  <c r="F22" i="12"/>
  <c r="E18" i="12"/>
  <c r="F18" i="12"/>
  <c r="E14" i="12"/>
  <c r="F14" i="12"/>
  <c r="E10" i="12"/>
  <c r="F10" i="12"/>
  <c r="H51" i="7"/>
  <c r="J51" i="7"/>
  <c r="H21" i="7"/>
  <c r="H29" i="7"/>
  <c r="J29" i="7"/>
  <c r="H26" i="7"/>
  <c r="J26" i="7"/>
  <c r="H46" i="7"/>
  <c r="J46" i="7"/>
  <c r="H25" i="7"/>
  <c r="J25" i="7"/>
  <c r="H24" i="7"/>
  <c r="J24" i="7"/>
  <c r="H50" i="7"/>
  <c r="J50" i="7"/>
  <c r="H10" i="7"/>
  <c r="H41" i="7"/>
  <c r="J41" i="7"/>
  <c r="J23" i="7"/>
  <c r="H44" i="7"/>
  <c r="J44" i="7"/>
  <c r="H16" i="7"/>
  <c r="H45" i="7"/>
  <c r="J45" i="7"/>
  <c r="E53" i="12"/>
  <c r="F53" i="12"/>
  <c r="E45" i="12"/>
  <c r="F45" i="12"/>
  <c r="E37" i="12"/>
  <c r="F37" i="12"/>
  <c r="E29" i="12"/>
  <c r="F29" i="12"/>
  <c r="E21" i="12"/>
  <c r="F21" i="12"/>
  <c r="E13" i="12"/>
  <c r="F13" i="12"/>
  <c r="E56" i="12"/>
  <c r="F56" i="12"/>
  <c r="E51" i="12"/>
  <c r="F51" i="12"/>
  <c r="E43" i="12"/>
  <c r="F43" i="12"/>
  <c r="E35" i="12"/>
  <c r="F35" i="12"/>
  <c r="E27" i="12"/>
  <c r="F27" i="12"/>
  <c r="E19" i="12"/>
  <c r="F19" i="12"/>
  <c r="E11" i="12"/>
  <c r="F11" i="12"/>
  <c r="E57" i="12"/>
  <c r="F57" i="12"/>
  <c r="E49" i="12"/>
  <c r="F49" i="12"/>
  <c r="E41" i="12"/>
  <c r="F41" i="12"/>
  <c r="E33" i="12"/>
  <c r="F33" i="12"/>
  <c r="E25" i="12"/>
  <c r="F25" i="12"/>
  <c r="E17" i="12"/>
  <c r="F17" i="12"/>
  <c r="E9" i="12"/>
  <c r="F9" i="12"/>
  <c r="E47" i="12"/>
  <c r="F47" i="12"/>
  <c r="E39" i="12"/>
  <c r="F39" i="12"/>
  <c r="E31" i="12"/>
  <c r="F31" i="12"/>
  <c r="E23" i="12"/>
  <c r="F23" i="12"/>
  <c r="E15" i="12"/>
  <c r="F15" i="12"/>
  <c r="F58" i="12"/>
  <c r="L17" i="7"/>
  <c r="L54" i="7"/>
  <c r="P11" i="7"/>
  <c r="O11" i="7"/>
  <c r="P52" i="7"/>
  <c r="O52" i="7"/>
  <c r="O10" i="7"/>
  <c r="P10" i="7"/>
  <c r="J16" i="7"/>
  <c r="H17" i="7"/>
  <c r="J10" i="7"/>
  <c r="H49" i="7"/>
  <c r="H52" i="7"/>
  <c r="J21" i="7"/>
  <c r="J49" i="7"/>
  <c r="J52" i="7"/>
  <c r="N17" i="7"/>
  <c r="P17" i="7"/>
  <c r="J17" i="7"/>
  <c r="J54" i="7"/>
  <c r="H54" i="7"/>
  <c r="G14" i="15"/>
  <c r="H13" i="15"/>
  <c r="H14" i="15"/>
  <c r="O17" i="7"/>
</calcChain>
</file>

<file path=xl/sharedStrings.xml><?xml version="1.0" encoding="utf-8"?>
<sst xmlns="http://schemas.openxmlformats.org/spreadsheetml/2006/main" count="228" uniqueCount="197">
  <si>
    <t>Estimated</t>
  </si>
  <si>
    <t>Total Income</t>
  </si>
  <si>
    <t>Expenses</t>
  </si>
  <si>
    <t>Reserves</t>
  </si>
  <si>
    <t>Add'l</t>
  </si>
  <si>
    <t>Annual</t>
  </si>
  <si>
    <t>Current</t>
  </si>
  <si>
    <t>Reserve</t>
  </si>
  <si>
    <t>Additional</t>
  </si>
  <si>
    <t>Funding</t>
  </si>
  <si>
    <t>Life When</t>
  </si>
  <si>
    <t>Replacement</t>
  </si>
  <si>
    <t>Remaining</t>
  </si>
  <si>
    <t>Balance</t>
  </si>
  <si>
    <t>Required</t>
  </si>
  <si>
    <t>Item</t>
  </si>
  <si>
    <t>New (Years)</t>
  </si>
  <si>
    <t>Cost</t>
  </si>
  <si>
    <t>Life (Years)</t>
  </si>
  <si>
    <t xml:space="preserve"> </t>
  </si>
  <si>
    <t>Date of budget</t>
  </si>
  <si>
    <t>Financials as at date</t>
  </si>
  <si>
    <t>Months included</t>
  </si>
  <si>
    <t>Months to be calculated</t>
  </si>
  <si>
    <t>Units</t>
  </si>
  <si>
    <t>Association Name</t>
  </si>
  <si>
    <t>Ratio</t>
  </si>
  <si>
    <t>Total Operating Expenses</t>
  </si>
  <si>
    <t>Transfer Interest to Reserves</t>
  </si>
  <si>
    <t>Reserve Funding</t>
  </si>
  <si>
    <t>Total Common Expenses</t>
  </si>
  <si>
    <t>Approved / Proposed</t>
  </si>
  <si>
    <t>Period</t>
  </si>
  <si>
    <t>Current Budget Year</t>
  </si>
  <si>
    <t>Proposed Budget Year</t>
  </si>
  <si>
    <t>ESTIMATED YEAR END</t>
  </si>
  <si>
    <t>Net Income/(Expense)</t>
  </si>
  <si>
    <t>Income</t>
  </si>
  <si>
    <t>FUNDING SCHEDULE</t>
  </si>
  <si>
    <t>TOTAL EXPENSES</t>
  </si>
  <si>
    <t>BUDGETED RESERVES</t>
  </si>
  <si>
    <t>OPERATING ASSESSMENTS REQUIRED</t>
  </si>
  <si>
    <t>Insurance</t>
  </si>
  <si>
    <t>Budget Reserves For Capital Expenditure And Deferred Maintenance</t>
  </si>
  <si>
    <t xml:space="preserve">  </t>
  </si>
  <si>
    <t xml:space="preserve">Reserve </t>
  </si>
  <si>
    <t>Board</t>
  </si>
  <si>
    <t>Study</t>
  </si>
  <si>
    <t xml:space="preserve">WAIVING OF RESERVES, IN WHOLE OR IN PART, OR ALLOWING ALTERNATIVE USES OF </t>
  </si>
  <si>
    <t xml:space="preserve">EXISTING RESERVES MAY RESULT IN UNIT OWNER LIABILITY FOR PAYMENT OF  </t>
  </si>
  <si>
    <t>UNANTICIPATED SPECIAL ASSESSMENTS REGARDING THOSE ITEMS.</t>
  </si>
  <si>
    <t>Common Administrative (17% total)</t>
  </si>
  <si>
    <t xml:space="preserve">Operating Assessments </t>
  </si>
  <si>
    <t>OTHER INCOME</t>
  </si>
  <si>
    <t>Unallocated Interest</t>
  </si>
  <si>
    <t xml:space="preserve">Quarterly </t>
  </si>
  <si>
    <t>Management Fees</t>
  </si>
  <si>
    <t>Administrative</t>
  </si>
  <si>
    <t>Reserve Assessments</t>
  </si>
  <si>
    <t xml:space="preserve">Date: </t>
  </si>
  <si>
    <t xml:space="preserve"># Units: </t>
  </si>
  <si>
    <t>Bad Debt Expense</t>
  </si>
  <si>
    <t>The Association Does not have Reserve Items budgeted</t>
  </si>
  <si>
    <t>LELY RESORT MASTER POA</t>
  </si>
  <si>
    <t>Office Expense</t>
  </si>
  <si>
    <t>Accounting/Audit/Tax Fees</t>
  </si>
  <si>
    <t>Legal Fees</t>
  </si>
  <si>
    <t>Division Filing Fees</t>
  </si>
  <si>
    <t>Grounds Maintenance</t>
  </si>
  <si>
    <t>Repair &amp; Maintenance</t>
  </si>
  <si>
    <t>Utilities</t>
  </si>
  <si>
    <t>Other Expense</t>
  </si>
  <si>
    <t>Grande Lely Dr Landscape</t>
  </si>
  <si>
    <t>Entry Feature Maintenance</t>
  </si>
  <si>
    <t>Landscape Lighting Maintenance</t>
  </si>
  <si>
    <t>Beach Area (Horses) Maint</t>
  </si>
  <si>
    <t>Preserve Maintenance</t>
  </si>
  <si>
    <t>Holiday Lighting</t>
  </si>
  <si>
    <t>Electricity</t>
  </si>
  <si>
    <t>Lake Bank Restoration</t>
  </si>
  <si>
    <t>Miscellaneous Expense</t>
  </si>
  <si>
    <t>Association</t>
  </si>
  <si>
    <t>Total Units</t>
  </si>
  <si>
    <t>Closed Units</t>
  </si>
  <si>
    <t>Alden Woods</t>
  </si>
  <si>
    <t>Aquamarine</t>
  </si>
  <si>
    <t>Ascot</t>
  </si>
  <si>
    <t>Caldecott</t>
  </si>
  <si>
    <t>Calumet Reserve</t>
  </si>
  <si>
    <t>Canwick Cove</t>
  </si>
  <si>
    <t>Champions</t>
  </si>
  <si>
    <t>Classics Plantation Estates</t>
  </si>
  <si>
    <t>Coral Falls Resort</t>
  </si>
  <si>
    <t>Cottesmore</t>
  </si>
  <si>
    <t>Flamingo Fairways I</t>
  </si>
  <si>
    <t>Flamingo Fairways II</t>
  </si>
  <si>
    <t>Hawthorne</t>
  </si>
  <si>
    <t>Hidden Sanctuary IV</t>
  </si>
  <si>
    <t>Indian Wells</t>
  </si>
  <si>
    <t>Ashton Place</t>
  </si>
  <si>
    <t>Chase Preserve</t>
  </si>
  <si>
    <t>Cordoba</t>
  </si>
  <si>
    <t>Falcons Glen</t>
  </si>
  <si>
    <t>Greenlinks</t>
  </si>
  <si>
    <t>Tasori</t>
  </si>
  <si>
    <t>Lakoya Neighborhood Association</t>
  </si>
  <si>
    <t>Legacy</t>
  </si>
  <si>
    <t>Lely Island Estates</t>
  </si>
  <si>
    <t>Masters Reserve</t>
  </si>
  <si>
    <t>Moorgate Point</t>
  </si>
  <si>
    <t xml:space="preserve">Mustang Island </t>
  </si>
  <si>
    <t>Mustang Villas</t>
  </si>
  <si>
    <t>Mystic Greens I</t>
  </si>
  <si>
    <t>Mystic Greens II</t>
  </si>
  <si>
    <t>Mystic Greens III</t>
  </si>
  <si>
    <t>Ole'</t>
  </si>
  <si>
    <t>Palomino Village</t>
  </si>
  <si>
    <t>Peridot</t>
  </si>
  <si>
    <t>Pinnacle Cove Neighborhood</t>
  </si>
  <si>
    <t>Players Cove</t>
  </si>
  <si>
    <t>Prestwick Place</t>
  </si>
  <si>
    <t>Ruby</t>
  </si>
  <si>
    <t>Saratoga</t>
  </si>
  <si>
    <t>Signature Club</t>
  </si>
  <si>
    <t>Sussex Place</t>
  </si>
  <si>
    <t>The Majors</t>
  </si>
  <si>
    <t>Tiger Island Estates</t>
  </si>
  <si>
    <t>Twelve Oaks</t>
  </si>
  <si>
    <t>Verandas I</t>
  </si>
  <si>
    <t>Verandas II</t>
  </si>
  <si>
    <t xml:space="preserve">Verandas III </t>
  </si>
  <si>
    <t>Inspira</t>
  </si>
  <si>
    <t>Arlington</t>
  </si>
  <si>
    <t>The Aster</t>
  </si>
  <si>
    <t xml:space="preserve"> Per Unit /Quarter</t>
  </si>
  <si>
    <t xml:space="preserve"> Per Unit /Year</t>
  </si>
  <si>
    <t xml:space="preserve"> Per Unit /Month</t>
  </si>
  <si>
    <t>Capital Contribution Fee</t>
  </si>
  <si>
    <t>*CSA fee is determined by the Lely CDD and is subject to change</t>
  </si>
  <si>
    <t xml:space="preserve">THE BUDGET OF THE ASSOCIATION DOES NOT PROVIDE FOR RESERVE ACCOUNTS FOR CAPITAL EXPENDITURES AND DEFERRED MAINTENANCE THAT MAY RESULT IN  </t>
  </si>
  <si>
    <t>SPECIAL ASSESSMENTS.  OWNERS MAY ELECT TO PROVIDE FOR RESERVE ACCOUNTS PURSUANT TO THE PROVISIONS OF SECTION 720.303 (6), FLORIDA STATUTES,</t>
  </si>
  <si>
    <t>UPON THE APPROVAL OF A MAJORITY OF THE TOTAL VOTING INTERESTS OF THE ASSOCIATION BY VOTE OF THE MEMBERS AT A MEETING OR BY WRITTEN CONSENT.</t>
  </si>
  <si>
    <t>Operating Assessment Schedules</t>
  </si>
  <si>
    <t>*Assessments are subject to change due to future closings</t>
  </si>
  <si>
    <t>Recovery of Bad Debt</t>
  </si>
  <si>
    <t>Capital Contrib Interest Income</t>
  </si>
  <si>
    <t>Storm Drain System</t>
  </si>
  <si>
    <t>Notes</t>
  </si>
  <si>
    <t>Most expenses are related to large mailings</t>
  </si>
  <si>
    <t>No change</t>
  </si>
  <si>
    <t>DBPR - FL DPT. of States</t>
  </si>
  <si>
    <t>No Change</t>
  </si>
  <si>
    <t>Per Contract $3,605 per month from 1/1/2020</t>
  </si>
  <si>
    <t>Recommeded 10% Increase on overall premiuns</t>
  </si>
  <si>
    <t>Several areas requiring twice a year maintenance</t>
  </si>
  <si>
    <t>Light fixtures and power outlets used for Xmas decos</t>
  </si>
  <si>
    <t>Semi annual - 2020 no change</t>
  </si>
  <si>
    <t xml:space="preserve">Several street signs and banners will need update </t>
  </si>
  <si>
    <t>No change for 2020 - Will seek a new vendor in 2021</t>
  </si>
  <si>
    <t xml:space="preserve">No change for 2020 - </t>
  </si>
  <si>
    <t>Increase</t>
  </si>
  <si>
    <t>Increase maintenance needed to address several areas</t>
  </si>
  <si>
    <t>Qtr</t>
  </si>
  <si>
    <t>Operating Interest Income</t>
  </si>
  <si>
    <t>Explanation and/or Comments</t>
  </si>
  <si>
    <t>per unit</t>
  </si>
  <si>
    <t>2022 Qtrly Asmt</t>
  </si>
  <si>
    <t>Interest/Late Fees</t>
  </si>
  <si>
    <t>Engineering Report</t>
  </si>
  <si>
    <t>For the Period January 1, 2023 through December 31, 2023</t>
  </si>
  <si>
    <t>2023 Proposed Budget</t>
  </si>
  <si>
    <t>Proposed</t>
  </si>
  <si>
    <t>2023 Annual Asmt</t>
  </si>
  <si>
    <t>2023 Qtrly Asmt</t>
  </si>
  <si>
    <t>2022
BUDGET</t>
  </si>
  <si>
    <t>ACTUAL 8/31/22</t>
  </si>
  <si>
    <t>ESTIMATED 4 MONTHS 2022</t>
  </si>
  <si>
    <t xml:space="preserve"> BUDGET 
2023</t>
  </si>
  <si>
    <t>Infrastructure Maintenance</t>
  </si>
  <si>
    <t>2023 Quarterly CSA Fee</t>
  </si>
  <si>
    <t>ARC Fee Income</t>
  </si>
  <si>
    <t>Removed In 2023</t>
  </si>
  <si>
    <t>Reduced based on usage</t>
  </si>
  <si>
    <t>Remove in 2023</t>
  </si>
  <si>
    <t>Remain the same in 2023</t>
  </si>
  <si>
    <t>Based on invoicing</t>
  </si>
  <si>
    <t>10% per vendor</t>
  </si>
  <si>
    <t>Per contract</t>
  </si>
  <si>
    <t xml:space="preserve">TBA </t>
  </si>
  <si>
    <t xml:space="preserve">The LCDD budget for FY23 was adopted  at a rate of $879.17/ERU which is an increase of $62.61 or 7.5%.  </t>
  </si>
  <si>
    <t>Dormant account was cancelled - Deducting base fee of $240.00 annually</t>
  </si>
  <si>
    <t>TBA</t>
  </si>
  <si>
    <t>Per Contract</t>
  </si>
  <si>
    <t>558 claims</t>
  </si>
  <si>
    <t>Same</t>
  </si>
  <si>
    <t>lowered</t>
  </si>
  <si>
    <t>5278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</si>
</sst>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"/>
    <numFmt numFmtId="166" formatCode="0.0000%"/>
    <numFmt numFmtId="167" formatCode="&quot;$&quot;#,##0.00"/>
    <numFmt numFmtId="168" formatCode="_(&quot;$&quot;* #,##0_);_(&quot;$&quot;* \(#,##0\);_(&quot;$&quot;* &quot;-&quot;??_);_(@_)"/>
  </numFmts>
  <fonts count="40" x14ac:knownFonts="1"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4"/>
      <name val="Times New Roman"/>
      <family val="1"/>
    </font>
    <font>
      <b/>
      <sz val="8"/>
      <name val="Verdana"/>
      <family val="2"/>
    </font>
    <font>
      <sz val="8"/>
      <name val="Verdana"/>
      <family val="2"/>
    </font>
    <font>
      <sz val="14"/>
      <name val="Verdana"/>
      <family val="2"/>
    </font>
    <font>
      <b/>
      <u/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sz val="16"/>
      <name val="Verdana"/>
      <family val="2"/>
    </font>
    <font>
      <sz val="11"/>
      <name val="Verdana"/>
      <family val="2"/>
    </font>
    <font>
      <sz val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i/>
      <sz val="8"/>
      <name val="Verdana"/>
      <family val="2"/>
    </font>
    <font>
      <i/>
      <sz val="9"/>
      <name val="Tahoma"/>
      <family val="2"/>
    </font>
    <font>
      <i/>
      <sz val="8"/>
      <name val="Arial"/>
      <family val="2"/>
    </font>
    <font>
      <i/>
      <sz val="8"/>
      <name val="Verdana"/>
      <family val="2"/>
    </font>
    <font>
      <b/>
      <sz val="14"/>
      <name val="Verdana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6"/>
      <color indexed="10"/>
      <name val="Verdana"/>
      <family val="2"/>
    </font>
    <font>
      <b/>
      <sz val="16"/>
      <name val="Verdana"/>
      <family val="2"/>
    </font>
    <font>
      <sz val="14"/>
      <name val="Tahoma"/>
      <family val="2"/>
    </font>
    <font>
      <b/>
      <u/>
      <sz val="9"/>
      <name val="Tahoma"/>
      <family val="2"/>
    </font>
    <font>
      <sz val="8"/>
      <color rgb="FFFF0000"/>
      <name val="Verdana"/>
      <family val="2"/>
    </font>
    <font>
      <b/>
      <sz val="8"/>
      <color rgb="FFFF0000"/>
      <name val="Verdana"/>
      <family val="2"/>
    </font>
    <font>
      <sz val="14"/>
      <color rgb="FFFF0000"/>
      <name val="Verdana"/>
      <family val="2"/>
    </font>
    <font>
      <i/>
      <sz val="8"/>
      <color rgb="FFFF0000"/>
      <name val="Verdana"/>
      <family val="2"/>
    </font>
    <font>
      <sz val="8"/>
      <color rgb="FFFF0000"/>
      <name val="Arial"/>
      <family val="2"/>
    </font>
    <font>
      <b/>
      <sz val="10"/>
      <color rgb="FFFF0000"/>
      <name val="Verdana"/>
      <family val="2"/>
    </font>
    <font>
      <b/>
      <sz val="12"/>
      <color rgb="FFFF0000"/>
      <name val="Verdana"/>
      <family val="2"/>
    </font>
    <font>
      <sz val="12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FF0000"/>
      <name val="Calibri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208">
    <xf numFmtId="0" fontId="0" fillId="0" borderId="0" xfId="0"/>
    <xf numFmtId="0" fontId="5" fillId="0" borderId="0" xfId="0" applyFont="1"/>
    <xf numFmtId="0" fontId="10" fillId="0" borderId="0" xfId="0" applyFont="1" applyAlignment="1">
      <alignment horizontal="centerContinuous"/>
    </xf>
    <xf numFmtId="0" fontId="10" fillId="0" borderId="0" xfId="0" applyFont="1" applyAlignment="1" applyProtection="1">
      <alignment horizontal="centerContinuous"/>
      <protection locked="0"/>
    </xf>
    <xf numFmtId="0" fontId="11" fillId="0" borderId="0" xfId="0" applyFont="1"/>
    <xf numFmtId="15" fontId="11" fillId="0" borderId="0" xfId="0" applyNumberFormat="1" applyFont="1"/>
    <xf numFmtId="14" fontId="11" fillId="0" borderId="0" xfId="0" applyNumberFormat="1" applyFont="1"/>
    <xf numFmtId="0" fontId="12" fillId="0" borderId="0" xfId="0" applyFont="1"/>
    <xf numFmtId="0" fontId="9" fillId="0" borderId="0" xfId="0" applyFont="1" applyAlignment="1">
      <alignment horizontal="center"/>
    </xf>
    <xf numFmtId="0" fontId="11" fillId="2" borderId="0" xfId="0" applyFont="1" applyFill="1" applyAlignment="1">
      <alignment horizontal="centerContinuous"/>
    </xf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17" fontId="15" fillId="0" borderId="0" xfId="0" applyNumberFormat="1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16" fillId="0" borderId="0" xfId="0" applyFont="1" applyAlignment="1">
      <alignment horizontal="left"/>
    </xf>
    <xf numFmtId="164" fontId="16" fillId="0" borderId="0" xfId="0" applyNumberFormat="1" applyFont="1"/>
    <xf numFmtId="165" fontId="16" fillId="0" borderId="0" xfId="0" applyNumberFormat="1" applyFont="1"/>
    <xf numFmtId="0" fontId="16" fillId="0" borderId="0" xfId="0" applyFont="1"/>
    <xf numFmtId="10" fontId="16" fillId="0" borderId="0" xfId="2" applyNumberFormat="1" applyFont="1"/>
    <xf numFmtId="0" fontId="16" fillId="0" borderId="0" xfId="1" applyNumberFormat="1" applyFont="1"/>
    <xf numFmtId="166" fontId="16" fillId="0" borderId="0" xfId="2" applyNumberFormat="1" applyFont="1"/>
    <xf numFmtId="165" fontId="18" fillId="0" borderId="0" xfId="0" applyNumberFormat="1" applyFont="1"/>
    <xf numFmtId="164" fontId="18" fillId="0" borderId="0" xfId="0" applyNumberFormat="1" applyFont="1"/>
    <xf numFmtId="0" fontId="19" fillId="0" borderId="0" xfId="0" applyFont="1"/>
    <xf numFmtId="7" fontId="16" fillId="0" borderId="0" xfId="1" applyNumberFormat="1" applyFont="1"/>
    <xf numFmtId="167" fontId="16" fillId="0" borderId="0" xfId="0" applyNumberFormat="1" applyFont="1"/>
    <xf numFmtId="0" fontId="2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5" fontId="4" fillId="0" borderId="0" xfId="0" applyNumberFormat="1" applyFont="1"/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0" xfId="0" applyFont="1"/>
    <xf numFmtId="41" fontId="5" fillId="0" borderId="0" xfId="0" applyNumberFormat="1" applyFont="1" applyProtection="1">
      <protection hidden="1"/>
    </xf>
    <xf numFmtId="41" fontId="5" fillId="0" borderId="0" xfId="0" applyNumberFormat="1" applyFont="1"/>
    <xf numFmtId="44" fontId="5" fillId="0" borderId="0" xfId="0" applyNumberFormat="1" applyFont="1"/>
    <xf numFmtId="0" fontId="20" fillId="0" borderId="0" xfId="0" applyFont="1"/>
    <xf numFmtId="0" fontId="17" fillId="0" borderId="0" xfId="0" applyFont="1"/>
    <xf numFmtId="41" fontId="20" fillId="0" borderId="0" xfId="0" applyNumberFormat="1" applyFont="1"/>
    <xf numFmtId="41" fontId="5" fillId="0" borderId="3" xfId="0" applyNumberFormat="1" applyFont="1" applyBorder="1"/>
    <xf numFmtId="0" fontId="5" fillId="0" borderId="0" xfId="0" applyFont="1" applyProtection="1">
      <protection locked="0"/>
    </xf>
    <xf numFmtId="44" fontId="5" fillId="0" borderId="0" xfId="0" applyNumberFormat="1" applyFont="1" applyProtection="1">
      <protection locked="0"/>
    </xf>
    <xf numFmtId="41" fontId="5" fillId="0" borderId="0" xfId="0" applyNumberFormat="1" applyFont="1" applyProtection="1">
      <protection locked="0"/>
    </xf>
    <xf numFmtId="0" fontId="13" fillId="0" borderId="0" xfId="0" applyFont="1"/>
    <xf numFmtId="44" fontId="13" fillId="0" borderId="0" xfId="0" applyNumberFormat="1" applyFont="1"/>
    <xf numFmtId="168" fontId="10" fillId="0" borderId="5" xfId="1" applyNumberFormat="1" applyFont="1" applyFill="1" applyBorder="1"/>
    <xf numFmtId="168" fontId="13" fillId="0" borderId="6" xfId="1" applyNumberFormat="1" applyFont="1" applyFill="1" applyBorder="1"/>
    <xf numFmtId="168" fontId="13" fillId="0" borderId="7" xfId="1" applyNumberFormat="1" applyFont="1" applyFill="1" applyBorder="1"/>
    <xf numFmtId="168" fontId="13" fillId="0" borderId="8" xfId="1" applyNumberFormat="1" applyFont="1" applyFill="1" applyBorder="1"/>
    <xf numFmtId="168" fontId="13" fillId="0" borderId="9" xfId="1" applyNumberFormat="1" applyFont="1" applyFill="1" applyBorder="1"/>
    <xf numFmtId="168" fontId="13" fillId="0" borderId="10" xfId="1" applyNumberFormat="1" applyFont="1" applyFill="1" applyBorder="1"/>
    <xf numFmtId="168" fontId="13" fillId="0" borderId="0" xfId="1" applyNumberFormat="1" applyFont="1"/>
    <xf numFmtId="0" fontId="13" fillId="0" borderId="0" xfId="0" applyFont="1" applyAlignment="1">
      <alignment horizontal="right"/>
    </xf>
    <xf numFmtId="41" fontId="5" fillId="0" borderId="4" xfId="0" applyNumberFormat="1" applyFont="1" applyBorder="1"/>
    <xf numFmtId="0" fontId="8" fillId="0" borderId="0" xfId="0" applyFont="1" applyAlignment="1">
      <alignment horizontal="centerContinuous"/>
    </xf>
    <xf numFmtId="0" fontId="22" fillId="0" borderId="0" xfId="0" applyFont="1"/>
    <xf numFmtId="0" fontId="8" fillId="0" borderId="0" xfId="0" applyFont="1" applyAlignment="1" applyProtection="1">
      <alignment horizontal="left" wrapText="1"/>
      <protection locked="0"/>
    </xf>
    <xf numFmtId="0" fontId="9" fillId="0" borderId="0" xfId="0" applyFont="1" applyAlignment="1">
      <alignment wrapText="1"/>
    </xf>
    <xf numFmtId="0" fontId="9" fillId="3" borderId="0" xfId="0" applyFont="1" applyFill="1" applyAlignment="1">
      <alignment horizontal="center"/>
    </xf>
    <xf numFmtId="14" fontId="9" fillId="0" borderId="0" xfId="0" applyNumberFormat="1" applyFont="1" applyAlignment="1">
      <alignment horizontal="center"/>
    </xf>
    <xf numFmtId="0" fontId="2" fillId="0" borderId="0" xfId="0" applyFont="1"/>
    <xf numFmtId="14" fontId="9" fillId="0" borderId="0" xfId="0" applyNumberFormat="1" applyFont="1" applyAlignment="1">
      <alignment horizontal="left" wrapText="1"/>
    </xf>
    <xf numFmtId="0" fontId="9" fillId="3" borderId="0" xfId="0" applyFont="1" applyFill="1"/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8" fillId="0" borderId="0" xfId="0" applyFont="1" applyAlignment="1">
      <alignment wrapText="1"/>
    </xf>
    <xf numFmtId="41" fontId="9" fillId="0" borderId="2" xfId="0" applyNumberFormat="1" applyFont="1" applyBorder="1"/>
    <xf numFmtId="43" fontId="2" fillId="0" borderId="0" xfId="0" applyNumberFormat="1" applyFont="1"/>
    <xf numFmtId="43" fontId="22" fillId="0" borderId="0" xfId="0" applyNumberFormat="1" applyFont="1"/>
    <xf numFmtId="0" fontId="3" fillId="0" borderId="0" xfId="0" applyFont="1"/>
    <xf numFmtId="0" fontId="2" fillId="0" borderId="0" xfId="0" applyFont="1" applyAlignment="1">
      <alignment wrapText="1"/>
    </xf>
    <xf numFmtId="0" fontId="23" fillId="0" borderId="0" xfId="0" applyFont="1"/>
    <xf numFmtId="41" fontId="8" fillId="0" borderId="0" xfId="0" applyNumberFormat="1" applyFont="1" applyAlignment="1">
      <alignment horizontal="center"/>
    </xf>
    <xf numFmtId="41" fontId="8" fillId="3" borderId="0" xfId="0" applyNumberFormat="1" applyFont="1" applyFill="1"/>
    <xf numFmtId="41" fontId="8" fillId="0" borderId="0" xfId="0" applyNumberFormat="1" applyFont="1"/>
    <xf numFmtId="41" fontId="9" fillId="3" borderId="2" xfId="0" applyNumberFormat="1" applyFont="1" applyFill="1" applyBorder="1" applyAlignment="1" applyProtection="1">
      <alignment horizontal="center"/>
      <protection locked="0"/>
    </xf>
    <xf numFmtId="41" fontId="9" fillId="0" borderId="2" xfId="0" applyNumberFormat="1" applyFont="1" applyBorder="1" applyProtection="1"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/>
    </xf>
    <xf numFmtId="14" fontId="24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Continuous"/>
    </xf>
    <xf numFmtId="49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centerContinuous"/>
      <protection locked="0"/>
    </xf>
    <xf numFmtId="0" fontId="12" fillId="0" borderId="0" xfId="0" applyFont="1" applyAlignment="1">
      <alignment horizontal="centerContinuous"/>
    </xf>
    <xf numFmtId="49" fontId="12" fillId="0" borderId="0" xfId="0" applyNumberFormat="1" applyFont="1" applyAlignment="1" applyProtection="1">
      <alignment horizontal="centerContinuous"/>
      <protection locked="0"/>
    </xf>
    <xf numFmtId="0" fontId="12" fillId="0" borderId="0" xfId="0" applyFont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8" fontId="13" fillId="0" borderId="0" xfId="1" applyNumberFormat="1" applyFont="1" applyFill="1" applyBorder="1"/>
    <xf numFmtId="0" fontId="8" fillId="0" borderId="0" xfId="0" applyFont="1"/>
    <xf numFmtId="0" fontId="9" fillId="0" borderId="2" xfId="0" applyFont="1" applyBorder="1" applyAlignment="1">
      <alignment wrapText="1"/>
    </xf>
    <xf numFmtId="38" fontId="9" fillId="0" borderId="2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1" fontId="9" fillId="0" borderId="2" xfId="0" applyNumberFormat="1" applyFont="1" applyBorder="1" applyAlignment="1" applyProtection="1">
      <alignment horizontal="center"/>
      <protection locked="0"/>
    </xf>
    <xf numFmtId="38" fontId="9" fillId="0" borderId="2" xfId="0" applyNumberFormat="1" applyFont="1" applyBorder="1" applyProtection="1">
      <protection locked="0"/>
    </xf>
    <xf numFmtId="0" fontId="9" fillId="0" borderId="2" xfId="0" applyFont="1" applyBorder="1" applyAlignment="1">
      <alignment horizontal="center"/>
    </xf>
    <xf numFmtId="168" fontId="9" fillId="0" borderId="2" xfId="0" applyNumberFormat="1" applyFont="1" applyBorder="1"/>
    <xf numFmtId="0" fontId="2" fillId="0" borderId="0" xfId="0" applyFont="1" applyAlignment="1">
      <alignment horizontal="left"/>
    </xf>
    <xf numFmtId="7" fontId="27" fillId="0" borderId="0" xfId="1" applyNumberFormat="1" applyFont="1"/>
    <xf numFmtId="167" fontId="27" fillId="0" borderId="0" xfId="0" applyNumberFormat="1" applyFont="1"/>
    <xf numFmtId="166" fontId="27" fillId="0" borderId="0" xfId="2" applyNumberFormat="1" applyFont="1"/>
    <xf numFmtId="7" fontId="16" fillId="0" borderId="0" xfId="1" applyNumberFormat="1" applyFont="1" applyProtection="1">
      <protection locked="0"/>
    </xf>
    <xf numFmtId="0" fontId="16" fillId="0" borderId="0" xfId="0" applyFont="1" applyProtection="1">
      <protection locked="0"/>
    </xf>
    <xf numFmtId="44" fontId="16" fillId="0" borderId="0" xfId="2" applyNumberFormat="1" applyFont="1" applyProtection="1">
      <protection locked="0"/>
    </xf>
    <xf numFmtId="0" fontId="9" fillId="0" borderId="1" xfId="0" applyFont="1" applyBorder="1" applyAlignment="1">
      <alignment wrapText="1"/>
    </xf>
    <xf numFmtId="14" fontId="11" fillId="0" borderId="0" xfId="0" applyNumberFormat="1" applyFont="1" applyAlignment="1">
      <alignment horizontal="centerContinuous"/>
    </xf>
    <xf numFmtId="0" fontId="11" fillId="0" borderId="0" xfId="0" applyFont="1" applyAlignment="1">
      <alignment horizontal="right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41" fontId="9" fillId="0" borderId="0" xfId="0" applyNumberFormat="1" applyFont="1"/>
    <xf numFmtId="0" fontId="8" fillId="0" borderId="2" xfId="0" applyFont="1" applyBorder="1" applyAlignment="1">
      <alignment wrapText="1"/>
    </xf>
    <xf numFmtId="41" fontId="8" fillId="0" borderId="2" xfId="0" applyNumberFormat="1" applyFont="1" applyBorder="1" applyAlignment="1">
      <alignment horizontal="center"/>
    </xf>
    <xf numFmtId="41" fontId="8" fillId="0" borderId="2" xfId="0" applyNumberFormat="1" applyFont="1" applyBorder="1"/>
    <xf numFmtId="0" fontId="13" fillId="0" borderId="0" xfId="0" applyFont="1" applyAlignment="1">
      <alignment horizontal="left"/>
    </xf>
    <xf numFmtId="0" fontId="9" fillId="0" borderId="2" xfId="0" applyFont="1" applyBorder="1"/>
    <xf numFmtId="0" fontId="28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horizontal="center" wrapText="1"/>
    </xf>
    <xf numFmtId="0" fontId="28" fillId="0" borderId="0" xfId="0" applyFont="1" applyAlignment="1" applyProtection="1">
      <alignment wrapText="1"/>
      <protection locked="0"/>
    </xf>
    <xf numFmtId="0" fontId="28" fillId="0" borderId="0" xfId="0" applyFont="1" applyAlignment="1">
      <alignment wrapText="1"/>
    </xf>
    <xf numFmtId="44" fontId="28" fillId="0" borderId="0" xfId="0" applyNumberFormat="1" applyFont="1" applyAlignment="1" applyProtection="1">
      <alignment wrapText="1"/>
      <protection locked="0"/>
    </xf>
    <xf numFmtId="44" fontId="30" fillId="0" borderId="0" xfId="0" applyNumberFormat="1" applyFont="1" applyAlignment="1" applyProtection="1">
      <alignment wrapText="1"/>
      <protection locked="0"/>
    </xf>
    <xf numFmtId="0" fontId="31" fillId="0" borderId="0" xfId="0" applyFont="1" applyAlignment="1" applyProtection="1">
      <alignment wrapText="1"/>
      <protection locked="0"/>
    </xf>
    <xf numFmtId="0" fontId="32" fillId="0" borderId="0" xfId="0" applyFont="1" applyAlignment="1">
      <alignment wrapText="1"/>
    </xf>
    <xf numFmtId="0" fontId="33" fillId="0" borderId="0" xfId="0" applyFont="1" applyAlignment="1">
      <alignment wrapText="1"/>
    </xf>
    <xf numFmtId="41" fontId="34" fillId="0" borderId="0" xfId="0" applyNumberFormat="1" applyFont="1"/>
    <xf numFmtId="164" fontId="0" fillId="0" borderId="0" xfId="0" applyNumberFormat="1"/>
    <xf numFmtId="41" fontId="9" fillId="0" borderId="0" xfId="5" applyNumberFormat="1" applyFont="1"/>
    <xf numFmtId="41" fontId="28" fillId="0" borderId="0" xfId="0" applyNumberFormat="1" applyFont="1" applyProtection="1">
      <protection locked="0"/>
    </xf>
    <xf numFmtId="41" fontId="28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43" fontId="5" fillId="0" borderId="0" xfId="0" applyNumberFormat="1" applyFont="1" applyProtection="1">
      <protection hidden="1"/>
    </xf>
    <xf numFmtId="43" fontId="5" fillId="0" borderId="3" xfId="0" applyNumberFormat="1" applyFont="1" applyBorder="1" applyProtection="1">
      <protection hidden="1"/>
    </xf>
    <xf numFmtId="43" fontId="5" fillId="0" borderId="4" xfId="0" applyNumberFormat="1" applyFont="1" applyBorder="1" applyProtection="1">
      <protection hidden="1"/>
    </xf>
    <xf numFmtId="167" fontId="15" fillId="0" borderId="0" xfId="0" applyNumberFormat="1" applyFont="1" applyAlignment="1">
      <alignment horizontal="center"/>
    </xf>
    <xf numFmtId="0" fontId="36" fillId="0" borderId="0" xfId="0" applyFont="1"/>
    <xf numFmtId="0" fontId="37" fillId="0" borderId="0" xfId="0" applyFont="1"/>
    <xf numFmtId="43" fontId="36" fillId="0" borderId="0" xfId="0" applyNumberFormat="1" applyFont="1"/>
    <xf numFmtId="43" fontId="37" fillId="0" borderId="0" xfId="0" applyNumberFormat="1" applyFont="1"/>
    <xf numFmtId="0" fontId="9" fillId="0" borderId="0" xfId="0" applyFont="1"/>
    <xf numFmtId="7" fontId="10" fillId="0" borderId="5" xfId="1" applyNumberFormat="1" applyFont="1" applyFill="1" applyBorder="1" applyAlignment="1">
      <alignment horizontal="center"/>
    </xf>
    <xf numFmtId="167" fontId="10" fillId="0" borderId="18" xfId="0" applyNumberFormat="1" applyFont="1" applyBorder="1" applyAlignment="1">
      <alignment horizontal="center"/>
    </xf>
    <xf numFmtId="4" fontId="10" fillId="0" borderId="6" xfId="0" applyNumberFormat="1" applyFont="1" applyBorder="1" applyAlignment="1">
      <alignment horizontal="center" wrapText="1"/>
    </xf>
    <xf numFmtId="1" fontId="8" fillId="0" borderId="17" xfId="0" applyNumberFormat="1" applyFont="1" applyBorder="1" applyAlignment="1">
      <alignment horizontal="center"/>
    </xf>
    <xf numFmtId="44" fontId="8" fillId="0" borderId="17" xfId="2" applyNumberFormat="1" applyFont="1" applyFill="1" applyBorder="1"/>
    <xf numFmtId="44" fontId="8" fillId="0" borderId="17" xfId="0" applyNumberFormat="1" applyFont="1" applyBorder="1" applyAlignment="1">
      <alignment horizontal="center" wrapText="1"/>
    </xf>
    <xf numFmtId="1" fontId="9" fillId="0" borderId="2" xfId="0" applyNumberFormat="1" applyFont="1" applyBorder="1" applyAlignment="1">
      <alignment horizontal="center"/>
    </xf>
    <xf numFmtId="44" fontId="9" fillId="0" borderId="2" xfId="2" applyNumberFormat="1" applyFont="1" applyFill="1" applyBorder="1"/>
    <xf numFmtId="44" fontId="9" fillId="0" borderId="2" xfId="0" applyNumberFormat="1" applyFont="1" applyBorder="1" applyAlignment="1">
      <alignment horizontal="center" wrapText="1"/>
    </xf>
    <xf numFmtId="41" fontId="9" fillId="0" borderId="19" xfId="5" applyNumberFormat="1" applyFont="1" applyBorder="1" applyAlignment="1">
      <alignment horizontal="left"/>
    </xf>
    <xf numFmtId="41" fontId="9" fillId="0" borderId="19" xfId="5" applyNumberFormat="1" applyFont="1" applyBorder="1"/>
    <xf numFmtId="41" fontId="9" fillId="0" borderId="20" xfId="5" applyNumberFormat="1" applyFont="1" applyBorder="1"/>
    <xf numFmtId="1" fontId="9" fillId="0" borderId="21" xfId="0" applyNumberFormat="1" applyFont="1" applyBorder="1" applyAlignment="1">
      <alignment horizontal="center"/>
    </xf>
    <xf numFmtId="44" fontId="9" fillId="0" borderId="21" xfId="2" applyNumberFormat="1" applyFont="1" applyFill="1" applyBorder="1"/>
    <xf numFmtId="44" fontId="9" fillId="0" borderId="21" xfId="0" applyNumberFormat="1" applyFont="1" applyBorder="1" applyAlignment="1">
      <alignment horizontal="center" wrapText="1"/>
    </xf>
    <xf numFmtId="4" fontId="10" fillId="0" borderId="22" xfId="0" applyNumberFormat="1" applyFont="1" applyBorder="1" applyAlignment="1">
      <alignment horizontal="center" wrapText="1"/>
    </xf>
    <xf numFmtId="41" fontId="0" fillId="0" borderId="0" xfId="0" applyNumberFormat="1" applyProtection="1">
      <protection locked="0"/>
    </xf>
    <xf numFmtId="0" fontId="20" fillId="0" borderId="0" xfId="0" applyFont="1" applyProtection="1">
      <protection locked="0"/>
    </xf>
    <xf numFmtId="0" fontId="5" fillId="0" borderId="0" xfId="0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41" fontId="5" fillId="0" borderId="0" xfId="0" applyNumberFormat="1" applyFont="1" applyAlignment="1" applyProtection="1">
      <alignment horizontal="left" vertical="center"/>
      <protection locked="0"/>
    </xf>
    <xf numFmtId="41" fontId="28" fillId="0" borderId="0" xfId="0" applyNumberFormat="1" applyFont="1" applyAlignment="1" applyProtection="1">
      <alignment horizontal="left" vertical="center"/>
      <protection locked="0"/>
    </xf>
    <xf numFmtId="43" fontId="5" fillId="0" borderId="0" xfId="0" applyNumberFormat="1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right" vertical="center"/>
    </xf>
    <xf numFmtId="41" fontId="4" fillId="0" borderId="0" xfId="0" applyNumberFormat="1" applyFont="1" applyProtection="1">
      <protection locked="0"/>
    </xf>
    <xf numFmtId="41" fontId="4" fillId="0" borderId="0" xfId="0" applyNumberFormat="1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49" fontId="32" fillId="0" borderId="0" xfId="0" applyNumberFormat="1" applyFont="1" applyAlignment="1" applyProtection="1">
      <alignment wrapText="1"/>
      <protection locked="0"/>
    </xf>
    <xf numFmtId="0" fontId="32" fillId="0" borderId="0" xfId="0" applyFont="1" applyAlignment="1" applyProtection="1">
      <alignment vertical="center"/>
      <protection locked="0"/>
    </xf>
    <xf numFmtId="49" fontId="32" fillId="0" borderId="0" xfId="0" applyNumberFormat="1" applyFont="1" applyAlignment="1" applyProtection="1">
      <alignment horizontal="left" vertical="center" wrapText="1"/>
      <protection locked="0"/>
    </xf>
    <xf numFmtId="41" fontId="32" fillId="0" borderId="0" xfId="0" applyNumberFormat="1" applyFont="1" applyProtection="1">
      <protection locked="0"/>
    </xf>
    <xf numFmtId="0" fontId="32" fillId="0" borderId="0" xfId="0" applyFont="1" applyAlignment="1" applyProtection="1">
      <alignment horizontal="left"/>
      <protection locked="0"/>
    </xf>
    <xf numFmtId="41" fontId="4" fillId="0" borderId="0" xfId="0" applyNumberFormat="1" applyFont="1"/>
    <xf numFmtId="0" fontId="38" fillId="0" borderId="0" xfId="0" applyFont="1" applyAlignment="1" applyProtection="1">
      <alignment wrapText="1"/>
      <protection locked="0"/>
    </xf>
    <xf numFmtId="41" fontId="29" fillId="0" borderId="0" xfId="0" applyNumberFormat="1" applyFont="1" applyProtection="1">
      <protection locked="0"/>
    </xf>
    <xf numFmtId="41" fontId="29" fillId="0" borderId="0" xfId="0" applyNumberFormat="1" applyFont="1" applyAlignment="1" applyProtection="1">
      <alignment vertical="center"/>
      <protection locked="0"/>
    </xf>
    <xf numFmtId="41" fontId="29" fillId="0" borderId="0" xfId="0" applyNumberFormat="1" applyFont="1" applyAlignment="1" applyProtection="1">
      <alignment horizontal="left" vertical="center"/>
      <protection locked="0"/>
    </xf>
    <xf numFmtId="41" fontId="29" fillId="0" borderId="4" xfId="0" applyNumberFormat="1" applyFont="1" applyBorder="1"/>
    <xf numFmtId="41" fontId="29" fillId="0" borderId="0" xfId="0" applyNumberFormat="1" applyFont="1"/>
    <xf numFmtId="41" fontId="29" fillId="0" borderId="3" xfId="0" applyNumberFormat="1" applyFont="1" applyBorder="1"/>
    <xf numFmtId="9" fontId="32" fillId="0" borderId="0" xfId="0" applyNumberFormat="1" applyFont="1" applyAlignment="1" applyProtection="1">
      <alignment horizontal="left" vertical="center"/>
      <protection locked="0"/>
    </xf>
    <xf numFmtId="41" fontId="39" fillId="0" borderId="0" xfId="0" applyNumberFormat="1" applyFont="1" applyProtection="1">
      <protection locked="0"/>
    </xf>
    <xf numFmtId="49" fontId="39" fillId="0" borderId="0" xfId="0" applyNumberFormat="1" applyFont="1" applyAlignment="1" applyProtection="1">
      <alignment horizontal="left" vertical="center" wrapText="1"/>
      <protection locked="0"/>
    </xf>
    <xf numFmtId="1" fontId="11" fillId="0" borderId="13" xfId="0" applyNumberFormat="1" applyFont="1" applyBorder="1" applyAlignment="1">
      <alignment horizontal="center"/>
    </xf>
    <xf numFmtId="44" fontId="16" fillId="0" borderId="0" xfId="1" applyNumberFormat="1" applyFont="1"/>
    <xf numFmtId="0" fontId="11" fillId="0" borderId="11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44" fontId="5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" fontId="5" fillId="0" borderId="14" xfId="0" applyNumberFormat="1" applyFont="1" applyBorder="1"/>
    <xf numFmtId="4" fontId="0" fillId="0" borderId="15" xfId="0" applyNumberFormat="1" applyBorder="1"/>
    <xf numFmtId="4" fontId="0" fillId="0" borderId="16" xfId="0" applyNumberFormat="1" applyBorder="1"/>
    <xf numFmtId="4" fontId="5" fillId="4" borderId="11" xfId="0" applyNumberFormat="1" applyFont="1" applyFill="1" applyBorder="1" applyAlignment="1">
      <alignment horizontal="right"/>
    </xf>
    <xf numFmtId="4" fontId="0" fillId="4" borderId="12" xfId="0" applyNumberFormat="1" applyFill="1" applyBorder="1" applyAlignment="1">
      <alignment horizontal="right"/>
    </xf>
    <xf numFmtId="4" fontId="0" fillId="4" borderId="13" xfId="0" applyNumberFormat="1" applyFill="1" applyBorder="1" applyAlignment="1">
      <alignment horizontal="right"/>
    </xf>
    <xf numFmtId="0" fontId="12" fillId="0" borderId="0" xfId="0" applyFont="1" applyAlignment="1">
      <alignment horizontal="left"/>
    </xf>
  </cellXfs>
  <cellStyles count="6">
    <cellStyle name="Currency" xfId="1" builtinId="4"/>
    <cellStyle name="Normal" xfId="0" builtinId="0"/>
    <cellStyle name="Normal 2" xfId="5" xr:uid="{00000000-0005-0000-0000-000002000000}"/>
    <cellStyle name="Percent" xfId="2" builtinId="5"/>
    <cellStyle name="Percent 2" xfId="3" xr:uid="{00000000-0005-0000-0000-000004000000}"/>
    <cellStyle name="Percent 3" xfId="4" xr:uid="{00000000-0005-0000-0000-000005000000}"/>
  </cellStyles>
  <dxfs count="2">
    <dxf>
      <font>
        <b val="0"/>
        <i val="0"/>
        <strike val="0"/>
        <color rgb="FFFF0000"/>
      </font>
      <numFmt numFmtId="30" formatCode="@"/>
    </dxf>
    <dxf>
      <font>
        <color rgb="FF00B05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352425</xdr:colOff>
      <xdr:row>15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483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352425</xdr:colOff>
      <xdr:row>15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4835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352425</xdr:colOff>
      <xdr:row>15</xdr:row>
      <xdr:rowOff>85725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848350" y="336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352425</xdr:colOff>
      <xdr:row>15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848350" y="336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352425</xdr:colOff>
      <xdr:row>15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84835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352425</xdr:colOff>
      <xdr:row>15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48350" y="336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352425</xdr:colOff>
      <xdr:row>15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4835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352425</xdr:colOff>
      <xdr:row>15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84835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352425</xdr:colOff>
      <xdr:row>15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848350" y="336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352425</xdr:colOff>
      <xdr:row>15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84835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352425</xdr:colOff>
      <xdr:row>15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84835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BUDGET.XLS"/>
      <sheetName val="BUDGET_XLS"/>
    </sheetNames>
    <definedNames>
      <definedName name="cmdStart_Click"/>
    </defined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R73"/>
  <sheetViews>
    <sheetView tabSelected="1" zoomScale="110" zoomScaleNormal="110" workbookViewId="0">
      <pane xSplit="16" ySplit="8" topLeftCell="Q9" activePane="bottomRight" state="frozen"/>
      <selection pane="bottomLeft" activeCell="A9" sqref="A9"/>
      <selection pane="topRight" activeCell="Q1" sqref="Q1"/>
      <selection pane="bottomRight" activeCell="L47" sqref="L47"/>
    </sheetView>
  </sheetViews>
  <sheetFormatPr defaultColWidth="9.26953125" defaultRowHeight="10.5" x14ac:dyDescent="0.1"/>
  <cols>
    <col min="1" max="1" width="6.234375" customWidth="1"/>
    <col min="2" max="2" width="54.61328125" customWidth="1"/>
    <col min="3" max="3" width="0" hidden="1" customWidth="1"/>
    <col min="4" max="4" width="14.49609375" customWidth="1"/>
    <col min="5" max="5" width="2.86328125" customWidth="1"/>
    <col min="6" max="6" width="15" customWidth="1"/>
    <col min="7" max="7" width="2.86328125" customWidth="1"/>
    <col min="8" max="8" width="16.1796875" bestFit="1" customWidth="1"/>
    <col min="9" max="9" width="2.86328125" customWidth="1"/>
    <col min="10" max="10" width="13.484375" customWidth="1"/>
    <col min="11" max="11" width="2.86328125" customWidth="1"/>
    <col min="12" max="12" width="13.8203125" customWidth="1"/>
    <col min="13" max="13" width="3.03125" customWidth="1"/>
    <col min="14" max="14" width="11.96484375" customWidth="1"/>
    <col min="15" max="15" width="12.80859375" customWidth="1"/>
    <col min="16" max="16" width="18.7109375" customWidth="1"/>
    <col min="17" max="17" width="56.63671875" style="133" hidden="1" customWidth="1"/>
    <col min="18" max="18" width="80.7421875" style="102" customWidth="1"/>
  </cols>
  <sheetData>
    <row r="1" spans="1:18" ht="22.5" customHeight="1" x14ac:dyDescent="0.2">
      <c r="A1" s="1"/>
      <c r="B1" s="28" t="str">
        <f>PARAMETERS!B8</f>
        <v>LELY RESORT MASTER POA</v>
      </c>
      <c r="C1" s="1"/>
      <c r="D1" s="2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29"/>
    </row>
    <row r="2" spans="1:18" ht="21" customHeight="1" x14ac:dyDescent="0.2">
      <c r="A2" s="1"/>
      <c r="B2" s="29" t="str">
        <f>PARAMETERS!B4</f>
        <v>For the Period January 1, 2023 through December 31, 2023</v>
      </c>
      <c r="C2" s="1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29"/>
    </row>
    <row r="3" spans="1:18" ht="21" customHeight="1" thickBot="1" x14ac:dyDescent="0.25">
      <c r="A3" s="1"/>
      <c r="B3" s="29" t="str">
        <f>PARAMETERS!B10</f>
        <v>2023 Proposed Budget</v>
      </c>
      <c r="C3" s="1"/>
      <c r="D3" s="30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29"/>
    </row>
    <row r="4" spans="1:18" ht="21" customHeight="1" thickTop="1" thickBot="1" x14ac:dyDescent="0.25">
      <c r="A4" s="1"/>
      <c r="B4" s="29" t="str">
        <f>PARAMETERS!B7</f>
        <v>5278 Units</v>
      </c>
      <c r="C4" s="1"/>
      <c r="D4" s="30"/>
      <c r="E4" s="31"/>
      <c r="F4" s="31"/>
      <c r="G4" s="31"/>
      <c r="H4" s="31"/>
      <c r="I4" s="31"/>
      <c r="J4" s="31"/>
      <c r="K4" s="31"/>
      <c r="L4" s="31"/>
      <c r="M4" s="31"/>
      <c r="N4" s="196" t="s">
        <v>82</v>
      </c>
      <c r="O4" s="197"/>
      <c r="P4" s="194">
        <f>SUM(ASSESSMENTS!D58)</f>
        <v>5278</v>
      </c>
      <c r="Q4" s="129"/>
    </row>
    <row r="5" spans="1:18" ht="18.75" thickTop="1" x14ac:dyDescent="0.2">
      <c r="A5" s="1"/>
      <c r="B5" s="1"/>
      <c r="C5" s="1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29"/>
    </row>
    <row r="6" spans="1:18" ht="33.75" customHeight="1" x14ac:dyDescent="0.1">
      <c r="A6" s="1"/>
      <c r="B6" s="32"/>
      <c r="C6" s="1"/>
      <c r="D6" s="33" t="s">
        <v>174</v>
      </c>
      <c r="E6" s="31"/>
      <c r="F6" s="33" t="s">
        <v>175</v>
      </c>
      <c r="G6" s="31"/>
      <c r="H6" s="33" t="s">
        <v>176</v>
      </c>
      <c r="I6" s="31"/>
      <c r="J6" s="33" t="s">
        <v>35</v>
      </c>
      <c r="K6" s="34"/>
      <c r="L6" s="33" t="s">
        <v>177</v>
      </c>
      <c r="M6" s="33"/>
      <c r="N6" s="33" t="s">
        <v>135</v>
      </c>
      <c r="O6" s="33" t="s">
        <v>134</v>
      </c>
      <c r="P6" s="33" t="s">
        <v>136</v>
      </c>
      <c r="Q6" s="127" t="s">
        <v>147</v>
      </c>
      <c r="R6" s="177" t="s">
        <v>164</v>
      </c>
    </row>
    <row r="7" spans="1:18" ht="15" hidden="1" customHeight="1" x14ac:dyDescent="0.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29"/>
    </row>
    <row r="8" spans="1:18" ht="15" hidden="1" customHeight="1" x14ac:dyDescent="0.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29"/>
    </row>
    <row r="9" spans="1:18" ht="15" customHeight="1" x14ac:dyDescent="0.1">
      <c r="A9" s="1"/>
      <c r="B9" s="35" t="s">
        <v>37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28"/>
    </row>
    <row r="10" spans="1:18" ht="13.5" customHeight="1" x14ac:dyDescent="0.1">
      <c r="A10" s="1">
        <v>4100</v>
      </c>
      <c r="B10" s="1" t="s">
        <v>52</v>
      </c>
      <c r="C10" s="1"/>
      <c r="D10" s="36">
        <v>404000</v>
      </c>
      <c r="E10" s="37"/>
      <c r="F10" s="37">
        <v>269333.21999999997</v>
      </c>
      <c r="G10" s="37"/>
      <c r="H10" s="37">
        <f>F10*PARAMETERS!$B$9</f>
        <v>134666.60999999999</v>
      </c>
      <c r="I10" s="37"/>
      <c r="J10" s="37">
        <f>+F10+H10</f>
        <v>403999.82999999996</v>
      </c>
      <c r="K10" s="37"/>
      <c r="L10" s="36">
        <f>L52-L51</f>
        <v>524912</v>
      </c>
      <c r="M10" s="36"/>
      <c r="N10" s="141">
        <f>L10/$P$4</f>
        <v>99.452823039029937</v>
      </c>
      <c r="O10" s="141">
        <f>N10/4</f>
        <v>24.863205759757484</v>
      </c>
      <c r="P10" s="141">
        <f>N10/12</f>
        <v>8.2877352532524942</v>
      </c>
      <c r="Q10" s="128"/>
      <c r="R10" s="166"/>
    </row>
    <row r="11" spans="1:18" ht="13.5" customHeight="1" x14ac:dyDescent="0.1">
      <c r="A11" s="1"/>
      <c r="B11" s="1" t="s">
        <v>58</v>
      </c>
      <c r="C11" s="1"/>
      <c r="D11" s="36">
        <v>0</v>
      </c>
      <c r="E11" s="37"/>
      <c r="F11" s="37">
        <v>0</v>
      </c>
      <c r="G11" s="37"/>
      <c r="H11" s="37">
        <f>D11-F11</f>
        <v>0</v>
      </c>
      <c r="I11" s="37"/>
      <c r="J11" s="37">
        <f>+F11+H11</f>
        <v>0</v>
      </c>
      <c r="K11" s="37"/>
      <c r="L11" s="36">
        <f>RESERVE!J14</f>
        <v>0</v>
      </c>
      <c r="M11" s="36"/>
      <c r="N11" s="141">
        <f t="shared" ref="N11:N52" si="0">L11/$P$4</f>
        <v>0</v>
      </c>
      <c r="O11" s="141">
        <f t="shared" ref="O11:O52" si="1">N11/4</f>
        <v>0</v>
      </c>
      <c r="P11" s="141">
        <f t="shared" ref="P11:P52" si="2">N11/12</f>
        <v>0</v>
      </c>
      <c r="Q11" s="128"/>
    </row>
    <row r="12" spans="1:18" ht="13.5" customHeight="1" x14ac:dyDescent="0.1">
      <c r="A12" s="1">
        <v>4225</v>
      </c>
      <c r="B12" s="1" t="s">
        <v>167</v>
      </c>
      <c r="C12" s="1"/>
      <c r="D12" s="36">
        <v>0</v>
      </c>
      <c r="E12" s="37"/>
      <c r="F12" s="37">
        <v>3213.46</v>
      </c>
      <c r="G12" s="37"/>
      <c r="H12" s="37">
        <f>F12*PARAMETERS!$B$9</f>
        <v>1606.73</v>
      </c>
      <c r="I12" s="37"/>
      <c r="J12" s="37">
        <f>+F12+H12</f>
        <v>4820.1900000000005</v>
      </c>
      <c r="K12" s="37"/>
      <c r="L12" s="36">
        <v>0</v>
      </c>
      <c r="M12" s="36"/>
      <c r="N12" s="141">
        <f t="shared" si="0"/>
        <v>0</v>
      </c>
      <c r="O12" s="141">
        <f t="shared" si="1"/>
        <v>0</v>
      </c>
      <c r="P12" s="141"/>
      <c r="Q12" s="128"/>
    </row>
    <row r="13" spans="1:18" ht="13.5" customHeight="1" x14ac:dyDescent="0.1">
      <c r="A13" s="1">
        <v>4230</v>
      </c>
      <c r="B13" s="1" t="s">
        <v>144</v>
      </c>
      <c r="C13" s="1"/>
      <c r="D13" s="36">
        <v>0</v>
      </c>
      <c r="E13" s="37"/>
      <c r="F13" s="37">
        <v>5085.75</v>
      </c>
      <c r="G13" s="37"/>
      <c r="H13" s="37">
        <f>F13*PARAMETERS!$B$9</f>
        <v>2542.875</v>
      </c>
      <c r="I13" s="37"/>
      <c r="J13" s="37">
        <f>+F13+H13</f>
        <v>7628.625</v>
      </c>
      <c r="K13" s="37"/>
      <c r="L13" s="36">
        <v>0</v>
      </c>
      <c r="M13" s="36"/>
      <c r="N13" s="141">
        <f t="shared" si="0"/>
        <v>0</v>
      </c>
      <c r="O13" s="141">
        <f t="shared" si="1"/>
        <v>0</v>
      </c>
      <c r="P13" s="141">
        <f t="shared" si="2"/>
        <v>0</v>
      </c>
      <c r="Q13" s="128"/>
    </row>
    <row r="14" spans="1:18" ht="13.5" customHeight="1" x14ac:dyDescent="0.1">
      <c r="A14" s="1">
        <v>4245</v>
      </c>
      <c r="B14" s="1" t="s">
        <v>180</v>
      </c>
      <c r="C14" s="1"/>
      <c r="D14" s="36">
        <v>0</v>
      </c>
      <c r="E14" s="37"/>
      <c r="F14" s="37">
        <v>366</v>
      </c>
      <c r="G14" s="37"/>
      <c r="H14" s="37">
        <f>F14*PARAMETERS!$B$9</f>
        <v>183</v>
      </c>
      <c r="I14" s="37"/>
      <c r="J14" s="37">
        <f>+F14+H14</f>
        <v>549</v>
      </c>
      <c r="K14" s="37"/>
      <c r="L14" s="36">
        <v>0</v>
      </c>
      <c r="M14" s="36"/>
      <c r="N14" s="141">
        <v>0</v>
      </c>
      <c r="O14" s="141">
        <v>0</v>
      </c>
      <c r="P14" s="141">
        <v>0</v>
      </c>
      <c r="Q14" s="128"/>
    </row>
    <row r="15" spans="1:18" ht="13.5" customHeight="1" x14ac:dyDescent="0.1">
      <c r="A15" s="1">
        <v>4300</v>
      </c>
      <c r="B15" s="1" t="s">
        <v>163</v>
      </c>
      <c r="C15" s="1"/>
      <c r="D15" s="36">
        <v>0</v>
      </c>
      <c r="E15" s="37"/>
      <c r="F15" s="37">
        <v>90.16</v>
      </c>
      <c r="G15" s="37"/>
      <c r="H15" s="37">
        <f>F15*PARAMETERS!$B$9</f>
        <v>45.08</v>
      </c>
      <c r="I15" s="37"/>
      <c r="J15" s="37">
        <f t="shared" ref="J15:J16" si="3">F15+H15</f>
        <v>135.24</v>
      </c>
      <c r="K15" s="37"/>
      <c r="L15" s="36">
        <v>0</v>
      </c>
      <c r="M15" s="36"/>
      <c r="N15" s="141">
        <f t="shared" si="0"/>
        <v>0</v>
      </c>
      <c r="O15" s="141">
        <f t="shared" si="1"/>
        <v>0</v>
      </c>
      <c r="P15" s="141">
        <f t="shared" si="2"/>
        <v>0</v>
      </c>
      <c r="Q15" s="128"/>
    </row>
    <row r="16" spans="1:18" ht="13.5" customHeight="1" x14ac:dyDescent="0.1">
      <c r="A16" s="1">
        <v>4305</v>
      </c>
      <c r="B16" s="1" t="s">
        <v>145</v>
      </c>
      <c r="C16" s="1"/>
      <c r="D16" s="42">
        <v>0</v>
      </c>
      <c r="E16" s="42"/>
      <c r="F16" s="42">
        <v>1009.83</v>
      </c>
      <c r="G16" s="42"/>
      <c r="H16" s="42">
        <f>F16*PARAMETERS!$B$9</f>
        <v>504.91500000000002</v>
      </c>
      <c r="I16" s="42"/>
      <c r="J16" s="42">
        <f t="shared" si="3"/>
        <v>1514.7450000000001</v>
      </c>
      <c r="K16" s="42"/>
      <c r="L16" s="42">
        <v>0</v>
      </c>
      <c r="M16" s="37"/>
      <c r="N16" s="142">
        <f t="shared" si="0"/>
        <v>0</v>
      </c>
      <c r="O16" s="142">
        <f t="shared" si="1"/>
        <v>0</v>
      </c>
      <c r="P16" s="142">
        <f t="shared" si="2"/>
        <v>0</v>
      </c>
      <c r="Q16" s="128"/>
    </row>
    <row r="17" spans="1:18" ht="15" customHeight="1" x14ac:dyDescent="0.1">
      <c r="A17" s="1"/>
      <c r="B17" s="35" t="s">
        <v>1</v>
      </c>
      <c r="C17" s="1"/>
      <c r="D17" s="37">
        <f>SUM(D10:D16)</f>
        <v>404000</v>
      </c>
      <c r="E17" s="37"/>
      <c r="F17" s="37">
        <f>SUM(F10:F16)</f>
        <v>279098.42</v>
      </c>
      <c r="G17" s="37"/>
      <c r="H17" s="37">
        <f>SUM(H10:H16)</f>
        <v>139549.21</v>
      </c>
      <c r="I17" s="37"/>
      <c r="J17" s="37">
        <f>SUM(J10:J16)</f>
        <v>418647.62999999995</v>
      </c>
      <c r="K17" s="37" t="s">
        <v>19</v>
      </c>
      <c r="L17" s="183">
        <f>SUM(L10:L16)</f>
        <v>524912</v>
      </c>
      <c r="M17" s="37"/>
      <c r="N17" s="141">
        <f t="shared" si="0"/>
        <v>99.452823039029937</v>
      </c>
      <c r="O17" s="141">
        <f t="shared" si="1"/>
        <v>24.863205759757484</v>
      </c>
      <c r="P17" s="141">
        <f t="shared" si="2"/>
        <v>8.2877352532524942</v>
      </c>
      <c r="Q17" s="130"/>
    </row>
    <row r="18" spans="1:18" ht="15" customHeight="1" x14ac:dyDescent="0.1">
      <c r="A18" s="1"/>
      <c r="B18" s="1" t="s">
        <v>19</v>
      </c>
      <c r="C18" s="1"/>
      <c r="D18" s="37"/>
      <c r="E18" s="37"/>
      <c r="F18" s="37"/>
      <c r="G18" s="37"/>
      <c r="H18" s="37" t="s">
        <v>19</v>
      </c>
      <c r="I18" s="37"/>
      <c r="J18" s="37"/>
      <c r="K18" s="37"/>
      <c r="L18" s="37"/>
      <c r="M18" s="37"/>
      <c r="N18" s="141"/>
      <c r="O18" s="141"/>
      <c r="P18" s="141"/>
      <c r="Q18" s="128"/>
    </row>
    <row r="19" spans="1:18" ht="13.5" customHeight="1" x14ac:dyDescent="0.15">
      <c r="A19" s="1"/>
      <c r="B19" s="99" t="s">
        <v>2</v>
      </c>
      <c r="C19" s="1"/>
      <c r="D19" s="37"/>
      <c r="E19" s="37"/>
      <c r="F19" s="37"/>
      <c r="G19" s="37"/>
      <c r="H19" s="37" t="s">
        <v>19</v>
      </c>
      <c r="I19" s="37"/>
      <c r="J19" s="37"/>
      <c r="K19" s="37"/>
      <c r="L19" s="37"/>
      <c r="M19" s="37"/>
      <c r="N19" s="141"/>
      <c r="O19" s="141"/>
      <c r="P19" s="141"/>
      <c r="Q19" s="128"/>
    </row>
    <row r="20" spans="1:18" ht="13.5" customHeight="1" x14ac:dyDescent="0.15">
      <c r="A20" s="1"/>
      <c r="B20" s="99" t="s">
        <v>57</v>
      </c>
      <c r="C20" s="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141"/>
      <c r="O20" s="141"/>
      <c r="P20" s="141"/>
      <c r="Q20" s="128"/>
    </row>
    <row r="21" spans="1:18" ht="13.5" customHeight="1" x14ac:dyDescent="0.1">
      <c r="A21" s="1">
        <v>5050</v>
      </c>
      <c r="B21" s="1" t="s">
        <v>64</v>
      </c>
      <c r="C21" s="1"/>
      <c r="D21" s="37">
        <v>16000</v>
      </c>
      <c r="E21" s="37"/>
      <c r="F21" s="37">
        <v>20976.38</v>
      </c>
      <c r="G21" s="37"/>
      <c r="H21" s="118">
        <f>F21*PARAMETERS!$B$9</f>
        <v>10488.19</v>
      </c>
      <c r="I21" s="37"/>
      <c r="J21" s="37">
        <f>H21+F21</f>
        <v>31464.57</v>
      </c>
      <c r="K21" s="37"/>
      <c r="L21" s="185">
        <v>16000</v>
      </c>
      <c r="M21" s="138"/>
      <c r="N21" s="141">
        <f t="shared" si="0"/>
        <v>3.0314513073133762</v>
      </c>
      <c r="O21" s="141">
        <f t="shared" si="1"/>
        <v>0.75786282682834405</v>
      </c>
      <c r="P21" s="141">
        <f t="shared" si="2"/>
        <v>0.2526209422761147</v>
      </c>
      <c r="Q21" s="128" t="s">
        <v>148</v>
      </c>
      <c r="R21" s="178" t="s">
        <v>184</v>
      </c>
    </row>
    <row r="22" spans="1:18" ht="13.5" customHeight="1" x14ac:dyDescent="0.1">
      <c r="A22" s="1">
        <v>5075</v>
      </c>
      <c r="B22" s="1" t="s">
        <v>65</v>
      </c>
      <c r="C22" s="1"/>
      <c r="D22" s="37">
        <v>8500</v>
      </c>
      <c r="E22" s="37"/>
      <c r="F22" s="37">
        <v>9146.0400000000009</v>
      </c>
      <c r="G22" s="37"/>
      <c r="H22" s="118">
        <v>0</v>
      </c>
      <c r="I22" s="37"/>
      <c r="J22" s="37">
        <f t="shared" ref="J22:J47" si="4">H22+F22</f>
        <v>9146.0400000000009</v>
      </c>
      <c r="K22" s="37"/>
      <c r="L22" s="185">
        <v>8500</v>
      </c>
      <c r="M22" s="138"/>
      <c r="N22" s="141">
        <f t="shared" si="0"/>
        <v>1.6104585070102311</v>
      </c>
      <c r="O22" s="141">
        <f t="shared" si="1"/>
        <v>0.40261462675255777</v>
      </c>
      <c r="P22" s="141">
        <f t="shared" si="2"/>
        <v>0.13420487558418592</v>
      </c>
      <c r="Q22" s="128" t="s">
        <v>149</v>
      </c>
      <c r="R22" s="178" t="s">
        <v>188</v>
      </c>
    </row>
    <row r="23" spans="1:18" ht="13.5" customHeight="1" x14ac:dyDescent="0.1">
      <c r="A23" s="1">
        <v>5080</v>
      </c>
      <c r="B23" s="1" t="s">
        <v>67</v>
      </c>
      <c r="C23" s="1"/>
      <c r="D23" s="37">
        <v>300</v>
      </c>
      <c r="E23" s="37"/>
      <c r="F23" s="37">
        <v>61.25</v>
      </c>
      <c r="G23" s="37"/>
      <c r="H23" s="118">
        <v>0</v>
      </c>
      <c r="I23" s="37"/>
      <c r="J23" s="37">
        <f t="shared" si="4"/>
        <v>61.25</v>
      </c>
      <c r="K23" s="37"/>
      <c r="L23" s="185">
        <v>61</v>
      </c>
      <c r="M23" s="138"/>
      <c r="N23" s="141">
        <f t="shared" si="0"/>
        <v>1.1557408109132247E-2</v>
      </c>
      <c r="O23" s="141">
        <f t="shared" si="1"/>
        <v>2.8893520272830616E-3</v>
      </c>
      <c r="P23" s="141">
        <f t="shared" si="2"/>
        <v>9.6311734242768721E-4</v>
      </c>
      <c r="Q23" s="128" t="s">
        <v>150</v>
      </c>
      <c r="R23" s="178" t="s">
        <v>185</v>
      </c>
    </row>
    <row r="24" spans="1:18" s="119" customFormat="1" x14ac:dyDescent="0.1">
      <c r="A24" s="140">
        <v>5100</v>
      </c>
      <c r="B24" s="140" t="s">
        <v>66</v>
      </c>
      <c r="C24" s="140"/>
      <c r="D24" s="117">
        <v>38000</v>
      </c>
      <c r="E24" s="117"/>
      <c r="F24" s="117">
        <v>14605</v>
      </c>
      <c r="G24" s="117"/>
      <c r="H24" s="118">
        <f>F24*PARAMETERS!$B$9</f>
        <v>7302.5</v>
      </c>
      <c r="I24" s="117"/>
      <c r="J24" s="37">
        <f t="shared" si="4"/>
        <v>21907.5</v>
      </c>
      <c r="K24" s="117"/>
      <c r="L24" s="186">
        <v>50000</v>
      </c>
      <c r="M24" s="139"/>
      <c r="N24" s="141">
        <f t="shared" si="0"/>
        <v>9.4732853353543014</v>
      </c>
      <c r="O24" s="141">
        <f t="shared" si="1"/>
        <v>2.3683213338385753</v>
      </c>
      <c r="P24" s="141">
        <f t="shared" si="2"/>
        <v>0.78944044461285845</v>
      </c>
      <c r="Q24" s="126" t="s">
        <v>151</v>
      </c>
      <c r="R24" s="179" t="s">
        <v>193</v>
      </c>
    </row>
    <row r="25" spans="1:18" s="119" customFormat="1" x14ac:dyDescent="0.1">
      <c r="A25" s="140">
        <v>5125</v>
      </c>
      <c r="B25" s="140" t="s">
        <v>56</v>
      </c>
      <c r="C25" s="140"/>
      <c r="D25" s="117">
        <v>43260</v>
      </c>
      <c r="E25" s="117"/>
      <c r="F25" s="117">
        <v>28840</v>
      </c>
      <c r="G25" s="117"/>
      <c r="H25" s="118">
        <f>F25*PARAMETERS!$B$9</f>
        <v>14420</v>
      </c>
      <c r="I25" s="117"/>
      <c r="J25" s="37">
        <f t="shared" si="4"/>
        <v>43260</v>
      </c>
      <c r="K25" s="117"/>
      <c r="L25" s="186">
        <v>43260</v>
      </c>
      <c r="M25" s="139"/>
      <c r="N25" s="141">
        <f t="shared" si="0"/>
        <v>8.1962864721485413</v>
      </c>
      <c r="O25" s="141">
        <f t="shared" si="1"/>
        <v>2.0490716180371353</v>
      </c>
      <c r="P25" s="141">
        <f t="shared" si="2"/>
        <v>0.68302387267904507</v>
      </c>
      <c r="Q25" s="126" t="s">
        <v>152</v>
      </c>
      <c r="R25" s="178" t="s">
        <v>194</v>
      </c>
    </row>
    <row r="26" spans="1:18" s="119" customFormat="1" x14ac:dyDescent="0.1">
      <c r="A26" s="140">
        <v>5150</v>
      </c>
      <c r="B26" s="140" t="s">
        <v>42</v>
      </c>
      <c r="C26" s="140"/>
      <c r="D26" s="117">
        <v>29040</v>
      </c>
      <c r="E26" s="117"/>
      <c r="F26" s="117">
        <v>19866.240000000002</v>
      </c>
      <c r="G26" s="117"/>
      <c r="H26" s="118">
        <f>F26*PARAMETERS!$B$9</f>
        <v>9933.1200000000008</v>
      </c>
      <c r="I26" s="117"/>
      <c r="J26" s="37">
        <f t="shared" si="4"/>
        <v>29799.360000000001</v>
      </c>
      <c r="K26" s="117"/>
      <c r="L26" s="186">
        <v>32000</v>
      </c>
      <c r="M26" s="139"/>
      <c r="N26" s="141">
        <f t="shared" si="0"/>
        <v>6.0629026146267524</v>
      </c>
      <c r="O26" s="141">
        <f t="shared" si="1"/>
        <v>1.5157256536566881</v>
      </c>
      <c r="P26" s="141">
        <f t="shared" si="2"/>
        <v>0.5052418845522294</v>
      </c>
      <c r="Q26" s="126" t="s">
        <v>153</v>
      </c>
      <c r="R26" s="191" t="s">
        <v>186</v>
      </c>
    </row>
    <row r="27" spans="1:18" ht="13.5" customHeight="1" x14ac:dyDescent="0.1">
      <c r="A27" s="1"/>
      <c r="B27" s="1"/>
      <c r="C27" s="1"/>
      <c r="D27" s="37"/>
      <c r="E27" s="37"/>
      <c r="F27" s="37"/>
      <c r="G27" s="37"/>
      <c r="H27" s="45"/>
      <c r="I27" s="37"/>
      <c r="J27" s="37" t="s">
        <v>19</v>
      </c>
      <c r="K27" s="37"/>
      <c r="L27" s="175"/>
      <c r="M27" s="45"/>
      <c r="N27" s="141"/>
      <c r="O27" s="141"/>
      <c r="P27" s="141"/>
      <c r="Q27" s="128"/>
    </row>
    <row r="28" spans="1:18" ht="13.5" customHeight="1" x14ac:dyDescent="0.15">
      <c r="A28" s="1"/>
      <c r="B28" s="99" t="s">
        <v>68</v>
      </c>
      <c r="C28" s="1"/>
      <c r="D28" s="37"/>
      <c r="E28" s="37"/>
      <c r="F28" s="37"/>
      <c r="G28" s="37"/>
      <c r="H28" s="45"/>
      <c r="I28" s="37"/>
      <c r="J28" s="37" t="s">
        <v>19</v>
      </c>
      <c r="K28" s="37"/>
      <c r="L28" s="175"/>
      <c r="M28" s="45"/>
      <c r="N28" s="141"/>
      <c r="O28" s="141"/>
      <c r="P28" s="141"/>
      <c r="Q28" s="128"/>
    </row>
    <row r="29" spans="1:18" x14ac:dyDescent="0.1">
      <c r="A29" s="174">
        <v>5530</v>
      </c>
      <c r="B29" s="168" t="s">
        <v>72</v>
      </c>
      <c r="C29" s="168"/>
      <c r="D29" s="169">
        <v>0</v>
      </c>
      <c r="E29" s="169"/>
      <c r="F29" s="169">
        <v>0</v>
      </c>
      <c r="G29" s="169"/>
      <c r="H29" s="170">
        <f>F29*PARAMETERS!$B$9</f>
        <v>0</v>
      </c>
      <c r="I29" s="169"/>
      <c r="J29" s="169">
        <f t="shared" si="4"/>
        <v>0</v>
      </c>
      <c r="K29" s="169"/>
      <c r="L29" s="176">
        <v>0</v>
      </c>
      <c r="M29" s="171"/>
      <c r="N29" s="172">
        <f t="shared" si="0"/>
        <v>0</v>
      </c>
      <c r="O29" s="172">
        <f t="shared" si="1"/>
        <v>0</v>
      </c>
      <c r="P29" s="172">
        <f t="shared" si="2"/>
        <v>0</v>
      </c>
      <c r="Q29" s="173" t="s">
        <v>151</v>
      </c>
      <c r="R29" s="180" t="s">
        <v>181</v>
      </c>
    </row>
    <row r="30" spans="1:18" ht="13.5" customHeight="1" x14ac:dyDescent="0.1">
      <c r="A30" s="1"/>
      <c r="B30" s="1"/>
      <c r="C30" s="1"/>
      <c r="D30" s="37"/>
      <c r="E30" s="37"/>
      <c r="F30" s="37"/>
      <c r="G30" s="37"/>
      <c r="H30" s="45"/>
      <c r="I30" s="37"/>
      <c r="J30" s="37" t="s">
        <v>19</v>
      </c>
      <c r="K30" s="37"/>
      <c r="L30" s="45"/>
      <c r="M30" s="45"/>
      <c r="N30" s="141"/>
      <c r="O30" s="141"/>
      <c r="P30" s="141"/>
      <c r="Q30" s="128"/>
    </row>
    <row r="31" spans="1:18" ht="13.5" customHeight="1" x14ac:dyDescent="0.15">
      <c r="A31" s="1"/>
      <c r="B31" s="99" t="s">
        <v>69</v>
      </c>
      <c r="C31" s="1"/>
      <c r="D31" s="37"/>
      <c r="E31" s="37"/>
      <c r="F31" s="37"/>
      <c r="G31" s="37"/>
      <c r="H31" s="45"/>
      <c r="I31" s="37"/>
      <c r="J31" s="37" t="s">
        <v>19</v>
      </c>
      <c r="K31" s="37"/>
      <c r="L31" s="45"/>
      <c r="M31" s="45"/>
      <c r="N31" s="141"/>
      <c r="O31" s="141"/>
      <c r="P31" s="141"/>
      <c r="Q31" s="128"/>
    </row>
    <row r="32" spans="1:18" x14ac:dyDescent="0.1">
      <c r="A32" s="140">
        <v>5610</v>
      </c>
      <c r="B32" s="168" t="s">
        <v>74</v>
      </c>
      <c r="C32" s="168"/>
      <c r="D32" s="169">
        <v>6000</v>
      </c>
      <c r="E32" s="169"/>
      <c r="F32" s="169">
        <v>480</v>
      </c>
      <c r="G32" s="169"/>
      <c r="H32" s="170">
        <f>F32*PARAMETERS!$B$9</f>
        <v>240</v>
      </c>
      <c r="I32" s="169"/>
      <c r="J32" s="169">
        <f t="shared" si="4"/>
        <v>720</v>
      </c>
      <c r="K32" s="169"/>
      <c r="L32" s="187">
        <v>2000</v>
      </c>
      <c r="M32" s="171"/>
      <c r="N32" s="172">
        <f t="shared" si="0"/>
        <v>0.37893141341417202</v>
      </c>
      <c r="O32" s="172">
        <f t="shared" si="1"/>
        <v>9.4732853353543006E-2</v>
      </c>
      <c r="P32" s="172">
        <f t="shared" si="2"/>
        <v>3.1577617784514338E-2</v>
      </c>
      <c r="Q32" s="128" t="s">
        <v>155</v>
      </c>
      <c r="R32" s="180" t="s">
        <v>182</v>
      </c>
    </row>
    <row r="33" spans="1:18" x14ac:dyDescent="0.1">
      <c r="A33" s="1">
        <v>5615</v>
      </c>
      <c r="B33" s="1" t="s">
        <v>75</v>
      </c>
      <c r="C33" s="1"/>
      <c r="D33" s="37">
        <v>0</v>
      </c>
      <c r="E33" s="37"/>
      <c r="F33" s="37">
        <v>0</v>
      </c>
      <c r="G33" s="37"/>
      <c r="H33" s="45">
        <f>F33*PARAMETERS!$B$9</f>
        <v>0</v>
      </c>
      <c r="I33" s="37"/>
      <c r="J33" s="37">
        <f t="shared" si="4"/>
        <v>0</v>
      </c>
      <c r="K33" s="37"/>
      <c r="L33" s="185">
        <v>0</v>
      </c>
      <c r="M33" s="138"/>
      <c r="N33" s="141">
        <f t="shared" si="0"/>
        <v>0</v>
      </c>
      <c r="O33" s="141">
        <f t="shared" si="1"/>
        <v>0</v>
      </c>
      <c r="P33" s="141">
        <f t="shared" si="2"/>
        <v>0</v>
      </c>
      <c r="Q33" s="128" t="s">
        <v>154</v>
      </c>
      <c r="R33" s="192" t="s">
        <v>183</v>
      </c>
    </row>
    <row r="34" spans="1:18" x14ac:dyDescent="0.1">
      <c r="A34" s="1">
        <v>5620</v>
      </c>
      <c r="B34" s="1" t="s">
        <v>76</v>
      </c>
      <c r="C34" s="1"/>
      <c r="D34" s="37">
        <v>44000</v>
      </c>
      <c r="E34" s="37"/>
      <c r="F34" s="37">
        <v>22500</v>
      </c>
      <c r="G34" s="37"/>
      <c r="H34" s="45">
        <f>F34*PARAMETERS!$B$9</f>
        <v>11250</v>
      </c>
      <c r="I34" s="37"/>
      <c r="J34" s="37">
        <f t="shared" si="4"/>
        <v>33750</v>
      </c>
      <c r="K34" s="37"/>
      <c r="L34" s="185">
        <v>175000</v>
      </c>
      <c r="M34" s="138"/>
      <c r="N34" s="141">
        <f t="shared" si="0"/>
        <v>33.156498673740053</v>
      </c>
      <c r="O34" s="141">
        <f t="shared" si="1"/>
        <v>8.2891246684350133</v>
      </c>
      <c r="P34" s="141">
        <f t="shared" si="2"/>
        <v>2.7630415561450046</v>
      </c>
      <c r="Q34" s="128" t="s">
        <v>156</v>
      </c>
      <c r="R34" s="181" t="s">
        <v>187</v>
      </c>
    </row>
    <row r="35" spans="1:18" x14ac:dyDescent="0.1">
      <c r="A35" s="174">
        <v>5625</v>
      </c>
      <c r="B35" s="168" t="s">
        <v>178</v>
      </c>
      <c r="C35" s="168"/>
      <c r="D35" s="169">
        <v>5000</v>
      </c>
      <c r="E35" s="169"/>
      <c r="F35" s="169">
        <v>444</v>
      </c>
      <c r="G35" s="169"/>
      <c r="H35" s="170">
        <f>F35*PARAMETERS!$B$9</f>
        <v>222</v>
      </c>
      <c r="I35" s="169"/>
      <c r="J35" s="169">
        <f t="shared" si="4"/>
        <v>666</v>
      </c>
      <c r="K35" s="169"/>
      <c r="L35" s="187">
        <v>0</v>
      </c>
      <c r="M35" s="171"/>
      <c r="N35" s="172">
        <f t="shared" si="0"/>
        <v>0</v>
      </c>
      <c r="O35" s="172">
        <f t="shared" si="1"/>
        <v>0</v>
      </c>
      <c r="P35" s="172">
        <f t="shared" si="2"/>
        <v>0</v>
      </c>
      <c r="Q35" s="173" t="s">
        <v>157</v>
      </c>
      <c r="R35" s="193" t="s">
        <v>183</v>
      </c>
    </row>
    <row r="36" spans="1:18" x14ac:dyDescent="0.1">
      <c r="A36" s="1">
        <v>5630</v>
      </c>
      <c r="B36" s="1" t="s">
        <v>73</v>
      </c>
      <c r="C36" s="1"/>
      <c r="D36" s="37">
        <v>9000</v>
      </c>
      <c r="E36" s="37"/>
      <c r="F36" s="37">
        <v>5320</v>
      </c>
      <c r="G36" s="37"/>
      <c r="H36" s="45">
        <f>F36*PARAMETERS!$B$9</f>
        <v>2660</v>
      </c>
      <c r="I36" s="37"/>
      <c r="J36" s="37">
        <f t="shared" si="4"/>
        <v>7980</v>
      </c>
      <c r="K36" s="37"/>
      <c r="L36" s="185">
        <v>0</v>
      </c>
      <c r="M36" s="138"/>
      <c r="N36" s="141">
        <f t="shared" si="0"/>
        <v>0</v>
      </c>
      <c r="O36" s="141">
        <f t="shared" si="1"/>
        <v>0</v>
      </c>
      <c r="P36" s="141">
        <f t="shared" si="2"/>
        <v>0</v>
      </c>
      <c r="Q36" s="128" t="s">
        <v>159</v>
      </c>
      <c r="R36" s="192" t="s">
        <v>183</v>
      </c>
    </row>
    <row r="37" spans="1:18" x14ac:dyDescent="0.1">
      <c r="A37" s="1">
        <v>5633</v>
      </c>
      <c r="B37" s="1" t="s">
        <v>146</v>
      </c>
      <c r="C37" s="1"/>
      <c r="D37" s="37">
        <v>65000</v>
      </c>
      <c r="E37" s="37"/>
      <c r="F37" s="37">
        <v>0</v>
      </c>
      <c r="G37" s="37"/>
      <c r="H37" s="45">
        <f>F37*PARAMETERS!$B$9</f>
        <v>0</v>
      </c>
      <c r="I37" s="37"/>
      <c r="J37" s="37">
        <f t="shared" si="4"/>
        <v>0</v>
      </c>
      <c r="K37" s="37"/>
      <c r="L37" s="185">
        <v>100000</v>
      </c>
      <c r="M37" s="138"/>
      <c r="N37" s="141">
        <f t="shared" si="0"/>
        <v>18.946570670708603</v>
      </c>
      <c r="O37" s="141">
        <f t="shared" si="1"/>
        <v>4.7366426676771507</v>
      </c>
      <c r="P37" s="141">
        <f t="shared" si="2"/>
        <v>1.5788808892257169</v>
      </c>
      <c r="Q37" s="128" t="s">
        <v>161</v>
      </c>
      <c r="R37" s="181">
        <v>5</v>
      </c>
    </row>
    <row r="38" spans="1:18" x14ac:dyDescent="0.1">
      <c r="A38" s="1">
        <v>5635</v>
      </c>
      <c r="B38" s="1" t="s">
        <v>77</v>
      </c>
      <c r="C38" s="1"/>
      <c r="D38" s="37">
        <v>22000</v>
      </c>
      <c r="E38" s="37"/>
      <c r="F38" s="37">
        <v>15000</v>
      </c>
      <c r="G38" s="37"/>
      <c r="H38" s="45">
        <f>F38*PARAMETERS!$B$9</f>
        <v>7500</v>
      </c>
      <c r="I38" s="37"/>
      <c r="J38" s="37">
        <f t="shared" si="4"/>
        <v>22500</v>
      </c>
      <c r="K38" s="37"/>
      <c r="L38" s="185">
        <v>30000</v>
      </c>
      <c r="M38" s="138"/>
      <c r="N38" s="141">
        <f t="shared" si="0"/>
        <v>5.6839712012125805</v>
      </c>
      <c r="O38" s="141">
        <f t="shared" si="1"/>
        <v>1.4209928003031451</v>
      </c>
      <c r="P38" s="141">
        <f t="shared" si="2"/>
        <v>0.47366426676771506</v>
      </c>
      <c r="Q38" s="128" t="s">
        <v>158</v>
      </c>
      <c r="R38" s="181" t="s">
        <v>192</v>
      </c>
    </row>
    <row r="39" spans="1:18" ht="13.5" customHeight="1" x14ac:dyDescent="0.1">
      <c r="A39" s="1"/>
      <c r="B39" s="1"/>
      <c r="C39" s="1"/>
      <c r="D39" s="37"/>
      <c r="E39" s="37"/>
      <c r="F39" s="37"/>
      <c r="G39" s="37"/>
      <c r="H39" s="45"/>
      <c r="I39" s="37"/>
      <c r="J39" s="37"/>
      <c r="K39" s="37"/>
      <c r="L39" s="175"/>
      <c r="M39" s="45"/>
      <c r="N39" s="141"/>
      <c r="O39" s="141"/>
      <c r="P39" s="141"/>
      <c r="Q39" s="128"/>
      <c r="R39" s="166"/>
    </row>
    <row r="40" spans="1:18" ht="13.5" customHeight="1" x14ac:dyDescent="0.15">
      <c r="A40" s="1"/>
      <c r="B40" s="99" t="s">
        <v>70</v>
      </c>
      <c r="C40" s="1"/>
      <c r="D40" s="37"/>
      <c r="E40" s="37"/>
      <c r="F40" s="37"/>
      <c r="G40" s="37"/>
      <c r="H40" s="45"/>
      <c r="I40" s="37"/>
      <c r="J40" s="37"/>
      <c r="K40" s="37"/>
      <c r="L40" s="175"/>
      <c r="M40" s="45"/>
      <c r="N40" s="141"/>
      <c r="O40" s="141"/>
      <c r="P40" s="141"/>
      <c r="Q40" s="128"/>
      <c r="R40" s="166"/>
    </row>
    <row r="41" spans="1:18" x14ac:dyDescent="0.1">
      <c r="A41" s="1">
        <v>5810</v>
      </c>
      <c r="B41" s="1" t="s">
        <v>78</v>
      </c>
      <c r="C41" s="1"/>
      <c r="D41" s="37">
        <v>900</v>
      </c>
      <c r="E41" s="37"/>
      <c r="F41" s="37">
        <v>671.92</v>
      </c>
      <c r="G41" s="37"/>
      <c r="H41" s="45">
        <f>F41*PARAMETERS!$B$9</f>
        <v>335.96</v>
      </c>
      <c r="I41" s="37"/>
      <c r="J41" s="37">
        <f t="shared" si="4"/>
        <v>1007.8799999999999</v>
      </c>
      <c r="K41" s="37"/>
      <c r="L41" s="185">
        <v>660</v>
      </c>
      <c r="M41" s="138"/>
      <c r="N41" s="141">
        <f t="shared" si="0"/>
        <v>0.12504736642667677</v>
      </c>
      <c r="O41" s="141">
        <f t="shared" si="1"/>
        <v>3.1261841606669193E-2</v>
      </c>
      <c r="P41" s="141">
        <f t="shared" si="2"/>
        <v>1.0420613868889731E-2</v>
      </c>
      <c r="Q41" s="128" t="s">
        <v>160</v>
      </c>
      <c r="R41" s="178" t="s">
        <v>190</v>
      </c>
    </row>
    <row r="42" spans="1:18" ht="13.5" customHeight="1" x14ac:dyDescent="0.1">
      <c r="A42" s="1"/>
      <c r="B42" s="1"/>
      <c r="C42" s="1"/>
      <c r="D42" s="37"/>
      <c r="E42" s="37"/>
      <c r="F42" s="37"/>
      <c r="G42" s="37"/>
      <c r="H42" s="45"/>
      <c r="I42" s="37"/>
      <c r="J42" s="37"/>
      <c r="K42" s="37"/>
      <c r="L42" s="138"/>
      <c r="M42" s="45"/>
      <c r="N42" s="141"/>
      <c r="O42" s="141"/>
      <c r="P42" s="141"/>
      <c r="Q42" s="128"/>
      <c r="R42" s="166"/>
    </row>
    <row r="43" spans="1:18" ht="13.5" customHeight="1" x14ac:dyDescent="0.15">
      <c r="A43" s="1"/>
      <c r="B43" s="99" t="s">
        <v>71</v>
      </c>
      <c r="C43" s="1"/>
      <c r="D43" s="37"/>
      <c r="E43" s="37"/>
      <c r="F43" s="37"/>
      <c r="G43" s="37"/>
      <c r="H43" s="45"/>
      <c r="I43" s="37"/>
      <c r="J43" s="37"/>
      <c r="K43" s="37"/>
      <c r="L43" s="138"/>
      <c r="M43" s="45"/>
      <c r="N43" s="141"/>
      <c r="O43" s="141"/>
      <c r="P43" s="141"/>
      <c r="Q43" s="128"/>
      <c r="R43" s="166"/>
    </row>
    <row r="44" spans="1:18" x14ac:dyDescent="0.1">
      <c r="A44" s="1">
        <v>6220</v>
      </c>
      <c r="B44" s="1" t="s">
        <v>61</v>
      </c>
      <c r="C44" s="1"/>
      <c r="D44" s="37">
        <v>10000</v>
      </c>
      <c r="E44" s="37"/>
      <c r="F44" s="37">
        <v>0</v>
      </c>
      <c r="G44" s="37"/>
      <c r="H44" s="45">
        <f>F44*PARAMETERS!$B$9</f>
        <v>0</v>
      </c>
      <c r="I44" s="37"/>
      <c r="J44" s="37">
        <f t="shared" si="4"/>
        <v>0</v>
      </c>
      <c r="K44" s="37"/>
      <c r="L44" s="185">
        <v>3000</v>
      </c>
      <c r="M44" s="138"/>
      <c r="N44" s="141">
        <f t="shared" si="0"/>
        <v>0.56839712012125809</v>
      </c>
      <c r="O44" s="141">
        <f t="shared" si="1"/>
        <v>0.14209928003031452</v>
      </c>
      <c r="P44" s="141">
        <f t="shared" si="2"/>
        <v>4.736642667677151E-2</v>
      </c>
      <c r="Q44" s="128" t="s">
        <v>149</v>
      </c>
      <c r="R44" s="178" t="s">
        <v>195</v>
      </c>
    </row>
    <row r="45" spans="1:18" x14ac:dyDescent="0.1">
      <c r="A45" s="1">
        <v>6225</v>
      </c>
      <c r="B45" s="1" t="s">
        <v>79</v>
      </c>
      <c r="C45" s="1"/>
      <c r="D45" s="37">
        <v>30000</v>
      </c>
      <c r="E45" s="37"/>
      <c r="F45" s="37">
        <v>0</v>
      </c>
      <c r="G45" s="37"/>
      <c r="H45" s="45">
        <f>F45*PARAMETERS!$B$9</f>
        <v>0</v>
      </c>
      <c r="I45" s="37"/>
      <c r="J45" s="37">
        <f t="shared" si="4"/>
        <v>0</v>
      </c>
      <c r="K45" s="37"/>
      <c r="L45" s="185">
        <v>0</v>
      </c>
      <c r="M45" s="138"/>
      <c r="N45" s="141">
        <f t="shared" si="0"/>
        <v>0</v>
      </c>
      <c r="O45" s="141">
        <f t="shared" si="1"/>
        <v>0</v>
      </c>
      <c r="P45" s="141">
        <f t="shared" si="2"/>
        <v>0</v>
      </c>
      <c r="Q45" s="128"/>
      <c r="R45" s="193"/>
    </row>
    <row r="46" spans="1:18" x14ac:dyDescent="0.1">
      <c r="A46" s="1">
        <v>6230</v>
      </c>
      <c r="B46" s="1" t="s">
        <v>80</v>
      </c>
      <c r="C46" s="1"/>
      <c r="D46" s="37">
        <v>17000</v>
      </c>
      <c r="E46" s="37"/>
      <c r="F46" s="37">
        <v>2062</v>
      </c>
      <c r="G46" s="37"/>
      <c r="H46" s="45">
        <f>F46*PARAMETERS!$B$9</f>
        <v>1031</v>
      </c>
      <c r="I46" s="37"/>
      <c r="J46" s="37">
        <f t="shared" si="4"/>
        <v>3093</v>
      </c>
      <c r="K46" s="37"/>
      <c r="L46" s="185">
        <v>4431</v>
      </c>
      <c r="M46" s="45"/>
      <c r="N46" s="141">
        <f t="shared" si="0"/>
        <v>0.83952254641909818</v>
      </c>
      <c r="O46" s="141">
        <f t="shared" si="1"/>
        <v>0.20988063660477455</v>
      </c>
      <c r="P46" s="141">
        <f t="shared" si="2"/>
        <v>6.9960212201591515E-2</v>
      </c>
      <c r="Q46" s="128"/>
      <c r="R46" s="178" t="s">
        <v>184</v>
      </c>
    </row>
    <row r="47" spans="1:18" x14ac:dyDescent="0.1">
      <c r="A47" s="1">
        <v>6235</v>
      </c>
      <c r="B47" s="1" t="s">
        <v>168</v>
      </c>
      <c r="C47" s="1"/>
      <c r="D47" s="37">
        <v>60000</v>
      </c>
      <c r="E47" s="37"/>
      <c r="F47" s="37">
        <v>135541.46</v>
      </c>
      <c r="G47" s="37"/>
      <c r="H47" s="45">
        <f>F47*PARAMETERS!$B$9</f>
        <v>67770.73</v>
      </c>
      <c r="I47" s="37"/>
      <c r="J47" s="37">
        <f t="shared" si="4"/>
        <v>203312.19</v>
      </c>
      <c r="K47" s="37"/>
      <c r="L47" s="185">
        <v>60000</v>
      </c>
      <c r="M47" s="45"/>
      <c r="N47" s="141">
        <f t="shared" ref="N47" si="5">L47/$P$4</f>
        <v>11.367942402425161</v>
      </c>
      <c r="O47" s="141">
        <f t="shared" ref="O47" si="6">N47/4</f>
        <v>2.8419856006062902</v>
      </c>
      <c r="P47" s="141">
        <f t="shared" ref="P47" si="7">N47/12</f>
        <v>0.94732853353543012</v>
      </c>
      <c r="Q47" s="128"/>
      <c r="R47" s="178" t="s">
        <v>191</v>
      </c>
    </row>
    <row r="48" spans="1:18" ht="13.5" customHeight="1" x14ac:dyDescent="0.2">
      <c r="A48" s="1"/>
      <c r="B48" s="1"/>
      <c r="C48" s="1"/>
      <c r="D48" s="37"/>
      <c r="E48" s="37"/>
      <c r="F48" s="37"/>
      <c r="G48" s="37"/>
      <c r="H48" s="45"/>
      <c r="I48" s="37"/>
      <c r="J48" s="37"/>
      <c r="K48" s="37"/>
      <c r="L48" s="185"/>
      <c r="M48" s="45"/>
      <c r="N48" s="141"/>
      <c r="O48" s="141"/>
      <c r="P48" s="141"/>
      <c r="Q48" s="131"/>
      <c r="R48" s="166"/>
    </row>
    <row r="49" spans="1:18" ht="15" customHeight="1" x14ac:dyDescent="0.1">
      <c r="A49" s="1"/>
      <c r="B49" s="35" t="s">
        <v>27</v>
      </c>
      <c r="C49" s="1"/>
      <c r="D49" s="56">
        <f>SUM(D21:D48)</f>
        <v>404000</v>
      </c>
      <c r="E49" s="56">
        <f>SUM(E21:E48)</f>
        <v>0</v>
      </c>
      <c r="F49" s="56">
        <f>SUM(F21:F48)</f>
        <v>275514.29000000004</v>
      </c>
      <c r="G49" s="56"/>
      <c r="H49" s="56">
        <f>SUM(H21:H48)</f>
        <v>133153.5</v>
      </c>
      <c r="I49" s="56"/>
      <c r="J49" s="56">
        <f>SUM(J21:J48)</f>
        <v>408667.79000000004</v>
      </c>
      <c r="K49" s="56"/>
      <c r="L49" s="188">
        <f>SUM(L21:L48)</f>
        <v>524912</v>
      </c>
      <c r="M49" s="37"/>
      <c r="N49" s="143">
        <f t="shared" si="0"/>
        <v>99.452823039029937</v>
      </c>
      <c r="O49" s="143">
        <f t="shared" si="1"/>
        <v>24.863205759757484</v>
      </c>
      <c r="P49" s="143">
        <f t="shared" si="2"/>
        <v>8.2877352532524942</v>
      </c>
      <c r="Q49" s="128"/>
    </row>
    <row r="50" spans="1:18" ht="15" customHeight="1" x14ac:dyDescent="0.1">
      <c r="A50" s="1"/>
      <c r="B50" s="1" t="s">
        <v>28</v>
      </c>
      <c r="C50" s="1"/>
      <c r="D50" s="37">
        <v>0</v>
      </c>
      <c r="E50" s="37"/>
      <c r="F50" s="37">
        <v>0</v>
      </c>
      <c r="G50" s="37"/>
      <c r="H50" s="37">
        <f>F50*PARAMETERS!$B$9</f>
        <v>0</v>
      </c>
      <c r="I50" s="37"/>
      <c r="J50" s="37">
        <f>+F50+H50</f>
        <v>0</v>
      </c>
      <c r="K50" s="37"/>
      <c r="L50" s="189">
        <v>0</v>
      </c>
      <c r="M50" s="37"/>
      <c r="N50" s="141">
        <f t="shared" si="0"/>
        <v>0</v>
      </c>
      <c r="O50" s="141">
        <f t="shared" si="1"/>
        <v>0</v>
      </c>
      <c r="P50" s="141">
        <f t="shared" si="2"/>
        <v>0</v>
      </c>
      <c r="Q50" s="128"/>
    </row>
    <row r="51" spans="1:18" ht="15" customHeight="1" x14ac:dyDescent="0.1">
      <c r="A51" s="1"/>
      <c r="B51" s="1" t="s">
        <v>29</v>
      </c>
      <c r="C51" s="1"/>
      <c r="D51" s="42">
        <v>0</v>
      </c>
      <c r="E51" s="42"/>
      <c r="F51" s="42">
        <v>0</v>
      </c>
      <c r="G51" s="42"/>
      <c r="H51" s="42">
        <f>F51*PARAMETERS!$B$9</f>
        <v>0</v>
      </c>
      <c r="I51" s="42"/>
      <c r="J51" s="42">
        <f>+F51+H51</f>
        <v>0</v>
      </c>
      <c r="K51" s="42"/>
      <c r="L51" s="190">
        <v>0</v>
      </c>
      <c r="M51" s="37"/>
      <c r="N51" s="142">
        <f t="shared" si="0"/>
        <v>0</v>
      </c>
      <c r="O51" s="142">
        <f t="shared" si="1"/>
        <v>0</v>
      </c>
      <c r="P51" s="142">
        <f t="shared" si="2"/>
        <v>0</v>
      </c>
      <c r="Q51" s="128"/>
    </row>
    <row r="52" spans="1:18" ht="15" customHeight="1" x14ac:dyDescent="0.1">
      <c r="A52" s="1"/>
      <c r="B52" s="35" t="s">
        <v>30</v>
      </c>
      <c r="C52" s="1"/>
      <c r="D52" s="37">
        <f>SUM(D49:D51)</f>
        <v>404000</v>
      </c>
      <c r="E52" s="37"/>
      <c r="F52" s="37">
        <f>SUM(F49:F51)</f>
        <v>275514.29000000004</v>
      </c>
      <c r="G52" s="37"/>
      <c r="H52" s="37">
        <f>SUM(H49:H51)</f>
        <v>133153.5</v>
      </c>
      <c r="I52" s="37"/>
      <c r="J52" s="37">
        <f>SUM(J49:J51)</f>
        <v>408667.79000000004</v>
      </c>
      <c r="K52" s="37"/>
      <c r="L52" s="189">
        <f>SUM(L49:L51)</f>
        <v>524912</v>
      </c>
      <c r="M52" s="37"/>
      <c r="N52" s="141">
        <f t="shared" si="0"/>
        <v>99.452823039029937</v>
      </c>
      <c r="O52" s="141">
        <f t="shared" si="1"/>
        <v>24.863205759757484</v>
      </c>
      <c r="P52" s="141">
        <f t="shared" si="2"/>
        <v>8.2877352532524942</v>
      </c>
      <c r="Q52" s="128"/>
    </row>
    <row r="53" spans="1:18" ht="15" customHeight="1" x14ac:dyDescent="0.1">
      <c r="A53" s="1"/>
      <c r="B53" s="1"/>
      <c r="C53" s="1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128"/>
    </row>
    <row r="54" spans="1:18" s="39" customFormat="1" ht="15" customHeight="1" x14ac:dyDescent="0.1">
      <c r="B54" s="40" t="s">
        <v>36</v>
      </c>
      <c r="D54" s="41">
        <f>D17-D52</f>
        <v>0</v>
      </c>
      <c r="E54" s="41"/>
      <c r="F54" s="37">
        <f>F17-F52</f>
        <v>3584.1299999999464</v>
      </c>
      <c r="G54" s="37"/>
      <c r="H54" s="37">
        <f>H17-H52</f>
        <v>6395.7099999999919</v>
      </c>
      <c r="I54" s="37"/>
      <c r="J54" s="37">
        <f>J17-J52</f>
        <v>9979.8399999999092</v>
      </c>
      <c r="K54" s="41"/>
      <c r="L54" s="41">
        <f>L17-L52</f>
        <v>0</v>
      </c>
      <c r="M54" s="41"/>
      <c r="N54" s="41"/>
      <c r="O54" s="41"/>
      <c r="P54" s="41"/>
      <c r="Q54" s="132"/>
      <c r="R54" s="167"/>
    </row>
    <row r="55" spans="1:18" s="39" customFormat="1" ht="15" customHeight="1" x14ac:dyDescent="0.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132"/>
      <c r="R55" s="167"/>
    </row>
    <row r="56" spans="1:18" s="39" customFormat="1" ht="15" customHeight="1" x14ac:dyDescent="0.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132"/>
      <c r="R56" s="167"/>
    </row>
    <row r="57" spans="1:18" ht="15" customHeight="1" thickBot="1" x14ac:dyDescent="0.15">
      <c r="A57" s="1"/>
      <c r="B57" s="1"/>
      <c r="C57" s="1"/>
      <c r="D57" s="1"/>
      <c r="E57" s="1"/>
      <c r="F57" s="1"/>
      <c r="G57" s="1"/>
      <c r="H57" s="1"/>
      <c r="I57" s="1"/>
      <c r="J57" s="38"/>
      <c r="K57" s="1"/>
      <c r="L57" s="1"/>
      <c r="M57" s="1"/>
      <c r="N57" s="1"/>
      <c r="O57" s="1"/>
      <c r="P57" s="1"/>
      <c r="Q57" s="129"/>
    </row>
    <row r="58" spans="1:18" ht="12" thickTop="1" thickBot="1" x14ac:dyDescent="0.15">
      <c r="A58" s="1"/>
      <c r="B58" s="198" t="s">
        <v>137</v>
      </c>
      <c r="C58" s="199"/>
      <c r="D58" s="200"/>
      <c r="E58" s="1"/>
      <c r="F58" s="1"/>
      <c r="G58" s="1"/>
      <c r="H58" s="1"/>
      <c r="I58" s="1"/>
      <c r="Q58" s="129"/>
    </row>
    <row r="59" spans="1:18" ht="12" thickTop="1" thickBot="1" x14ac:dyDescent="0.15">
      <c r="A59" s="1"/>
      <c r="B59" s="201">
        <v>500</v>
      </c>
      <c r="C59" s="202"/>
      <c r="D59" s="203"/>
      <c r="E59" s="1"/>
      <c r="F59" s="1"/>
      <c r="G59" s="1"/>
      <c r="H59" s="1"/>
      <c r="I59" s="1"/>
      <c r="Q59" s="129"/>
      <c r="R59" s="182"/>
    </row>
    <row r="60" spans="1:18" ht="12" thickTop="1" thickBot="1" x14ac:dyDescent="0.15">
      <c r="A60" s="1"/>
      <c r="B60" s="38" t="s">
        <v>19</v>
      </c>
      <c r="C60" s="1"/>
      <c r="D60" s="1"/>
      <c r="E60" s="1"/>
      <c r="F60" s="1"/>
      <c r="G60" s="1"/>
      <c r="H60" s="1"/>
      <c r="I60" s="1"/>
      <c r="Q60" s="129"/>
    </row>
    <row r="61" spans="1:18" ht="29.25" thickTop="1" thickBot="1" x14ac:dyDescent="0.25">
      <c r="A61" s="1"/>
      <c r="B61" s="198" t="s">
        <v>179</v>
      </c>
      <c r="C61" s="199"/>
      <c r="D61" s="200"/>
      <c r="E61" s="1"/>
      <c r="F61" s="1"/>
      <c r="G61" s="1"/>
      <c r="H61" s="1"/>
      <c r="I61" s="1"/>
      <c r="Q61" s="129"/>
      <c r="R61" s="184" t="s">
        <v>189</v>
      </c>
    </row>
    <row r="62" spans="1:18" ht="12" thickTop="1" thickBot="1" x14ac:dyDescent="0.15">
      <c r="A62" s="1"/>
      <c r="B62" s="204">
        <v>219.79</v>
      </c>
      <c r="C62" s="205"/>
      <c r="D62" s="206"/>
      <c r="E62" s="1"/>
      <c r="G62" s="1"/>
      <c r="H62" s="1"/>
      <c r="I62" s="1"/>
      <c r="Q62" s="129"/>
    </row>
    <row r="63" spans="1:18" ht="11.25" thickTop="1" x14ac:dyDescent="0.1">
      <c r="A63" s="1"/>
      <c r="B63" s="1"/>
      <c r="C63" s="1"/>
      <c r="D63" s="1"/>
      <c r="E63" s="1"/>
      <c r="F63" s="1"/>
      <c r="G63" s="1"/>
      <c r="H63" s="1"/>
      <c r="I63" s="1"/>
      <c r="Q63" s="129"/>
      <c r="R63" s="182"/>
    </row>
    <row r="64" spans="1:18" x14ac:dyDescent="0.1">
      <c r="A64" s="1"/>
      <c r="B64" s="1" t="s">
        <v>138</v>
      </c>
      <c r="C64" s="1"/>
      <c r="D64" s="1"/>
      <c r="E64" s="1"/>
      <c r="F64" s="1"/>
      <c r="G64" s="1"/>
      <c r="H64" s="1"/>
      <c r="I64" s="1"/>
      <c r="Q64" s="129"/>
    </row>
    <row r="65" spans="1:17" x14ac:dyDescent="0.1">
      <c r="A65" s="1"/>
      <c r="B65" s="1"/>
      <c r="C65" s="1"/>
      <c r="D65" s="1"/>
      <c r="E65" s="1"/>
      <c r="F65" s="1"/>
      <c r="G65" s="1"/>
      <c r="H65" s="1"/>
      <c r="I65" s="1"/>
      <c r="Q65" s="129"/>
    </row>
    <row r="66" spans="1:17" x14ac:dyDescent="0.1">
      <c r="A66" s="1"/>
      <c r="B66" s="1"/>
      <c r="C66" s="1"/>
      <c r="D66" s="1"/>
      <c r="E66" s="1"/>
      <c r="F66" s="1"/>
      <c r="G66" s="1"/>
      <c r="H66" s="1"/>
      <c r="I66" s="1"/>
      <c r="Q66" s="129"/>
    </row>
    <row r="67" spans="1:17" x14ac:dyDescent="0.1">
      <c r="A67" s="1"/>
      <c r="C67" s="43"/>
      <c r="D67" s="43"/>
      <c r="E67" s="43"/>
      <c r="F67" s="43"/>
      <c r="G67" s="43"/>
      <c r="H67" s="44"/>
      <c r="I67" s="1"/>
      <c r="J67" s="1"/>
      <c r="K67" s="1"/>
      <c r="L67" s="1"/>
      <c r="M67" s="1"/>
      <c r="N67" s="1"/>
      <c r="O67" s="1"/>
      <c r="P67" s="1"/>
      <c r="Q67" s="129"/>
    </row>
    <row r="68" spans="1:17" ht="14.25" x14ac:dyDescent="0.2">
      <c r="A68" s="1"/>
      <c r="B68" s="145" t="s">
        <v>139</v>
      </c>
      <c r="C68" s="146"/>
      <c r="D68" s="147"/>
      <c r="E68" s="148"/>
      <c r="F68" s="147"/>
      <c r="G68" s="148"/>
      <c r="H68" s="147"/>
      <c r="I68" s="148"/>
      <c r="J68" s="147"/>
      <c r="K68" s="147"/>
      <c r="L68" s="148"/>
      <c r="M68" s="149"/>
      <c r="N68" s="149"/>
      <c r="O68" s="149"/>
      <c r="P68" s="149"/>
      <c r="Q68" s="129"/>
    </row>
    <row r="69" spans="1:17" ht="14.25" x14ac:dyDescent="0.2">
      <c r="A69" s="1"/>
      <c r="B69" s="145" t="s">
        <v>140</v>
      </c>
      <c r="C69" s="146"/>
      <c r="D69" s="147"/>
      <c r="E69" s="148"/>
      <c r="F69" s="147"/>
      <c r="G69" s="148"/>
      <c r="H69" s="147"/>
      <c r="I69" s="148"/>
      <c r="J69" s="147"/>
      <c r="K69" s="147"/>
      <c r="L69" s="148"/>
      <c r="M69" s="149"/>
      <c r="N69" s="149"/>
      <c r="O69" s="149"/>
      <c r="P69" s="149"/>
      <c r="Q69" s="129"/>
    </row>
    <row r="70" spans="1:17" ht="14.25" x14ac:dyDescent="0.2">
      <c r="A70" s="1"/>
      <c r="B70" s="145" t="s">
        <v>141</v>
      </c>
      <c r="C70" s="146"/>
      <c r="D70" s="147"/>
      <c r="E70" s="148"/>
      <c r="F70" s="147"/>
      <c r="G70" s="148"/>
      <c r="H70" s="147"/>
      <c r="I70" s="148"/>
      <c r="J70" s="147"/>
      <c r="K70" s="147"/>
      <c r="L70" s="148"/>
      <c r="M70" s="149"/>
      <c r="N70" s="149"/>
      <c r="O70" s="149"/>
      <c r="P70" s="149"/>
      <c r="Q70" s="129"/>
    </row>
    <row r="71" spans="1:17" x14ac:dyDescent="0.1">
      <c r="A71" s="1"/>
      <c r="B71" s="43"/>
      <c r="C71" s="43"/>
      <c r="D71" s="43"/>
      <c r="E71" s="43"/>
      <c r="F71" s="43"/>
      <c r="G71" s="43"/>
      <c r="H71" s="43"/>
      <c r="I71" s="1"/>
      <c r="J71" s="1"/>
      <c r="K71" s="1"/>
      <c r="L71" s="1"/>
      <c r="M71" s="1"/>
      <c r="N71" s="1"/>
      <c r="O71" s="1"/>
      <c r="P71" s="1"/>
      <c r="Q71" s="129"/>
    </row>
    <row r="72" spans="1:17" x14ac:dyDescent="0.1">
      <c r="A72" s="1"/>
      <c r="B72" s="43"/>
      <c r="C72" s="43"/>
      <c r="D72" s="43"/>
      <c r="E72" s="43"/>
      <c r="F72" s="43"/>
      <c r="G72" s="43"/>
      <c r="H72" s="43"/>
      <c r="I72" s="1"/>
      <c r="J72" s="1"/>
      <c r="K72" s="1"/>
      <c r="L72" s="1"/>
      <c r="M72" s="1"/>
      <c r="N72" s="1"/>
      <c r="O72" s="1"/>
      <c r="P72" s="1"/>
      <c r="Q72" s="129"/>
    </row>
    <row r="73" spans="1:17" x14ac:dyDescent="0.1">
      <c r="B73" s="102"/>
      <c r="C73" s="102"/>
      <c r="D73" s="102"/>
      <c r="E73" s="102"/>
      <c r="F73" s="102"/>
      <c r="G73" s="102"/>
      <c r="H73" s="102"/>
    </row>
  </sheetData>
  <sheetProtection algorithmName="SHA-512" hashValue="QE/VNbKIfGtu7cp4T7J634D7MQqeeJPKoeIPNTGPFw/MODWBLo94J0YlgW/PErlLbNbZe35D1PwGCnXm5CQG9g==" saltValue="BEO12xfhDW1GlkyiqgeV7Q==" spinCount="100000" sheet="1" formatCells="0"/>
  <protectedRanges>
    <protectedRange sqref="B58:D64" name="Range1"/>
  </protectedRanges>
  <mergeCells count="5">
    <mergeCell ref="N4:O4"/>
    <mergeCell ref="B58:D58"/>
    <mergeCell ref="B59:D59"/>
    <mergeCell ref="B61:D61"/>
    <mergeCell ref="B62:D62"/>
  </mergeCells>
  <phoneticPr fontId="0" type="noConversion"/>
  <pageMargins left="0.3" right="0.2" top="0.56000000000000005" bottom="0.52" header="0.18" footer="0.17"/>
  <pageSetup scale="67" orientation="portrait" r:id="rId1"/>
  <headerFooter alignWithMargins="0"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69"/>
  <sheetViews>
    <sheetView zoomScale="90" zoomScaleNormal="90" workbookViewId="0">
      <selection activeCell="K59" sqref="K59"/>
    </sheetView>
  </sheetViews>
  <sheetFormatPr defaultColWidth="9.1015625" defaultRowHeight="13.5" x14ac:dyDescent="0.15"/>
  <cols>
    <col min="1" max="1" width="31.015625" style="76" customWidth="1"/>
    <col min="2" max="2" width="15" style="63" customWidth="1"/>
    <col min="3" max="3" width="17.359375" style="63" hidden="1" customWidth="1"/>
    <col min="4" max="4" width="18.37109375" style="63" customWidth="1"/>
    <col min="5" max="5" width="13.98828125" style="63" customWidth="1"/>
    <col min="6" max="6" width="14.83203125" style="63" customWidth="1"/>
    <col min="7" max="10" width="16.85546875" style="63" customWidth="1"/>
    <col min="11" max="11" width="18.37109375" style="63" customWidth="1"/>
    <col min="12" max="12" width="14.49609375" style="63" customWidth="1"/>
    <col min="13" max="21" width="9.1015625" style="63"/>
    <col min="22" max="22" width="47.19921875" style="63" bestFit="1" customWidth="1"/>
    <col min="23" max="23" width="12.80859375" style="63" bestFit="1" customWidth="1"/>
    <col min="24" max="24" width="11.62890625" style="63" bestFit="1" customWidth="1"/>
    <col min="25" max="16384" width="9.1015625" style="63"/>
  </cols>
  <sheetData>
    <row r="1" spans="1:256" s="58" customFormat="1" ht="22.5" customHeight="1" x14ac:dyDescent="0.25">
      <c r="A1" s="88" t="str">
        <f>PARAMETERS!B8</f>
        <v>LELY RESORT MASTER POA</v>
      </c>
      <c r="B1" s="89"/>
      <c r="C1" s="89"/>
      <c r="D1" s="89"/>
      <c r="F1" s="89"/>
      <c r="G1" s="89"/>
      <c r="H1" s="89"/>
      <c r="I1" s="89"/>
      <c r="J1" s="89"/>
      <c r="K1" s="89"/>
    </row>
    <row r="2" spans="1:256" s="58" customFormat="1" ht="22.5" customHeight="1" x14ac:dyDescent="0.25">
      <c r="A2" s="90" t="s">
        <v>43</v>
      </c>
      <c r="B2" s="91"/>
      <c r="C2" s="91"/>
      <c r="D2" s="91"/>
      <c r="E2" s="91"/>
      <c r="F2" s="91"/>
      <c r="G2" s="91"/>
      <c r="H2" s="91"/>
      <c r="I2" s="91"/>
      <c r="K2" s="92"/>
      <c r="L2" s="93"/>
      <c r="M2" s="94" t="s">
        <v>44</v>
      </c>
      <c r="N2" s="93"/>
    </row>
    <row r="3" spans="1:256" s="58" customFormat="1" ht="22.5" customHeight="1" x14ac:dyDescent="0.25">
      <c r="A3" s="207" t="str">
        <f>PARAMETERS!B4</f>
        <v>For the Period January 1, 2023 through December 31, 2023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256" s="58" customFormat="1" ht="22.5" customHeight="1" x14ac:dyDescent="0.25">
      <c r="A4" s="95" t="str">
        <f>PARAMETERS!B10</f>
        <v>2023 Proposed Budget</v>
      </c>
      <c r="G4" s="93"/>
      <c r="H4" s="93"/>
      <c r="I4" s="93"/>
      <c r="J4" s="116" t="s">
        <v>59</v>
      </c>
      <c r="K4" s="115">
        <f ca="1">PARAMETERS!B2</f>
        <v>44903</v>
      </c>
    </row>
    <row r="5" spans="1:256" s="58" customFormat="1" ht="22.5" customHeight="1" x14ac:dyDescent="0.25">
      <c r="A5" s="7" t="str">
        <f>PARAMETERS!B7</f>
        <v>5278 Units</v>
      </c>
      <c r="B5" s="83"/>
      <c r="C5" s="83"/>
      <c r="D5" s="84"/>
      <c r="E5" s="84"/>
      <c r="F5" s="85"/>
      <c r="G5" s="84"/>
      <c r="H5" s="84"/>
      <c r="I5" s="84"/>
      <c r="J5" s="84"/>
      <c r="K5" s="84"/>
    </row>
    <row r="6" spans="1:256" s="58" customFormat="1" x14ac:dyDescent="0.15">
      <c r="A6" s="59"/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256" x14ac:dyDescent="0.15">
      <c r="A7" s="60"/>
      <c r="B7" s="8"/>
      <c r="C7" s="61" t="s">
        <v>45</v>
      </c>
      <c r="D7" s="8" t="s">
        <v>6</v>
      </c>
      <c r="E7" s="8">
        <f>PARAMETERS!B12</f>
        <v>2023</v>
      </c>
      <c r="F7" s="62">
        <f>PARAMETERS!B3</f>
        <v>44804</v>
      </c>
      <c r="G7" s="8" t="s">
        <v>4</v>
      </c>
      <c r="H7" s="8" t="s">
        <v>0</v>
      </c>
      <c r="I7" s="8"/>
      <c r="J7" s="8" t="s">
        <v>5</v>
      </c>
      <c r="K7" s="8" t="s">
        <v>46</v>
      </c>
      <c r="L7" s="8" t="s">
        <v>55</v>
      </c>
    </row>
    <row r="8" spans="1:256" x14ac:dyDescent="0.15">
      <c r="A8" s="64"/>
      <c r="B8" s="8" t="s">
        <v>0</v>
      </c>
      <c r="C8" s="61" t="s">
        <v>47</v>
      </c>
      <c r="D8" s="8" t="s">
        <v>0</v>
      </c>
      <c r="E8" s="8" t="s">
        <v>0</v>
      </c>
      <c r="F8" s="8" t="s">
        <v>6</v>
      </c>
      <c r="G8" s="8" t="s">
        <v>7</v>
      </c>
      <c r="H8" s="8" t="s">
        <v>7</v>
      </c>
      <c r="I8" s="8" t="s">
        <v>8</v>
      </c>
      <c r="J8" s="8" t="s">
        <v>9</v>
      </c>
      <c r="K8" s="8" t="str">
        <f>PARAMETERS!C10</f>
        <v>Proposed</v>
      </c>
      <c r="L8" s="8" t="s">
        <v>9</v>
      </c>
    </row>
    <row r="9" spans="1:256" x14ac:dyDescent="0.15">
      <c r="A9" s="60"/>
      <c r="B9" s="8" t="s">
        <v>10</v>
      </c>
      <c r="C9" s="65" t="s">
        <v>11</v>
      </c>
      <c r="D9" s="8" t="s">
        <v>11</v>
      </c>
      <c r="E9" s="8" t="s">
        <v>12</v>
      </c>
      <c r="F9" s="8" t="s">
        <v>7</v>
      </c>
      <c r="G9" s="8" t="s">
        <v>9</v>
      </c>
      <c r="H9" s="8" t="s">
        <v>13</v>
      </c>
      <c r="I9" s="8" t="s">
        <v>3</v>
      </c>
      <c r="J9" s="8" t="s">
        <v>14</v>
      </c>
      <c r="K9" s="8" t="s">
        <v>9</v>
      </c>
      <c r="L9" s="8" t="s">
        <v>14</v>
      </c>
      <c r="W9" s="66"/>
    </row>
    <row r="10" spans="1:256" s="70" customFormat="1" ht="14.25" thickBot="1" x14ac:dyDescent="0.2">
      <c r="A10" s="114" t="s">
        <v>15</v>
      </c>
      <c r="B10" s="67" t="s">
        <v>16</v>
      </c>
      <c r="C10" s="68" t="s">
        <v>17</v>
      </c>
      <c r="D10" s="67" t="s">
        <v>17</v>
      </c>
      <c r="E10" s="67" t="s">
        <v>18</v>
      </c>
      <c r="F10" s="67" t="s">
        <v>13</v>
      </c>
      <c r="G10" s="69">
        <v>44561</v>
      </c>
      <c r="H10" s="69">
        <f>G10+1</f>
        <v>44562</v>
      </c>
      <c r="I10" s="67" t="s">
        <v>14</v>
      </c>
      <c r="J10" s="67">
        <f>PARAMETERS!B12</f>
        <v>2023</v>
      </c>
      <c r="K10" s="67">
        <f>PARAMETERS!B12</f>
        <v>2023</v>
      </c>
      <c r="L10" s="67">
        <f>J10</f>
        <v>2023</v>
      </c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6"/>
      <c r="X10" s="66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</row>
    <row r="11" spans="1:256" ht="14.25" thickTop="1" x14ac:dyDescent="0.15">
      <c r="A11" s="71"/>
      <c r="B11" s="8"/>
      <c r="C11" s="61"/>
      <c r="D11" s="8"/>
      <c r="E11" s="8"/>
      <c r="F11" s="8"/>
      <c r="G11" s="62"/>
      <c r="H11" s="62"/>
      <c r="I11" s="8"/>
      <c r="J11" s="8"/>
      <c r="K11" s="8"/>
      <c r="W11" s="66"/>
      <c r="X11" s="66"/>
    </row>
    <row r="12" spans="1:256" ht="26.25" customHeight="1" x14ac:dyDescent="0.15">
      <c r="A12" s="100"/>
      <c r="B12" s="105"/>
      <c r="C12" s="81">
        <v>172500</v>
      </c>
      <c r="D12" s="106"/>
      <c r="E12" s="105"/>
      <c r="F12" s="82"/>
      <c r="G12" s="82">
        <v>0</v>
      </c>
      <c r="H12" s="72">
        <f>+F12+G12</f>
        <v>0</v>
      </c>
      <c r="I12" s="72">
        <v>0</v>
      </c>
      <c r="J12" s="125">
        <v>0</v>
      </c>
      <c r="K12" s="72">
        <f>+J12</f>
        <v>0</v>
      </c>
      <c r="L12" s="72">
        <f>+K12/4</f>
        <v>0</v>
      </c>
      <c r="M12" s="107"/>
      <c r="N12" s="107"/>
      <c r="O12" s="107"/>
      <c r="P12" s="107"/>
      <c r="Q12" s="107"/>
      <c r="V12" s="60"/>
      <c r="W12" s="73"/>
      <c r="X12" s="73"/>
    </row>
    <row r="13" spans="1:256" ht="26.25" customHeight="1" x14ac:dyDescent="0.15">
      <c r="A13" s="100" t="s">
        <v>54</v>
      </c>
      <c r="B13" s="101"/>
      <c r="C13" s="103">
        <v>673113</v>
      </c>
      <c r="D13" s="104"/>
      <c r="E13" s="101"/>
      <c r="F13" s="82">
        <v>0</v>
      </c>
      <c r="G13" s="82">
        <v>0</v>
      </c>
      <c r="H13" s="72">
        <f t="shared" ref="H13" si="0">+F13+G13</f>
        <v>0</v>
      </c>
      <c r="I13" s="72">
        <v>0</v>
      </c>
      <c r="J13" s="72">
        <v>0</v>
      </c>
      <c r="K13" s="72">
        <f>J13</f>
        <v>0</v>
      </c>
      <c r="L13" s="72">
        <f>+K13/4</f>
        <v>0</v>
      </c>
      <c r="V13" s="60"/>
      <c r="W13" s="73"/>
      <c r="X13" s="73"/>
    </row>
    <row r="14" spans="1:256" s="58" customFormat="1" ht="26.25" customHeight="1" x14ac:dyDescent="0.15">
      <c r="A14" s="121"/>
      <c r="B14" s="122"/>
      <c r="C14" s="123" t="e">
        <f>SUM(#REF!+#REF!)</f>
        <v>#REF!</v>
      </c>
      <c r="D14" s="123">
        <f>SUM(D12:D13)</f>
        <v>0</v>
      </c>
      <c r="E14" s="123"/>
      <c r="F14" s="123">
        <f>SUM(F12:F13)</f>
        <v>0</v>
      </c>
      <c r="G14" s="123">
        <f t="shared" ref="G14:K14" si="1">SUM(G12:G13)</f>
        <v>0</v>
      </c>
      <c r="H14" s="123">
        <f>SUM(H12:H13)</f>
        <v>0</v>
      </c>
      <c r="I14" s="123">
        <f t="shared" si="1"/>
        <v>0</v>
      </c>
      <c r="J14" s="123">
        <f t="shared" si="1"/>
        <v>0</v>
      </c>
      <c r="K14" s="123">
        <f t="shared" si="1"/>
        <v>0</v>
      </c>
      <c r="L14" s="72">
        <v>0</v>
      </c>
      <c r="W14" s="74"/>
      <c r="X14" s="74"/>
    </row>
    <row r="15" spans="1:256" s="58" customFormat="1" ht="16.5" customHeight="1" x14ac:dyDescent="0.15">
      <c r="A15" s="71"/>
      <c r="B15" s="78"/>
      <c r="C15" s="80"/>
      <c r="D15" s="80"/>
      <c r="E15" s="80"/>
      <c r="F15" s="80"/>
      <c r="G15" s="80"/>
      <c r="H15" s="80"/>
      <c r="I15" s="80"/>
      <c r="J15" s="80"/>
      <c r="K15" s="80"/>
      <c r="L15" s="120"/>
      <c r="W15" s="74"/>
      <c r="X15" s="74"/>
    </row>
    <row r="16" spans="1:256" s="58" customFormat="1" ht="24" customHeight="1" x14ac:dyDescent="0.15">
      <c r="A16" s="134"/>
      <c r="B16" s="135" t="s">
        <v>62</v>
      </c>
      <c r="C16" s="79"/>
      <c r="D16" s="80"/>
      <c r="E16" s="80"/>
      <c r="F16" s="80"/>
      <c r="G16" s="80"/>
      <c r="H16" s="80"/>
      <c r="I16" s="80"/>
      <c r="J16" s="80"/>
      <c r="K16" s="80"/>
      <c r="W16" s="74"/>
      <c r="X16" s="74"/>
    </row>
    <row r="17" spans="1:7" ht="24" customHeight="1" x14ac:dyDescent="0.25">
      <c r="A17" s="7" t="s">
        <v>48</v>
      </c>
      <c r="F17" s="75"/>
      <c r="G17" s="75"/>
    </row>
    <row r="18" spans="1:7" ht="24" customHeight="1" x14ac:dyDescent="0.25">
      <c r="A18" s="7" t="s">
        <v>49</v>
      </c>
    </row>
    <row r="19" spans="1:7" ht="24" customHeight="1" x14ac:dyDescent="0.25">
      <c r="A19" s="7" t="s">
        <v>50</v>
      </c>
    </row>
    <row r="20" spans="1:7" ht="24" customHeight="1" x14ac:dyDescent="0.15"/>
    <row r="21" spans="1:7" ht="24" customHeight="1" x14ac:dyDescent="0.15">
      <c r="A21" s="77"/>
    </row>
    <row r="22" spans="1:7" ht="24" customHeight="1" x14ac:dyDescent="0.15"/>
    <row r="37" spans="8:12" x14ac:dyDescent="0.15">
      <c r="H37" s="63">
        <v>1600</v>
      </c>
    </row>
    <row r="42" spans="8:12" x14ac:dyDescent="0.15">
      <c r="L42" s="63">
        <f>SUM(L20:L41)</f>
        <v>0</v>
      </c>
    </row>
    <row r="45" spans="8:12" x14ac:dyDescent="0.15">
      <c r="L45" s="63">
        <f>SUM(L42:L44)</f>
        <v>0</v>
      </c>
    </row>
    <row r="64" spans="1:1" x14ac:dyDescent="0.15">
      <c r="A64" s="63"/>
    </row>
    <row r="65" spans="1:1" x14ac:dyDescent="0.15">
      <c r="A65" s="63"/>
    </row>
    <row r="66" spans="1:1" x14ac:dyDescent="0.15">
      <c r="A66" s="63"/>
    </row>
    <row r="67" spans="1:1" x14ac:dyDescent="0.15">
      <c r="A67" s="63"/>
    </row>
    <row r="68" spans="1:1" x14ac:dyDescent="0.15">
      <c r="A68" s="63" t="s">
        <v>51</v>
      </c>
    </row>
    <row r="69" spans="1:1" x14ac:dyDescent="0.15">
      <c r="A69" s="63"/>
    </row>
  </sheetData>
  <sheetProtection algorithmName="SHA-512" hashValue="RJzZjFrtT6Zu3TlArc7/TEyv8iIlVoC6PS2Jw3Zy3AaWICAxu5OpKZ/EtuKD95gan3tefV6Z8Q4CiAZFUVYf7g==" saltValue="5eSo+08xBuu/vdBwfutCoQ==" spinCount="100000" sheet="1" objects="1" scenarios="1"/>
  <mergeCells count="1">
    <mergeCell ref="A3:K3"/>
  </mergeCells>
  <pageMargins left="0.34" right="0.47" top="0.65" bottom="0.13" header="0.35" footer="0.31"/>
  <pageSetup scale="85" fitToHeight="0" orientation="landscape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1"/>
  <sheetViews>
    <sheetView topLeftCell="A30" zoomScaleNormal="100" workbookViewId="0">
      <selection activeCell="C61" sqref="C61"/>
    </sheetView>
  </sheetViews>
  <sheetFormatPr defaultRowHeight="10.5" x14ac:dyDescent="0.1"/>
  <cols>
    <col min="1" max="1" width="6.40234375" customWidth="1"/>
    <col min="2" max="2" width="50.23046875" customWidth="1"/>
    <col min="3" max="3" width="16.51953125" bestFit="1" customWidth="1"/>
    <col min="4" max="4" width="18.7109375" bestFit="1" customWidth="1"/>
    <col min="5" max="5" width="22.5859375" customWidth="1"/>
    <col min="6" max="6" width="19.046875" customWidth="1"/>
    <col min="7" max="7" width="15" customWidth="1"/>
    <col min="8" max="8" width="18.7109375" bestFit="1" customWidth="1"/>
    <col min="9" max="9" width="14.83203125" bestFit="1" customWidth="1"/>
    <col min="10" max="10" width="15.5078125" customWidth="1"/>
    <col min="13" max="13" width="12.3046875" bestFit="1" customWidth="1"/>
  </cols>
  <sheetData>
    <row r="1" spans="1:10" ht="20.25" x14ac:dyDescent="0.25">
      <c r="B1" s="87" t="str">
        <f>PARAMETERS!B8</f>
        <v>LELY RESORT MASTER POA</v>
      </c>
      <c r="C1" s="86"/>
      <c r="D1" s="1"/>
      <c r="F1" s="7"/>
    </row>
    <row r="2" spans="1:10" ht="18" x14ac:dyDescent="0.2">
      <c r="A2" s="2" t="s">
        <v>19</v>
      </c>
      <c r="B2" s="97" t="s">
        <v>142</v>
      </c>
      <c r="C2" s="8"/>
      <c r="D2" s="1"/>
    </row>
    <row r="3" spans="1:10" ht="18" x14ac:dyDescent="0.2">
      <c r="A3" s="3" t="s">
        <v>19</v>
      </c>
      <c r="B3" s="97" t="str">
        <f>PARAMETERS!B4</f>
        <v>For the Period January 1, 2023 through December 31, 2023</v>
      </c>
      <c r="C3" s="8"/>
      <c r="D3" s="1"/>
    </row>
    <row r="4" spans="1:10" ht="0.75" customHeight="1" x14ac:dyDescent="0.2">
      <c r="A4" s="1"/>
      <c r="B4" s="97"/>
      <c r="C4" s="1"/>
      <c r="D4" s="1"/>
    </row>
    <row r="5" spans="1:10" ht="18" customHeight="1" x14ac:dyDescent="0.2">
      <c r="A5" s="10"/>
      <c r="B5" s="96" t="str">
        <f>PARAMETERS!B10</f>
        <v>2023 Proposed Budget</v>
      </c>
      <c r="C5" s="11"/>
      <c r="D5" s="11"/>
      <c r="E5" s="12"/>
      <c r="F5" s="12"/>
      <c r="G5" s="13"/>
      <c r="H5" s="14"/>
      <c r="I5" s="15"/>
      <c r="J5" s="15"/>
    </row>
    <row r="6" spans="1:10" ht="12" thickBot="1" x14ac:dyDescent="0.15">
      <c r="A6" s="16"/>
      <c r="C6" s="27"/>
      <c r="D6" s="144"/>
      <c r="E6" s="22"/>
      <c r="F6" s="12"/>
      <c r="G6" s="13"/>
      <c r="H6" s="14"/>
    </row>
    <row r="7" spans="1:10" ht="27.75" x14ac:dyDescent="0.15">
      <c r="A7" s="16"/>
      <c r="B7" s="150" t="s">
        <v>81</v>
      </c>
      <c r="C7" s="151" t="s">
        <v>82</v>
      </c>
      <c r="D7" s="151" t="s">
        <v>83</v>
      </c>
      <c r="E7" s="152" t="s">
        <v>172</v>
      </c>
      <c r="F7" s="152" t="s">
        <v>173</v>
      </c>
      <c r="G7" s="13"/>
      <c r="H7" s="165" t="s">
        <v>166</v>
      </c>
    </row>
    <row r="8" spans="1:10" ht="12.75" x14ac:dyDescent="0.15">
      <c r="A8" s="16"/>
      <c r="B8" s="159" t="s">
        <v>84</v>
      </c>
      <c r="C8" s="156">
        <v>116</v>
      </c>
      <c r="D8" s="156">
        <v>116</v>
      </c>
      <c r="E8" s="157">
        <f>($C$61/$E$62)*D8</f>
        <v>11536.527472527472</v>
      </c>
      <c r="F8" s="158">
        <f>E8/4</f>
        <v>2884.131868131868</v>
      </c>
      <c r="G8" s="13"/>
      <c r="H8" s="158">
        <v>2217.2600000000002</v>
      </c>
    </row>
    <row r="9" spans="1:10" ht="12.75" x14ac:dyDescent="0.15">
      <c r="A9" s="16"/>
      <c r="B9" s="159" t="s">
        <v>85</v>
      </c>
      <c r="C9" s="156">
        <v>36</v>
      </c>
      <c r="D9" s="156">
        <v>36</v>
      </c>
      <c r="E9" s="157">
        <f>($C$61/$E$62)*D9</f>
        <v>3580.3016294050776</v>
      </c>
      <c r="F9" s="158">
        <f t="shared" ref="F9:F57" si="0">E9/4</f>
        <v>895.0754073512694</v>
      </c>
      <c r="G9" s="13"/>
      <c r="H9" s="158">
        <v>688.12</v>
      </c>
    </row>
    <row r="10" spans="1:10" ht="12.75" x14ac:dyDescent="0.15">
      <c r="A10" s="16"/>
      <c r="B10" s="159" t="s">
        <v>86</v>
      </c>
      <c r="C10" s="156">
        <v>84</v>
      </c>
      <c r="D10" s="156">
        <v>84</v>
      </c>
      <c r="E10" s="157">
        <f t="shared" ref="E10:E57" si="1">($C$61/$E$62)*D10</f>
        <v>8354.0371352785151</v>
      </c>
      <c r="F10" s="158">
        <f t="shared" si="0"/>
        <v>2088.5092838196288</v>
      </c>
      <c r="G10" s="13"/>
      <c r="H10" s="158">
        <v>1605.6</v>
      </c>
    </row>
    <row r="11" spans="1:10" ht="12.75" x14ac:dyDescent="0.15">
      <c r="A11" s="16"/>
      <c r="B11" s="159" t="s">
        <v>99</v>
      </c>
      <c r="C11" s="156">
        <v>78</v>
      </c>
      <c r="D11" s="156">
        <v>78</v>
      </c>
      <c r="E11" s="157">
        <f t="shared" si="1"/>
        <v>7757.3201970443351</v>
      </c>
      <c r="F11" s="158">
        <f t="shared" si="0"/>
        <v>1939.3300492610838</v>
      </c>
      <c r="G11" s="13"/>
      <c r="H11" s="158">
        <v>1490.92</v>
      </c>
    </row>
    <row r="12" spans="1:10" ht="12.75" x14ac:dyDescent="0.15">
      <c r="A12" s="16"/>
      <c r="B12" s="159" t="s">
        <v>87</v>
      </c>
      <c r="C12" s="156">
        <v>63</v>
      </c>
      <c r="D12" s="156">
        <v>63</v>
      </c>
      <c r="E12" s="157">
        <f t="shared" si="1"/>
        <v>6265.5278514588863</v>
      </c>
      <c r="F12" s="158">
        <f t="shared" si="0"/>
        <v>1566.3819628647216</v>
      </c>
      <c r="G12" s="13"/>
      <c r="H12" s="158">
        <v>1204.2</v>
      </c>
    </row>
    <row r="13" spans="1:10" ht="12.75" x14ac:dyDescent="0.15">
      <c r="A13" s="16"/>
      <c r="B13" s="159" t="s">
        <v>88</v>
      </c>
      <c r="C13" s="156">
        <v>84</v>
      </c>
      <c r="D13" s="156">
        <v>84</v>
      </c>
      <c r="E13" s="157">
        <f t="shared" si="1"/>
        <v>8354.0371352785151</v>
      </c>
      <c r="F13" s="158">
        <f t="shared" si="0"/>
        <v>2088.5092838196288</v>
      </c>
      <c r="G13" s="13"/>
      <c r="H13" s="158">
        <v>1605.6</v>
      </c>
    </row>
    <row r="14" spans="1:10" ht="12.75" x14ac:dyDescent="0.15">
      <c r="A14" s="16"/>
      <c r="B14" s="159" t="s">
        <v>89</v>
      </c>
      <c r="C14" s="156">
        <v>38</v>
      </c>
      <c r="D14" s="156">
        <v>38</v>
      </c>
      <c r="E14" s="157">
        <f t="shared" si="1"/>
        <v>3779.2072754831374</v>
      </c>
      <c r="F14" s="158">
        <f t="shared" si="0"/>
        <v>944.80181887078436</v>
      </c>
      <c r="G14" s="13"/>
      <c r="H14" s="158">
        <v>726.34</v>
      </c>
    </row>
    <row r="15" spans="1:10" ht="12.75" x14ac:dyDescent="0.15">
      <c r="A15" s="16"/>
      <c r="B15" s="159" t="s">
        <v>90</v>
      </c>
      <c r="C15" s="156">
        <v>60</v>
      </c>
      <c r="D15" s="156">
        <v>60</v>
      </c>
      <c r="E15" s="157">
        <f t="shared" si="1"/>
        <v>5967.1693823417963</v>
      </c>
      <c r="F15" s="158">
        <f t="shared" si="0"/>
        <v>1491.7923455854491</v>
      </c>
      <c r="G15" s="13"/>
      <c r="H15" s="158">
        <v>1146.8599999999999</v>
      </c>
    </row>
    <row r="16" spans="1:10" ht="12.75" x14ac:dyDescent="0.15">
      <c r="A16" s="16"/>
      <c r="B16" s="159" t="s">
        <v>100</v>
      </c>
      <c r="C16" s="156">
        <v>44</v>
      </c>
      <c r="D16" s="156">
        <v>44</v>
      </c>
      <c r="E16" s="157">
        <f t="shared" si="1"/>
        <v>4375.9242137173169</v>
      </c>
      <c r="F16" s="158">
        <f t="shared" si="0"/>
        <v>1093.9810534293292</v>
      </c>
      <c r="G16" s="13"/>
      <c r="H16" s="158">
        <v>841.03</v>
      </c>
    </row>
    <row r="17" spans="1:8" ht="12.75" x14ac:dyDescent="0.15">
      <c r="A17" s="16"/>
      <c r="B17" s="159" t="s">
        <v>91</v>
      </c>
      <c r="C17" s="156">
        <v>248</v>
      </c>
      <c r="D17" s="156">
        <v>248</v>
      </c>
      <c r="E17" s="157">
        <f t="shared" si="1"/>
        <v>24664.300113679423</v>
      </c>
      <c r="F17" s="158">
        <f t="shared" si="0"/>
        <v>6166.0750284198557</v>
      </c>
      <c r="G17" s="13"/>
      <c r="H17" s="158">
        <v>4740.3500000000004</v>
      </c>
    </row>
    <row r="18" spans="1:8" ht="12.75" x14ac:dyDescent="0.15">
      <c r="A18" s="16"/>
      <c r="B18" s="159" t="s">
        <v>101</v>
      </c>
      <c r="C18" s="156">
        <v>48</v>
      </c>
      <c r="D18" s="156">
        <v>48</v>
      </c>
      <c r="E18" s="157">
        <f t="shared" si="1"/>
        <v>4773.7355058734374</v>
      </c>
      <c r="F18" s="158">
        <f t="shared" si="0"/>
        <v>1193.4338764683594</v>
      </c>
      <c r="G18" s="13"/>
      <c r="H18" s="158">
        <v>955.72</v>
      </c>
    </row>
    <row r="19" spans="1:8" ht="12.75" x14ac:dyDescent="0.15">
      <c r="A19" s="16"/>
      <c r="B19" s="159" t="s">
        <v>92</v>
      </c>
      <c r="C19" s="156">
        <v>64</v>
      </c>
      <c r="D19" s="156">
        <v>64</v>
      </c>
      <c r="E19" s="157">
        <f t="shared" si="1"/>
        <v>6364.980674497916</v>
      </c>
      <c r="F19" s="158">
        <f t="shared" si="0"/>
        <v>1591.245168624479</v>
      </c>
      <c r="G19" s="13"/>
      <c r="H19" s="158">
        <v>1223.32</v>
      </c>
    </row>
    <row r="20" spans="1:8" ht="12.75" x14ac:dyDescent="0.15">
      <c r="A20" s="16"/>
      <c r="B20" s="159" t="s">
        <v>93</v>
      </c>
      <c r="C20" s="156">
        <v>57</v>
      </c>
      <c r="D20" s="156">
        <v>57</v>
      </c>
      <c r="E20" s="157">
        <f t="shared" si="1"/>
        <v>5668.8109132247064</v>
      </c>
      <c r="F20" s="158">
        <f t="shared" si="0"/>
        <v>1417.2027283061766</v>
      </c>
      <c r="G20" s="13"/>
      <c r="H20" s="158">
        <v>1089.52</v>
      </c>
    </row>
    <row r="21" spans="1:8" ht="12.75" x14ac:dyDescent="0.15">
      <c r="A21" s="16"/>
      <c r="B21" s="159" t="s">
        <v>102</v>
      </c>
      <c r="C21" s="156">
        <v>87</v>
      </c>
      <c r="D21" s="156">
        <v>87</v>
      </c>
      <c r="E21" s="157">
        <f t="shared" si="1"/>
        <v>8652.3956043956041</v>
      </c>
      <c r="F21" s="158">
        <f t="shared" si="0"/>
        <v>2163.098901098901</v>
      </c>
      <c r="G21" s="13"/>
      <c r="H21" s="158">
        <v>1662.94</v>
      </c>
    </row>
    <row r="22" spans="1:8" ht="12.75" x14ac:dyDescent="0.15">
      <c r="A22" s="16"/>
      <c r="B22" s="159" t="s">
        <v>94</v>
      </c>
      <c r="C22" s="156">
        <v>32</v>
      </c>
      <c r="D22" s="156">
        <v>32</v>
      </c>
      <c r="E22" s="157">
        <f t="shared" si="1"/>
        <v>3182.490337248958</v>
      </c>
      <c r="F22" s="158">
        <f t="shared" si="0"/>
        <v>795.6225843122395</v>
      </c>
      <c r="G22" s="13"/>
      <c r="H22" s="158">
        <v>611.66</v>
      </c>
    </row>
    <row r="23" spans="1:8" ht="12.75" x14ac:dyDescent="0.15">
      <c r="A23" s="16"/>
      <c r="B23" s="159" t="s">
        <v>95</v>
      </c>
      <c r="C23" s="156">
        <v>32</v>
      </c>
      <c r="D23" s="156">
        <v>32</v>
      </c>
      <c r="E23" s="157">
        <f t="shared" si="1"/>
        <v>3182.490337248958</v>
      </c>
      <c r="F23" s="158">
        <f t="shared" si="0"/>
        <v>795.6225843122395</v>
      </c>
      <c r="G23" s="13"/>
      <c r="H23" s="158">
        <v>611.66</v>
      </c>
    </row>
    <row r="24" spans="1:8" ht="12.75" x14ac:dyDescent="0.15">
      <c r="A24" s="16"/>
      <c r="B24" s="159" t="s">
        <v>103</v>
      </c>
      <c r="C24" s="156">
        <v>200</v>
      </c>
      <c r="D24" s="156">
        <v>200</v>
      </c>
      <c r="E24" s="157">
        <f t="shared" si="1"/>
        <v>19890.564607805987</v>
      </c>
      <c r="F24" s="158">
        <f t="shared" si="0"/>
        <v>4972.6411519514968</v>
      </c>
      <c r="G24" s="13"/>
      <c r="H24" s="158">
        <v>3822.86</v>
      </c>
    </row>
    <row r="25" spans="1:8" ht="12.75" x14ac:dyDescent="0.15">
      <c r="A25" s="16"/>
      <c r="B25" s="159" t="s">
        <v>96</v>
      </c>
      <c r="C25" s="156">
        <v>76</v>
      </c>
      <c r="D25" s="156">
        <v>76</v>
      </c>
      <c r="E25" s="157">
        <f t="shared" si="1"/>
        <v>7558.4145509662749</v>
      </c>
      <c r="F25" s="158">
        <f t="shared" si="0"/>
        <v>1889.6036377415687</v>
      </c>
      <c r="G25" s="13"/>
      <c r="H25" s="158">
        <v>1452.69</v>
      </c>
    </row>
    <row r="26" spans="1:8" ht="12.75" x14ac:dyDescent="0.15">
      <c r="A26" s="16"/>
      <c r="B26" s="159" t="s">
        <v>104</v>
      </c>
      <c r="C26" s="156">
        <v>56</v>
      </c>
      <c r="D26" s="156">
        <v>56</v>
      </c>
      <c r="E26" s="157">
        <f t="shared" si="1"/>
        <v>5569.3580901856767</v>
      </c>
      <c r="F26" s="158">
        <f t="shared" si="0"/>
        <v>1392.3395225464192</v>
      </c>
      <c r="G26" s="13"/>
      <c r="H26" s="158">
        <v>1070.4000000000001</v>
      </c>
    </row>
    <row r="27" spans="1:8" ht="12.75" x14ac:dyDescent="0.15">
      <c r="A27" s="16"/>
      <c r="B27" s="159" t="s">
        <v>97</v>
      </c>
      <c r="C27" s="156">
        <v>24</v>
      </c>
      <c r="D27" s="156">
        <v>24</v>
      </c>
      <c r="E27" s="157">
        <f t="shared" si="1"/>
        <v>2386.8677529367187</v>
      </c>
      <c r="F27" s="158">
        <f t="shared" si="0"/>
        <v>596.71693823417968</v>
      </c>
      <c r="G27" s="13"/>
      <c r="H27" s="158">
        <v>458.74</v>
      </c>
    </row>
    <row r="28" spans="1:8" ht="12.75" x14ac:dyDescent="0.15">
      <c r="A28" s="16"/>
      <c r="B28" s="159" t="s">
        <v>98</v>
      </c>
      <c r="C28" s="156">
        <v>44</v>
      </c>
      <c r="D28" s="156">
        <v>44</v>
      </c>
      <c r="E28" s="157">
        <f t="shared" si="1"/>
        <v>4375.9242137173169</v>
      </c>
      <c r="F28" s="158">
        <f t="shared" si="0"/>
        <v>1093.9810534293292</v>
      </c>
      <c r="G28" s="13"/>
      <c r="H28" s="158">
        <v>841.03</v>
      </c>
    </row>
    <row r="29" spans="1:8" ht="12.75" x14ac:dyDescent="0.15">
      <c r="A29" s="16"/>
      <c r="B29" s="159" t="s">
        <v>105</v>
      </c>
      <c r="C29" s="156">
        <v>365</v>
      </c>
      <c r="D29" s="156">
        <v>365</v>
      </c>
      <c r="E29" s="157">
        <f t="shared" si="1"/>
        <v>36300.280409245926</v>
      </c>
      <c r="F29" s="158">
        <f t="shared" si="0"/>
        <v>9075.0701023114816</v>
      </c>
      <c r="G29" s="13"/>
      <c r="H29" s="158">
        <v>6976.72</v>
      </c>
    </row>
    <row r="30" spans="1:8" ht="12.75" x14ac:dyDescent="0.15">
      <c r="A30" s="16"/>
      <c r="B30" s="159" t="s">
        <v>106</v>
      </c>
      <c r="C30" s="156">
        <v>88</v>
      </c>
      <c r="D30" s="156">
        <v>88</v>
      </c>
      <c r="E30" s="157">
        <f t="shared" si="1"/>
        <v>8751.8484274346338</v>
      </c>
      <c r="F30" s="158">
        <f t="shared" si="0"/>
        <v>2187.9621068586584</v>
      </c>
      <c r="G30" s="13"/>
      <c r="H30" s="158">
        <v>1682.06</v>
      </c>
    </row>
    <row r="31" spans="1:8" ht="12.75" x14ac:dyDescent="0.15">
      <c r="A31" s="16"/>
      <c r="B31" s="159" t="s">
        <v>107</v>
      </c>
      <c r="C31" s="156">
        <v>191</v>
      </c>
      <c r="D31" s="156">
        <v>191</v>
      </c>
      <c r="E31" s="157">
        <f t="shared" si="1"/>
        <v>18995.489200454718</v>
      </c>
      <c r="F31" s="158">
        <f t="shared" si="0"/>
        <v>4748.8723001136796</v>
      </c>
      <c r="G31" s="13"/>
      <c r="H31" s="158">
        <v>3650.83</v>
      </c>
    </row>
    <row r="32" spans="1:8" ht="12.75" x14ac:dyDescent="0.15">
      <c r="A32" s="16"/>
      <c r="B32" s="159" t="s">
        <v>108</v>
      </c>
      <c r="C32" s="156">
        <v>135</v>
      </c>
      <c r="D32" s="156">
        <v>135</v>
      </c>
      <c r="E32" s="157">
        <f t="shared" si="1"/>
        <v>13426.131110269042</v>
      </c>
      <c r="F32" s="158">
        <f t="shared" si="0"/>
        <v>3356.5327775672604</v>
      </c>
      <c r="G32" s="13"/>
      <c r="H32" s="158">
        <v>2580.4299999999998</v>
      </c>
    </row>
    <row r="33" spans="1:8" ht="12.75" x14ac:dyDescent="0.15">
      <c r="A33" s="16"/>
      <c r="B33" s="159" t="s">
        <v>109</v>
      </c>
      <c r="C33" s="156">
        <v>84</v>
      </c>
      <c r="D33" s="156">
        <v>84</v>
      </c>
      <c r="E33" s="157">
        <f t="shared" si="1"/>
        <v>8354.0371352785151</v>
      </c>
      <c r="F33" s="158">
        <f t="shared" si="0"/>
        <v>2088.5092838196288</v>
      </c>
      <c r="G33" s="13"/>
      <c r="H33" s="158">
        <v>1605.6</v>
      </c>
    </row>
    <row r="34" spans="1:8" ht="12.75" x14ac:dyDescent="0.15">
      <c r="A34" s="16"/>
      <c r="B34" s="159" t="s">
        <v>110</v>
      </c>
      <c r="C34" s="156">
        <v>185</v>
      </c>
      <c r="D34" s="156">
        <v>185</v>
      </c>
      <c r="E34" s="157">
        <f t="shared" si="1"/>
        <v>18398.77226222054</v>
      </c>
      <c r="F34" s="158">
        <f t="shared" si="0"/>
        <v>4599.693065555135</v>
      </c>
      <c r="G34" s="13"/>
      <c r="H34" s="158">
        <v>3536.15</v>
      </c>
    </row>
    <row r="35" spans="1:8" ht="12.75" x14ac:dyDescent="0.15">
      <c r="A35" s="16"/>
      <c r="B35" s="159" t="s">
        <v>111</v>
      </c>
      <c r="C35" s="156">
        <v>60</v>
      </c>
      <c r="D35" s="156">
        <v>60</v>
      </c>
      <c r="E35" s="157">
        <f t="shared" si="1"/>
        <v>5967.1693823417963</v>
      </c>
      <c r="F35" s="158">
        <f t="shared" si="0"/>
        <v>1491.7923455854491</v>
      </c>
      <c r="G35" s="13"/>
      <c r="H35" s="158">
        <v>1146.8599999999999</v>
      </c>
    </row>
    <row r="36" spans="1:8" ht="12.75" x14ac:dyDescent="0.15">
      <c r="A36" s="16"/>
      <c r="B36" s="159" t="s">
        <v>112</v>
      </c>
      <c r="C36" s="156">
        <v>28</v>
      </c>
      <c r="D36" s="156">
        <v>28</v>
      </c>
      <c r="E36" s="157">
        <f t="shared" si="1"/>
        <v>2784.6790450928384</v>
      </c>
      <c r="F36" s="158">
        <f t="shared" si="0"/>
        <v>696.16976127320959</v>
      </c>
      <c r="G36" s="13"/>
      <c r="H36" s="158">
        <v>535.20000000000005</v>
      </c>
    </row>
    <row r="37" spans="1:8" ht="12.75" x14ac:dyDescent="0.15">
      <c r="A37" s="16"/>
      <c r="B37" s="159" t="s">
        <v>113</v>
      </c>
      <c r="C37" s="156">
        <v>8</v>
      </c>
      <c r="D37" s="156">
        <v>8</v>
      </c>
      <c r="E37" s="157">
        <f t="shared" si="1"/>
        <v>795.6225843122395</v>
      </c>
      <c r="F37" s="158">
        <f t="shared" si="0"/>
        <v>198.90564607805987</v>
      </c>
      <c r="G37" s="13"/>
      <c r="H37" s="158">
        <v>152.91</v>
      </c>
    </row>
    <row r="38" spans="1:8" ht="12.75" x14ac:dyDescent="0.15">
      <c r="A38" s="16"/>
      <c r="B38" s="159" t="s">
        <v>114</v>
      </c>
      <c r="C38" s="156">
        <v>60</v>
      </c>
      <c r="D38" s="156">
        <v>60</v>
      </c>
      <c r="E38" s="157">
        <f t="shared" si="1"/>
        <v>5967.1693823417963</v>
      </c>
      <c r="F38" s="158">
        <f t="shared" si="0"/>
        <v>1491.7923455854491</v>
      </c>
      <c r="G38" s="13"/>
      <c r="H38" s="158">
        <v>1146.8599999999999</v>
      </c>
    </row>
    <row r="39" spans="1:8" ht="12.75" x14ac:dyDescent="0.15">
      <c r="A39" s="16"/>
      <c r="B39" s="159" t="s">
        <v>115</v>
      </c>
      <c r="C39" s="156">
        <v>623</v>
      </c>
      <c r="D39" s="156">
        <v>623</v>
      </c>
      <c r="E39" s="157">
        <f t="shared" si="1"/>
        <v>61959.108753315653</v>
      </c>
      <c r="F39" s="158">
        <f t="shared" si="0"/>
        <v>15489.777188328913</v>
      </c>
      <c r="G39" s="13"/>
      <c r="H39" s="158">
        <v>11908.21</v>
      </c>
    </row>
    <row r="40" spans="1:8" ht="12.75" x14ac:dyDescent="0.15">
      <c r="A40" s="16"/>
      <c r="B40" s="159" t="s">
        <v>116</v>
      </c>
      <c r="C40" s="156">
        <v>57</v>
      </c>
      <c r="D40" s="156">
        <v>57</v>
      </c>
      <c r="E40" s="157">
        <f t="shared" si="1"/>
        <v>5668.8109132247064</v>
      </c>
      <c r="F40" s="158">
        <f t="shared" si="0"/>
        <v>1417.2027283061766</v>
      </c>
      <c r="G40" s="13"/>
      <c r="H40" s="158">
        <v>1089.52</v>
      </c>
    </row>
    <row r="41" spans="1:8" ht="12.75" x14ac:dyDescent="0.15">
      <c r="A41" s="16"/>
      <c r="B41" s="159" t="s">
        <v>117</v>
      </c>
      <c r="C41" s="156">
        <v>48</v>
      </c>
      <c r="D41" s="156">
        <v>48</v>
      </c>
      <c r="E41" s="157">
        <f t="shared" si="1"/>
        <v>4773.7355058734374</v>
      </c>
      <c r="F41" s="158">
        <f t="shared" si="0"/>
        <v>1193.4338764683594</v>
      </c>
      <c r="G41" s="13"/>
      <c r="H41" s="158">
        <v>917.49</v>
      </c>
    </row>
    <row r="42" spans="1:8" ht="12.75" x14ac:dyDescent="0.15">
      <c r="A42" s="16"/>
      <c r="B42" s="159" t="s">
        <v>118</v>
      </c>
      <c r="C42" s="156">
        <v>21</v>
      </c>
      <c r="D42" s="156">
        <v>21</v>
      </c>
      <c r="E42" s="157">
        <f t="shared" si="1"/>
        <v>2088.5092838196288</v>
      </c>
      <c r="F42" s="158">
        <f t="shared" si="0"/>
        <v>522.12732095490719</v>
      </c>
      <c r="G42" s="13"/>
      <c r="H42" s="158">
        <v>401.4</v>
      </c>
    </row>
    <row r="43" spans="1:8" ht="12.75" x14ac:dyDescent="0.15">
      <c r="A43" s="16"/>
      <c r="B43" s="159" t="s">
        <v>119</v>
      </c>
      <c r="C43" s="156">
        <v>96</v>
      </c>
      <c r="D43" s="156">
        <v>96</v>
      </c>
      <c r="E43" s="157">
        <f t="shared" si="1"/>
        <v>9547.4710117468749</v>
      </c>
      <c r="F43" s="158">
        <f t="shared" si="0"/>
        <v>2386.8677529367187</v>
      </c>
      <c r="G43" s="13"/>
      <c r="H43" s="158">
        <v>1834.97</v>
      </c>
    </row>
    <row r="44" spans="1:8" ht="12.75" x14ac:dyDescent="0.15">
      <c r="A44" s="16"/>
      <c r="B44" s="159" t="s">
        <v>120</v>
      </c>
      <c r="C44" s="156">
        <v>97</v>
      </c>
      <c r="D44" s="156">
        <v>97</v>
      </c>
      <c r="E44" s="157">
        <f t="shared" si="1"/>
        <v>9646.9238347859045</v>
      </c>
      <c r="F44" s="158">
        <f t="shared" si="0"/>
        <v>2411.7309586964761</v>
      </c>
      <c r="G44" s="13"/>
      <c r="H44" s="158">
        <v>1854.09</v>
      </c>
    </row>
    <row r="45" spans="1:8" ht="12.75" x14ac:dyDescent="0.15">
      <c r="A45" s="16"/>
      <c r="B45" s="159" t="s">
        <v>121</v>
      </c>
      <c r="C45" s="156">
        <v>36</v>
      </c>
      <c r="D45" s="156">
        <v>36</v>
      </c>
      <c r="E45" s="157">
        <f t="shared" si="1"/>
        <v>3580.3016294050776</v>
      </c>
      <c r="F45" s="158">
        <f t="shared" si="0"/>
        <v>895.0754073512694</v>
      </c>
      <c r="G45" s="13"/>
      <c r="H45" s="158">
        <v>688.12</v>
      </c>
    </row>
    <row r="46" spans="1:8" ht="12.75" x14ac:dyDescent="0.15">
      <c r="A46" s="16"/>
      <c r="B46" s="159" t="s">
        <v>122</v>
      </c>
      <c r="C46" s="156">
        <v>96</v>
      </c>
      <c r="D46" s="156">
        <v>96</v>
      </c>
      <c r="E46" s="157">
        <f t="shared" si="1"/>
        <v>9547.4710117468749</v>
      </c>
      <c r="F46" s="158">
        <f t="shared" si="0"/>
        <v>2386.8677529367187</v>
      </c>
      <c r="G46" s="13"/>
      <c r="H46" s="158">
        <v>1834.97</v>
      </c>
    </row>
    <row r="47" spans="1:8" ht="12.75" x14ac:dyDescent="0.15">
      <c r="A47" s="16"/>
      <c r="B47" s="159" t="s">
        <v>123</v>
      </c>
      <c r="C47" s="156">
        <v>76</v>
      </c>
      <c r="D47" s="156">
        <v>76</v>
      </c>
      <c r="E47" s="157">
        <f t="shared" si="1"/>
        <v>7558.4145509662749</v>
      </c>
      <c r="F47" s="158">
        <f t="shared" si="0"/>
        <v>1889.6036377415687</v>
      </c>
      <c r="G47" s="13"/>
      <c r="H47" s="158">
        <v>1452.69</v>
      </c>
    </row>
    <row r="48" spans="1:8" ht="12.75" x14ac:dyDescent="0.15">
      <c r="A48" s="16"/>
      <c r="B48" s="159" t="s">
        <v>124</v>
      </c>
      <c r="C48" s="156">
        <v>20</v>
      </c>
      <c r="D48" s="156">
        <v>20</v>
      </c>
      <c r="E48" s="157">
        <f t="shared" si="1"/>
        <v>1989.0564607805986</v>
      </c>
      <c r="F48" s="158">
        <f t="shared" si="0"/>
        <v>497.26411519514966</v>
      </c>
      <c r="G48" s="13"/>
      <c r="H48" s="158">
        <v>382.29</v>
      </c>
    </row>
    <row r="49" spans="1:10" ht="12.75" x14ac:dyDescent="0.15">
      <c r="A49" s="16"/>
      <c r="B49" s="159" t="s">
        <v>125</v>
      </c>
      <c r="C49" s="156">
        <v>142</v>
      </c>
      <c r="D49" s="156">
        <v>142</v>
      </c>
      <c r="E49" s="157">
        <f t="shared" si="1"/>
        <v>14122.300871542251</v>
      </c>
      <c r="F49" s="158">
        <f t="shared" si="0"/>
        <v>3530.5752178855628</v>
      </c>
      <c r="G49" s="13"/>
      <c r="H49" s="158">
        <v>2714.23</v>
      </c>
    </row>
    <row r="50" spans="1:10" ht="12.75" x14ac:dyDescent="0.15">
      <c r="A50" s="16"/>
      <c r="B50" s="159" t="s">
        <v>126</v>
      </c>
      <c r="C50" s="156">
        <v>145</v>
      </c>
      <c r="D50" s="156">
        <v>145</v>
      </c>
      <c r="E50" s="157">
        <f t="shared" si="1"/>
        <v>14420.65934065934</v>
      </c>
      <c r="F50" s="158">
        <f t="shared" si="0"/>
        <v>3605.164835164835</v>
      </c>
      <c r="G50" s="13"/>
      <c r="H50" s="158">
        <v>2771.57</v>
      </c>
    </row>
    <row r="51" spans="1:10" ht="12.75" x14ac:dyDescent="0.15">
      <c r="A51" s="16"/>
      <c r="B51" s="159" t="s">
        <v>127</v>
      </c>
      <c r="C51" s="156">
        <v>52</v>
      </c>
      <c r="D51" s="156">
        <v>52</v>
      </c>
      <c r="E51" s="157">
        <f t="shared" si="1"/>
        <v>5171.5467980295571</v>
      </c>
      <c r="F51" s="158">
        <f t="shared" si="0"/>
        <v>1292.8866995073893</v>
      </c>
      <c r="G51" s="13"/>
      <c r="H51" s="158">
        <v>993.94</v>
      </c>
    </row>
    <row r="52" spans="1:10" ht="12.75" x14ac:dyDescent="0.15">
      <c r="A52" s="16"/>
      <c r="B52" s="159" t="s">
        <v>128</v>
      </c>
      <c r="C52" s="156">
        <v>24</v>
      </c>
      <c r="D52" s="156">
        <v>24</v>
      </c>
      <c r="E52" s="157">
        <f t="shared" si="1"/>
        <v>2386.8677529367187</v>
      </c>
      <c r="F52" s="158">
        <f t="shared" si="0"/>
        <v>596.71693823417968</v>
      </c>
      <c r="G52" s="13"/>
      <c r="H52" s="158">
        <v>458.74</v>
      </c>
    </row>
    <row r="53" spans="1:10" ht="12.75" x14ac:dyDescent="0.15">
      <c r="A53" s="16"/>
      <c r="B53" s="159" t="s">
        <v>129</v>
      </c>
      <c r="C53" s="156">
        <v>24</v>
      </c>
      <c r="D53" s="156">
        <v>24</v>
      </c>
      <c r="E53" s="157">
        <f t="shared" si="1"/>
        <v>2386.8677529367187</v>
      </c>
      <c r="F53" s="158">
        <f t="shared" si="0"/>
        <v>596.71693823417968</v>
      </c>
      <c r="G53" s="13"/>
      <c r="H53" s="158">
        <v>458.74</v>
      </c>
    </row>
    <row r="54" spans="1:10" ht="12.75" x14ac:dyDescent="0.15">
      <c r="A54" s="16"/>
      <c r="B54" s="160" t="s">
        <v>130</v>
      </c>
      <c r="C54" s="156">
        <v>36</v>
      </c>
      <c r="D54" s="156">
        <v>36</v>
      </c>
      <c r="E54" s="157">
        <f t="shared" si="1"/>
        <v>3580.3016294050776</v>
      </c>
      <c r="F54" s="158">
        <f t="shared" si="0"/>
        <v>895.0754073512694</v>
      </c>
      <c r="G54" s="13"/>
      <c r="H54" s="158">
        <v>688.12</v>
      </c>
    </row>
    <row r="55" spans="1:10" ht="12.75" x14ac:dyDescent="0.15">
      <c r="A55" s="16"/>
      <c r="B55" s="160" t="s">
        <v>133</v>
      </c>
      <c r="C55" s="156">
        <v>308</v>
      </c>
      <c r="D55" s="156">
        <v>308</v>
      </c>
      <c r="E55" s="157">
        <f t="shared" si="1"/>
        <v>30631.469496021222</v>
      </c>
      <c r="F55" s="158">
        <f t="shared" si="0"/>
        <v>7657.8673740053055</v>
      </c>
      <c r="G55" s="13"/>
      <c r="H55" s="158">
        <v>5887.21</v>
      </c>
    </row>
    <row r="56" spans="1:10" ht="12.75" x14ac:dyDescent="0.15">
      <c r="A56" s="16"/>
      <c r="B56" s="160" t="s">
        <v>131</v>
      </c>
      <c r="C56" s="156">
        <v>304</v>
      </c>
      <c r="D56" s="156">
        <v>304</v>
      </c>
      <c r="E56" s="157">
        <f t="shared" si="1"/>
        <v>30233.658203865099</v>
      </c>
      <c r="F56" s="158">
        <f t="shared" si="0"/>
        <v>7558.4145509662749</v>
      </c>
      <c r="G56" s="13"/>
      <c r="H56" s="158">
        <v>5887.21</v>
      </c>
    </row>
    <row r="57" spans="1:10" ht="13.5" thickBot="1" x14ac:dyDescent="0.2">
      <c r="A57" s="16"/>
      <c r="B57" s="161" t="s">
        <v>132</v>
      </c>
      <c r="C57" s="162">
        <v>298</v>
      </c>
      <c r="D57" s="162">
        <v>298</v>
      </c>
      <c r="E57" s="163">
        <f t="shared" si="1"/>
        <v>29636.941265630921</v>
      </c>
      <c r="F57" s="164">
        <f t="shared" si="0"/>
        <v>7409.2353164077304</v>
      </c>
      <c r="G57" s="13"/>
      <c r="H57" s="164">
        <v>5696.06</v>
      </c>
    </row>
    <row r="58" spans="1:10" ht="13.5" thickBot="1" x14ac:dyDescent="0.2">
      <c r="A58" s="16"/>
      <c r="B58" s="137"/>
      <c r="C58" s="153">
        <f>SUM(C8:C57)</f>
        <v>5278</v>
      </c>
      <c r="D58" s="153">
        <f>SUM(D8:D57)</f>
        <v>5278</v>
      </c>
      <c r="E58" s="154">
        <f>($C$61/$E$62)*D58</f>
        <v>524912</v>
      </c>
      <c r="F58" s="155">
        <f>E58/4</f>
        <v>131228</v>
      </c>
      <c r="G58" s="13"/>
      <c r="H58" s="155">
        <f>SUM(H8:H57)</f>
        <v>101000.01000000001</v>
      </c>
    </row>
    <row r="59" spans="1:10" ht="15" thickBot="1" x14ac:dyDescent="0.2">
      <c r="A59" s="16"/>
      <c r="B59" s="46"/>
      <c r="C59" s="47"/>
      <c r="D59" s="46"/>
      <c r="E59" s="46"/>
      <c r="F59" s="20"/>
      <c r="G59" s="19"/>
      <c r="H59" s="21"/>
      <c r="I59" s="18"/>
      <c r="J59" s="17"/>
    </row>
    <row r="60" spans="1:10" ht="14.25" x14ac:dyDescent="0.15">
      <c r="A60" s="16"/>
      <c r="B60" s="48" t="s">
        <v>38</v>
      </c>
      <c r="C60" s="49"/>
      <c r="D60" s="46"/>
      <c r="E60" s="46"/>
      <c r="F60" s="20"/>
      <c r="G60" s="19"/>
      <c r="H60" s="21"/>
      <c r="I60" s="18"/>
      <c r="J60" s="17"/>
    </row>
    <row r="61" spans="1:10" ht="14.25" x14ac:dyDescent="0.15">
      <c r="A61" s="16"/>
      <c r="B61" s="50" t="s">
        <v>39</v>
      </c>
      <c r="C61" s="51">
        <f>BUDGET!L52</f>
        <v>524912</v>
      </c>
      <c r="D61" s="46"/>
      <c r="E61" s="46"/>
      <c r="F61" s="20"/>
      <c r="G61" s="19"/>
      <c r="H61" s="21"/>
      <c r="I61" s="18"/>
      <c r="J61" s="17"/>
    </row>
    <row r="62" spans="1:10" ht="14.25" x14ac:dyDescent="0.15">
      <c r="A62" s="16"/>
      <c r="B62" s="50" t="s">
        <v>40</v>
      </c>
      <c r="C62" s="51">
        <f>BUDGET!L11</f>
        <v>0</v>
      </c>
      <c r="D62" s="55" t="s">
        <v>60</v>
      </c>
      <c r="E62" s="124">
        <f>PARAMETERS!C7</f>
        <v>5278</v>
      </c>
      <c r="F62" s="195">
        <f>E58/D58</f>
        <v>99.452823039029937</v>
      </c>
      <c r="G62" s="19" t="s">
        <v>165</v>
      </c>
      <c r="H62" s="21">
        <f>(C64/E62)/4</f>
        <v>24.863205759757484</v>
      </c>
      <c r="I62" s="18" t="s">
        <v>162</v>
      </c>
      <c r="J62" s="17"/>
    </row>
    <row r="63" spans="1:10" ht="14.25" x14ac:dyDescent="0.15">
      <c r="A63" s="16"/>
      <c r="B63" s="50" t="s">
        <v>53</v>
      </c>
      <c r="C63" s="51">
        <f>SUM(BUDGET!L13:L16)</f>
        <v>0</v>
      </c>
      <c r="D63" s="55"/>
      <c r="E63" s="46"/>
      <c r="F63" s="20"/>
      <c r="G63" s="19"/>
      <c r="H63" s="21"/>
      <c r="I63" s="18"/>
      <c r="J63" s="17"/>
    </row>
    <row r="64" spans="1:10" ht="15" thickBot="1" x14ac:dyDescent="0.2">
      <c r="A64" s="16"/>
      <c r="B64" s="52" t="s">
        <v>41</v>
      </c>
      <c r="C64" s="53">
        <f>C61-C62</f>
        <v>524912</v>
      </c>
      <c r="D64" s="46"/>
      <c r="E64" s="46"/>
      <c r="F64" s="20"/>
      <c r="G64" s="19"/>
      <c r="H64" s="21"/>
      <c r="I64" s="18"/>
      <c r="J64" s="17"/>
    </row>
    <row r="65" spans="1:17" ht="14.25" x14ac:dyDescent="0.15">
      <c r="A65" s="16"/>
      <c r="B65" s="1" t="s">
        <v>143</v>
      </c>
      <c r="C65" s="98"/>
      <c r="D65" s="46"/>
      <c r="E65" s="46"/>
      <c r="F65" s="20"/>
      <c r="G65" s="19"/>
      <c r="H65" s="21"/>
      <c r="I65" s="18"/>
      <c r="J65" s="17"/>
    </row>
    <row r="66" spans="1:17" ht="14.25" x14ac:dyDescent="0.15">
      <c r="A66" s="16"/>
      <c r="B66" s="1" t="s">
        <v>138</v>
      </c>
      <c r="C66" s="98"/>
      <c r="D66" s="46"/>
      <c r="E66" s="46"/>
      <c r="F66" s="20"/>
      <c r="G66" s="19"/>
      <c r="H66" s="21"/>
      <c r="I66" s="18"/>
      <c r="J66" s="17"/>
    </row>
    <row r="67" spans="1:17" ht="14.25" x14ac:dyDescent="0.15">
      <c r="A67" s="16"/>
      <c r="C67" s="54"/>
      <c r="D67" s="46"/>
      <c r="E67" s="46"/>
      <c r="F67" s="20"/>
      <c r="G67" s="19"/>
      <c r="H67" s="21"/>
      <c r="J67" s="24"/>
      <c r="K67" s="25"/>
      <c r="L67" s="25"/>
      <c r="M67" s="25"/>
      <c r="N67" s="25"/>
      <c r="O67" s="25"/>
      <c r="P67" s="25"/>
      <c r="Q67" s="25"/>
    </row>
    <row r="68" spans="1:17" ht="11.25" x14ac:dyDescent="0.1">
      <c r="A68" s="16"/>
      <c r="B68" s="108"/>
      <c r="C68" s="109"/>
      <c r="D68" s="109"/>
      <c r="E68" s="110"/>
      <c r="F68" s="20"/>
      <c r="G68" s="19"/>
      <c r="H68" s="21"/>
      <c r="I68" s="18"/>
      <c r="J68" s="17"/>
    </row>
    <row r="69" spans="1:17" ht="11.25" x14ac:dyDescent="0.1">
      <c r="A69" s="16"/>
      <c r="B69" s="111"/>
      <c r="C69" s="112"/>
      <c r="D69" s="112"/>
      <c r="E69" s="113"/>
      <c r="F69" s="20"/>
      <c r="G69" s="19"/>
      <c r="H69" s="21"/>
      <c r="I69" s="18"/>
      <c r="J69" s="17"/>
    </row>
    <row r="70" spans="1:17" ht="11.25" x14ac:dyDescent="0.1">
      <c r="A70" s="16"/>
      <c r="B70" s="111"/>
      <c r="C70" s="112"/>
      <c r="D70" s="112"/>
      <c r="E70" s="113"/>
      <c r="F70" s="20"/>
      <c r="G70" s="19"/>
      <c r="H70" s="21"/>
      <c r="I70" s="18"/>
      <c r="J70" s="17"/>
    </row>
    <row r="71" spans="1:17" ht="11.25" x14ac:dyDescent="0.1">
      <c r="A71" s="16"/>
      <c r="B71" s="111"/>
      <c r="C71" s="112"/>
      <c r="D71" s="112"/>
      <c r="E71" s="113"/>
      <c r="F71" s="20"/>
      <c r="G71" s="19"/>
      <c r="H71" s="21"/>
      <c r="I71" s="18"/>
      <c r="J71" s="17"/>
    </row>
    <row r="72" spans="1:17" ht="11.25" x14ac:dyDescent="0.1">
      <c r="A72" s="16"/>
      <c r="B72" s="111"/>
      <c r="C72" s="112"/>
      <c r="D72" s="112"/>
      <c r="E72" s="113"/>
      <c r="F72" s="20"/>
      <c r="G72" s="19"/>
      <c r="H72" s="21"/>
      <c r="I72" s="18"/>
      <c r="J72" s="17"/>
    </row>
    <row r="73" spans="1:17" ht="11.25" x14ac:dyDescent="0.1">
      <c r="A73" s="16"/>
      <c r="B73" s="111"/>
      <c r="C73" s="112"/>
      <c r="D73" s="112"/>
      <c r="E73" s="113"/>
      <c r="F73" s="20"/>
      <c r="G73" s="19"/>
      <c r="H73" s="21"/>
      <c r="I73" s="18"/>
      <c r="J73" s="17"/>
    </row>
    <row r="74" spans="1:17" ht="11.25" x14ac:dyDescent="0.1">
      <c r="A74" s="16"/>
      <c r="B74" s="111"/>
      <c r="C74" s="112"/>
      <c r="D74" s="112"/>
      <c r="E74" s="113"/>
      <c r="F74" s="20"/>
      <c r="G74" s="19"/>
      <c r="H74" s="21"/>
      <c r="I74" s="18"/>
      <c r="J74" s="17"/>
    </row>
    <row r="75" spans="1:17" ht="11.25" x14ac:dyDescent="0.1">
      <c r="A75" s="16"/>
      <c r="B75" s="111"/>
      <c r="C75" s="112"/>
      <c r="D75" s="112"/>
      <c r="E75" s="113"/>
      <c r="F75" s="20"/>
      <c r="G75" s="19"/>
      <c r="H75" s="21"/>
      <c r="I75" s="18"/>
      <c r="J75" s="17"/>
    </row>
    <row r="76" spans="1:17" ht="11.25" x14ac:dyDescent="0.1">
      <c r="A76" s="16"/>
      <c r="B76" s="26"/>
      <c r="C76" s="27"/>
      <c r="D76" s="27"/>
      <c r="E76" s="22"/>
      <c r="F76" s="20"/>
      <c r="G76" s="19"/>
      <c r="H76" s="21"/>
      <c r="I76" s="18"/>
      <c r="J76" s="17"/>
    </row>
    <row r="77" spans="1:17" ht="11.25" x14ac:dyDescent="0.1">
      <c r="A77" s="19"/>
      <c r="B77" s="19"/>
      <c r="C77" s="19"/>
      <c r="D77" s="19"/>
      <c r="E77" s="17"/>
      <c r="F77" s="20"/>
      <c r="G77" s="19"/>
      <c r="H77" s="21"/>
      <c r="I77" s="19"/>
      <c r="J77" s="19"/>
    </row>
    <row r="78" spans="1:17" ht="11.25" x14ac:dyDescent="0.1">
      <c r="A78" s="19"/>
      <c r="B78" s="19"/>
      <c r="C78" s="19"/>
      <c r="D78" s="19"/>
      <c r="E78" s="17"/>
      <c r="F78" s="20"/>
      <c r="G78" s="19"/>
      <c r="H78" s="21"/>
      <c r="I78" s="19"/>
      <c r="J78" s="19"/>
    </row>
    <row r="79" spans="1:17" ht="11.25" x14ac:dyDescent="0.1">
      <c r="A79" s="19"/>
      <c r="B79" s="19"/>
      <c r="C79" s="19"/>
      <c r="D79" s="19"/>
      <c r="E79" s="17"/>
      <c r="F79" s="20"/>
      <c r="G79" s="19"/>
      <c r="H79" s="21"/>
      <c r="I79" s="19"/>
      <c r="J79" s="19"/>
    </row>
    <row r="80" spans="1:17" ht="11.25" x14ac:dyDescent="0.1">
      <c r="A80" s="19"/>
      <c r="B80" s="19"/>
      <c r="C80" s="19"/>
      <c r="D80" s="19"/>
      <c r="E80" s="17"/>
      <c r="F80" s="20"/>
      <c r="G80" s="19"/>
      <c r="H80" s="21"/>
      <c r="I80" s="19"/>
      <c r="J80" s="17"/>
    </row>
    <row r="81" spans="1:10" ht="11.25" x14ac:dyDescent="0.1">
      <c r="A81" s="19"/>
      <c r="B81" s="23"/>
      <c r="F81" s="20"/>
      <c r="G81" s="19"/>
      <c r="H81" s="21"/>
      <c r="I81" s="19"/>
      <c r="J81" s="19"/>
    </row>
    <row r="82" spans="1:10" ht="11.25" x14ac:dyDescent="0.1">
      <c r="A82" s="19"/>
      <c r="F82" s="17"/>
      <c r="G82" s="19"/>
      <c r="H82" s="19"/>
      <c r="I82" s="19"/>
      <c r="J82" s="19"/>
    </row>
    <row r="83" spans="1:10" ht="11.25" x14ac:dyDescent="0.1">
      <c r="F83" s="17"/>
      <c r="G83" s="19"/>
      <c r="H83" s="19"/>
      <c r="J83" s="136"/>
    </row>
    <row r="84" spans="1:10" ht="11.25" x14ac:dyDescent="0.1">
      <c r="F84" s="17"/>
      <c r="G84" s="19"/>
      <c r="H84" s="19"/>
    </row>
    <row r="85" spans="1:10" ht="11.25" x14ac:dyDescent="0.1">
      <c r="F85" s="17"/>
      <c r="G85" s="19"/>
      <c r="H85" s="19"/>
    </row>
    <row r="86" spans="1:10" ht="11.25" x14ac:dyDescent="0.1">
      <c r="G86" s="19"/>
      <c r="H86" s="19"/>
    </row>
    <row r="87" spans="1:10" ht="11.25" x14ac:dyDescent="0.1">
      <c r="G87" s="19"/>
      <c r="H87" s="19"/>
    </row>
    <row r="90" spans="1:10" ht="11.25" x14ac:dyDescent="0.1">
      <c r="B90" s="19"/>
      <c r="C90" s="19"/>
      <c r="E90" s="19"/>
    </row>
    <row r="91" spans="1:10" ht="11.25" x14ac:dyDescent="0.1">
      <c r="B91" s="19"/>
      <c r="C91" s="19"/>
      <c r="E91" s="19"/>
    </row>
  </sheetData>
  <sheetProtection formatCells="0"/>
  <phoneticPr fontId="0" type="noConversion"/>
  <conditionalFormatting sqref="F1">
    <cfRule type="containsText" dxfId="1" priority="3" stopIfTrue="1" operator="containsText" text="APPROVED">
      <formula>NOT(ISERROR(SEARCH("APPROVED",F1)))</formula>
    </cfRule>
    <cfRule type="cellIs" dxfId="0" priority="4" stopIfTrue="1" operator="equal">
      <formula>"PROPOSED BUDGET"</formula>
    </cfRule>
  </conditionalFormatting>
  <pageMargins left="1" right="1" top="1" bottom="1" header="0.5" footer="0.5"/>
  <pageSetup scale="70" fitToHeight="0" orientation="portrait" r:id="rId1"/>
  <headerFooter alignWithMargins="0">
    <oddFooter>&amp;F</oddFooter>
  </headerFooter>
  <rowBreaks count="1" manualBreakCount="1">
    <brk id="6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2"/>
  <sheetViews>
    <sheetView zoomScaleNormal="100" workbookViewId="0">
      <selection activeCell="B8" sqref="B8"/>
    </sheetView>
  </sheetViews>
  <sheetFormatPr defaultColWidth="9.26953125" defaultRowHeight="15" x14ac:dyDescent="0.15"/>
  <cols>
    <col min="1" max="1" width="35.3984375" style="4" bestFit="1" customWidth="1"/>
    <col min="2" max="2" width="88.16015625" style="4" customWidth="1"/>
    <col min="3" max="3" width="14.15625" style="4" bestFit="1" customWidth="1"/>
    <col min="4" max="16384" width="9.26953125" style="4"/>
  </cols>
  <sheetData>
    <row r="2" spans="1:3" x14ac:dyDescent="0.15">
      <c r="A2" s="4" t="s">
        <v>20</v>
      </c>
      <c r="B2" s="5">
        <f ca="1">TODAY()</f>
        <v>44903</v>
      </c>
    </row>
    <row r="3" spans="1:3" x14ac:dyDescent="0.15">
      <c r="A3" s="4" t="s">
        <v>21</v>
      </c>
      <c r="B3" s="6">
        <v>44804</v>
      </c>
    </row>
    <row r="4" spans="1:3" x14ac:dyDescent="0.15">
      <c r="A4" s="4" t="s">
        <v>32</v>
      </c>
      <c r="B4" s="9" t="s">
        <v>169</v>
      </c>
    </row>
    <row r="5" spans="1:3" x14ac:dyDescent="0.15">
      <c r="A5" s="4" t="s">
        <v>22</v>
      </c>
      <c r="B5" s="4">
        <v>8</v>
      </c>
    </row>
    <row r="6" spans="1:3" x14ac:dyDescent="0.15">
      <c r="A6" s="4" t="s">
        <v>23</v>
      </c>
      <c r="B6" s="4">
        <f>12-B5</f>
        <v>4</v>
      </c>
    </row>
    <row r="7" spans="1:3" x14ac:dyDescent="0.15">
      <c r="A7" s="4" t="s">
        <v>24</v>
      </c>
      <c r="B7" s="4" t="s">
        <v>196</v>
      </c>
      <c r="C7" s="4">
        <v>5278</v>
      </c>
    </row>
    <row r="8" spans="1:3" x14ac:dyDescent="0.15">
      <c r="A8" s="4" t="s">
        <v>25</v>
      </c>
      <c r="B8" s="4" t="s">
        <v>63</v>
      </c>
    </row>
    <row r="9" spans="1:3" x14ac:dyDescent="0.15">
      <c r="A9" s="4" t="s">
        <v>26</v>
      </c>
      <c r="B9" s="4">
        <f>B6/B5</f>
        <v>0.5</v>
      </c>
    </row>
    <row r="10" spans="1:3" x14ac:dyDescent="0.15">
      <c r="A10" s="4" t="s">
        <v>31</v>
      </c>
      <c r="B10" s="4" t="s">
        <v>170</v>
      </c>
      <c r="C10" s="4" t="s">
        <v>171</v>
      </c>
    </row>
    <row r="11" spans="1:3" x14ac:dyDescent="0.15">
      <c r="A11" s="4" t="s">
        <v>33</v>
      </c>
      <c r="B11" s="4">
        <v>2022</v>
      </c>
    </row>
    <row r="12" spans="1:3" x14ac:dyDescent="0.15">
      <c r="A12" s="4" t="s">
        <v>34</v>
      </c>
      <c r="B12" s="4">
        <f>B11+1</f>
        <v>2023</v>
      </c>
    </row>
  </sheetData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0.5" x14ac:dyDescent="0.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BUDGET</vt:lpstr>
      <vt:lpstr>RESERVE</vt:lpstr>
      <vt:lpstr>ASSESSMENTS</vt:lpstr>
      <vt:lpstr>PARAMETERS</vt:lpstr>
      <vt:lpstr>RESERVE!AssocName2</vt:lpstr>
      <vt:lpstr>ASSESSMENTS!Print_Area</vt:lpstr>
      <vt:lpstr>BUDGET!Print_Area</vt:lpstr>
      <vt:lpstr>RESERVE!Print_Area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Jennifer C. Shick</cp:lastModifiedBy>
  <cp:lastPrinted>2022-10-24T18:53:38Z</cp:lastPrinted>
  <dcterms:created xsi:type="dcterms:W3CDTF">2000-10-24T13:28:51Z</dcterms:created>
  <dcterms:modified xsi:type="dcterms:W3CDTF">2022-12-08T18:17:35Z</dcterms:modified>
</cp:coreProperties>
</file>