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IUsat8xBPbdzfkodKkr5l+2SCFQhGw5qRBG+Xu9ZtAaxG5uVcuuZGb4E9jBi39jZIDZXhwmQkh8eaaITjbq5XA==" workbookSaltValue="P8a/TNN3eH3L3ETFPmT9iw==" workbookSpinCount="100000" lockStructure="1"/>
  <bookViews>
    <workbookView xWindow="5560" yWindow="1060" windowWidth="27620" windowHeight="17450" tabRatio="876"/>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data'!$A$1:$L$4342</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45621"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3" i="15" l="1"/>
  <c r="K59" i="15"/>
  <c r="J17" i="24" l="1"/>
  <c r="I17" i="24"/>
  <c r="K55" i="15" l="1"/>
  <c r="M19" i="6"/>
  <c r="P19" i="6" l="1"/>
  <c r="G10" i="12"/>
  <c r="J38" i="4"/>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C39" i="25"/>
  <c r="L1" i="25"/>
  <c r="H1" i="25"/>
  <c r="C1" i="25"/>
  <c r="J22" i="24"/>
  <c r="I22" i="24"/>
  <c r="J18" i="24"/>
  <c r="I18" i="24"/>
  <c r="N15"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0" i="4"/>
  <c r="I23" i="24" s="1"/>
  <c r="L40" i="4"/>
  <c r="J23" i="24" s="1"/>
  <c r="I40" i="4"/>
  <c r="F23" i="24" s="1"/>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M42" i="4" s="1"/>
  <c r="L23" i="4"/>
  <c r="L42" i="4" s="1"/>
  <c r="I23" i="4"/>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K8" i="4"/>
  <c r="H8" i="4"/>
  <c r="G8" i="4"/>
  <c r="AC7" i="4"/>
  <c r="K7" i="4"/>
  <c r="H7" i="4"/>
  <c r="G7" i="4"/>
  <c r="AC6" i="4"/>
  <c r="K6" i="4"/>
  <c r="H6" i="4"/>
  <c r="G6" i="4"/>
  <c r="N1" i="4"/>
  <c r="H1" i="4"/>
  <c r="B1" i="4"/>
  <c r="D19" i="5"/>
  <c r="Q11" i="5"/>
  <c r="P11" i="5"/>
  <c r="O11" i="5"/>
  <c r="N11" i="5"/>
  <c r="M11" i="5"/>
  <c r="L11" i="5"/>
  <c r="K11" i="5"/>
  <c r="J11" i="5"/>
  <c r="I11" i="5"/>
  <c r="H11" i="5"/>
  <c r="G11" i="5"/>
  <c r="F11" i="5"/>
  <c r="E11" i="5"/>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G43" i="23" l="1"/>
  <c r="H45" i="23" s="1"/>
  <c r="G18" i="23" a="1"/>
  <c r="G18" i="23" s="1"/>
  <c r="G19" i="23" s="1"/>
  <c r="I42" i="4"/>
  <c r="AC11" i="4"/>
  <c r="F22" i="24"/>
  <c r="R11" i="5"/>
  <c r="I11" i="12"/>
  <c r="H19" i="24" s="1"/>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L6" i="7" s="1"/>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F19" i="12" l="1"/>
  <c r="F20" i="12" s="1"/>
  <c r="E50" i="15"/>
  <c r="E48" i="15"/>
  <c r="E17" i="15"/>
  <c r="E23" i="15" s="1"/>
  <c r="I17" i="15"/>
  <c r="I23" i="15" s="1"/>
  <c r="K19" i="24"/>
  <c r="I42" i="7"/>
  <c r="I48" i="7" s="1"/>
  <c r="L21" i="7"/>
  <c r="H42" i="7"/>
  <c r="G42" i="4"/>
  <c r="J14" i="15"/>
  <c r="G17" i="15"/>
  <c r="G23" i="15" s="1"/>
  <c r="H42" i="4"/>
  <c r="K42" i="4"/>
  <c r="J47" i="7" s="1"/>
  <c r="L47" i="7" s="1"/>
  <c r="K23" i="24"/>
  <c r="J26" i="15"/>
  <c r="K22" i="24"/>
  <c r="J15" i="15"/>
  <c r="F17" i="15"/>
  <c r="F23" i="15" s="1"/>
  <c r="H17" i="15"/>
  <c r="N23" i="4"/>
  <c r="J19" i="15"/>
  <c r="L41" i="7"/>
  <c r="L40" i="7"/>
  <c r="J16" i="15"/>
  <c r="D21" i="24"/>
  <c r="D18" i="24"/>
  <c r="F29" i="22"/>
  <c r="E1534" i="18"/>
  <c r="J24" i="15"/>
  <c r="G42" i="7"/>
  <c r="D20" i="24"/>
  <c r="G12" i="24"/>
  <c r="G17" i="24" s="1"/>
  <c r="N40" i="4"/>
  <c r="J42" i="4"/>
  <c r="J45" i="7"/>
  <c r="L45" i="7" s="1"/>
  <c r="J37" i="7"/>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198" i="18"/>
  <c r="E25" i="15" s="1"/>
  <c r="L38" i="7"/>
  <c r="E93" i="18"/>
  <c r="D25" i="15" s="1"/>
  <c r="E1201" i="18"/>
  <c r="I25" i="15" s="1"/>
  <c r="E563" i="18"/>
  <c r="N19" i="23"/>
  <c r="F45" i="23" s="1"/>
  <c r="F46" i="23" s="1"/>
  <c r="J11" i="15"/>
  <c r="N18" i="23"/>
  <c r="E42" i="4"/>
  <c r="K48" i="7"/>
  <c r="H12" i="24" l="1"/>
  <c r="T16" i="5"/>
  <c r="N42" i="4"/>
  <c r="J17" i="15"/>
  <c r="J23" i="15" s="1"/>
  <c r="H23" i="15"/>
  <c r="L37" i="7"/>
  <c r="D17" i="24"/>
  <c r="P26" i="14"/>
  <c r="F31" i="22"/>
  <c r="K20" i="24"/>
  <c r="O30" i="23"/>
  <c r="H18" i="24"/>
  <c r="K18" i="24" s="1"/>
  <c r="F25" i="15"/>
  <c r="N30" i="23"/>
  <c r="H11" i="24"/>
  <c r="Q34" i="2"/>
  <c r="L43" i="7"/>
  <c r="J25" i="15"/>
  <c r="J42" i="7"/>
  <c r="L42" i="7" s="1"/>
  <c r="H21" i="24"/>
  <c r="K21" i="24" s="1"/>
  <c r="M30" i="23"/>
  <c r="L30" i="23"/>
  <c r="P30" i="23"/>
  <c r="H17" i="24" l="1"/>
  <c r="K17" i="24" s="1"/>
  <c r="C11" i="25" s="1"/>
  <c r="AA11" i="5"/>
  <c r="AA12" i="5" s="1"/>
  <c r="T23" i="5"/>
  <c r="Q33" i="2"/>
  <c r="J48" i="7"/>
  <c r="A16" i="17" s="1"/>
  <c r="B16" i="17" s="1"/>
  <c r="C21" i="25" l="1"/>
  <c r="C13" i="25"/>
  <c r="A4" i="17"/>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L2" i="2" l="1"/>
  <c r="L4" i="2" s="1"/>
  <c r="A1" i="1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<sst xmlns="http://schemas.openxmlformats.org/spreadsheetml/2006/main" count="5362" uniqueCount="1401">
  <si>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</si>
  <si>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</si>
  <si>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</si>
  <si>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</si>
  <si>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</si>
  <si>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</si>
  <si>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</si>
  <si>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</si>
  <si>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</si>
  <si>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</si>
  <si>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</si>
  <si>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</si>
  <si>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</si>
  <si>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</si>
  <si>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</si>
  <si>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</si>
  <si>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</si>
  <si>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</si>
  <si>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</si>
  <si>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</si>
  <si>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</si>
  <si>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</si>
  <si>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</si>
  <si>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</si>
  <si>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</si>
  <si>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</si>
  <si>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</si>
  <si>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</si>
  <si>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</si>
  <si>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</si>
  <si>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</si>
  <si>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</si>
  <si>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</si>
  <si>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</si>
  <si>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</si>
  <si>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</si>
  <si>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</si>
  <si>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</si>
  <si>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</si>
  <si>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</si>
  <si>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</si>
  <si>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</si>
  <si>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</si>
  <si>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</si>
  <si>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</si>
  <si>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</si>
  <si>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</si>
  <si>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</si>
  <si>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</si>
  <si>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</si>
  <si>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</si>
  <si>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</si>
  <si>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</si>
  <si>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</si>
  <si>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</si>
  <si>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</si>
  <si>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</si>
  <si>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</si>
  <si>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</si>
  <si>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</si>
  <si>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</si>
  <si>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</si>
  <si>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</si>
  <si>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</si>
  <si>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</si>
  <si>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</si>
  <si>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</si>
  <si>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</si>
  <si>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</si>
  <si>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</si>
  <si>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</si>
  <si>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</si>
  <si>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</si>
  <si>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</si>
  <si>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</si>
  <si>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</si>
  <si>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</si>
  <si>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</si>
  <si>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</si>
  <si>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</si>
  <si>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</si>
  <si>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</si>
  <si>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</si>
  <si>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</si>
  <si>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</si>
  <si>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</si>
  <si>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</si>
  <si>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</si>
  <si>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</si>
  <si>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</si>
  <si>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</si>
  <si>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</si>
  <si>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</si>
  <si>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</si>
  <si>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</si>
  <si>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</si>
  <si>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</si>
  <si>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</si>
  <si>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</si>
  <si>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</si>
  <si>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</si>
  <si>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</si>
  <si>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</si>
  <si>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</si>
  <si>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</si>
  <si>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</si>
  <si>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</si>
  <si>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</si>
  <si>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</si>
  <si>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</si>
  <si>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</si>
  <si>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</si>
  <si>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</si>
  <si>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</si>
  <si>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</si>
  <si>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</si>
  <si>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</si>
  <si>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</si>
  <si>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</si>
  <si>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</si>
  <si>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</si>
  <si>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</si>
  <si>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</si>
  <si>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</si>
  <si>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</si>
  <si>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</si>
  <si>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</si>
  <si>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</si>
  <si>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</si>
  <si>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</si>
  <si>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</si>
  <si>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</si>
  <si>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</si>
  <si>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</si>
  <si>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</si>
  <si>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</si>
  <si>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</si>
  <si>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</si>
  <si>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</si>
  <si>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</si>
  <si>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</si>
  <si>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</si>
  <si>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</si>
  <si>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</si>
  <si>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</si>
  <si>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</si>
  <si>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</si>
  <si>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</si>
  <si>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</si>
  <si>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</si>
  <si>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</si>
  <si>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</si>
  <si>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</si>
  <si>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</si>
  <si>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</si>
  <si>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</si>
  <si>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</si>
  <si>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</si>
  <si>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</si>
  <si>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</si>
  <si>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</si>
  <si>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</si>
  <si>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</si>
  <si>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</si>
  <si>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</si>
  <si>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</si>
  <si>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</si>
  <si>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</si>
  <si>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</si>
  <si>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</si>
  <si>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</si>
  <si>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</si>
  <si>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</si>
  <si>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</si>
  <si>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</si>
  <si>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</si>
  <si>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</si>
  <si>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</si>
  <si>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</si>
  <si>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</si>
  <si>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</si>
  <si>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</si>
  <si>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</si>
  <si>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</si>
  <si>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</si>
  <si>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</si>
  <si>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</si>
  <si>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</si>
  <si>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</si>
  <si>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</si>
  <si>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</si>
  <si>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</si>
  <si>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</si>
  <si>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</si>
  <si>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</si>
  <si>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</si>
  <si>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</si>
  <si>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</si>
  <si>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</si>
  <si>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</si>
  <si>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</si>
  <si>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</si>
  <si>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</si>
  <si>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</si>
  <si>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</si>
  <si>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</si>
  <si>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</si>
  <si>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</si>
  <si>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</si>
  <si>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</si>
  <si>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</si>
  <si>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</si>
  <si>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</si>
  <si>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</si>
  <si>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</si>
  <si>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</si>
  <si>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</si>
  <si>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</si>
  <si>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</si>
  <si>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</si>
  <si>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</si>
  <si>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</si>
  <si>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</si>
  <si>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</si>
  <si>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</si>
  <si>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</si>
  <si>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</si>
  <si>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</si>
  <si>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</si>
  <si>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</si>
  <si>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</si>
  <si>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</si>
  <si>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</si>
  <si>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</si>
  <si>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</si>
  <si>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</si>
  <si>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</si>
  <si>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</si>
  <si>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</si>
  <si>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</si>
  <si>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</si>
  <si>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</si>
  <si>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</si>
  <si>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</si>
  <si>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</si>
  <si>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</si>
  <si>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</si>
  <si>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</si>
  <si>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</si>
  <si>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</si>
  <si>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</si>
  <si>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</si>
  <si>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</si>
  <si>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</si>
  <si>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</si>
  <si>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</si>
  <si>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</si>
  <si>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</si>
  <si>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</si>
  <si>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</si>
  <si>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</si>
  <si>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</si>
  <si>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</si>
  <si>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</si>
  <si>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</si>
  <si>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</si>
  <si>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</si>
  <si>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</si>
  <si>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</si>
  <si>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</si>
  <si>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</si>
  <si>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</si>
  <si>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</si>
  <si>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</si>
  <si>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</si>
  <si>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</si>
  <si>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</si>
  <si>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</si>
  <si>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</si>
  <si>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</si>
  <si>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</si>
  <si>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</si>
  <si>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</si>
  <si>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</si>
  <si>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</si>
  <si>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</si>
  <si>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</si>
  <si>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</si>
  <si>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</si>
  <si>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</si>
  <si>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</si>
  <si>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</si>
  <si>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</si>
  <si>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</si>
  <si>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</si>
  <si>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</si>
  <si>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</si>
  <si>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</si>
  <si>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</si>
  <si>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</si>
  <si>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</si>
  <si>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</si>
  <si>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</si>
  <si>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</si>
  <si>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</si>
  <si>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</si>
  <si>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</si>
  <si>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</si>
  <si>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</si>
  <si>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</si>
  <si>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</si>
  <si>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</si>
  <si>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</si>
  <si>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</si>
  <si>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</si>
  <si>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</si>
  <si>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</si>
  <si>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</si>
  <si>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</si>
  <si>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</si>
  <si>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</si>
  <si>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</si>
  <si>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</si>
  <si>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</si>
  <si>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</si>
  <si>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</si>
  <si>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</si>
  <si>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</si>
  <si>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</si>
  <si>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</si>
  <si>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</si>
  <si>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</si>
  <si>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</si>
  <si>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</si>
  <si>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</si>
  <si>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</si>
  <si>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</si>
  <si>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</si>
  <si>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</si>
  <si>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</si>
  <si>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</si>
  <si>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</si>
  <si>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</si>
  <si>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</si>
  <si>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</si>
  <si>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</si>
  <si>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</si>
  <si>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</si>
  <si>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</si>
  <si>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</si>
  <si>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</si>
  <si>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</si>
  <si>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</si>
  <si>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</si>
  <si>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</si>
  <si>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</si>
  <si>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</si>
  <si>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</si>
  <si>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</si>
  <si>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</si>
  <si>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</si>
  <si>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</si>
  <si>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</si>
  <si>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</si>
  <si>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</si>
  <si>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</si>
  <si>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</si>
  <si>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</si>
  <si>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</si>
  <si>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</si>
  <si>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</si>
  <si>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</si>
  <si>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</si>
  <si>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</si>
  <si>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</si>
  <si>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</si>
  <si>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</si>
  <si>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</si>
  <si>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</si>
  <si>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</si>
  <si>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</si>
  <si>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</si>
  <si>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</si>
  <si>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</si>
  <si>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</si>
  <si>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</si>
  <si>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</si>
  <si>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</si>
  <si>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</si>
  <si>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</si>
  <si>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</si>
  <si>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</si>
  <si>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</si>
  <si>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</si>
  <si>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</si>
  <si>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</si>
  <si>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</si>
  <si>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</si>
  <si>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</si>
  <si>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</si>
  <si>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</si>
  <si>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</si>
  <si>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</si>
  <si>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</si>
  <si>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</si>
  <si>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</si>
  <si>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</si>
  <si>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</si>
  <si>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</si>
  <si>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</si>
  <si>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</si>
  <si>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</si>
  <si>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</si>
  <si>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</si>
  <si>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</si>
  <si>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</si>
  <si>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</si>
  <si>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</si>
  <si>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</si>
  <si>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</si>
  <si>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</si>
  <si>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</si>
  <si>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</si>
  <si>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</si>
  <si>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</si>
  <si>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</si>
  <si>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</si>
  <si>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</si>
  <si>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</si>
  <si>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</si>
  <si>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</si>
  <si>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</si>
  <si>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</si>
  <si>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</si>
  <si>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</si>
  <si>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</si>
  <si>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</si>
  <si>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</si>
  <si>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</si>
  <si>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</si>
  <si>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</si>
  <si>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</si>
  <si>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</si>
  <si>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</si>
  <si>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</si>
  <si>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</si>
  <si>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</si>
  <si>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</si>
  <si>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</si>
  <si>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</si>
  <si>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</si>
  <si>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</si>
  <si>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</si>
  <si>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</si>
  <si>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</si>
  <si>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</si>
  <si>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</si>
  <si>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</si>
  <si>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</si>
  <si>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</si>
  <si>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</si>
  <si>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</si>
  <si>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</si>
  <si>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</si>
  <si>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</si>
  <si>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</si>
  <si>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</si>
  <si>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</si>
  <si>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</si>
  <si>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</si>
  <si>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</si>
  <si>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</si>
  <si>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</si>
  <si>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</si>
  <si>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</si>
  <si>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</si>
  <si>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</si>
  <si>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</si>
  <si>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</si>
  <si>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</si>
  <si>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</si>
  <si>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</si>
  <si>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</si>
  <si>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</si>
  <si>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</si>
  <si>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</si>
  <si>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</si>
  <si>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</si>
  <si>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</si>
  <si>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</si>
  <si>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</si>
  <si>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</si>
  <si>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</si>
  <si>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</si>
  <si>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</si>
  <si>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</si>
  <si>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</si>
  <si>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</si>
  <si>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</si>
  <si>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</si>
  <si>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</si>
  <si>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</si>
  <si>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</si>
  <si>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</si>
  <si>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</si>
  <si>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</si>
  <si>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</si>
  <si>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</si>
  <si>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</si>
  <si>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</si>
  <si>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</si>
  <si>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</si>
  <si>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</si>
  <si>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</si>
  <si>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</si>
  <si>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</si>
  <si>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</si>
  <si>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</si>
  <si>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</si>
  <si>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</si>
  <si>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See page 3. Classroom Site Project revenue information is not complete. Ensure that all revenues have been recorded for Project 1010—Classroom Site, on page 3, lines 11 and 12. Classroom Site Project YTD payment reports can be obtained from ADE at https://apps.azed.gov/SchoolFinanceReports/Reports.</t>
  </si>
  <si>
    <t>Page 4, Instructional Improvement Project revenue is not complete. Ensure revenue has been reported for the Instructional Improvement Project on page 4, line 7. Instructional Improvement Project YTD payment reports can be obtained from ADE at https://apps.azed.gov/SchoolFinanceReports/Reports.</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</si>
  <si>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</si>
  <si>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</si>
  <si>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</si>
  <si>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</si>
  <si>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</si>
  <si>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</si>
  <si>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</si>
  <si>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</si>
  <si>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</si>
  <si>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</si>
  <si>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</si>
  <si>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</si>
  <si>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</si>
  <si>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</si>
  <si>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</si>
  <si>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</si>
  <si>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</si>
  <si>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</si>
  <si>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</si>
  <si>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</si>
  <si>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</si>
  <si>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</si>
  <si>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</si>
  <si>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</si>
  <si>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</si>
  <si>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</si>
  <si>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</si>
  <si>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</si>
  <si>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</si>
  <si>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</si>
  <si>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</si>
  <si>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</si>
  <si>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</si>
  <si>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</si>
  <si>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</si>
  <si>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</si>
  <si>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</si>
  <si>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</si>
  <si>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</si>
  <si>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</si>
  <si>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</si>
  <si>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</si>
  <si>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</si>
  <si>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</si>
  <si>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</si>
  <si>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</si>
  <si>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</si>
  <si>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</si>
  <si>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</si>
  <si>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</si>
  <si>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</si>
  <si>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</si>
  <si>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</si>
  <si>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</si>
  <si>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</si>
  <si>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</si>
  <si>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</si>
  <si>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</si>
  <si>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</si>
  <si>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</si>
  <si>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</si>
  <si>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</si>
  <si>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</si>
  <si>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</si>
  <si>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</si>
  <si>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</si>
  <si>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</si>
  <si>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</si>
  <si>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</si>
  <si>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</si>
  <si>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</si>
  <si>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</si>
  <si>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</si>
  <si>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</si>
  <si>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</si>
  <si>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</si>
  <si>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</si>
  <si>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</si>
  <si>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</si>
  <si>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</si>
  <si>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</si>
  <si>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</si>
  <si>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</si>
  <si>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</si>
  <si>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</si>
  <si>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</si>
  <si>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</si>
  <si>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</si>
  <si>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</si>
  <si>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</si>
  <si>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</si>
  <si>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</si>
  <si>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</si>
  <si>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</si>
  <si>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</si>
  <si>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</si>
  <si>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</si>
  <si>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</si>
  <si>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</si>
  <si>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</si>
  <si>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</si>
  <si>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</si>
  <si>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</si>
  <si>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</si>
  <si>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</si>
  <si>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</si>
  <si>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</si>
  <si>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</si>
  <si>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</si>
  <si>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</si>
  <si>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</si>
  <si>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</si>
  <si>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</si>
  <si>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</si>
  <si>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</si>
  <si>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</si>
  <si>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</si>
  <si>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</si>
  <si>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</si>
  <si>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</si>
  <si>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</si>
  <si>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</si>
  <si>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</si>
  <si>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</si>
  <si>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</si>
  <si>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</si>
  <si>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</si>
  <si>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</si>
  <si>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</si>
  <si>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</si>
  <si>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</si>
  <si>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</si>
  <si>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</si>
  <si>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</si>
  <si>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</si>
  <si>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</si>
  <si>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</si>
  <si>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</si>
  <si>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</si>
  <si>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</si>
  <si>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</si>
  <si>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</si>
  <si>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</si>
  <si>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</si>
  <si>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</si>
  <si>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</si>
  <si>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</si>
  <si>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</si>
  <si>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</si>
  <si>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</si>
  <si>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</si>
  <si>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</si>
  <si>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</si>
  <si>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</si>
  <si>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</si>
  <si>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</si>
  <si>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</si>
  <si>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</si>
  <si>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</si>
  <si>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</si>
  <si>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</si>
  <si>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</si>
  <si>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</si>
  <si>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</si>
  <si>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</si>
  <si>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</si>
  <si>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</si>
  <si>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</si>
  <si>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</si>
  <si>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</si>
  <si>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</si>
  <si>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</si>
  <si>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</si>
  <si>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</si>
  <si>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</si>
  <si>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</si>
  <si>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</si>
  <si>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</si>
  <si>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</si>
  <si>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</si>
  <si>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</si>
  <si>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</si>
  <si>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</si>
  <si>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</si>
  <si>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</si>
  <si>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</si>
  <si>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</si>
  <si>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</si>
  <si>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</si>
  <si>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</si>
  <si>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</si>
  <si>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</si>
  <si>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</si>
  <si>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</si>
  <si>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</si>
  <si>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</si>
  <si>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</si>
  <si>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</si>
  <si>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</si>
  <si>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</si>
  <si>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</si>
  <si>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</si>
  <si>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</si>
  <si>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</si>
  <si>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</si>
  <si>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</si>
  <si>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</si>
  <si>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</si>
  <si>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</si>
  <si>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</si>
  <si>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</si>
  <si>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</si>
  <si>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</si>
  <si>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</si>
  <si>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</si>
  <si>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</si>
  <si>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</si>
  <si>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</si>
  <si>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</si>
  <si>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</si>
  <si>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</si>
  <si>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</si>
  <si>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</si>
  <si>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</si>
  <si>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</si>
  <si>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</si>
  <si>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</si>
  <si>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</si>
  <si>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</si>
  <si>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</si>
  <si>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</si>
  <si>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</si>
  <si>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</si>
  <si>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</si>
  <si>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</si>
  <si>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</si>
  <si>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</si>
  <si>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</si>
  <si>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</si>
  <si>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</si>
  <si>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</si>
  <si>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</si>
  <si>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</si>
  <si>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</si>
  <si>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</si>
  <si>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</si>
  <si>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</si>
  <si>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</si>
  <si>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</si>
  <si>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</si>
  <si>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</si>
  <si>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</si>
  <si>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</si>
  <si>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</si>
  <si>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</si>
  <si>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</si>
  <si>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</si>
  <si>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</si>
  <si>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</si>
  <si>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</si>
  <si>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</si>
  <si>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</si>
  <si>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</si>
  <si>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</si>
  <si>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</si>
  <si>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</si>
  <si>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</si>
  <si>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</si>
  <si>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</si>
  <si>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</si>
  <si>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</si>
  <si>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</si>
  <si>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</si>
  <si>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</si>
  <si>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</si>
  <si>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</si>
  <si>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</si>
  <si>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</si>
  <si>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</si>
  <si>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</si>
  <si>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</si>
  <si>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</si>
  <si>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</si>
  <si>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</si>
  <si>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</si>
  <si>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</si>
  <si>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</si>
  <si>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</si>
  <si>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</si>
  <si>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</si>
  <si>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</si>
  <si>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</si>
  <si>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</si>
  <si>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</si>
  <si>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</si>
  <si>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</si>
  <si>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</si>
  <si>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</si>
  <si>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</si>
  <si>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</si>
  <si>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</si>
  <si>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</si>
  <si>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</si>
  <si>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</si>
  <si>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</si>
  <si>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</si>
  <si>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</si>
  <si>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</si>
  <si>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</si>
  <si>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</si>
  <si>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</si>
  <si>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</si>
  <si>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</si>
  <si>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</si>
  <si>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</si>
  <si>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</si>
  <si>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</si>
  <si>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</si>
  <si>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</si>
  <si>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</si>
  <si>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</si>
  <si>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</si>
  <si>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</si>
  <si>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</si>
  <si>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</si>
  <si>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</si>
  <si>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</si>
  <si>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</si>
  <si>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</si>
  <si>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</si>
  <si>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</si>
  <si>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</si>
  <si>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</si>
  <si>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</si>
  <si>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</si>
  <si>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</si>
  <si>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</si>
  <si>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</si>
  <si>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</si>
  <si>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</si>
  <si>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</si>
  <si>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</si>
  <si>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</si>
  <si>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</si>
  <si>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</si>
  <si>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</si>
  <si>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</si>
  <si>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</si>
  <si>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</si>
  <si>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</si>
  <si>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</si>
  <si>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</si>
  <si>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</si>
  <si>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Balance Sheet (asset or liability)</t>
  </si>
  <si>
    <t>1000-Schoolwide Project</t>
  </si>
  <si>
    <t>1010-Classroom Site Project</t>
  </si>
  <si>
    <t>6100-Salaries</t>
  </si>
  <si>
    <t>1020-Instructional Improvement Project</t>
  </si>
  <si>
    <t>100-Regular Education</t>
  </si>
  <si>
    <t>1000-Instruction</t>
  </si>
  <si>
    <t>6200-Employee Benefits</t>
  </si>
  <si>
    <t>1071-English Language Learner</t>
  </si>
  <si>
    <t>200-Special Education</t>
  </si>
  <si>
    <t>1900-Other Instructional Staff</t>
  </si>
  <si>
    <t>6300-6400-6500-Purchased Services</t>
  </si>
  <si>
    <t>1072-Compensatory Instruction Project</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</si>
  <si>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</si>
  <si>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</si>
  <si>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</si>
  <si>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</si>
  <si>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</si>
  <si>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</si>
  <si>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</si>
  <si>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</si>
  <si>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</si>
  <si>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</si>
  <si>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</si>
  <si>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1160-ESEA  Title IV - 21st Century Schools</t>
  </si>
  <si>
    <t>400-Pupil Transportation</t>
  </si>
  <si>
    <t>2230-Library/Media Services</t>
  </si>
  <si>
    <t>6820-Judgments Against a Charter</t>
  </si>
  <si>
    <t>1170-1180-ESEA Title V - Promote Informed Parent Choice</t>
  </si>
  <si>
    <t>430-Pupil Transportation-ELL Incremental Costs</t>
  </si>
  <si>
    <t>2300-Support Services-General Administration</t>
  </si>
  <si>
    <t>6850-Interest</t>
  </si>
  <si>
    <t>1190-ESEA  Title III - Limited Eng. &amp; Immigrant Students</t>
  </si>
  <si>
    <t>435-Pupil Transportation-ELL Compensatory Instruction</t>
  </si>
  <si>
    <t>2400-Support Services-School Administration</t>
  </si>
  <si>
    <t>6890-Miscellaneous</t>
  </si>
  <si>
    <t>1200-ESEA Title VII - Indian Education</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</si>
  <si>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</si>
  <si>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</si>
  <si>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</si>
  <si>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</si>
  <si>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</si>
  <si>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</si>
  <si>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</si>
  <si>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</si>
  <si>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</si>
  <si>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</si>
  <si>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</si>
  <si>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1227-ARP-IDEA Preschool</t>
  </si>
  <si>
    <t>610-School-Sponsored Cocurricular Activities</t>
  </si>
  <si>
    <t>2900-Other Support Services</t>
  </si>
  <si>
    <t>1320-Tuition from Other Arizona Schools or Districts</t>
  </si>
  <si>
    <t>1228-ARP-IDEA Basic</t>
  </si>
  <si>
    <t>620-School-Sponsored Athletics</t>
  </si>
  <si>
    <t>3100-Food Service Operations</t>
  </si>
  <si>
    <t>1410-Transportation Fees from Individuals</t>
  </si>
  <si>
    <t>1230-Johnson-O'Malley</t>
  </si>
  <si>
    <t>630-Other Instructional Programs</t>
  </si>
  <si>
    <t>3300-Community Service Operations</t>
  </si>
  <si>
    <t>1420-Transportation Fees from Other Arizona Schools or Districts</t>
  </si>
  <si>
    <t>1240-Workforce Investment Act</t>
  </si>
  <si>
    <t>700-Adult/Continuing Education Programs</t>
  </si>
  <si>
    <t>3400-Bookstore Operations</t>
  </si>
  <si>
    <t>1500-Earnings on Investments</t>
  </si>
  <si>
    <t>1250-AEA - Adult Education</t>
  </si>
  <si>
    <t>800-Community College Education Programs</t>
  </si>
  <si>
    <t>4000-Facilities Acquisition &amp; Construction</t>
  </si>
  <si>
    <t>1600-Food Service</t>
  </si>
  <si>
    <t>1260-1270-Vocational Education - Basic Grants</t>
  </si>
  <si>
    <t>900-Community Services Programs</t>
  </si>
  <si>
    <t>5000-Debt Service</t>
  </si>
  <si>
    <t xml:space="preserve">1700-School Activities </t>
  </si>
  <si>
    <t>1280-ESEA Title X - Homeless Education</t>
  </si>
  <si>
    <t>1750-Revenue from Enterprise Activities</t>
  </si>
  <si>
    <t>1290-Medicaid Reimbursement</t>
  </si>
  <si>
    <t>1790-Extracurricular Activities Fees Tax Credit</t>
  </si>
  <si>
    <t>1300-Charter School Implementation Project (Stimulus)</t>
  </si>
  <si>
    <t>1800-Revenue from Community Services Activities</t>
  </si>
  <si>
    <t>13XX-Impact Aid</t>
  </si>
  <si>
    <t>1310-1399-COVID-19 Federal Relief Projects</t>
  </si>
  <si>
    <t>1920-Contributions and Donations from Private Sources</t>
  </si>
  <si>
    <t>1310-1399-Other Federal Projects</t>
  </si>
  <si>
    <t>Other Revenue from Local Sources</t>
  </si>
  <si>
    <t>1400-Vocational Education</t>
  </si>
  <si>
    <t>2100-Unrestricted Revenue from Intermediate Sources</t>
  </si>
  <si>
    <t>1410-Early Childhood Block Grant</t>
  </si>
  <si>
    <t>2200-Restricted Revenue from Intermediate Sources</t>
  </si>
  <si>
    <t>1420-Extended School Year - Pupils with Disabilities</t>
  </si>
  <si>
    <t>Other Revenue from Intermediate Sources</t>
  </si>
  <si>
    <t>1425-Adult Basic Education</t>
  </si>
  <si>
    <t>3110-State Equalization Assistance</t>
  </si>
  <si>
    <t>1430-Chemical Abuse Prevention Programs</t>
  </si>
  <si>
    <t>3130-3150-Other Unrestricted Revenue from State Sources</t>
  </si>
  <si>
    <t>1435-Academic Contests</t>
  </si>
  <si>
    <t>3200-Restricted Revenue from State Sources</t>
  </si>
  <si>
    <t>1450-Gifted Education</t>
  </si>
  <si>
    <t>3900-Revenue for/on Behalf of the School</t>
  </si>
  <si>
    <t>1456-College Credit Exam Incentives</t>
  </si>
  <si>
    <t>Other Revenue from State Sources</t>
  </si>
  <si>
    <t>4100, 4300-Unrestricted/Restricted Received Directly from the Federal Government</t>
  </si>
  <si>
    <t>1460-Environmental Special Plate</t>
  </si>
  <si>
    <t>4200, 4500-Unrestricted/Restricted Received from the Federal Government through the State</t>
  </si>
  <si>
    <t>1465-Charter School Stimulus Fund</t>
  </si>
  <si>
    <t>4700-Revenue Received from the Federal Government through Other Intermediate Agencies</t>
  </si>
  <si>
    <t>14XX-Arizona Industry Credentials Incentive</t>
  </si>
  <si>
    <t>4800-Federal Impact Aid</t>
  </si>
  <si>
    <t>1470-1499-Other State Projects</t>
  </si>
  <si>
    <t>4900-Revenue for/on Behalf of the School</t>
  </si>
  <si>
    <t>1500-1999-Other Special Projects</t>
  </si>
  <si>
    <t>Other Revenue from Federal Sources</t>
  </si>
  <si>
    <t>9999-Other Non PSD-12 Projects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</si>
  <si>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</si>
  <si>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</si>
  <si>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</si>
  <si>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</si>
  <si>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</si>
  <si>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</si>
  <si>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</si>
  <si>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</si>
  <si>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</si>
  <si>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</si>
  <si>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</si>
  <si>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</si>
  <si>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</si>
  <si>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</si>
  <si>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</si>
  <si>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</si>
  <si>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</si>
  <si>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</si>
  <si>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</si>
  <si>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</si>
  <si>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</si>
  <si>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</si>
  <si>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</si>
  <si>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</si>
  <si>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</si>
  <si>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</si>
  <si>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</si>
  <si>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</si>
  <si>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</si>
  <si>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</si>
  <si>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</si>
  <si>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</si>
  <si>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</si>
  <si>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</si>
  <si>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</si>
  <si>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</si>
  <si>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</si>
  <si>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</si>
  <si>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</si>
  <si>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</si>
  <si>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</si>
  <si>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</si>
  <si>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</si>
  <si>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</si>
  <si>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</si>
  <si>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</si>
  <si>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</si>
  <si>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</si>
  <si>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</si>
  <si>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</si>
  <si>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</si>
  <si>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</si>
  <si>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</si>
  <si>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</si>
  <si>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</si>
  <si>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</si>
  <si>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</si>
  <si>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</si>
  <si>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</si>
  <si>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</si>
  <si>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</si>
  <si>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</si>
  <si>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</si>
  <si>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</si>
  <si>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</si>
  <si>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</si>
  <si>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</si>
  <si>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</si>
  <si>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</si>
  <si>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</si>
  <si>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</si>
  <si>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</si>
  <si>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</si>
  <si>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</si>
  <si>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</si>
  <si>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</si>
  <si>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</si>
  <si>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</si>
  <si>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</si>
  <si>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</si>
  <si>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</si>
  <si>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</si>
  <si>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</si>
  <si>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</si>
  <si>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</si>
  <si>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</si>
  <si>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</si>
  <si>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</si>
  <si>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</si>
  <si>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</si>
  <si>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</si>
  <si>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</si>
  <si>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</si>
  <si>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</si>
  <si>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</si>
  <si>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</si>
  <si>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</si>
  <si>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</si>
  <si>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</si>
  <si>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</si>
  <si>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</si>
  <si>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</si>
  <si>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</si>
  <si>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</si>
  <si>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</si>
  <si>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</si>
  <si>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</si>
  <si>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</si>
  <si>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</si>
  <si>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</si>
  <si>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</si>
  <si>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</si>
  <si>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</si>
  <si>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</si>
  <si>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</si>
  <si>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</si>
  <si>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</si>
  <si>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</si>
  <si>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</si>
  <si>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</si>
  <si>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</si>
  <si>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</si>
  <si>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</si>
  <si>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</si>
  <si>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</si>
  <si>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</si>
  <si>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</si>
  <si>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</si>
  <si>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</si>
  <si>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</si>
  <si>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</si>
  <si>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</si>
  <si>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</si>
  <si>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</si>
  <si>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</si>
  <si>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</si>
  <si>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</si>
  <si>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</si>
  <si>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</si>
  <si>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</si>
  <si>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</si>
  <si>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</si>
  <si>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</si>
  <si>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</si>
  <si>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</si>
  <si>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</si>
  <si>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</si>
  <si>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</si>
  <si>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</si>
  <si>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</si>
  <si>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</si>
  <si>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</si>
  <si>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</si>
  <si>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</si>
  <si>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</si>
  <si>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</si>
  <si>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</si>
  <si>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</si>
  <si>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</si>
  <si>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</si>
  <si>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1, line 21. 3200-Restricted revenues should be greater than or equal to total revenue amounts on pages 3-5 for CSP, IIP, ELLP and CIP. Ensure revenues are properly recorded for Classroom Site Project on page 3, line 11; Instructional Improvement Project on page 4, line 7; English Language Learner Project on page 5, line 1 and Compensatory Instruction Project, page 5, line 15. As these revenues are all considered restricted revenues from State sources, these amounts should be included in the amount reported on page 1, line 21. In addition, any restricted revenues received for State projects, as reported on page 8, should also be included, as appropriate.</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</si>
  <si>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</si>
  <si>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</si>
  <si>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</si>
  <si>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</si>
  <si>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</si>
  <si>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</si>
  <si>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</si>
  <si>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</si>
  <si>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</si>
  <si>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</si>
  <si>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</si>
  <si>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</si>
  <si>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</si>
  <si>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</si>
  <si>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</si>
  <si>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</si>
  <si>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</si>
  <si>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</si>
  <si>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</si>
  <si>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</si>
  <si>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</si>
  <si>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</si>
  <si>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</si>
  <si>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</si>
  <si>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</si>
  <si>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</si>
  <si>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</si>
  <si>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</si>
  <si>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</si>
  <si>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</si>
  <si>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</si>
  <si>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</si>
  <si>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</si>
  <si>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</si>
  <si>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</si>
  <si>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</si>
  <si>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</si>
  <si>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</si>
  <si>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</si>
  <si>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</si>
  <si>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</si>
  <si>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</si>
  <si>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</si>
  <si>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</si>
  <si>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</si>
  <si>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</si>
  <si>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</si>
  <si>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</si>
  <si>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</si>
  <si>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</si>
  <si>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</si>
  <si>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</si>
  <si>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</si>
  <si>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</si>
  <si>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</si>
  <si>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</si>
  <si>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</si>
  <si>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</si>
  <si>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</si>
  <si>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</si>
  <si>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</si>
  <si>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</si>
  <si>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</si>
  <si>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</si>
  <si>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</si>
  <si>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</si>
  <si>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</si>
  <si>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</si>
  <si>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</si>
  <si>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</si>
  <si>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</si>
  <si>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</si>
  <si>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</si>
  <si>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</si>
  <si>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</si>
  <si>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</si>
  <si>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</si>
  <si>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</si>
  <si>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</si>
  <si>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</si>
  <si>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</si>
  <si>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</si>
  <si>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</si>
  <si>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</si>
  <si>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</si>
  <si>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</si>
  <si>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</si>
  <si>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</si>
  <si>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</si>
  <si>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</si>
  <si>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</si>
  <si>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</si>
  <si>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</si>
  <si>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</si>
  <si>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</si>
  <si>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</si>
  <si>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</si>
  <si>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</si>
  <si>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</si>
  <si>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</si>
  <si>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</si>
  <si>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</si>
  <si>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</si>
  <si>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</si>
  <si>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</si>
  <si>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</si>
  <si>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</si>
  <si>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</si>
  <si>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</si>
  <si>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</si>
  <si>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</si>
  <si>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</si>
  <si>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</si>
  <si>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</si>
  <si>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</si>
  <si>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</si>
  <si>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</si>
  <si>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</si>
  <si>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</si>
  <si>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</si>
  <si>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</si>
  <si>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</si>
  <si>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</si>
  <si>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</si>
  <si>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</si>
  <si>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Complete the Cover, School listing, and Accounting data tabs first. See instructions.</t>
  </si>
  <si>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</si>
  <si>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</si>
  <si>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</si>
  <si>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</si>
  <si>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</si>
  <si>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</si>
  <si>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</si>
  <si>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</si>
  <si>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</si>
  <si>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</si>
  <si>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</si>
  <si>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</si>
  <si>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</si>
  <si>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</si>
  <si>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</si>
  <si>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</si>
  <si>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</si>
  <si>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</si>
  <si>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</si>
  <si>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</si>
  <si>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</si>
  <si>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</si>
  <si>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</si>
  <si>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</si>
  <si>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</si>
  <si>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</si>
  <si>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</si>
  <si>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</si>
  <si>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</si>
  <si>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</si>
  <si>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</si>
  <si>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</si>
  <si>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</si>
  <si>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</si>
  <si>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</si>
  <si>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</si>
  <si>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</si>
  <si>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</si>
  <si>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</si>
  <si>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</si>
  <si>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</si>
  <si>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</si>
  <si>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</si>
  <si>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</si>
  <si>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</si>
  <si>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</si>
  <si>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</si>
  <si>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</si>
  <si>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</si>
  <si>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</si>
  <si>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</si>
  <si>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</si>
  <si>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</si>
  <si>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</si>
  <si>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</si>
  <si>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</si>
  <si>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</si>
  <si>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</si>
  <si>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</si>
  <si>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</si>
  <si>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</si>
  <si>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</si>
  <si>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</si>
  <si>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</si>
  <si>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</si>
  <si>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</si>
  <si>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</si>
  <si>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</si>
  <si>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</si>
  <si>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</si>
  <si>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</si>
  <si>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</si>
  <si>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</si>
  <si>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</si>
  <si>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</si>
  <si>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</si>
  <si>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</si>
  <si>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</si>
  <si>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</si>
  <si>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</si>
  <si>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</si>
  <si>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</si>
  <si>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</si>
  <si>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</si>
  <si>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</si>
  <si>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</si>
  <si>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</si>
  <si>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</si>
  <si>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</si>
  <si>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</si>
  <si>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</si>
  <si>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</si>
  <si>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</si>
  <si>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</si>
  <si>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</si>
  <si>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</si>
  <si>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</si>
  <si>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</si>
  <si>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</si>
  <si>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</si>
  <si>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</si>
  <si>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</si>
  <si>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</si>
  <si>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</si>
  <si>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</si>
  <si>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</si>
  <si>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</si>
  <si>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</si>
  <si>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</si>
  <si>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</si>
  <si>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</si>
  <si>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</si>
  <si>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</si>
  <si>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1900-Other Revenues and Gains from Local Sources</t>
  </si>
  <si>
    <t>Mexicayotl Academy of Excellence, Inc</t>
  </si>
  <si>
    <t>Santa Cruz</t>
  </si>
  <si>
    <t>128703000</t>
  </si>
  <si>
    <t>Mexicayotl Academy, Inc</t>
  </si>
  <si>
    <t>Balty Garcia</t>
  </si>
  <si>
    <t>yollotl_13@yahoo.com</t>
  </si>
  <si>
    <t>Claudina Douglas</t>
  </si>
  <si>
    <t>cdouglas@adibiz.com</t>
  </si>
  <si>
    <t>https://mexicayotlacademy.com/</t>
  </si>
  <si>
    <t>Mexicayotl Charter School</t>
  </si>
  <si>
    <t>Mexicayotl Academy</t>
  </si>
  <si>
    <t>128703001</t>
  </si>
  <si>
    <t>128703002</t>
  </si>
  <si>
    <t>These salaries do not include stipends or performance pay</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</si>
</sst>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2" x14ac:knownFonts="1">
    <font>
      <sz val="10"/>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sz val="8"/>
      <color rgb="FF000000"/>
      <name val="Arial"/>
      <family val="2"/>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b/>
      <sz val="11"/>
      <color rgb="FFFF0000"/>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9" fillId="0" borderId="0" applyNumberFormat="0" applyFill="0" applyBorder="0">
      <protection locked="0"/>
    </xf>
    <xf numFmtId="0" fontId="5" fillId="0" borderId="0"/>
    <xf numFmtId="0" fontId="16" fillId="0" borderId="0" applyFont="0" applyBorder="0"/>
    <xf numFmtId="0" fontId="4" fillId="0" borderId="0"/>
    <xf numFmtId="0" fontId="4" fillId="0" borderId="0"/>
    <xf numFmtId="0" fontId="5" fillId="0" borderId="0"/>
    <xf numFmtId="0" fontId="48" fillId="0" borderId="0" applyNumberFormat="0" applyFill="0" applyBorder="0">
      <protection locked="0"/>
    </xf>
    <xf numFmtId="0" fontId="65" fillId="0" borderId="0"/>
    <xf numFmtId="0" fontId="9" fillId="0" borderId="0" applyNumberFormat="0" applyFill="0" applyBorder="0">
      <protection locked="0"/>
    </xf>
  </cellStyleXfs>
  <cellXfs count="1012">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6"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38" fillId="0" borderId="1" xfId="7" applyFont="1" applyBorder="1" applyProtection="1">
      <protection locked="0"/>
    </xf>
    <xf numFmtId="49" fontId="38" fillId="0" borderId="1" xfId="7" applyNumberFormat="1" applyFont="1" applyBorder="1" applyProtection="1">
      <protection locked="0"/>
    </xf>
    <xf numFmtId="0" fontId="38" fillId="0" borderId="1" xfId="7" applyFont="1" applyBorder="1" applyAlignment="1" applyProtection="1">
      <alignment horizontal="right"/>
      <protection locked="0"/>
    </xf>
    <xf numFmtId="0" fontId="38" fillId="0" borderId="1" xfId="7" applyFont="1" applyBorder="1" applyAlignment="1" applyProtection="1">
      <alignment wrapText="1"/>
      <protection locked="0"/>
    </xf>
    <xf numFmtId="0" fontId="40" fillId="2" borderId="1" xfId="7" applyFont="1" applyFill="1" applyBorder="1" applyAlignment="1" applyProtection="1">
      <alignment horizontal="center"/>
      <protection locked="0"/>
    </xf>
    <xf numFmtId="0" fontId="5" fillId="0" borderId="0" xfId="7" applyProtection="1">
      <protection locked="0"/>
    </xf>
    <xf numFmtId="0" fontId="5" fillId="0" borderId="0" xfId="7" applyAlignment="1" applyProtection="1">
      <alignment horizontal="left" vertical="top"/>
      <protection locked="0"/>
    </xf>
    <xf numFmtId="40" fontId="40" fillId="2" borderId="1" xfId="7" applyNumberFormat="1" applyFont="1" applyFill="1" applyBorder="1" applyAlignment="1" applyProtection="1">
      <alignment horizontal="center"/>
      <protection locked="0"/>
    </xf>
    <xf numFmtId="0" fontId="40" fillId="2" borderId="2" xfId="7" applyFont="1" applyFill="1" applyBorder="1" applyAlignment="1" applyProtection="1">
      <alignment horizontal="center"/>
      <protection locked="0"/>
    </xf>
    <xf numFmtId="0" fontId="5" fillId="3" borderId="0" xfId="7" applyFill="1" applyProtection="1">
      <protection locked="0"/>
    </xf>
    <xf numFmtId="0" fontId="5" fillId="3" borderId="0" xfId="7" applyFill="1" applyAlignment="1" applyProtection="1">
      <alignment horizontal="left" vertical="top"/>
      <protection locked="0"/>
    </xf>
    <xf numFmtId="0" fontId="5" fillId="3" borderId="0" xfId="7" applyFill="1" applyAlignment="1" applyProtection="1">
      <alignment horizontal="left"/>
      <protection locked="0"/>
    </xf>
    <xf numFmtId="0" fontId="47"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47" fillId="4" borderId="6" xfId="0" applyFont="1" applyFill="1" applyBorder="1" applyProtection="1">
      <protection locked="0"/>
    </xf>
    <xf numFmtId="168" fontId="55" fillId="0" borderId="7" xfId="12" applyNumberFormat="1" applyFont="1" applyFill="1" applyBorder="1" applyProtection="1"/>
    <xf numFmtId="37" fontId="30" fillId="0" borderId="1" xfId="10" applyNumberFormat="1" applyFont="1" applyBorder="1" applyAlignment="1" applyProtection="1">
      <alignment horizontal="right" vertical="center"/>
      <protection locked="0"/>
    </xf>
    <xf numFmtId="168" fontId="6" fillId="0" borderId="1" xfId="12" applyNumberFormat="1" applyFont="1" applyFill="1" applyBorder="1" applyAlignment="1" applyProtection="1">
      <alignment horizontal="center" wrapText="1"/>
    </xf>
    <xf numFmtId="37" fontId="30" fillId="0" borderId="1" xfId="4" applyNumberFormat="1" applyFont="1" applyFill="1" applyBorder="1" applyProtection="1">
      <protection locked="0"/>
    </xf>
    <xf numFmtId="37" fontId="30" fillId="5" borderId="1" xfId="10" quotePrefix="1" applyNumberFormat="1" applyFont="1" applyFill="1" applyBorder="1" applyProtection="1">
      <protection locked="0"/>
    </xf>
    <xf numFmtId="37" fontId="30" fillId="0" borderId="1" xfId="4" applyNumberFormat="1" applyFont="1" applyFill="1" applyBorder="1" applyAlignment="1" applyProtection="1">
      <alignment wrapText="1"/>
    </xf>
    <xf numFmtId="37" fontId="30" fillId="0" borderId="8" xfId="4" applyNumberFormat="1" applyFont="1" applyFill="1" applyBorder="1" applyProtection="1">
      <protection locked="0"/>
    </xf>
    <xf numFmtId="37" fontId="30" fillId="0" borderId="0" xfId="4" applyNumberFormat="1" applyFont="1" applyFill="1" applyBorder="1" applyProtection="1"/>
    <xf numFmtId="0" fontId="17" fillId="0" borderId="0" xfId="12" applyFont="1" applyFill="1" applyBorder="1" applyProtection="1"/>
    <xf numFmtId="0" fontId="33" fillId="0" borderId="0" xfId="12" applyFont="1" applyFill="1" applyBorder="1" applyProtection="1"/>
    <xf numFmtId="165" fontId="30" fillId="0" borderId="0" xfId="12" applyNumberFormat="1" applyFont="1" applyFill="1" applyBorder="1" applyAlignment="1" applyProtection="1">
      <alignment vertical="center" wrapText="1"/>
    </xf>
    <xf numFmtId="165" fontId="34" fillId="0" borderId="0" xfId="12" applyNumberFormat="1" applyFont="1" applyFill="1" applyBorder="1" applyAlignment="1" applyProtection="1">
      <alignment horizontal="center" vertical="center" wrapText="1"/>
    </xf>
    <xf numFmtId="168" fontId="13" fillId="6" borderId="9" xfId="12" applyNumberFormat="1" applyFont="1" applyFill="1" applyBorder="1" applyAlignment="1" applyProtection="1">
      <alignment horizontal="left"/>
    </xf>
    <xf numFmtId="165" fontId="30" fillId="6" borderId="4" xfId="12" applyNumberFormat="1" applyFont="1" applyFill="1" applyBorder="1" applyAlignment="1" applyProtection="1">
      <alignment horizontal="left"/>
    </xf>
    <xf numFmtId="37" fontId="30" fillId="0" borderId="1" xfId="10" applyNumberFormat="1" applyFont="1" applyBorder="1" applyProtection="1">
      <protection locked="0"/>
    </xf>
    <xf numFmtId="168" fontId="13" fillId="6" borderId="4" xfId="12" applyNumberFormat="1" applyFont="1" applyFill="1" applyBorder="1" applyAlignment="1" applyProtection="1">
      <alignment horizontal="left"/>
    </xf>
    <xf numFmtId="37" fontId="54" fillId="0" borderId="1" xfId="4" applyNumberFormat="1" applyFont="1" applyFill="1" applyBorder="1" applyAlignment="1" applyProtection="1">
      <alignment horizontal="right"/>
    </xf>
    <xf numFmtId="0" fontId="43" fillId="0" borderId="0" xfId="0" applyFont="1"/>
    <xf numFmtId="37" fontId="51" fillId="4" borderId="1" xfId="0" applyNumberFormat="1" applyFont="1" applyFill="1" applyBorder="1" applyProtection="1">
      <protection locked="0"/>
    </xf>
    <xf numFmtId="37" fontId="51" fillId="4" borderId="5" xfId="0" applyNumberFormat="1" applyFont="1" applyFill="1" applyBorder="1" applyProtection="1">
      <protection locked="0"/>
    </xf>
    <xf numFmtId="37" fontId="51" fillId="0" borderId="1" xfId="0" applyNumberFormat="1" applyFont="1" applyBorder="1" applyProtection="1">
      <protection locked="0"/>
    </xf>
    <xf numFmtId="37" fontId="51" fillId="4" borderId="10" xfId="0" applyNumberFormat="1" applyFont="1" applyFill="1" applyBorder="1" applyProtection="1">
      <protection locked="0"/>
    </xf>
    <xf numFmtId="37" fontId="51" fillId="4" borderId="11" xfId="0" applyNumberFormat="1" applyFont="1" applyFill="1" applyBorder="1" applyProtection="1">
      <protection locked="0"/>
    </xf>
    <xf numFmtId="37" fontId="51" fillId="0" borderId="11" xfId="0" applyNumberFormat="1" applyFont="1" applyBorder="1" applyProtection="1">
      <protection locked="0"/>
    </xf>
    <xf numFmtId="37" fontId="51" fillId="0" borderId="3" xfId="0" applyNumberFormat="1" applyFont="1" applyBorder="1" applyProtection="1">
      <protection locked="0"/>
    </xf>
    <xf numFmtId="3" fontId="51" fillId="0" borderId="3" xfId="0" applyNumberFormat="1" applyFont="1" applyBorder="1" applyProtection="1">
      <protection locked="0"/>
    </xf>
    <xf numFmtId="0" fontId="61" fillId="6" borderId="4" xfId="12" applyFont="1" applyFill="1" applyBorder="1" applyProtection="1"/>
    <xf numFmtId="0" fontId="61" fillId="6" borderId="8" xfId="12" applyFont="1" applyFill="1" applyBorder="1" applyProtection="1"/>
    <xf numFmtId="0" fontId="6" fillId="0" borderId="0" xfId="0" applyFont="1" applyAlignment="1">
      <alignment horizontal="right"/>
    </xf>
    <xf numFmtId="0" fontId="6" fillId="0" borderId="1" xfId="0" applyFont="1" applyBorder="1" applyAlignment="1">
      <alignment horizontal="center"/>
    </xf>
    <xf numFmtId="0" fontId="7" fillId="0" borderId="0" xfId="0" applyFont="1"/>
    <xf numFmtId="0" fontId="0" fillId="0" borderId="0" xfId="0" quotePrefix="1" applyAlignment="1">
      <alignment horizontal="right"/>
    </xf>
    <xf numFmtId="49" fontId="0" fillId="0" borderId="0" xfId="0" applyNumberFormat="1" applyAlignment="1">
      <alignment horizontal="right"/>
    </xf>
    <xf numFmtId="0" fontId="52" fillId="0" borderId="0" xfId="0" applyFont="1"/>
    <xf numFmtId="0" fontId="7"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3"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6" fillId="0" borderId="16" xfId="0" applyFont="1" applyBorder="1"/>
    <xf numFmtId="0" fontId="0" fillId="0" borderId="17" xfId="0" applyBorder="1"/>
    <xf numFmtId="0" fontId="0" fillId="0" borderId="5" xfId="0" applyBorder="1" applyAlignment="1">
      <alignment horizontal="center"/>
    </xf>
    <xf numFmtId="0" fontId="6"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6" fillId="0" borderId="2" xfId="0" applyFont="1" applyBorder="1"/>
    <xf numFmtId="49" fontId="0" fillId="0" borderId="17" xfId="0" applyNumberFormat="1" applyBorder="1" applyAlignment="1">
      <alignment horizontal="right"/>
    </xf>
    <xf numFmtId="10" fontId="51"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6"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8" fillId="0" borderId="0" xfId="0" applyFont="1" applyAlignment="1">
      <alignment horizontal="left"/>
    </xf>
    <xf numFmtId="0" fontId="34" fillId="0" borderId="0" xfId="0" applyFont="1" applyAlignment="1">
      <alignment vertical="center" wrapText="1"/>
    </xf>
    <xf numFmtId="0" fontId="34"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4" fillId="0" borderId="7" xfId="9" applyFont="1" applyBorder="1" applyAlignment="1">
      <alignment horizontal="centerContinuous"/>
    </xf>
    <xf numFmtId="0" fontId="34" fillId="0" borderId="13" xfId="9" applyFont="1" applyBorder="1" applyAlignment="1">
      <alignment horizontal="centerContinuous"/>
    </xf>
    <xf numFmtId="0" fontId="34" fillId="0" borderId="2" xfId="0" applyFont="1" applyBorder="1" applyAlignment="1">
      <alignment horizontal="center"/>
    </xf>
    <xf numFmtId="0" fontId="6" fillId="0" borderId="2" xfId="9" applyFont="1" applyBorder="1"/>
    <xf numFmtId="0" fontId="34" fillId="0" borderId="0" xfId="9" applyFont="1"/>
    <xf numFmtId="0" fontId="34" fillId="0" borderId="14" xfId="9" applyFont="1" applyBorder="1"/>
    <xf numFmtId="0" fontId="0" fillId="0" borderId="15" xfId="9" applyFont="1" applyBorder="1" applyAlignment="1">
      <alignment horizontal="center"/>
    </xf>
    <xf numFmtId="0" fontId="34" fillId="0" borderId="2" xfId="9" applyFont="1" applyBorder="1" applyAlignment="1">
      <alignment horizontal="center"/>
    </xf>
    <xf numFmtId="0" fontId="34" fillId="0" borderId="3" xfId="9" applyFont="1" applyBorder="1"/>
    <xf numFmtId="0" fontId="34" fillId="0" borderId="17" xfId="9" applyFont="1" applyBorder="1"/>
    <xf numFmtId="0" fontId="34" fillId="0" borderId="13" xfId="0" applyFont="1" applyBorder="1"/>
    <xf numFmtId="0" fontId="34" fillId="0" borderId="2" xfId="9" applyFont="1" applyBorder="1"/>
    <xf numFmtId="0" fontId="0" fillId="0" borderId="14" xfId="0" quotePrefix="1" applyBorder="1" applyAlignment="1">
      <alignment horizontal="right"/>
    </xf>
    <xf numFmtId="0" fontId="34" fillId="6" borderId="0" xfId="0" applyFont="1" applyFill="1"/>
    <xf numFmtId="0" fontId="34" fillId="0" borderId="16" xfId="9" applyFont="1" applyBorder="1"/>
    <xf numFmtId="0" fontId="34"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4" fillId="0" borderId="7" xfId="0" applyFont="1" applyBorder="1"/>
    <xf numFmtId="0" fontId="0" fillId="0" borderId="7" xfId="0" quotePrefix="1" applyBorder="1" applyAlignment="1">
      <alignment horizontal="right"/>
    </xf>
    <xf numFmtId="0" fontId="44" fillId="4" borderId="0" xfId="0" applyFont="1" applyFill="1" applyAlignment="1">
      <alignment vertical="center"/>
    </xf>
    <xf numFmtId="0" fontId="34" fillId="0" borderId="3" xfId="0" applyFont="1" applyBorder="1"/>
    <xf numFmtId="0" fontId="0" fillId="0" borderId="3" xfId="0" quotePrefix="1" applyBorder="1" applyAlignment="1">
      <alignment horizontal="right"/>
    </xf>
    <xf numFmtId="0" fontId="6" fillId="0" borderId="3" xfId="0" applyFont="1" applyBorder="1" applyAlignment="1">
      <alignment vertical="center"/>
    </xf>
    <xf numFmtId="0" fontId="6" fillId="0" borderId="12" xfId="0" applyFont="1" applyBorder="1" applyAlignment="1">
      <alignment vertical="center"/>
    </xf>
    <xf numFmtId="0" fontId="6" fillId="0" borderId="7" xfId="0" applyFont="1" applyBorder="1" applyAlignment="1">
      <alignment vertical="center"/>
    </xf>
    <xf numFmtId="0" fontId="6" fillId="0" borderId="2" xfId="0" applyFont="1" applyBorder="1" applyAlignment="1">
      <alignment vertical="center"/>
    </xf>
    <xf numFmtId="0" fontId="6" fillId="0" borderId="0" xfId="0" applyFont="1" applyAlignment="1">
      <alignment vertical="center"/>
    </xf>
    <xf numFmtId="0" fontId="45"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4" fillId="0" borderId="3" xfId="9" applyNumberFormat="1" applyFont="1" applyBorder="1" applyAlignment="1">
      <alignment horizontal="right"/>
    </xf>
    <xf numFmtId="38" fontId="0" fillId="5" borderId="5" xfId="0" applyNumberFormat="1" applyFill="1" applyBorder="1" applyAlignment="1">
      <alignment horizontal="center"/>
    </xf>
    <xf numFmtId="167" fontId="34" fillId="0" borderId="0" xfId="9" applyNumberFormat="1" applyFont="1" applyAlignment="1">
      <alignment horizontal="left"/>
    </xf>
    <xf numFmtId="168" fontId="34"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4"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51" fillId="4" borderId="10" xfId="0" applyNumberFormat="1" applyFont="1" applyFill="1" applyBorder="1"/>
    <xf numFmtId="49" fontId="0" fillId="0" borderId="3" xfId="0" applyNumberFormat="1" applyBorder="1" applyAlignment="1">
      <alignment horizontal="centerContinuous"/>
    </xf>
    <xf numFmtId="0" fontId="6" fillId="0" borderId="0" xfId="0" applyFont="1" applyAlignment="1">
      <alignment horizontal="centerContinuous"/>
    </xf>
    <xf numFmtId="37" fontId="51" fillId="0" borderId="3" xfId="0" applyNumberFormat="1" applyFont="1" applyBorder="1"/>
    <xf numFmtId="49" fontId="32" fillId="6" borderId="0" xfId="6" applyNumberFormat="1" applyFont="1" applyFill="1" applyProtection="1"/>
    <xf numFmtId="0" fontId="32"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3" fillId="4" borderId="0" xfId="0" applyFont="1" applyFill="1"/>
    <xf numFmtId="0" fontId="0" fillId="0" borderId="0" xfId="0" quotePrefix="1"/>
    <xf numFmtId="37" fontId="51" fillId="0" borderId="11" xfId="0" applyNumberFormat="1" applyFont="1" applyBorder="1"/>
    <xf numFmtId="37" fontId="51" fillId="4" borderId="18" xfId="0" applyNumberFormat="1" applyFont="1" applyFill="1" applyBorder="1"/>
    <xf numFmtId="37" fontId="0" fillId="0" borderId="0" xfId="0" applyNumberFormat="1" applyAlignment="1">
      <alignment horizontal="right"/>
    </xf>
    <xf numFmtId="0" fontId="7" fillId="0" borderId="10" xfId="0" applyFont="1" applyBorder="1" applyAlignment="1">
      <alignment horizontal="center" wrapText="1"/>
    </xf>
    <xf numFmtId="0" fontId="7" fillId="0" borderId="15" xfId="0" applyFont="1" applyBorder="1" applyAlignment="1">
      <alignment horizontal="center" wrapText="1"/>
    </xf>
    <xf numFmtId="0" fontId="7" fillId="0" borderId="5" xfId="0" applyFont="1" applyBorder="1" applyAlignment="1">
      <alignment horizontal="center" wrapText="1"/>
    </xf>
    <xf numFmtId="37" fontId="51" fillId="4" borderId="11" xfId="0" applyNumberFormat="1" applyFont="1" applyFill="1" applyBorder="1"/>
    <xf numFmtId="0" fontId="60"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2" fillId="0" borderId="0" xfId="6" applyFont="1" applyProtection="1"/>
    <xf numFmtId="0" fontId="9" fillId="6" borderId="0" xfId="6" applyFill="1" applyProtection="1"/>
    <xf numFmtId="0" fontId="8" fillId="0" borderId="0" xfId="0" applyFont="1"/>
    <xf numFmtId="37" fontId="0" fillId="0" borderId="19" xfId="0" applyNumberFormat="1" applyBorder="1"/>
    <xf numFmtId="49" fontId="18" fillId="0" borderId="0" xfId="0" applyNumberFormat="1" applyFont="1" applyAlignment="1">
      <alignment horizontal="right"/>
    </xf>
    <xf numFmtId="3" fontId="51" fillId="0" borderId="4" xfId="0" applyNumberFormat="1" applyFont="1" applyBorder="1"/>
    <xf numFmtId="0" fontId="32" fillId="0" borderId="0" xfId="0" applyFont="1"/>
    <xf numFmtId="3" fontId="51"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51" fillId="4" borderId="19" xfId="0" applyNumberFormat="1" applyFont="1" applyFill="1" applyBorder="1"/>
    <xf numFmtId="0" fontId="15" fillId="0" borderId="0" xfId="0" applyFont="1"/>
    <xf numFmtId="0" fontId="51" fillId="0" borderId="7" xfId="0" applyFont="1" applyBorder="1"/>
    <xf numFmtId="49" fontId="0" fillId="0" borderId="0" xfId="0" applyNumberFormat="1"/>
    <xf numFmtId="0" fontId="32" fillId="0" borderId="0" xfId="6" applyFont="1" applyFill="1" applyProtection="1"/>
    <xf numFmtId="0" fontId="34" fillId="0" borderId="0" xfId="6" applyFont="1" applyFill="1" applyProtection="1"/>
    <xf numFmtId="0" fontId="13" fillId="6" borderId="1" xfId="6" applyFont="1" applyFill="1" applyBorder="1" applyAlignment="1" applyProtection="1">
      <alignment horizontal="center" wrapText="1"/>
    </xf>
    <xf numFmtId="0" fontId="13"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51"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4" fillId="0" borderId="0" xfId="0" applyNumberFormat="1" applyFont="1" applyAlignment="1">
      <alignment horizontal="right"/>
    </xf>
    <xf numFmtId="49" fontId="34" fillId="0" borderId="0" xfId="0" applyNumberFormat="1" applyFont="1"/>
    <xf numFmtId="37" fontId="51" fillId="4" borderId="21" xfId="0" applyNumberFormat="1" applyFont="1" applyFill="1" applyBorder="1"/>
    <xf numFmtId="49" fontId="0" fillId="0" borderId="3" xfId="0" applyNumberFormat="1" applyBorder="1"/>
    <xf numFmtId="168" fontId="6" fillId="5" borderId="0" xfId="0" applyNumberFormat="1" applyFont="1" applyFill="1"/>
    <xf numFmtId="168" fontId="31" fillId="0" borderId="0" xfId="6" applyNumberFormat="1" applyFont="1" applyFill="1" applyProtection="1"/>
    <xf numFmtId="168" fontId="17" fillId="0" borderId="2" xfId="6" applyNumberFormat="1" applyFont="1" applyFill="1" applyBorder="1" applyProtection="1"/>
    <xf numFmtId="168" fontId="34"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2"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4"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2" fillId="6" borderId="0" xfId="6" applyNumberFormat="1" applyFont="1" applyFill="1" applyBorder="1" applyAlignment="1" applyProtection="1">
      <alignment horizontal="center"/>
    </xf>
    <xf numFmtId="168" fontId="6" fillId="0" borderId="0" xfId="0" applyNumberFormat="1" applyFont="1" applyAlignment="1">
      <alignment horizontal="left"/>
    </xf>
    <xf numFmtId="1" fontId="32"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3"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4" fillId="0" borderId="0" xfId="0" applyNumberFormat="1" applyFont="1" applyAlignment="1">
      <alignment horizontal="left"/>
    </xf>
    <xf numFmtId="168" fontId="19" fillId="5" borderId="0" xfId="0" applyNumberFormat="1" applyFont="1" applyFill="1"/>
    <xf numFmtId="168" fontId="0" fillId="5" borderId="10" xfId="0" applyNumberFormat="1" applyFill="1" applyBorder="1" applyAlignment="1">
      <alignment horizontal="center"/>
    </xf>
    <xf numFmtId="168" fontId="32" fillId="6" borderId="10" xfId="0" applyNumberFormat="1" applyFont="1" applyFill="1" applyBorder="1"/>
    <xf numFmtId="168" fontId="35" fillId="5" borderId="0" xfId="0" applyNumberFormat="1" applyFont="1" applyFill="1"/>
    <xf numFmtId="168" fontId="32" fillId="6" borderId="0" xfId="6" applyNumberFormat="1" applyFont="1" applyFill="1" applyBorder="1" applyProtection="1"/>
    <xf numFmtId="49" fontId="19" fillId="5" borderId="0" xfId="0" applyNumberFormat="1" applyFont="1" applyFill="1" applyAlignment="1">
      <alignment horizontal="right"/>
    </xf>
    <xf numFmtId="168" fontId="32" fillId="6" borderId="15" xfId="0" applyNumberFormat="1" applyFont="1" applyFill="1" applyBorder="1"/>
    <xf numFmtId="49" fontId="0" fillId="5" borderId="0" xfId="0" applyNumberFormat="1" applyFill="1" applyAlignment="1">
      <alignment horizontal="right"/>
    </xf>
    <xf numFmtId="168" fontId="32"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2"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4"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2" fillId="6" borderId="0" xfId="6" applyNumberFormat="1" applyFont="1" applyFill="1" applyProtection="1"/>
    <xf numFmtId="168" fontId="35" fillId="6" borderId="0" xfId="0" applyNumberFormat="1" applyFont="1" applyFill="1"/>
    <xf numFmtId="168" fontId="0" fillId="0" borderId="5" xfId="0" applyNumberFormat="1" applyBorder="1" applyAlignment="1">
      <alignment horizontal="center"/>
    </xf>
    <xf numFmtId="168" fontId="34" fillId="5" borderId="0" xfId="0" quotePrefix="1" applyNumberFormat="1" applyFont="1" applyFill="1" applyAlignment="1">
      <alignment horizontal="right"/>
    </xf>
    <xf numFmtId="49" fontId="30" fillId="5" borderId="0" xfId="0" applyNumberFormat="1" applyFont="1" applyFill="1" applyAlignment="1">
      <alignment horizontal="left"/>
    </xf>
    <xf numFmtId="168" fontId="35" fillId="0" borderId="0" xfId="0" applyNumberFormat="1" applyFont="1" applyAlignment="1">
      <alignment vertical="top" wrapText="1"/>
    </xf>
    <xf numFmtId="168" fontId="42"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4" fillId="0" borderId="0" xfId="10" applyFont="1" applyAlignment="1">
      <alignment horizontal="right"/>
    </xf>
    <xf numFmtId="168" fontId="30" fillId="5" borderId="0" xfId="10" applyNumberFormat="1" applyFont="1" applyFill="1"/>
    <xf numFmtId="168" fontId="30" fillId="0" borderId="0" xfId="10" applyNumberFormat="1" applyFont="1"/>
    <xf numFmtId="0" fontId="0" fillId="0" borderId="3" xfId="11" applyFont="1" applyBorder="1" applyAlignment="1">
      <alignment horizontal="center"/>
    </xf>
    <xf numFmtId="0" fontId="30" fillId="0" borderId="0" xfId="10" applyFont="1" applyAlignment="1">
      <alignment horizontal="center"/>
    </xf>
    <xf numFmtId="168" fontId="54" fillId="5" borderId="0" xfId="10" applyNumberFormat="1" applyFont="1" applyFill="1" applyAlignment="1">
      <alignment horizontal="center"/>
    </xf>
    <xf numFmtId="168" fontId="6" fillId="5" borderId="0" xfId="10" applyNumberFormat="1" applyFont="1" applyFill="1" applyAlignment="1">
      <alignment horizontal="center"/>
    </xf>
    <xf numFmtId="168" fontId="34" fillId="5" borderId="0" xfId="10" applyNumberFormat="1" applyFont="1" applyFill="1"/>
    <xf numFmtId="168" fontId="34" fillId="0" borderId="0" xfId="10" applyNumberFormat="1" applyFont="1"/>
    <xf numFmtId="0" fontId="34" fillId="0" borderId="0" xfId="10" applyFont="1"/>
    <xf numFmtId="0" fontId="54" fillId="0" borderId="0" xfId="10" applyFont="1" applyAlignment="1">
      <alignment horizontal="left"/>
    </xf>
    <xf numFmtId="0" fontId="30" fillId="0" borderId="0" xfId="10" applyFont="1"/>
    <xf numFmtId="14" fontId="30" fillId="5" borderId="0" xfId="10" applyNumberFormat="1" applyFont="1" applyFill="1" applyAlignment="1">
      <alignment horizontal="left"/>
    </xf>
    <xf numFmtId="168" fontId="30" fillId="5" borderId="13" xfId="10" applyNumberFormat="1" applyFont="1" applyFill="1" applyBorder="1"/>
    <xf numFmtId="168" fontId="54" fillId="5" borderId="1" xfId="10" applyNumberFormat="1" applyFont="1" applyFill="1" applyBorder="1" applyAlignment="1">
      <alignment horizontal="center"/>
    </xf>
    <xf numFmtId="168" fontId="30" fillId="0" borderId="10" xfId="10" applyNumberFormat="1" applyFont="1" applyBorder="1" applyAlignment="1">
      <alignment horizontal="center"/>
    </xf>
    <xf numFmtId="2" fontId="30" fillId="0" borderId="10" xfId="10" applyNumberFormat="1" applyFont="1" applyBorder="1" applyAlignment="1">
      <alignment horizontal="center"/>
    </xf>
    <xf numFmtId="49" fontId="54" fillId="6" borderId="10" xfId="10" applyNumberFormat="1" applyFont="1" applyFill="1" applyBorder="1" applyAlignment="1">
      <alignment horizontal="center" wrapText="1"/>
    </xf>
    <xf numFmtId="168" fontId="30" fillId="0" borderId="15" xfId="10" applyNumberFormat="1" applyFont="1" applyBorder="1" applyAlignment="1">
      <alignment horizontal="center"/>
    </xf>
    <xf numFmtId="2" fontId="30" fillId="0" borderId="15" xfId="10" applyNumberFormat="1" applyFont="1" applyBorder="1" applyAlignment="1">
      <alignment horizontal="center"/>
    </xf>
    <xf numFmtId="49" fontId="30" fillId="0" borderId="15" xfId="10" applyNumberFormat="1" applyFont="1" applyBorder="1" applyAlignment="1">
      <alignment horizontal="center" wrapText="1"/>
    </xf>
    <xf numFmtId="49" fontId="54"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30" fillId="0" borderId="15" xfId="10" applyNumberFormat="1" applyFont="1" applyBorder="1" applyAlignment="1">
      <alignment horizontal="center"/>
    </xf>
    <xf numFmtId="0" fontId="13" fillId="6" borderId="0" xfId="6" applyFont="1" applyFill="1" applyAlignment="1" applyProtection="1">
      <alignment horizontal="center" vertical="center"/>
    </xf>
    <xf numFmtId="1" fontId="30"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30" fillId="5" borderId="12" xfId="10" applyNumberFormat="1" applyFont="1" applyFill="1" applyBorder="1" applyAlignment="1">
      <alignment horizontal="left"/>
    </xf>
    <xf numFmtId="168" fontId="30" fillId="5" borderId="7" xfId="10" applyNumberFormat="1" applyFont="1" applyFill="1" applyBorder="1" applyAlignment="1">
      <alignment horizontal="left"/>
    </xf>
    <xf numFmtId="168" fontId="30" fillId="5" borderId="13" xfId="10" quotePrefix="1" applyNumberFormat="1" applyFont="1" applyFill="1" applyBorder="1" applyAlignment="1">
      <alignment horizontal="right"/>
    </xf>
    <xf numFmtId="37" fontId="30" fillId="0" borderId="1" xfId="10" applyNumberFormat="1" applyFont="1" applyBorder="1" applyAlignment="1">
      <alignment horizontal="right" vertical="center"/>
    </xf>
    <xf numFmtId="37" fontId="30" fillId="8" borderId="1" xfId="10" applyNumberFormat="1" applyFont="1" applyFill="1" applyBorder="1" applyAlignment="1">
      <alignment horizontal="right" vertical="center"/>
    </xf>
    <xf numFmtId="37" fontId="54" fillId="0" borderId="1" xfId="10" applyNumberFormat="1" applyFont="1" applyBorder="1" applyAlignment="1">
      <alignment horizontal="right" vertical="center"/>
    </xf>
    <xf numFmtId="168" fontId="30" fillId="5" borderId="0" xfId="10" quotePrefix="1" applyNumberFormat="1" applyFont="1" applyFill="1" applyAlignment="1">
      <alignment horizontal="left"/>
    </xf>
    <xf numFmtId="168" fontId="30" fillId="5" borderId="2" xfId="10" applyNumberFormat="1" applyFont="1" applyFill="1" applyBorder="1" applyAlignment="1">
      <alignment horizontal="left"/>
    </xf>
    <xf numFmtId="168" fontId="30"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4" fillId="11" borderId="0" xfId="10" applyNumberFormat="1" applyFont="1" applyFill="1"/>
    <xf numFmtId="1" fontId="30" fillId="5" borderId="2" xfId="10" applyNumberFormat="1" applyFont="1" applyFill="1" applyBorder="1" applyAlignment="1">
      <alignment horizontal="left"/>
    </xf>
    <xf numFmtId="1" fontId="30" fillId="5" borderId="0" xfId="10" applyNumberFormat="1" applyFont="1" applyFill="1" applyAlignment="1">
      <alignment horizontal="left"/>
    </xf>
    <xf numFmtId="49" fontId="30" fillId="5" borderId="14" xfId="10" quotePrefix="1" applyNumberFormat="1" applyFont="1" applyFill="1" applyBorder="1" applyAlignment="1">
      <alignment horizontal="right"/>
    </xf>
    <xf numFmtId="49" fontId="30" fillId="5" borderId="0" xfId="10" quotePrefix="1" applyNumberFormat="1" applyFont="1" applyFill="1" applyAlignment="1">
      <alignment horizontal="left"/>
    </xf>
    <xf numFmtId="168" fontId="30" fillId="0" borderId="2" xfId="10" applyNumberFormat="1" applyFont="1" applyBorder="1" applyAlignment="1">
      <alignment horizontal="left"/>
    </xf>
    <xf numFmtId="168" fontId="30" fillId="0" borderId="0" xfId="10" applyNumberFormat="1" applyFont="1" applyAlignment="1">
      <alignment horizontal="left"/>
    </xf>
    <xf numFmtId="0" fontId="53" fillId="6" borderId="2" xfId="6" applyFont="1" applyFill="1" applyBorder="1" applyProtection="1"/>
    <xf numFmtId="168" fontId="30" fillId="6" borderId="0" xfId="10" applyNumberFormat="1" applyFont="1" applyFill="1" applyAlignment="1">
      <alignment horizontal="left"/>
    </xf>
    <xf numFmtId="49" fontId="30" fillId="6" borderId="14" xfId="10" quotePrefix="1" applyNumberFormat="1" applyFont="1" applyFill="1" applyBorder="1" applyAlignment="1">
      <alignment horizontal="right"/>
    </xf>
    <xf numFmtId="168" fontId="30" fillId="0" borderId="16" xfId="10" applyNumberFormat="1" applyFont="1" applyBorder="1" applyAlignment="1">
      <alignment horizontal="left"/>
    </xf>
    <xf numFmtId="168" fontId="30" fillId="0" borderId="3" xfId="10" applyNumberFormat="1" applyFont="1" applyBorder="1" applyAlignment="1">
      <alignment horizontal="left"/>
    </xf>
    <xf numFmtId="49" fontId="30" fillId="5" borderId="17" xfId="10" quotePrefix="1" applyNumberFormat="1" applyFont="1" applyFill="1" applyBorder="1" applyAlignment="1">
      <alignment horizontal="right"/>
    </xf>
    <xf numFmtId="37" fontId="54" fillId="0" borderId="1" xfId="10" applyNumberFormat="1" applyFont="1" applyBorder="1"/>
    <xf numFmtId="49" fontId="30" fillId="5" borderId="0" xfId="10" quotePrefix="1" applyNumberFormat="1" applyFont="1" applyFill="1" applyAlignment="1">
      <alignment horizontal="right"/>
    </xf>
    <xf numFmtId="0" fontId="56" fillId="6" borderId="9" xfId="6" applyFont="1" applyFill="1" applyBorder="1" applyProtection="1"/>
    <xf numFmtId="0" fontId="6" fillId="6" borderId="4" xfId="10" applyFont="1" applyFill="1" applyBorder="1"/>
    <xf numFmtId="0" fontId="6" fillId="6" borderId="8" xfId="10" applyFont="1" applyFill="1" applyBorder="1"/>
    <xf numFmtId="168" fontId="54" fillId="5" borderId="9" xfId="10" applyNumberFormat="1" applyFont="1" applyFill="1" applyBorder="1"/>
    <xf numFmtId="168" fontId="54" fillId="5" borderId="4" xfId="10" applyNumberFormat="1" applyFont="1" applyFill="1" applyBorder="1"/>
    <xf numFmtId="168" fontId="30" fillId="5" borderId="8" xfId="10" applyNumberFormat="1" applyFont="1" applyFill="1" applyBorder="1" applyAlignment="1">
      <alignment horizontal="center"/>
    </xf>
    <xf numFmtId="168" fontId="30" fillId="5" borderId="16" xfId="10" applyNumberFormat="1" applyFont="1" applyFill="1" applyBorder="1"/>
    <xf numFmtId="168" fontId="30" fillId="5" borderId="3" xfId="10" applyNumberFormat="1" applyFont="1" applyFill="1" applyBorder="1"/>
    <xf numFmtId="168" fontId="30" fillId="5" borderId="17" xfId="10" applyNumberFormat="1" applyFont="1" applyFill="1" applyBorder="1"/>
    <xf numFmtId="168" fontId="30" fillId="5" borderId="9" xfId="10" applyNumberFormat="1" applyFont="1" applyFill="1" applyBorder="1"/>
    <xf numFmtId="168" fontId="30" fillId="5" borderId="4" xfId="10" applyNumberFormat="1" applyFont="1" applyFill="1" applyBorder="1"/>
    <xf numFmtId="168" fontId="30" fillId="5" borderId="8" xfId="10" applyNumberFormat="1" applyFont="1" applyFill="1" applyBorder="1"/>
    <xf numFmtId="0" fontId="30" fillId="0" borderId="9" xfId="10" applyFont="1" applyBorder="1"/>
    <xf numFmtId="0" fontId="30" fillId="0" borderId="4" xfId="10" applyFont="1" applyBorder="1"/>
    <xf numFmtId="168" fontId="30" fillId="0" borderId="8" xfId="10" applyNumberFormat="1" applyFont="1" applyBorder="1"/>
    <xf numFmtId="37" fontId="30" fillId="5" borderId="1" xfId="10" applyNumberFormat="1" applyFont="1" applyFill="1" applyBorder="1"/>
    <xf numFmtId="168" fontId="30" fillId="0" borderId="9" xfId="10" applyNumberFormat="1" applyFont="1" applyBorder="1"/>
    <xf numFmtId="168" fontId="30" fillId="0" borderId="4" xfId="10" applyNumberFormat="1" applyFont="1" applyBorder="1"/>
    <xf numFmtId="168" fontId="30" fillId="5" borderId="12" xfId="10" applyNumberFormat="1" applyFont="1" applyFill="1" applyBorder="1"/>
    <xf numFmtId="168" fontId="30" fillId="5" borderId="7" xfId="10" applyNumberFormat="1" applyFont="1" applyFill="1" applyBorder="1"/>
    <xf numFmtId="168" fontId="30" fillId="0" borderId="13" xfId="10" applyNumberFormat="1" applyFont="1" applyBorder="1"/>
    <xf numFmtId="0" fontId="53" fillId="6" borderId="9" xfId="6" applyFont="1" applyFill="1" applyBorder="1" applyProtection="1"/>
    <xf numFmtId="168" fontId="30" fillId="6" borderId="4" xfId="10" applyNumberFormat="1" applyFont="1" applyFill="1" applyBorder="1"/>
    <xf numFmtId="168" fontId="30" fillId="6" borderId="8" xfId="10" applyNumberFormat="1" applyFont="1" applyFill="1" applyBorder="1"/>
    <xf numFmtId="38" fontId="30" fillId="0" borderId="0" xfId="10" applyNumberFormat="1" applyFont="1" applyAlignment="1">
      <alignment horizontal="right" vertical="center"/>
    </xf>
    <xf numFmtId="168" fontId="30" fillId="5" borderId="0" xfId="10" quotePrefix="1" applyNumberFormat="1" applyFont="1" applyFill="1"/>
    <xf numFmtId="168" fontId="30" fillId="5" borderId="9" xfId="10" quotePrefix="1" applyNumberFormat="1" applyFont="1" applyFill="1" applyBorder="1"/>
    <xf numFmtId="37" fontId="30" fillId="0" borderId="1" xfId="10" applyNumberFormat="1" applyFont="1" applyBorder="1" applyAlignment="1">
      <alignment horizontal="right"/>
    </xf>
    <xf numFmtId="0" fontId="30" fillId="0" borderId="0" xfId="4" quotePrefix="1" applyNumberFormat="1" applyFont="1" applyFill="1" applyBorder="1" applyAlignment="1" applyProtection="1">
      <alignment horizontal="left"/>
    </xf>
    <xf numFmtId="168" fontId="30" fillId="0" borderId="0" xfId="10" applyNumberFormat="1" applyFont="1" applyAlignment="1">
      <alignment wrapText="1"/>
    </xf>
    <xf numFmtId="0" fontId="45" fillId="0" borderId="0" xfId="4" quotePrefix="1" applyNumberFormat="1" applyFont="1" applyFill="1" applyBorder="1" applyAlignment="1" applyProtection="1">
      <alignment vertical="center" wrapText="1"/>
    </xf>
    <xf numFmtId="168" fontId="45" fillId="4" borderId="0" xfId="10" applyNumberFormat="1" applyFont="1" applyFill="1" applyAlignment="1">
      <alignment vertical="center" wrapText="1"/>
    </xf>
    <xf numFmtId="168" fontId="45" fillId="0" borderId="0" xfId="10" applyNumberFormat="1" applyFont="1" applyAlignment="1">
      <alignment wrapText="1"/>
    </xf>
    <xf numFmtId="37" fontId="54" fillId="0" borderId="1" xfId="10" applyNumberFormat="1" applyFont="1" applyBorder="1" applyAlignment="1">
      <alignment horizontal="right"/>
    </xf>
    <xf numFmtId="168" fontId="30" fillId="0" borderId="0" xfId="10" applyNumberFormat="1" applyFont="1" applyAlignment="1">
      <alignment horizontal="right"/>
    </xf>
    <xf numFmtId="0" fontId="0" fillId="0" borderId="0" xfId="10" applyFont="1" applyAlignment="1">
      <alignment vertical="top"/>
    </xf>
    <xf numFmtId="0" fontId="34" fillId="0" borderId="0" xfId="10" applyFont="1" applyAlignment="1">
      <alignment vertical="top"/>
    </xf>
    <xf numFmtId="37" fontId="30" fillId="0" borderId="1" xfId="4" applyNumberFormat="1" applyFont="1" applyBorder="1" applyProtection="1">
      <protection locked="0"/>
    </xf>
    <xf numFmtId="172" fontId="30" fillId="0" borderId="1" xfId="4" applyNumberFormat="1" applyFont="1" applyBorder="1" applyProtection="1">
      <protection locked="0"/>
    </xf>
    <xf numFmtId="37" fontId="30" fillId="0" borderId="1" xfId="4" applyNumberFormat="1" applyFont="1" applyBorder="1" applyProtection="1"/>
    <xf numFmtId="0" fontId="6" fillId="0" borderId="0" xfId="13" applyFont="1"/>
    <xf numFmtId="0" fontId="65" fillId="0" borderId="0" xfId="13"/>
    <xf numFmtId="168" fontId="6" fillId="5" borderId="0" xfId="13" applyNumberFormat="1" applyFont="1" applyFill="1" applyAlignment="1">
      <alignment horizontal="left"/>
    </xf>
    <xf numFmtId="0" fontId="13" fillId="6" borderId="0" xfId="6" applyFont="1" applyFill="1" applyAlignment="1" applyProtection="1">
      <alignment horizontal="right"/>
    </xf>
    <xf numFmtId="0" fontId="65" fillId="0" borderId="0" xfId="13" applyAlignment="1">
      <alignment horizontal="right" vertical="center"/>
    </xf>
    <xf numFmtId="37" fontId="28" fillId="5" borderId="0" xfId="13" applyNumberFormat="1" applyFont="1" applyFill="1" applyAlignment="1">
      <alignment horizontal="left" vertical="center"/>
    </xf>
    <xf numFmtId="168" fontId="65" fillId="5" borderId="22" xfId="13" applyNumberFormat="1" applyFill="1" applyBorder="1"/>
    <xf numFmtId="168" fontId="65" fillId="6" borderId="22" xfId="13" applyNumberFormat="1" applyFill="1" applyBorder="1"/>
    <xf numFmtId="168" fontId="53" fillId="6" borderId="22" xfId="6" applyNumberFormat="1" applyFont="1" applyFill="1" applyBorder="1" applyAlignment="1" applyProtection="1">
      <alignment horizontal="center"/>
    </xf>
    <xf numFmtId="37" fontId="49" fillId="0" borderId="23" xfId="13" applyNumberFormat="1" applyFont="1" applyBorder="1" applyAlignment="1">
      <alignment horizontal="center"/>
    </xf>
    <xf numFmtId="37" fontId="49" fillId="0" borderId="10" xfId="13" applyNumberFormat="1" applyFont="1" applyBorder="1" applyAlignment="1">
      <alignment horizontal="center"/>
    </xf>
    <xf numFmtId="37" fontId="49" fillId="5" borderId="24" xfId="13" applyNumberFormat="1" applyFont="1" applyFill="1" applyBorder="1" applyAlignment="1">
      <alignment horizontal="center"/>
    </xf>
    <xf numFmtId="37" fontId="49" fillId="5" borderId="25" xfId="13" applyNumberFormat="1" applyFont="1" applyFill="1" applyBorder="1" applyAlignment="1">
      <alignment horizontal="left"/>
    </xf>
    <xf numFmtId="37" fontId="53" fillId="6" borderId="25" xfId="6" applyNumberFormat="1" applyFont="1" applyFill="1" applyBorder="1" applyAlignment="1" applyProtection="1">
      <alignment horizontal="center" vertical="center"/>
    </xf>
    <xf numFmtId="37" fontId="53" fillId="6" borderId="25" xfId="6" applyNumberFormat="1" applyFont="1" applyFill="1" applyBorder="1" applyAlignment="1" applyProtection="1">
      <alignment horizontal="center"/>
    </xf>
    <xf numFmtId="38" fontId="49" fillId="0" borderId="26" xfId="13" applyNumberFormat="1" applyFont="1" applyBorder="1" applyAlignment="1">
      <alignment horizontal="center"/>
    </xf>
    <xf numFmtId="37" fontId="49" fillId="0" borderId="15" xfId="13" applyNumberFormat="1" applyFont="1" applyBorder="1" applyAlignment="1">
      <alignment horizontal="center"/>
    </xf>
    <xf numFmtId="37" fontId="49" fillId="5" borderId="15" xfId="13" applyNumberFormat="1" applyFont="1" applyFill="1" applyBorder="1" applyAlignment="1">
      <alignment horizontal="center"/>
    </xf>
    <xf numFmtId="37" fontId="49" fillId="5" borderId="27" xfId="13" applyNumberFormat="1" applyFont="1" applyFill="1" applyBorder="1" applyAlignment="1">
      <alignment horizontal="center"/>
    </xf>
    <xf numFmtId="38" fontId="53" fillId="6" borderId="28" xfId="6" applyNumberFormat="1" applyFont="1" applyFill="1" applyBorder="1" applyAlignment="1" applyProtection="1">
      <alignment horizontal="center" vertical="center"/>
    </xf>
    <xf numFmtId="38" fontId="53" fillId="6" borderId="28" xfId="6" applyNumberFormat="1" applyFont="1" applyFill="1" applyBorder="1" applyAlignment="1" applyProtection="1">
      <alignment horizontal="center"/>
    </xf>
    <xf numFmtId="38" fontId="49" fillId="0" borderId="29" xfId="13" applyNumberFormat="1" applyFont="1" applyBorder="1" applyAlignment="1">
      <alignment horizontal="center"/>
    </xf>
    <xf numFmtId="37" fontId="49" fillId="0" borderId="5" xfId="13" applyNumberFormat="1" applyFont="1" applyBorder="1" applyAlignment="1">
      <alignment horizontal="center"/>
    </xf>
    <xf numFmtId="38" fontId="49" fillId="5" borderId="5" xfId="13" applyNumberFormat="1" applyFont="1" applyFill="1" applyBorder="1" applyAlignment="1">
      <alignment horizontal="center"/>
    </xf>
    <xf numFmtId="37" fontId="49" fillId="5" borderId="29" xfId="13" applyNumberFormat="1" applyFont="1" applyFill="1" applyBorder="1" applyAlignment="1">
      <alignment horizontal="left"/>
    </xf>
    <xf numFmtId="37" fontId="49" fillId="7" borderId="1" xfId="13" applyNumberFormat="1" applyFont="1" applyFill="1" applyBorder="1"/>
    <xf numFmtId="37" fontId="49" fillId="7" borderId="5" xfId="13" applyNumberFormat="1" applyFont="1" applyFill="1" applyBorder="1"/>
    <xf numFmtId="37" fontId="49" fillId="7" borderId="16" xfId="13" applyNumberFormat="1" applyFont="1" applyFill="1" applyBorder="1"/>
    <xf numFmtId="37" fontId="50" fillId="8" borderId="9" xfId="13" applyNumberFormat="1" applyFont="1" applyFill="1" applyBorder="1" applyAlignment="1">
      <alignment horizontal="center"/>
    </xf>
    <xf numFmtId="37" fontId="49" fillId="5" borderId="24" xfId="13" applyNumberFormat="1" applyFont="1" applyFill="1" applyBorder="1"/>
    <xf numFmtId="37" fontId="49" fillId="5" borderId="13" xfId="13" applyNumberFormat="1" applyFont="1" applyFill="1" applyBorder="1"/>
    <xf numFmtId="37" fontId="50" fillId="8" borderId="8" xfId="13" applyNumberFormat="1" applyFont="1" applyFill="1" applyBorder="1" applyAlignment="1">
      <alignment horizontal="center"/>
    </xf>
    <xf numFmtId="37" fontId="49" fillId="7" borderId="9" xfId="13" applyNumberFormat="1" applyFont="1" applyFill="1" applyBorder="1"/>
    <xf numFmtId="37" fontId="49" fillId="5" borderId="30" xfId="13" applyNumberFormat="1" applyFont="1" applyFill="1" applyBorder="1"/>
    <xf numFmtId="165" fontId="65" fillId="0" borderId="0" xfId="13" applyNumberFormat="1"/>
    <xf numFmtId="37" fontId="49" fillId="0" borderId="24" xfId="13" applyNumberFormat="1" applyFont="1" applyBorder="1"/>
    <xf numFmtId="37" fontId="49" fillId="5" borderId="26" xfId="13" applyNumberFormat="1" applyFont="1" applyFill="1" applyBorder="1" applyAlignment="1">
      <alignment horizontal="left"/>
    </xf>
    <xf numFmtId="37" fontId="49" fillId="7" borderId="10" xfId="13" applyNumberFormat="1" applyFont="1" applyFill="1" applyBorder="1"/>
    <xf numFmtId="37" fontId="49" fillId="7" borderId="12" xfId="13" applyNumberFormat="1" applyFont="1" applyFill="1" applyBorder="1"/>
    <xf numFmtId="37" fontId="49" fillId="0" borderId="31" xfId="13" applyNumberFormat="1" applyFont="1" applyBorder="1"/>
    <xf numFmtId="37" fontId="49" fillId="5" borderId="32" xfId="13" applyNumberFormat="1" applyFont="1" applyFill="1" applyBorder="1"/>
    <xf numFmtId="42" fontId="65" fillId="5" borderId="3" xfId="13" applyNumberFormat="1" applyFill="1" applyBorder="1"/>
    <xf numFmtId="37" fontId="49" fillId="0" borderId="1" xfId="13" applyNumberFormat="1" applyFont="1" applyBorder="1" applyAlignment="1">
      <alignment horizontal="left"/>
    </xf>
    <xf numFmtId="37" fontId="50" fillId="8" borderId="1" xfId="13" applyNumberFormat="1" applyFont="1" applyFill="1" applyBorder="1" applyAlignment="1">
      <alignment horizontal="center"/>
    </xf>
    <xf numFmtId="37" fontId="49" fillId="0" borderId="17" xfId="13" applyNumberFormat="1" applyFont="1" applyBorder="1"/>
    <xf numFmtId="37" fontId="49" fillId="5" borderId="16" xfId="13" applyNumberFormat="1" applyFont="1" applyFill="1" applyBorder="1"/>
    <xf numFmtId="37" fontId="49" fillId="7" borderId="1" xfId="13" applyNumberFormat="1" applyFont="1" applyFill="1" applyBorder="1" applyAlignment="1">
      <alignment horizontal="center"/>
    </xf>
    <xf numFmtId="37" fontId="49" fillId="0" borderId="9" xfId="13" applyNumberFormat="1" applyFont="1" applyBorder="1" applyAlignment="1">
      <alignment horizontal="left"/>
    </xf>
    <xf numFmtId="37" fontId="49" fillId="0" borderId="1" xfId="13" applyNumberFormat="1" applyFont="1" applyBorder="1"/>
    <xf numFmtId="37" fontId="49" fillId="5" borderId="1" xfId="13" applyNumberFormat="1" applyFont="1" applyFill="1" applyBorder="1"/>
    <xf numFmtId="37" fontId="49" fillId="0" borderId="8" xfId="13" applyNumberFormat="1" applyFont="1" applyBorder="1"/>
    <xf numFmtId="37" fontId="49" fillId="5" borderId="9" xfId="13" applyNumberFormat="1" applyFont="1" applyFill="1" applyBorder="1"/>
    <xf numFmtId="37" fontId="49" fillId="5" borderId="8" xfId="13" applyNumberFormat="1" applyFont="1" applyFill="1" applyBorder="1"/>
    <xf numFmtId="37" fontId="49" fillId="0" borderId="1" xfId="13" applyNumberFormat="1" applyFont="1" applyBorder="1" applyProtection="1">
      <protection locked="0"/>
    </xf>
    <xf numFmtId="0" fontId="0" fillId="0" borderId="0" xfId="11" applyFont="1" applyAlignment="1">
      <alignment horizontal="center"/>
    </xf>
    <xf numFmtId="0" fontId="30" fillId="0" borderId="0" xfId="8" applyFont="1"/>
    <xf numFmtId="37" fontId="30" fillId="0" borderId="0" xfId="8" applyNumberFormat="1" applyFont="1"/>
    <xf numFmtId="0" fontId="54" fillId="0" borderId="0" xfId="8" applyFont="1" applyAlignment="1">
      <alignment horizontal="right"/>
    </xf>
    <xf numFmtId="0" fontId="0" fillId="0" borderId="0" xfId="4" applyNumberFormat="1" applyFont="1" applyBorder="1" applyAlignment="1" applyProtection="1">
      <alignment horizontal="left" vertical="top"/>
    </xf>
    <xf numFmtId="37" fontId="30" fillId="0" borderId="0" xfId="8" applyNumberFormat="1" applyFont="1" applyAlignment="1">
      <alignment horizontal="left"/>
    </xf>
    <xf numFmtId="0" fontId="34" fillId="0" borderId="0" xfId="8" applyFont="1"/>
    <xf numFmtId="37" fontId="54" fillId="0" borderId="0" xfId="8" applyNumberFormat="1" applyFont="1" applyAlignment="1">
      <alignment horizontal="left"/>
    </xf>
    <xf numFmtId="0" fontId="54" fillId="12" borderId="1" xfId="0" applyFont="1" applyFill="1" applyBorder="1" applyAlignment="1">
      <alignment horizontal="center" wrapText="1"/>
    </xf>
    <xf numFmtId="0" fontId="54" fillId="0" borderId="0" xfId="0" applyFont="1" applyAlignment="1">
      <alignment horizontal="left" vertical="top"/>
    </xf>
    <xf numFmtId="0" fontId="54" fillId="0" borderId="0" xfId="0" applyFont="1" applyAlignment="1">
      <alignment wrapText="1"/>
    </xf>
    <xf numFmtId="168" fontId="13" fillId="6" borderId="0" xfId="6" quotePrefix="1" applyNumberFormat="1" applyFont="1" applyFill="1" applyAlignment="1" applyProtection="1">
      <alignment horizontal="right"/>
    </xf>
    <xf numFmtId="0" fontId="0" fillId="0" borderId="0" xfId="0" applyAlignment="1">
      <alignment horizontal="left" vertical="top"/>
    </xf>
    <xf numFmtId="0" fontId="6" fillId="0" borderId="0" xfId="0" quotePrefix="1" applyFont="1" applyAlignment="1">
      <alignment horizontal="left"/>
    </xf>
    <xf numFmtId="0" fontId="57" fillId="0" borderId="0" xfId="0" applyFont="1"/>
    <xf numFmtId="49" fontId="30" fillId="0" borderId="0" xfId="6" applyNumberFormat="1" applyFont="1" applyFill="1" applyAlignment="1" applyProtection="1">
      <alignment horizontal="center" vertical="top"/>
    </xf>
    <xf numFmtId="0" fontId="54" fillId="0" borderId="0" xfId="0" applyFont="1" applyAlignment="1">
      <alignment horizontal="center" wrapText="1"/>
    </xf>
    <xf numFmtId="49" fontId="13"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1" fillId="0" borderId="0" xfId="0" applyFont="1" applyAlignment="1">
      <alignment vertical="top"/>
    </xf>
    <xf numFmtId="0" fontId="46" fillId="0" borderId="0" xfId="0" applyFont="1" applyAlignment="1">
      <alignment vertical="top" wrapText="1"/>
    </xf>
    <xf numFmtId="0" fontId="0" fillId="0" borderId="0" xfId="0" applyAlignment="1">
      <alignment vertical="center" wrapText="1"/>
    </xf>
    <xf numFmtId="0" fontId="20" fillId="0" borderId="1" xfId="6" applyFont="1" applyBorder="1" applyProtection="1"/>
    <xf numFmtId="0" fontId="38" fillId="0" borderId="1" xfId="7" applyFont="1" applyBorder="1" applyAlignment="1">
      <alignment horizontal="left"/>
    </xf>
    <xf numFmtId="0" fontId="38" fillId="0" borderId="0" xfId="7" applyFont="1"/>
    <xf numFmtId="0" fontId="37" fillId="0" borderId="1" xfId="7" applyFont="1" applyBorder="1"/>
    <xf numFmtId="49" fontId="38" fillId="0" borderId="1" xfId="7" applyNumberFormat="1" applyFont="1" applyBorder="1" applyAlignment="1">
      <alignment horizontal="left"/>
    </xf>
    <xf numFmtId="0" fontId="37" fillId="0" borderId="1" xfId="7" applyFont="1" applyBorder="1" applyAlignment="1">
      <alignment horizontal="center"/>
    </xf>
    <xf numFmtId="0" fontId="20" fillId="0" borderId="1" xfId="7" applyFont="1" applyBorder="1" applyAlignment="1">
      <alignment horizontal="center"/>
    </xf>
    <xf numFmtId="0" fontId="20" fillId="0" borderId="1" xfId="7" applyFont="1" applyBorder="1" applyAlignment="1">
      <alignment horizontal="center" wrapText="1"/>
    </xf>
    <xf numFmtId="0" fontId="38" fillId="0" borderId="1" xfId="7" applyFont="1" applyBorder="1"/>
    <xf numFmtId="0" fontId="39" fillId="9" borderId="1" xfId="7" applyFont="1" applyFill="1" applyBorder="1"/>
    <xf numFmtId="49" fontId="38" fillId="0" borderId="1" xfId="7" applyNumberFormat="1" applyFont="1" applyBorder="1"/>
    <xf numFmtId="169" fontId="38" fillId="0" borderId="1" xfId="7" applyNumberFormat="1" applyFont="1" applyBorder="1"/>
    <xf numFmtId="0" fontId="38" fillId="0" borderId="1" xfId="7" applyFont="1" applyBorder="1" applyAlignment="1">
      <alignment horizontal="right"/>
    </xf>
    <xf numFmtId="0" fontId="38" fillId="0" borderId="1" xfId="7" applyFont="1" applyBorder="1" applyAlignment="1">
      <alignment wrapText="1"/>
    </xf>
    <xf numFmtId="0" fontId="15" fillId="0" borderId="1" xfId="7" applyFont="1" applyBorder="1"/>
    <xf numFmtId="0" fontId="38" fillId="9" borderId="1" xfId="7" applyFont="1" applyFill="1" applyBorder="1"/>
    <xf numFmtId="168" fontId="32" fillId="5" borderId="1" xfId="6" applyNumberFormat="1" applyFont="1" applyFill="1" applyBorder="1" applyAlignment="1" applyProtection="1">
      <alignment horizontal="center" vertical="top"/>
    </xf>
    <xf numFmtId="168" fontId="32" fillId="5" borderId="1" xfId="6" applyNumberFormat="1" applyFont="1" applyFill="1" applyBorder="1" applyAlignment="1" applyProtection="1">
      <alignment horizontal="center" vertical="top" wrapText="1"/>
    </xf>
    <xf numFmtId="165" fontId="32" fillId="5" borderId="1" xfId="6" applyNumberFormat="1" applyFont="1" applyFill="1" applyBorder="1" applyAlignment="1" applyProtection="1">
      <alignment horizontal="center" vertical="top"/>
    </xf>
    <xf numFmtId="165" fontId="32" fillId="0" borderId="1" xfId="6" applyNumberFormat="1" applyFont="1" applyFill="1" applyBorder="1" applyAlignment="1" applyProtection="1">
      <alignment horizontal="center" vertical="top"/>
    </xf>
    <xf numFmtId="168" fontId="21" fillId="0" borderId="8" xfId="6" applyNumberFormat="1" applyFont="1" applyBorder="1" applyAlignment="1" applyProtection="1">
      <alignment horizontal="justify" vertical="top" wrapText="1"/>
    </xf>
    <xf numFmtId="0" fontId="0" fillId="5" borderId="0" xfId="0" applyFill="1"/>
    <xf numFmtId="37" fontId="49" fillId="5" borderId="4" xfId="13" applyNumberFormat="1" applyFont="1" applyFill="1" applyBorder="1"/>
    <xf numFmtId="37" fontId="49" fillId="0" borderId="4" xfId="13" applyNumberFormat="1" applyFont="1" applyBorder="1" applyAlignment="1" applyProtection="1">
      <alignment horizontal="right"/>
      <protection locked="0"/>
    </xf>
    <xf numFmtId="37" fontId="49" fillId="0" borderId="9" xfId="13" applyNumberFormat="1" applyFont="1" applyBorder="1" applyAlignment="1" applyProtection="1">
      <alignment horizontal="right"/>
      <protection locked="0"/>
    </xf>
    <xf numFmtId="173" fontId="65" fillId="0" borderId="1" xfId="13" applyNumberFormat="1" applyBorder="1" applyProtection="1">
      <protection locked="0"/>
    </xf>
    <xf numFmtId="0" fontId="29" fillId="0" borderId="0" xfId="0" applyFont="1"/>
    <xf numFmtId="0" fontId="29"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29" fillId="2" borderId="0" xfId="0" applyNumberFormat="1" applyFont="1" applyFill="1"/>
    <xf numFmtId="37" fontId="0" fillId="2" borderId="0" xfId="0" applyNumberFormat="1" applyFill="1"/>
    <xf numFmtId="0" fontId="0" fillId="14" borderId="0" xfId="0" applyFill="1"/>
    <xf numFmtId="37" fontId="29" fillId="14" borderId="0" xfId="0" applyNumberFormat="1" applyFont="1" applyFill="1"/>
    <xf numFmtId="37" fontId="36"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6" fillId="2" borderId="0" xfId="0" applyNumberFormat="1" applyFont="1" applyFill="1"/>
    <xf numFmtId="0" fontId="30" fillId="13" borderId="0" xfId="0" applyFont="1" applyFill="1"/>
    <xf numFmtId="37" fontId="30" fillId="13" borderId="0" xfId="0" applyNumberFormat="1" applyFont="1" applyFill="1"/>
    <xf numFmtId="0" fontId="30" fillId="13" borderId="0" xfId="0" applyFont="1" applyFill="1" applyAlignment="1">
      <alignment horizontal="left"/>
    </xf>
    <xf numFmtId="0" fontId="30" fillId="2" borderId="0" xfId="0" applyFont="1" applyFill="1"/>
    <xf numFmtId="37" fontId="51" fillId="0" borderId="18" xfId="0" applyNumberFormat="1" applyFont="1" applyBorder="1"/>
    <xf numFmtId="0" fontId="13" fillId="6" borderId="0" xfId="6" applyFont="1" applyFill="1" applyProtection="1"/>
    <xf numFmtId="37" fontId="49" fillId="0" borderId="9" xfId="13" applyNumberFormat="1" applyFont="1" applyBorder="1"/>
    <xf numFmtId="49" fontId="65" fillId="0" borderId="3" xfId="13" applyNumberFormat="1" applyBorder="1" applyAlignment="1">
      <alignment horizontal="center"/>
    </xf>
    <xf numFmtId="49" fontId="47" fillId="0" borderId="3" xfId="0" applyNumberFormat="1" applyFont="1" applyBorder="1" applyProtection="1">
      <protection locked="0"/>
    </xf>
    <xf numFmtId="37" fontId="51" fillId="0" borderId="10" xfId="0" applyNumberFormat="1" applyFont="1" applyBorder="1" applyProtection="1">
      <protection locked="0"/>
    </xf>
    <xf numFmtId="37" fontId="30" fillId="5" borderId="1" xfId="10" applyNumberFormat="1" applyFont="1" applyFill="1" applyBorder="1" applyProtection="1">
      <protection locked="0"/>
    </xf>
    <xf numFmtId="168" fontId="6" fillId="0" borderId="0" xfId="6" applyNumberFormat="1" applyFont="1" applyFill="1" applyAlignment="1" applyProtection="1">
      <alignment horizontal="left" vertical="top"/>
    </xf>
    <xf numFmtId="0" fontId="34" fillId="0" borderId="0" xfId="0" applyFont="1"/>
    <xf numFmtId="0" fontId="6" fillId="0" borderId="0" xfId="0" applyFont="1"/>
    <xf numFmtId="37" fontId="51" fillId="0" borderId="1" xfId="0" applyNumberFormat="1" applyFont="1" applyBorder="1"/>
    <xf numFmtId="37" fontId="0" fillId="0" borderId="1" xfId="0" applyNumberFormat="1" applyBorder="1"/>
    <xf numFmtId="37" fontId="51" fillId="4" borderId="1" xfId="0" applyNumberFormat="1" applyFont="1" applyFill="1" applyBorder="1"/>
    <xf numFmtId="10" fontId="51" fillId="4" borderId="1" xfId="0" applyNumberFormat="1" applyFont="1" applyFill="1" applyBorder="1"/>
    <xf numFmtId="37" fontId="51" fillId="0" borderId="15" xfId="0" applyNumberFormat="1" applyFont="1" applyBorder="1"/>
    <xf numFmtId="37" fontId="0" fillId="0" borderId="5" xfId="0" applyNumberFormat="1" applyBorder="1"/>
    <xf numFmtId="37" fontId="51" fillId="0" borderId="5" xfId="0" applyNumberFormat="1" applyFont="1" applyBorder="1"/>
    <xf numFmtId="37" fontId="51" fillId="4" borderId="5" xfId="0" applyNumberFormat="1" applyFont="1" applyFill="1" applyBorder="1"/>
    <xf numFmtId="37" fontId="0" fillId="4" borderId="21" xfId="0" applyNumberFormat="1" applyFill="1" applyBorder="1"/>
    <xf numFmtId="0" fontId="17" fillId="6" borderId="12" xfId="6" applyFont="1" applyFill="1" applyBorder="1" applyProtection="1"/>
    <xf numFmtId="0" fontId="17" fillId="6" borderId="7" xfId="6" applyFont="1" applyFill="1" applyBorder="1" applyProtection="1"/>
    <xf numFmtId="168" fontId="54" fillId="5" borderId="0" xfId="10" applyNumberFormat="1" applyFont="1" applyFill="1"/>
    <xf numFmtId="16" fontId="30" fillId="0" borderId="0" xfId="0" quotePrefix="1" applyNumberFormat="1" applyFont="1" applyAlignment="1">
      <alignment horizontal="right" vertical="top" wrapText="1"/>
    </xf>
    <xf numFmtId="0" fontId="0" fillId="0" borderId="0" xfId="0" quotePrefix="1" applyAlignment="1">
      <alignment horizontal="right" vertical="top"/>
    </xf>
    <xf numFmtId="168" fontId="6" fillId="0" borderId="0" xfId="6" applyNumberFormat="1" applyFont="1" applyFill="1" applyAlignment="1" applyProtection="1">
      <alignment vertical="top"/>
    </xf>
    <xf numFmtId="0" fontId="6" fillId="0" borderId="1" xfId="0" applyFont="1" applyBorder="1" applyAlignment="1">
      <alignment horizontal="left" wrapText="1"/>
    </xf>
    <xf numFmtId="0" fontId="6"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6"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6" fillId="5" borderId="0" xfId="0" applyNumberFormat="1" applyFont="1" applyFill="1" applyAlignment="1">
      <alignment horizontal="center"/>
    </xf>
    <xf numFmtId="0" fontId="0" fillId="0" borderId="1" xfId="0" applyBorder="1" applyAlignment="1">
      <alignment horizontal="center"/>
    </xf>
    <xf numFmtId="0" fontId="30" fillId="0" borderId="9" xfId="10" applyFont="1" applyBorder="1" applyAlignment="1">
      <alignment horizontal="left"/>
    </xf>
    <xf numFmtId="0" fontId="30" fillId="0" borderId="4" xfId="10" applyFont="1" applyBorder="1" applyAlignment="1">
      <alignment horizontal="left"/>
    </xf>
    <xf numFmtId="168" fontId="30" fillId="5" borderId="0" xfId="10" applyNumberFormat="1" applyFont="1" applyFill="1" applyAlignment="1">
      <alignment horizontal="left"/>
    </xf>
    <xf numFmtId="0" fontId="30" fillId="0" borderId="3" xfId="10" applyFont="1" applyBorder="1" applyAlignment="1">
      <alignment horizontal="center"/>
    </xf>
    <xf numFmtId="0" fontId="65" fillId="0" borderId="3" xfId="13" applyBorder="1" applyAlignment="1">
      <alignment horizontal="center"/>
    </xf>
    <xf numFmtId="0" fontId="0" fillId="0" borderId="0" xfId="0" applyAlignment="1">
      <alignment horizontal="left" vertical="top" wrapText="1"/>
    </xf>
    <xf numFmtId="168" fontId="6" fillId="0" borderId="0" xfId="6" quotePrefix="1" applyNumberFormat="1" applyFont="1" applyFill="1" applyAlignment="1" applyProtection="1">
      <alignment horizontal="left" vertical="top"/>
    </xf>
    <xf numFmtId="0" fontId="13" fillId="0" borderId="13" xfId="6" applyFont="1" applyFill="1" applyBorder="1" applyAlignment="1" applyProtection="1">
      <alignment horizontal="center" vertical="top"/>
    </xf>
    <xf numFmtId="0" fontId="13" fillId="0" borderId="8" xfId="6" applyFont="1" applyFill="1" applyBorder="1" applyAlignment="1" applyProtection="1">
      <alignment horizontal="center" vertical="top"/>
    </xf>
    <xf numFmtId="0" fontId="13" fillId="0" borderId="0" xfId="6" applyFont="1" applyFill="1" applyAlignment="1" applyProtection="1">
      <alignment horizontal="center" vertical="top"/>
    </xf>
    <xf numFmtId="0" fontId="13" fillId="0" borderId="14" xfId="6" applyFont="1" applyFill="1" applyBorder="1" applyAlignment="1" applyProtection="1">
      <alignment horizontal="center" vertical="top"/>
    </xf>
    <xf numFmtId="0" fontId="13" fillId="0" borderId="15" xfId="6" applyFont="1" applyFill="1" applyBorder="1" applyAlignment="1" applyProtection="1">
      <alignment horizontal="center" vertical="top"/>
    </xf>
    <xf numFmtId="0" fontId="13" fillId="0" borderId="17" xfId="6" applyFont="1" applyFill="1" applyBorder="1" applyAlignment="1" applyProtection="1">
      <alignment horizontal="center" vertical="top"/>
    </xf>
    <xf numFmtId="37" fontId="51" fillId="4" borderId="15" xfId="0" applyNumberFormat="1" applyFont="1" applyFill="1" applyBorder="1"/>
    <xf numFmtId="0" fontId="54" fillId="0" borderId="0" xfId="0" applyFont="1" applyAlignment="1">
      <alignment vertical="center" wrapText="1"/>
    </xf>
    <xf numFmtId="0" fontId="54" fillId="0" borderId="0" xfId="0" applyFont="1" applyAlignment="1">
      <alignment horizontal="center" vertical="center" wrapText="1"/>
    </xf>
    <xf numFmtId="0" fontId="30" fillId="0" borderId="0" xfId="0" applyFont="1" applyAlignment="1">
      <alignment vertical="top" wrapText="1"/>
    </xf>
    <xf numFmtId="37" fontId="0" fillId="0" borderId="9" xfId="0" applyNumberFormat="1" applyBorder="1"/>
    <xf numFmtId="37" fontId="51" fillId="4" borderId="8" xfId="0" applyNumberFormat="1" applyFont="1" applyFill="1" applyBorder="1"/>
    <xf numFmtId="37" fontId="65" fillId="5" borderId="12" xfId="13" applyNumberFormat="1" applyFill="1" applyBorder="1"/>
    <xf numFmtId="49" fontId="0" fillId="0" borderId="1" xfId="0" applyNumberFormat="1" applyBorder="1" applyAlignment="1" applyProtection="1">
      <alignment horizontal="center" vertical="center" wrapText="1"/>
      <protection locked="0"/>
    </xf>
    <xf numFmtId="0" fontId="0" fillId="0" borderId="0" xfId="0" applyAlignment="1">
      <alignment horizontal="center" vertical="center"/>
    </xf>
    <xf numFmtId="37" fontId="65" fillId="0" borderId="1" xfId="13" applyNumberFormat="1" applyBorder="1"/>
    <xf numFmtId="37" fontId="0" fillId="4" borderId="1" xfId="0" applyNumberFormat="1" applyFill="1" applyBorder="1"/>
    <xf numFmtId="49" fontId="0" fillId="0" borderId="0" xfId="0" applyNumberFormat="1" applyAlignment="1">
      <alignment horizontal="center"/>
    </xf>
    <xf numFmtId="0" fontId="32" fillId="6" borderId="10" xfId="6" applyFont="1" applyFill="1" applyBorder="1" applyAlignment="1" applyProtection="1">
      <alignment horizontal="center"/>
    </xf>
    <xf numFmtId="0" fontId="32" fillId="6" borderId="15" xfId="6" applyFont="1" applyFill="1" applyBorder="1" applyAlignment="1" applyProtection="1">
      <alignment horizontal="center"/>
    </xf>
    <xf numFmtId="0" fontId="32" fillId="6" borderId="5" xfId="6" applyFont="1" applyFill="1" applyBorder="1" applyAlignment="1" applyProtection="1">
      <alignment horizontal="center"/>
    </xf>
    <xf numFmtId="0" fontId="6" fillId="0" borderId="8" xfId="12" applyNumberFormat="1" applyFont="1" applyFill="1" applyBorder="1" applyAlignment="1" applyProtection="1">
      <alignment horizontal="center" vertical="center" wrapText="1"/>
    </xf>
    <xf numFmtId="0" fontId="64"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6"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6" fillId="6" borderId="0" xfId="6" applyNumberFormat="1" applyFont="1" applyFill="1" applyBorder="1" applyProtection="1"/>
    <xf numFmtId="39" fontId="0" fillId="0" borderId="0" xfId="0" applyNumberFormat="1"/>
    <xf numFmtId="168" fontId="18"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3" fillId="0" borderId="1" xfId="6" applyFont="1" applyFill="1" applyBorder="1" applyAlignment="1" applyProtection="1">
      <alignment horizontal="center" vertical="top"/>
    </xf>
    <xf numFmtId="0" fontId="33" fillId="6" borderId="0" xfId="6" applyFont="1" applyFill="1" applyBorder="1" applyAlignment="1" applyProtection="1">
      <alignment horizontal="center"/>
    </xf>
    <xf numFmtId="0" fontId="17" fillId="0" borderId="13" xfId="6" applyFont="1" applyFill="1" applyBorder="1" applyProtection="1"/>
    <xf numFmtId="0" fontId="17" fillId="0" borderId="10" xfId="6" applyFont="1" applyFill="1" applyBorder="1" applyProtection="1"/>
    <xf numFmtId="0" fontId="38"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3"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2" fillId="6" borderId="3" xfId="6" applyFont="1" applyFill="1" applyBorder="1" applyProtection="1"/>
    <xf numFmtId="0" fontId="35" fillId="6" borderId="0" xfId="6" applyFont="1" applyFill="1" applyProtection="1"/>
    <xf numFmtId="49" fontId="35" fillId="6" borderId="0" xfId="6" applyNumberFormat="1" applyFont="1" applyFill="1" applyProtection="1"/>
    <xf numFmtId="0" fontId="69" fillId="0" borderId="0" xfId="0" applyFont="1" applyAlignment="1">
      <alignment vertical="top" wrapText="1"/>
    </xf>
    <xf numFmtId="168" fontId="33" fillId="6" borderId="0" xfId="0" applyNumberFormat="1" applyFont="1" applyFill="1" applyAlignment="1">
      <alignment horizontal="center"/>
    </xf>
    <xf numFmtId="0" fontId="33" fillId="6" borderId="0" xfId="6" applyFont="1" applyFill="1" applyAlignment="1" applyProtection="1">
      <alignment horizontal="center"/>
    </xf>
    <xf numFmtId="37" fontId="56" fillId="6" borderId="0" xfId="6" applyNumberFormat="1" applyFont="1" applyFill="1" applyBorder="1" applyAlignment="1" applyProtection="1">
      <alignment horizontal="center" vertical="center"/>
    </xf>
    <xf numFmtId="0" fontId="3" fillId="3" borderId="0" xfId="7" applyFont="1" applyFill="1" applyAlignment="1" applyProtection="1">
      <alignment horizontal="left"/>
      <protection locked="0"/>
    </xf>
    <xf numFmtId="167" fontId="0" fillId="0" borderId="0" xfId="0" quotePrefix="1" applyNumberFormat="1" applyAlignment="1">
      <alignment horizontal="right"/>
    </xf>
    <xf numFmtId="0" fontId="17" fillId="6" borderId="0" xfId="6" applyFont="1" applyFill="1" applyBorder="1" applyAlignment="1" applyProtection="1">
      <alignment horizontal="center"/>
    </xf>
    <xf numFmtId="37" fontId="0" fillId="0" borderId="15" xfId="0" applyNumberFormat="1" applyBorder="1" applyProtection="1">
      <protection locked="0"/>
    </xf>
    <xf numFmtId="37" fontId="68" fillId="0" borderId="1" xfId="0" applyNumberFormat="1" applyFont="1" applyBorder="1" applyProtection="1">
      <protection locked="0"/>
    </xf>
    <xf numFmtId="38" fontId="68" fillId="0" borderId="1" xfId="0" applyNumberFormat="1" applyFont="1" applyBorder="1" applyProtection="1">
      <protection locked="0"/>
    </xf>
    <xf numFmtId="0" fontId="17" fillId="6" borderId="0" xfId="6" applyFont="1" applyFill="1" applyBorder="1" applyProtection="1"/>
    <xf numFmtId="0" fontId="13" fillId="6" borderId="0" xfId="6" applyFont="1" applyFill="1" applyBorder="1" applyProtection="1"/>
    <xf numFmtId="0" fontId="70" fillId="6" borderId="0" xfId="6" applyFont="1" applyFill="1" applyAlignment="1" applyProtection="1">
      <alignment horizontal="right"/>
    </xf>
    <xf numFmtId="0" fontId="70" fillId="6" borderId="0" xfId="6" quotePrefix="1" applyFont="1" applyFill="1" applyAlignment="1" applyProtection="1">
      <alignment horizontal="right"/>
    </xf>
    <xf numFmtId="0" fontId="2" fillId="3" borderId="0" xfId="7" applyFont="1" applyFill="1" applyAlignment="1" applyProtection="1">
      <alignment horizontal="left"/>
      <protection locked="0"/>
    </xf>
    <xf numFmtId="0" fontId="68" fillId="0" borderId="0" xfId="0" applyFont="1"/>
    <xf numFmtId="49" fontId="68" fillId="0" borderId="0" xfId="0" applyNumberFormat="1" applyFont="1" applyAlignment="1">
      <alignment horizontal="right"/>
    </xf>
    <xf numFmtId="37" fontId="68" fillId="4" borderId="1" xfId="0" applyNumberFormat="1" applyFont="1" applyFill="1" applyBorder="1"/>
    <xf numFmtId="167" fontId="0" fillId="0" borderId="34" xfId="0" quotePrefix="1" applyNumberFormat="1" applyBorder="1" applyAlignment="1">
      <alignment horizontal="right"/>
    </xf>
    <xf numFmtId="168" fontId="68" fillId="5" borderId="2" xfId="0" applyNumberFormat="1" applyFont="1" applyFill="1" applyBorder="1"/>
    <xf numFmtId="168" fontId="68" fillId="5" borderId="16" xfId="0" applyNumberFormat="1" applyFont="1" applyFill="1" applyBorder="1"/>
    <xf numFmtId="167" fontId="65" fillId="0" borderId="0" xfId="9" applyNumberFormat="1" applyFont="1" applyAlignment="1">
      <alignment horizontal="right"/>
    </xf>
    <xf numFmtId="167" fontId="65" fillId="0" borderId="34" xfId="9" applyNumberFormat="1" applyFont="1" applyBorder="1" applyAlignment="1">
      <alignment horizontal="right"/>
    </xf>
    <xf numFmtId="167" fontId="65" fillId="0" borderId="0" xfId="9" applyNumberFormat="1" applyFont="1" applyAlignment="1">
      <alignment horizontal="left"/>
    </xf>
    <xf numFmtId="49" fontId="68" fillId="0" borderId="0" xfId="0" applyNumberFormat="1" applyFont="1" applyAlignment="1">
      <alignment horizontal="center"/>
    </xf>
    <xf numFmtId="168" fontId="68" fillId="5" borderId="0" xfId="0" quotePrefix="1" applyNumberFormat="1" applyFont="1" applyFill="1" applyAlignment="1">
      <alignment horizontal="left"/>
    </xf>
    <xf numFmtId="49" fontId="68" fillId="0" borderId="0" xfId="0" applyNumberFormat="1" applyFont="1"/>
    <xf numFmtId="0" fontId="68" fillId="0" borderId="0" xfId="13" applyFont="1"/>
    <xf numFmtId="0" fontId="68" fillId="0" borderId="0" xfId="0" applyFont="1" applyAlignment="1">
      <alignment horizontal="left" vertical="top"/>
    </xf>
    <xf numFmtId="0" fontId="68" fillId="0" borderId="0" xfId="0" quotePrefix="1" applyFont="1" applyAlignment="1">
      <alignment horizontal="left" vertical="top"/>
    </xf>
    <xf numFmtId="168" fontId="6" fillId="0" borderId="0" xfId="6" quotePrefix="1" applyNumberFormat="1" applyFont="1" applyFill="1" applyAlignment="1" applyProtection="1">
      <alignment vertical="top"/>
    </xf>
    <xf numFmtId="0" fontId="68" fillId="0" borderId="0" xfId="0" applyFont="1" applyAlignment="1">
      <alignment vertical="top"/>
    </xf>
    <xf numFmtId="0" fontId="0" fillId="17" borderId="1" xfId="6" applyFont="1" applyFill="1" applyBorder="1" applyAlignment="1" applyProtection="1">
      <alignment vertical="top" wrapText="1"/>
    </xf>
    <xf numFmtId="0" fontId="68" fillId="17" borderId="1" xfId="6" applyFont="1" applyFill="1" applyBorder="1" applyAlignment="1" applyProtection="1">
      <alignment vertical="top" wrapText="1"/>
    </xf>
    <xf numFmtId="168" fontId="68" fillId="5" borderId="0" xfId="10" applyNumberFormat="1" applyFont="1" applyFill="1" applyAlignment="1">
      <alignment horizontal="right"/>
    </xf>
    <xf numFmtId="0" fontId="17" fillId="6" borderId="0" xfId="6" applyFont="1" applyFill="1" applyAlignment="1" applyProtection="1">
      <alignment horizontal="center"/>
    </xf>
    <xf numFmtId="0" fontId="68" fillId="0" borderId="0" xfId="0" applyFont="1" applyAlignment="1">
      <alignment vertical="top" wrapText="1"/>
    </xf>
    <xf numFmtId="0" fontId="0" fillId="0" borderId="1" xfId="0" applyBorder="1" applyProtection="1">
      <protection locked="0"/>
    </xf>
    <xf numFmtId="0" fontId="17" fillId="6" borderId="7" xfId="6" applyFont="1" applyFill="1" applyBorder="1" applyAlignment="1" applyProtection="1">
      <alignment horizontal="center" vertical="center"/>
    </xf>
    <xf numFmtId="37" fontId="68" fillId="0" borderId="1" xfId="0" applyNumberFormat="1" applyFont="1" applyBorder="1"/>
    <xf numFmtId="168" fontId="68" fillId="0" borderId="0" xfId="0" applyNumberFormat="1" applyFont="1"/>
    <xf numFmtId="174" fontId="38" fillId="0" borderId="1" xfId="7" applyNumberFormat="1" applyFont="1" applyBorder="1" applyProtection="1">
      <protection locked="0"/>
    </xf>
    <xf numFmtId="37" fontId="18" fillId="17" borderId="0" xfId="0" applyNumberFormat="1" applyFont="1" applyFill="1" applyAlignment="1">
      <alignment horizontal="left" indent="1"/>
    </xf>
    <xf numFmtId="37" fontId="18" fillId="17" borderId="0" xfId="0" applyNumberFormat="1" applyFont="1" applyFill="1"/>
    <xf numFmtId="37" fontId="68" fillId="17" borderId="0" xfId="0" applyNumberFormat="1" applyFont="1" applyFill="1"/>
    <xf numFmtId="14" fontId="0" fillId="0" borderId="0" xfId="0" applyNumberFormat="1"/>
    <xf numFmtId="0" fontId="6"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8"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68" fillId="0" borderId="1" xfId="0" applyNumberFormat="1" applyFont="1" applyBorder="1" applyAlignment="1">
      <alignment horizontal="justify" vertical="top"/>
    </xf>
    <xf numFmtId="168" fontId="68"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8"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8"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5" fillId="0" borderId="1" xfId="0" applyFont="1" applyBorder="1" applyAlignment="1">
      <alignment vertical="top" wrapText="1"/>
    </xf>
    <xf numFmtId="0" fontId="0" fillId="0" borderId="1" xfId="0" applyBorder="1"/>
    <xf numFmtId="0" fontId="68"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27" fillId="0" borderId="10" xfId="0" applyNumberFormat="1" applyFont="1" applyBorder="1" applyAlignment="1">
      <alignment horizontal="center" vertical="top" wrapText="1"/>
    </xf>
    <xf numFmtId="168" fontId="27" fillId="0" borderId="1" xfId="0" applyNumberFormat="1" applyFont="1" applyBorder="1" applyAlignment="1">
      <alignment horizontal="justify" vertical="top" wrapText="1"/>
    </xf>
    <xf numFmtId="0" fontId="65" fillId="5" borderId="1" xfId="0" applyFont="1" applyFill="1" applyBorder="1"/>
    <xf numFmtId="0" fontId="34"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5"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19" fillId="0" borderId="1" xfId="0" applyFont="1" applyBorder="1" applyAlignment="1">
      <alignment vertical="top" wrapText="1"/>
    </xf>
    <xf numFmtId="168" fontId="30"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19" fillId="0" borderId="10" xfId="0" applyFont="1" applyBorder="1" applyAlignment="1">
      <alignment vertical="top" wrapText="1"/>
    </xf>
    <xf numFmtId="168" fontId="0" fillId="0" borderId="5" xfId="0" applyNumberFormat="1" applyBorder="1" applyAlignment="1">
      <alignment horizontal="justify" vertical="top"/>
    </xf>
    <xf numFmtId="0" fontId="19" fillId="0" borderId="5" xfId="0" applyFont="1" applyBorder="1" applyAlignment="1">
      <alignment vertical="top" wrapText="1"/>
    </xf>
    <xf numFmtId="0" fontId="13" fillId="17" borderId="1" xfId="6" quotePrefix="1" applyFont="1" applyFill="1" applyBorder="1" applyAlignment="1" applyProtection="1">
      <alignment horizontal="center" vertical="top" wrapText="1"/>
    </xf>
    <xf numFmtId="0" fontId="68" fillId="17" borderId="1" xfId="0" applyFont="1" applyFill="1" applyBorder="1" applyAlignment="1">
      <alignment horizontal="center" vertical="top" wrapText="1"/>
    </xf>
    <xf numFmtId="0" fontId="68" fillId="17" borderId="1" xfId="0" quotePrefix="1" applyFont="1" applyFill="1" applyBorder="1" applyAlignment="1">
      <alignment horizontal="left" vertical="top" wrapText="1"/>
    </xf>
    <xf numFmtId="0" fontId="68" fillId="17" borderId="1" xfId="0" applyFont="1" applyFill="1" applyBorder="1" applyAlignment="1">
      <alignment horizontal="left" vertical="top" wrapText="1"/>
    </xf>
    <xf numFmtId="0" fontId="68"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30" fillId="17" borderId="1" xfId="0" applyFont="1" applyFill="1" applyBorder="1" applyAlignment="1">
      <alignment horizontal="justify" vertical="top" wrapText="1"/>
    </xf>
    <xf numFmtId="0" fontId="6" fillId="17" borderId="1" xfId="0" applyFont="1" applyFill="1" applyBorder="1" applyAlignment="1">
      <alignment horizontal="justify" vertical="top" wrapText="1"/>
    </xf>
    <xf numFmtId="0" fontId="68" fillId="17" borderId="5" xfId="0" applyFont="1" applyFill="1" applyBorder="1" applyAlignment="1">
      <alignment horizontal="justify" vertical="top" wrapText="1"/>
    </xf>
    <xf numFmtId="0" fontId="68" fillId="17" borderId="12" xfId="0" applyFont="1" applyFill="1" applyBorder="1" applyAlignment="1">
      <alignment horizontal="justify" vertical="top" wrapText="1"/>
    </xf>
    <xf numFmtId="0" fontId="0" fillId="17" borderId="10" xfId="0" applyFill="1" applyBorder="1" applyAlignment="1">
      <alignment horizontal="left" vertical="top" wrapText="1"/>
    </xf>
    <xf numFmtId="0" fontId="64" fillId="17" borderId="5" xfId="6" applyFont="1" applyFill="1" applyBorder="1" applyProtection="1"/>
    <xf numFmtId="0" fontId="0" fillId="17"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8" fillId="0" borderId="1" xfId="0" applyFont="1" applyBorder="1" applyAlignment="1">
      <alignment horizontal="justify" vertical="top" wrapText="1"/>
    </xf>
    <xf numFmtId="168" fontId="68" fillId="0" borderId="1" xfId="0" applyNumberFormat="1" applyFont="1" applyBorder="1" applyAlignment="1">
      <alignment horizontal="left" vertical="top" wrapText="1"/>
    </xf>
    <xf numFmtId="0" fontId="53"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59" fillId="0" borderId="1" xfId="0" applyFont="1" applyBorder="1"/>
    <xf numFmtId="0" fontId="0" fillId="0" borderId="9" xfId="0" applyBorder="1" applyAlignment="1">
      <alignment horizontal="center" vertical="top" wrapText="1"/>
    </xf>
    <xf numFmtId="0" fontId="59" fillId="0" borderId="8" xfId="0" applyFont="1" applyBorder="1"/>
    <xf numFmtId="0" fontId="0" fillId="0" borderId="1" xfId="0" applyBorder="1" applyAlignment="1">
      <alignment horizontal="left" vertical="top"/>
    </xf>
    <xf numFmtId="0" fontId="68" fillId="0" borderId="1" xfId="0" applyFont="1" applyBorder="1" applyAlignment="1">
      <alignment vertical="top" wrapText="1"/>
    </xf>
    <xf numFmtId="0" fontId="0" fillId="0" borderId="1" xfId="0" applyBorder="1" applyAlignment="1">
      <alignment horizontal="left"/>
    </xf>
    <xf numFmtId="0" fontId="5" fillId="0" borderId="0" xfId="7" applyAlignment="1" applyProtection="1">
      <alignment horizontal="right" vertical="top"/>
      <protection locked="0"/>
    </xf>
    <xf numFmtId="0" fontId="5" fillId="0" borderId="0" xfId="7" applyAlignment="1" applyProtection="1">
      <alignment horizontal="right" vertical="top" wrapText="1"/>
      <protection locked="0"/>
    </xf>
    <xf numFmtId="0" fontId="5" fillId="0" borderId="0" xfId="7" applyAlignment="1" applyProtection="1">
      <alignment horizontal="right"/>
      <protection locked="0"/>
    </xf>
    <xf numFmtId="0" fontId="62" fillId="0" borderId="0" xfId="0" applyFont="1" applyAlignment="1" applyProtection="1">
      <alignment horizontal="right" vertical="center"/>
      <protection locked="0"/>
    </xf>
    <xf numFmtId="0" fontId="47" fillId="4" borderId="0" xfId="0" applyFont="1" applyFill="1" applyAlignment="1" applyProtection="1">
      <alignment horizontal="right"/>
      <protection locked="0"/>
    </xf>
    <xf numFmtId="0" fontId="38" fillId="0" borderId="0" xfId="7" applyFont="1" applyAlignment="1" applyProtection="1">
      <alignment horizontal="right" vertical="top"/>
      <protection locked="0"/>
    </xf>
    <xf numFmtId="49" fontId="41" fillId="0" borderId="0" xfId="7" applyNumberFormat="1" applyFont="1" applyAlignment="1" applyProtection="1">
      <alignment horizontal="right"/>
      <protection locked="0"/>
    </xf>
    <xf numFmtId="0" fontId="5" fillId="0" borderId="0" xfId="7" applyAlignment="1" applyProtection="1">
      <alignment horizontal="right" indent="1"/>
      <protection locked="0"/>
    </xf>
    <xf numFmtId="0" fontId="40" fillId="2" borderId="1" xfId="7" applyFont="1" applyFill="1" applyBorder="1" applyAlignment="1" applyProtection="1">
      <alignment horizontal="left"/>
      <protection locked="0"/>
    </xf>
    <xf numFmtId="0" fontId="5" fillId="0" borderId="0" xfId="7" applyAlignment="1" applyProtection="1">
      <alignment horizontal="left"/>
      <protection locked="0"/>
    </xf>
    <xf numFmtId="0" fontId="47" fillId="4" borderId="0" xfId="0" applyFont="1" applyFill="1" applyAlignment="1" applyProtection="1">
      <alignment horizontal="left"/>
      <protection locked="0"/>
    </xf>
    <xf numFmtId="0" fontId="5" fillId="0" borderId="2" xfId="7" applyBorder="1" applyProtection="1">
      <protection locked="0"/>
    </xf>
    <xf numFmtId="40" fontId="1" fillId="0" borderId="0" xfId="7" applyNumberFormat="1" applyFont="1" applyProtection="1">
      <protection locked="0"/>
    </xf>
    <xf numFmtId="40" fontId="1" fillId="0" borderId="0" xfId="7" applyNumberFormat="1" applyFont="1" applyAlignment="1" applyProtection="1">
      <alignment horizontal="right" vertical="top"/>
      <protection locked="0"/>
    </xf>
    <xf numFmtId="40" fontId="1" fillId="0" borderId="0" xfId="7" applyNumberFormat="1" applyFont="1" applyAlignment="1" applyProtection="1">
      <alignment horizontal="right"/>
      <protection locked="0"/>
    </xf>
    <xf numFmtId="14" fontId="47" fillId="0" borderId="3" xfId="0" applyNumberFormat="1" applyFont="1" applyBorder="1" applyProtection="1">
      <protection locked="0"/>
    </xf>
    <xf numFmtId="0" fontId="0" fillId="0" borderId="3" xfId="0" applyBorder="1"/>
    <xf numFmtId="0" fontId="0" fillId="0" borderId="7" xfId="0" applyBorder="1" applyAlignment="1">
      <alignment horizontal="center"/>
    </xf>
    <xf numFmtId="0" fontId="47" fillId="0" borderId="3" xfId="0" applyFont="1" applyBorder="1" applyProtection="1">
      <protection locked="0"/>
    </xf>
    <xf numFmtId="0" fontId="0" fillId="0" borderId="3" xfId="0" applyBorder="1" applyAlignment="1" applyProtection="1">
      <alignment horizontal="center"/>
      <protection locked="0"/>
    </xf>
    <xf numFmtId="0" fontId="47" fillId="0" borderId="0" xfId="0" applyFont="1" applyProtection="1">
      <protection locked="0"/>
    </xf>
    <xf numFmtId="0" fontId="47" fillId="4" borderId="0" xfId="0" applyFont="1" applyFill="1"/>
    <xf numFmtId="0" fontId="34" fillId="4" borderId="0" xfId="0" applyFont="1" applyFill="1" applyAlignment="1">
      <alignment horizontal="left" vertical="top" wrapText="1"/>
    </xf>
    <xf numFmtId="0" fontId="22" fillId="4" borderId="0" xfId="0" applyFont="1" applyFill="1" applyAlignment="1">
      <alignment vertical="top" wrapText="1"/>
    </xf>
    <xf numFmtId="0" fontId="10" fillId="0" borderId="0" xfId="0" applyFont="1" applyAlignment="1">
      <alignment horizontal="center"/>
    </xf>
    <xf numFmtId="0" fontId="11" fillId="0" borderId="0" xfId="0" applyFont="1" applyAlignment="1">
      <alignment horizontal="center"/>
    </xf>
    <xf numFmtId="0" fontId="0" fillId="0" borderId="0" xfId="0"/>
    <xf numFmtId="0" fontId="34" fillId="0" borderId="0" xfId="0" applyFont="1" applyAlignment="1">
      <alignment horizontal="left" vertical="center" wrapText="1"/>
    </xf>
    <xf numFmtId="0" fontId="34" fillId="0" borderId="14" xfId="0" applyFont="1" applyBorder="1" applyAlignment="1">
      <alignment horizontal="left" vertical="center" wrapText="1"/>
    </xf>
    <xf numFmtId="0" fontId="7" fillId="16" borderId="0" xfId="6" applyFont="1" applyFill="1" applyAlignment="1" applyProtection="1">
      <alignment horizontal="center" wrapText="1"/>
    </xf>
    <xf numFmtId="0" fontId="32"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68" fillId="0" borderId="0" xfId="0" applyFont="1" applyAlignment="1">
      <alignment horizontal="center" wrapText="1"/>
    </xf>
    <xf numFmtId="0" fontId="0" fillId="0" borderId="7" xfId="0" applyBorder="1" applyAlignment="1">
      <alignment horizontal="center" vertical="top"/>
    </xf>
    <xf numFmtId="0" fontId="0" fillId="0" borderId="0" xfId="0" applyAlignment="1">
      <alignment horizontal="center"/>
    </xf>
    <xf numFmtId="0" fontId="34" fillId="4" borderId="0" xfId="0" applyFont="1" applyFill="1" applyAlignment="1">
      <alignment horizontal="left" vertical="center" wrapText="1"/>
    </xf>
    <xf numFmtId="0" fontId="34" fillId="4" borderId="14" xfId="0" applyFont="1" applyFill="1" applyBorder="1" applyAlignment="1">
      <alignment horizontal="left" vertical="center" wrapText="1"/>
    </xf>
    <xf numFmtId="0" fontId="6" fillId="0" borderId="0" xfId="0" applyFont="1" applyAlignment="1">
      <alignment horizontal="left"/>
    </xf>
    <xf numFmtId="37" fontId="51" fillId="4" borderId="3" xfId="0" applyNumberFormat="1" applyFont="1" applyFill="1" applyBorder="1"/>
    <xf numFmtId="0" fontId="68" fillId="0" borderId="0" xfId="0" applyFont="1"/>
    <xf numFmtId="0" fontId="0" fillId="0" borderId="0" xfId="0" applyAlignment="1">
      <alignment horizontal="justify" wrapText="1"/>
    </xf>
    <xf numFmtId="0" fontId="0" fillId="0" borderId="3" xfId="0" applyBorder="1" applyProtection="1">
      <protection locked="0"/>
    </xf>
    <xf numFmtId="0" fontId="0" fillId="0" borderId="0" xfId="0" applyAlignment="1">
      <alignment horizontal="center" wrapText="1"/>
    </xf>
    <xf numFmtId="0" fontId="0" fillId="0" borderId="0" xfId="0" applyAlignment="1">
      <alignment horizontal="center" vertical="top"/>
    </xf>
    <xf numFmtId="49" fontId="0" fillId="0" borderId="3" xfId="0" applyNumberFormat="1" applyBorder="1" applyAlignment="1">
      <alignment horizontal="center"/>
    </xf>
    <xf numFmtId="0" fontId="0" fillId="0" borderId="3" xfId="0" applyBorder="1" applyAlignment="1">
      <alignment horizontal="center"/>
    </xf>
    <xf numFmtId="49" fontId="47" fillId="4" borderId="3" xfId="0" applyNumberFormat="1" applyFont="1" applyFill="1" applyBorder="1" applyProtection="1">
      <protection locked="0"/>
    </xf>
    <xf numFmtId="49" fontId="0" fillId="4" borderId="3" xfId="0" applyNumberFormat="1" applyFill="1" applyBorder="1" applyProtection="1">
      <protection locked="0"/>
    </xf>
    <xf numFmtId="0" fontId="23" fillId="0" borderId="1" xfId="0" applyFont="1" applyBorder="1" applyAlignment="1">
      <alignment horizontal="center" wrapText="1"/>
    </xf>
    <xf numFmtId="6" fontId="23" fillId="0" borderId="1" xfId="0" applyNumberFormat="1" applyFont="1" applyBorder="1" applyAlignment="1">
      <alignment horizontal="center"/>
    </xf>
    <xf numFmtId="0" fontId="17" fillId="6" borderId="0" xfId="6" applyFont="1" applyFill="1" applyBorder="1" applyAlignment="1" applyProtection="1">
      <alignment horizontal="center"/>
    </xf>
    <xf numFmtId="0" fontId="0" fillId="0" borderId="0" xfId="0" applyAlignment="1">
      <alignment horizontal="left"/>
    </xf>
    <xf numFmtId="0" fontId="6" fillId="0" borderId="0" xfId="0" applyFont="1"/>
    <xf numFmtId="10" fontId="51"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51" fillId="0" borderId="10" xfId="0" applyNumberFormat="1" applyFont="1" applyBorder="1" applyAlignment="1">
      <alignment horizontal="right"/>
    </xf>
    <xf numFmtId="37" fontId="51" fillId="0" borderId="5" xfId="0" applyNumberFormat="1" applyFont="1" applyBorder="1" applyAlignment="1">
      <alignment horizontal="right"/>
    </xf>
    <xf numFmtId="0" fontId="0" fillId="0" borderId="0" xfId="0" applyAlignment="1">
      <alignment horizontal="left" wrapText="1"/>
    </xf>
    <xf numFmtId="10" fontId="51" fillId="4" borderId="15" xfId="0" applyNumberFormat="1" applyFont="1" applyFill="1" applyBorder="1"/>
    <xf numFmtId="10" fontId="0" fillId="4" borderId="5" xfId="0" applyNumberFormat="1" applyFill="1" applyBorder="1"/>
    <xf numFmtId="0" fontId="0" fillId="0" borderId="9" xfId="9" applyFont="1" applyBorder="1" applyAlignment="1">
      <alignment horizontal="center"/>
    </xf>
    <xf numFmtId="0" fontId="0" fillId="0" borderId="8" xfId="9" applyFont="1" applyBorder="1" applyAlignment="1">
      <alignment horizontal="center"/>
    </xf>
    <xf numFmtId="0" fontId="25" fillId="0" borderId="0" xfId="0" applyFont="1" applyAlignment="1">
      <alignment horizontal="left" vertical="center" wrapText="1"/>
    </xf>
    <xf numFmtId="0" fontId="17" fillId="6" borderId="3" xfId="6" applyFont="1" applyFill="1" applyBorder="1" applyProtection="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 xfId="0" applyNumberFormat="1" applyFill="1" applyBorder="1" applyAlignment="1">
      <alignment horizontal="center"/>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37" fontId="51"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37" fontId="0" fillId="9" borderId="16" xfId="0" applyNumberFormat="1" applyFill="1" applyBorder="1" applyAlignment="1">
      <alignment horizontal="center"/>
    </xf>
    <xf numFmtId="0" fontId="0" fillId="0" borderId="4" xfId="0" applyBorder="1" applyAlignment="1">
      <alignment horizontal="center"/>
    </xf>
    <xf numFmtId="37" fontId="51" fillId="0" borderId="5" xfId="0" applyNumberFormat="1" applyFont="1" applyBorder="1"/>
    <xf numFmtId="37" fontId="0" fillId="0" borderId="1" xfId="0" applyNumberFormat="1" applyBorder="1"/>
    <xf numFmtId="0" fontId="6" fillId="0" borderId="3" xfId="0" applyFont="1" applyBorder="1" applyAlignment="1">
      <alignment horizontal="center"/>
    </xf>
    <xf numFmtId="0" fontId="6" fillId="0" borderId="0" xfId="0" applyFont="1" applyAlignment="1">
      <alignment horizontal="center"/>
    </xf>
    <xf numFmtId="0" fontId="32" fillId="6" borderId="10" xfId="6" applyFont="1" applyFill="1" applyBorder="1" applyAlignment="1" applyProtection="1">
      <alignment horizontal="center" wrapText="1"/>
    </xf>
    <xf numFmtId="0" fontId="32" fillId="6" borderId="15" xfId="6" applyFont="1" applyFill="1" applyBorder="1" applyAlignment="1" applyProtection="1">
      <alignment horizontal="center" wrapText="1"/>
    </xf>
    <xf numFmtId="0" fontId="32" fillId="6" borderId="35" xfId="6" applyFont="1" applyFill="1" applyBorder="1" applyAlignment="1" applyProtection="1">
      <alignment horizontal="center" wrapText="1"/>
    </xf>
    <xf numFmtId="49" fontId="32" fillId="6" borderId="0" xfId="6" applyNumberFormat="1" applyFont="1" applyFill="1" applyBorder="1" applyAlignment="1" applyProtection="1">
      <alignment horizontal="left" vertical="top" wrapText="1"/>
    </xf>
    <xf numFmtId="0" fontId="7" fillId="0" borderId="12" xfId="0" applyFont="1" applyBorder="1" applyAlignment="1">
      <alignment horizontal="center" wrapText="1"/>
    </xf>
    <xf numFmtId="0" fontId="7" fillId="0" borderId="7" xfId="0" applyFont="1" applyBorder="1" applyAlignment="1">
      <alignment horizontal="center" wrapText="1"/>
    </xf>
    <xf numFmtId="0" fontId="7" fillId="0" borderId="13" xfId="0" applyFont="1" applyBorder="1" applyAlignment="1">
      <alignment horizontal="center" wrapText="1"/>
    </xf>
    <xf numFmtId="0" fontId="32" fillId="6" borderId="0" xfId="6" applyFont="1" applyFill="1" applyAlignment="1" applyProtection="1">
      <alignment wrapText="1"/>
    </xf>
    <xf numFmtId="0" fontId="32" fillId="6" borderId="0" xfId="6" applyFont="1" applyFill="1" applyBorder="1" applyAlignment="1" applyProtection="1">
      <alignment wrapText="1"/>
    </xf>
    <xf numFmtId="0" fontId="32" fillId="6" borderId="0" xfId="6" applyFont="1" applyFill="1" applyAlignment="1" applyProtection="1">
      <alignment horizontal="left" vertical="top"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7" fillId="0" borderId="2" xfId="0" applyFont="1" applyBorder="1" applyAlignment="1">
      <alignment horizontal="center" wrapText="1"/>
    </xf>
    <xf numFmtId="0" fontId="7" fillId="0" borderId="14" xfId="0" applyFont="1" applyBorder="1" applyAlignment="1">
      <alignment horizontal="center" wrapText="1"/>
    </xf>
    <xf numFmtId="49" fontId="51"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7" fillId="0" borderId="16" xfId="0" applyFont="1" applyBorder="1" applyAlignment="1">
      <alignment horizontal="center" wrapText="1"/>
    </xf>
    <xf numFmtId="0" fontId="7" fillId="0" borderId="17" xfId="0" applyFont="1" applyBorder="1" applyAlignment="1">
      <alignment horizontal="center" wrapText="1"/>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0" fontId="7" fillId="0" borderId="0" xfId="0" applyFont="1" applyAlignment="1">
      <alignment horizontal="center" wrapText="1"/>
    </xf>
    <xf numFmtId="0" fontId="7" fillId="0" borderId="3" xfId="0" applyFont="1" applyBorder="1" applyAlignment="1">
      <alignment horizontal="center" wrapText="1"/>
    </xf>
    <xf numFmtId="37" fontId="51" fillId="0" borderId="10" xfId="0" applyNumberFormat="1" applyFont="1" applyBorder="1"/>
    <xf numFmtId="37" fontId="0" fillId="0" borderId="33" xfId="0" applyNumberFormat="1" applyBorder="1" applyAlignment="1">
      <alignment horizontal="right"/>
    </xf>
    <xf numFmtId="0" fontId="13" fillId="6" borderId="0" xfId="6" applyFont="1" applyFill="1" applyAlignment="1" applyProtection="1">
      <alignment horizontal="left" vertical="center" wrapText="1"/>
    </xf>
    <xf numFmtId="0" fontId="13" fillId="6" borderId="0" xfId="6" applyFont="1" applyFill="1" applyBorder="1" applyAlignment="1" applyProtection="1">
      <alignment horizontal="left" vertical="center" wrapText="1"/>
    </xf>
    <xf numFmtId="37" fontId="51"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37" fontId="51" fillId="4" borderId="5" xfId="0" applyNumberFormat="1" applyFont="1" applyFill="1" applyBorder="1"/>
    <xf numFmtId="37" fontId="0" fillId="4" borderId="21" xfId="0" applyNumberFormat="1" applyFill="1" applyBorder="1"/>
    <xf numFmtId="0" fontId="32" fillId="6" borderId="0" xfId="6" applyFont="1" applyFill="1" applyAlignment="1" applyProtection="1">
      <alignment horizontal="left"/>
    </xf>
    <xf numFmtId="0" fontId="0" fillId="0" borderId="0" xfId="6" applyFont="1" applyFill="1" applyBorder="1" applyAlignment="1" applyProtection="1">
      <alignment horizontal="left" wrapText="1"/>
    </xf>
    <xf numFmtId="0" fontId="32" fillId="6" borderId="0" xfId="6" applyFont="1" applyFill="1" applyAlignment="1" applyProtection="1">
      <alignment vertical="top" wrapText="1"/>
    </xf>
    <xf numFmtId="0" fontId="17" fillId="6" borderId="0" xfId="6" applyFont="1" applyFill="1" applyAlignment="1" applyProtection="1">
      <alignment horizontal="center"/>
    </xf>
    <xf numFmtId="0" fontId="32"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0" fontId="68" fillId="17" borderId="0" xfId="0" applyFont="1" applyFill="1" applyAlignment="1">
      <alignment wrapText="1"/>
    </xf>
    <xf numFmtId="168" fontId="32" fillId="6" borderId="0" xfId="6" applyNumberFormat="1" applyFont="1" applyFill="1" applyBorder="1" applyAlignment="1" applyProtection="1">
      <alignment horizontal="left"/>
    </xf>
    <xf numFmtId="0" fontId="68" fillId="0" borderId="0" xfId="0" applyFont="1" applyAlignment="1">
      <alignment wrapText="1"/>
    </xf>
    <xf numFmtId="168" fontId="68" fillId="5" borderId="0" xfId="0" applyNumberFormat="1" applyFont="1" applyFill="1" applyAlignment="1">
      <alignment horizontal="left"/>
    </xf>
    <xf numFmtId="168" fontId="68" fillId="5" borderId="14" xfId="0" applyNumberFormat="1" applyFont="1" applyFill="1" applyBorder="1" applyAlignment="1">
      <alignment horizontal="left"/>
    </xf>
    <xf numFmtId="168" fontId="0" fillId="5" borderId="0" xfId="0" applyNumberFormat="1" applyFill="1" applyAlignment="1">
      <alignment horizontal="left"/>
    </xf>
    <xf numFmtId="168" fontId="0" fillId="5" borderId="14" xfId="0" applyNumberFormat="1" applyFill="1" applyBorder="1" applyAlignment="1">
      <alignment horizontal="left"/>
    </xf>
    <xf numFmtId="168" fontId="30" fillId="5" borderId="0" xfId="0" applyNumberFormat="1" applyFont="1" applyFill="1" applyAlignment="1">
      <alignment horizontal="left"/>
    </xf>
    <xf numFmtId="0" fontId="0" fillId="0" borderId="0" xfId="0" quotePrefix="1" applyAlignment="1">
      <alignment horizontal="left"/>
    </xf>
    <xf numFmtId="168" fontId="6" fillId="5" borderId="0" xfId="0" applyNumberFormat="1" applyFont="1" applyFill="1" applyAlignment="1">
      <alignment horizontal="center"/>
    </xf>
    <xf numFmtId="0" fontId="0" fillId="0" borderId="1" xfId="0" applyBorder="1" applyAlignment="1">
      <alignment horizontal="center"/>
    </xf>
    <xf numFmtId="168" fontId="30" fillId="5" borderId="14" xfId="0" applyNumberFormat="1" applyFont="1" applyFill="1" applyBorder="1" applyAlignment="1">
      <alignment horizontal="left"/>
    </xf>
    <xf numFmtId="0" fontId="30" fillId="0" borderId="9" xfId="10" applyFont="1" applyBorder="1" applyAlignment="1">
      <alignment horizontal="left"/>
    </xf>
    <xf numFmtId="0" fontId="30" fillId="0" borderId="4" xfId="10" applyFont="1" applyBorder="1" applyAlignment="1">
      <alignment horizontal="left"/>
    </xf>
    <xf numFmtId="0" fontId="30" fillId="0" borderId="8" xfId="10" applyFont="1" applyBorder="1" applyAlignment="1">
      <alignment horizontal="left"/>
    </xf>
    <xf numFmtId="168" fontId="34" fillId="0" borderId="0" xfId="10" applyNumberFormat="1" applyFont="1" applyAlignment="1">
      <alignment horizontal="center" vertical="center" wrapText="1"/>
    </xf>
    <xf numFmtId="168" fontId="34" fillId="0" borderId="0" xfId="10" quotePrefix="1" applyNumberFormat="1" applyFont="1" applyAlignment="1">
      <alignment horizontal="center" vertical="center" wrapText="1"/>
    </xf>
    <xf numFmtId="0" fontId="17" fillId="6" borderId="9" xfId="6" applyFont="1" applyFill="1" applyBorder="1" applyProtection="1"/>
    <xf numFmtId="0" fontId="17" fillId="6" borderId="4" xfId="6" applyFont="1" applyFill="1" applyBorder="1" applyProtection="1"/>
    <xf numFmtId="0" fontId="17" fillId="6" borderId="8" xfId="6" applyFont="1" applyFill="1" applyBorder="1" applyProtection="1"/>
    <xf numFmtId="168" fontId="30"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17" fillId="6" borderId="12" xfId="6" applyFont="1" applyFill="1" applyBorder="1" applyProtection="1"/>
    <xf numFmtId="0" fontId="17" fillId="6" borderId="7" xfId="6" applyFont="1" applyFill="1" applyBorder="1" applyProtection="1"/>
    <xf numFmtId="0" fontId="17" fillId="6" borderId="13" xfId="6" applyFont="1" applyFill="1" applyBorder="1" applyProtection="1"/>
    <xf numFmtId="0" fontId="17" fillId="6" borderId="16" xfId="6" applyFont="1" applyFill="1" applyBorder="1" applyProtection="1"/>
    <xf numFmtId="0" fontId="17" fillId="6" borderId="17" xfId="6" applyFont="1" applyFill="1" applyBorder="1" applyProtection="1"/>
    <xf numFmtId="0" fontId="30" fillId="0" borderId="9" xfId="0" applyFont="1" applyBorder="1"/>
    <xf numFmtId="0" fontId="30" fillId="0" borderId="4" xfId="0" applyFont="1" applyBorder="1"/>
    <xf numFmtId="0" fontId="30" fillId="0" borderId="8" xfId="0" applyFont="1" applyBorder="1"/>
    <xf numFmtId="168" fontId="45" fillId="0" borderId="7" xfId="12" applyNumberFormat="1" applyFont="1" applyFill="1" applyBorder="1" applyAlignment="1" applyProtection="1">
      <alignment horizontal="left" vertical="top"/>
    </xf>
    <xf numFmtId="168" fontId="45" fillId="0" borderId="0" xfId="12" applyNumberFormat="1" applyFont="1" applyFill="1" applyBorder="1" applyAlignment="1" applyProtection="1">
      <alignment horizontal="left" vertical="top"/>
    </xf>
    <xf numFmtId="0" fontId="54" fillId="0" borderId="9" xfId="10" applyFont="1" applyBorder="1" applyAlignment="1">
      <alignment horizontal="center"/>
    </xf>
    <xf numFmtId="0" fontId="54" fillId="0" borderId="4" xfId="10" applyFont="1" applyBorder="1" applyAlignment="1">
      <alignment horizontal="center"/>
    </xf>
    <xf numFmtId="0" fontId="54" fillId="0" borderId="8" xfId="10" applyFont="1" applyBorder="1" applyAlignment="1">
      <alignment horizontal="center"/>
    </xf>
    <xf numFmtId="168" fontId="30" fillId="5" borderId="10" xfId="10" applyNumberFormat="1" applyFont="1" applyFill="1" applyBorder="1" applyAlignment="1">
      <alignment horizontal="center" vertical="center"/>
    </xf>
    <xf numFmtId="168" fontId="30" fillId="5" borderId="15" xfId="10" applyNumberFormat="1" applyFont="1" applyFill="1" applyBorder="1" applyAlignment="1">
      <alignment horizontal="center" vertical="center"/>
    </xf>
    <xf numFmtId="168" fontId="30" fillId="5" borderId="5" xfId="10" applyNumberFormat="1" applyFont="1" applyFill="1" applyBorder="1" applyAlignment="1">
      <alignment horizontal="center" vertical="center"/>
    </xf>
    <xf numFmtId="168" fontId="54" fillId="5" borderId="0" xfId="10" applyNumberFormat="1" applyFont="1" applyFill="1"/>
    <xf numFmtId="168" fontId="54" fillId="5" borderId="14" xfId="10" applyNumberFormat="1" applyFont="1" applyFill="1" applyBorder="1"/>
    <xf numFmtId="168" fontId="54" fillId="5" borderId="3" xfId="10" applyNumberFormat="1" applyFont="1" applyFill="1" applyBorder="1"/>
    <xf numFmtId="168" fontId="54" fillId="5" borderId="17" xfId="10" applyNumberFormat="1" applyFont="1" applyFill="1" applyBorder="1"/>
    <xf numFmtId="168" fontId="34" fillId="0" borderId="0" xfId="10" applyNumberFormat="1" applyFont="1" applyAlignment="1">
      <alignment horizontal="center" wrapText="1"/>
    </xf>
    <xf numFmtId="0" fontId="30" fillId="0" borderId="3" xfId="10" applyFont="1" applyBorder="1" applyAlignment="1">
      <alignment horizontal="center"/>
    </xf>
    <xf numFmtId="168" fontId="17" fillId="6" borderId="10" xfId="12" applyNumberFormat="1" applyFont="1" applyFill="1" applyBorder="1" applyAlignment="1" applyProtection="1">
      <alignment horizontal="center" wrapText="1"/>
    </xf>
    <xf numFmtId="168" fontId="17" fillId="6" borderId="5" xfId="12" applyNumberFormat="1" applyFont="1" applyFill="1" applyBorder="1" applyAlignment="1" applyProtection="1">
      <alignment horizontal="center" wrapText="1"/>
    </xf>
    <xf numFmtId="168" fontId="33" fillId="6" borderId="10" xfId="12" applyNumberFormat="1" applyFont="1" applyFill="1" applyBorder="1" applyAlignment="1" applyProtection="1">
      <alignment horizontal="center" wrapText="1"/>
    </xf>
    <xf numFmtId="168" fontId="33" fillId="6" borderId="5" xfId="12" applyNumberFormat="1" applyFont="1" applyFill="1" applyBorder="1" applyAlignment="1" applyProtection="1">
      <alignment horizontal="center" wrapText="1"/>
    </xf>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7"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6" fillId="0" borderId="0" xfId="0" applyFont="1" applyAlignment="1">
      <alignment horizontal="right"/>
    </xf>
    <xf numFmtId="0" fontId="66" fillId="6" borderId="10" xfId="6" applyFont="1" applyFill="1" applyBorder="1" applyAlignment="1" applyProtection="1">
      <alignment horizontal="center"/>
    </xf>
    <xf numFmtId="0" fontId="66" fillId="6" borderId="5" xfId="6" applyFont="1" applyFill="1" applyBorder="1" applyAlignment="1" applyProtection="1">
      <alignment horizontal="center"/>
    </xf>
    <xf numFmtId="0" fontId="66" fillId="6" borderId="10" xfId="6" applyFont="1" applyFill="1" applyBorder="1" applyAlignment="1" applyProtection="1">
      <alignment horizontal="center" wrapText="1"/>
    </xf>
    <xf numFmtId="0" fontId="66" fillId="6" borderId="5" xfId="6" applyFont="1" applyFill="1" applyBorder="1" applyAlignment="1" applyProtection="1">
      <alignment horizontal="center" wrapText="1"/>
    </xf>
    <xf numFmtId="38" fontId="49" fillId="0" borderId="24" xfId="13" applyNumberFormat="1" applyFont="1" applyBorder="1" applyAlignment="1">
      <alignment horizontal="center" wrapText="1"/>
    </xf>
    <xf numFmtId="38" fontId="49" fillId="0" borderId="15" xfId="13" applyNumberFormat="1" applyFont="1" applyBorder="1" applyAlignment="1">
      <alignment horizontal="center" wrapText="1"/>
    </xf>
    <xf numFmtId="38" fontId="49" fillId="0" borderId="10" xfId="13" applyNumberFormat="1" applyFont="1" applyBorder="1" applyAlignment="1">
      <alignment horizontal="center" wrapText="1"/>
    </xf>
    <xf numFmtId="0" fontId="65" fillId="0" borderId="3" xfId="13" applyBorder="1" applyAlignment="1">
      <alignment horizontal="center"/>
    </xf>
    <xf numFmtId="37" fontId="49" fillId="0" borderId="22" xfId="13" applyNumberFormat="1" applyFont="1" applyBorder="1" applyAlignment="1">
      <alignment horizontal="center" wrapText="1"/>
    </xf>
    <xf numFmtId="37" fontId="49" fillId="0" borderId="25" xfId="13" applyNumberFormat="1" applyFont="1" applyBorder="1" applyAlignment="1">
      <alignment horizontal="center" wrapText="1"/>
    </xf>
    <xf numFmtId="37" fontId="49" fillId="0" borderId="27" xfId="13" applyNumberFormat="1" applyFont="1" applyBorder="1" applyAlignment="1">
      <alignment horizontal="center"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6" fillId="0" borderId="9" xfId="0" applyFont="1" applyBorder="1" applyAlignment="1">
      <alignment horizontal="left" wrapText="1"/>
    </xf>
    <xf numFmtId="0" fontId="6" fillId="0" borderId="4" xfId="0" applyFont="1" applyBorder="1" applyAlignment="1">
      <alignment horizontal="left" wrapText="1"/>
    </xf>
    <xf numFmtId="0" fontId="6"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168" fontId="56"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6" fillId="0" borderId="0" xfId="8" applyNumberFormat="1" applyFont="1" applyAlignment="1">
      <alignment horizontal="left" wrapText="1"/>
    </xf>
    <xf numFmtId="168" fontId="33" fillId="6" borderId="0" xfId="6" applyNumberFormat="1" applyFont="1" applyFill="1" applyAlignment="1" applyProtection="1">
      <alignment horizontal="left"/>
    </xf>
    <xf numFmtId="0" fontId="0" fillId="0" borderId="0" xfId="0" quotePrefix="1" applyAlignment="1">
      <alignment horizontal="right" vertical="top"/>
    </xf>
    <xf numFmtId="0" fontId="54" fillId="0" borderId="0" xfId="0" applyFont="1"/>
    <xf numFmtId="0" fontId="54" fillId="0" borderId="0" xfId="0" applyFont="1" applyAlignment="1">
      <alignment horizontal="left" vertical="top" wrapText="1"/>
    </xf>
    <xf numFmtId="0" fontId="30" fillId="0" borderId="0" xfId="0" applyFont="1" applyAlignment="1">
      <alignment horizontal="left" vertical="top" wrapText="1"/>
    </xf>
    <xf numFmtId="0" fontId="30" fillId="0" borderId="14" xfId="0" applyFont="1" applyBorder="1" applyAlignment="1">
      <alignment horizontal="left" vertical="top" wrapText="1"/>
    </xf>
    <xf numFmtId="0" fontId="58" fillId="0" borderId="9" xfId="7" applyFont="1" applyBorder="1" applyAlignment="1">
      <alignment horizontal="center"/>
    </xf>
    <xf numFmtId="0" fontId="58" fillId="0" borderId="4" xfId="7" applyFont="1" applyBorder="1" applyAlignment="1">
      <alignment horizontal="center"/>
    </xf>
    <xf numFmtId="0" fontId="58" fillId="0" borderId="8" xfId="7" applyFont="1" applyBorder="1" applyAlignment="1">
      <alignment horizontal="center"/>
    </xf>
    <xf numFmtId="168" fontId="56" fillId="6" borderId="0" xfId="6" applyNumberFormat="1" applyFont="1" applyFill="1" applyAlignment="1" applyProtection="1">
      <alignment horizontal="center"/>
    </xf>
    <xf numFmtId="0" fontId="13" fillId="17" borderId="10" xfId="6" quotePrefix="1" applyFont="1" applyFill="1" applyBorder="1" applyAlignment="1" applyProtection="1">
      <alignment horizontal="center" vertical="top" wrapText="1"/>
    </xf>
    <xf numFmtId="0" fontId="13" fillId="17" borderId="5" xfId="6" quotePrefix="1" applyFont="1" applyFill="1" applyBorder="1" applyAlignment="1" applyProtection="1">
      <alignment horizontal="center" vertical="top" wrapText="1"/>
    </xf>
    <xf numFmtId="0" fontId="68" fillId="17" borderId="10" xfId="0" applyFont="1" applyFill="1" applyBorder="1" applyAlignment="1">
      <alignment horizontal="center" vertical="top" wrapText="1"/>
    </xf>
    <xf numFmtId="0" fontId="68" fillId="17" borderId="16" xfId="0" applyFont="1" applyFill="1" applyBorder="1" applyAlignment="1">
      <alignment horizontal="center" vertical="top" wrapText="1"/>
    </xf>
    <xf numFmtId="168" fontId="13" fillId="5" borderId="12" xfId="6" applyNumberFormat="1" applyFont="1" applyFill="1" applyBorder="1" applyAlignment="1" applyProtection="1">
      <alignment horizontal="center" vertical="center"/>
    </xf>
    <xf numFmtId="168" fontId="13" fillId="5" borderId="13" xfId="6" applyNumberFormat="1" applyFont="1" applyFill="1" applyBorder="1" applyAlignment="1" applyProtection="1">
      <alignment horizontal="center" vertical="center"/>
    </xf>
    <xf numFmtId="168" fontId="13" fillId="5" borderId="2" xfId="6" applyNumberFormat="1" applyFont="1" applyFill="1" applyBorder="1" applyAlignment="1" applyProtection="1">
      <alignment horizontal="center" vertical="center"/>
    </xf>
    <xf numFmtId="168" fontId="13" fillId="5" borderId="14" xfId="6" applyNumberFormat="1" applyFont="1" applyFill="1" applyBorder="1" applyAlignment="1" applyProtection="1">
      <alignment horizontal="center" vertical="center"/>
    </xf>
    <xf numFmtId="168" fontId="13" fillId="5" borderId="16" xfId="6" applyNumberFormat="1" applyFont="1" applyFill="1" applyBorder="1" applyAlignment="1" applyProtection="1">
      <alignment horizontal="center" vertical="center"/>
    </xf>
    <xf numFmtId="168" fontId="13" fillId="5" borderId="17" xfId="6" applyNumberFormat="1" applyFont="1" applyFill="1" applyBorder="1" applyAlignment="1" applyProtection="1">
      <alignment horizontal="center" vertical="center"/>
    </xf>
    <xf numFmtId="168" fontId="32" fillId="5" borderId="10" xfId="6" applyNumberFormat="1" applyFont="1" applyFill="1" applyBorder="1" applyAlignment="1" applyProtection="1">
      <alignment horizontal="center" vertical="top" wrapText="1"/>
    </xf>
    <xf numFmtId="168" fontId="32"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3" fillId="0" borderId="13" xfId="6" applyFont="1" applyFill="1" applyBorder="1" applyAlignment="1" applyProtection="1">
      <alignment horizontal="center" vertical="top"/>
    </xf>
    <xf numFmtId="0" fontId="13"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cellStyle name="Comma [0]" xfId="5"/>
    <cellStyle name="Currency" xfId="2"/>
    <cellStyle name="Currency [0]" xfId="3"/>
    <cellStyle name="Hyperlink" xfId="6"/>
    <cellStyle name="Hyperlink 2" xfId="12"/>
    <cellStyle name="Hyperlink 3" xfId="14"/>
    <cellStyle name="Normal" xfId="0" builtinId="0"/>
    <cellStyle name="Normal 2" xfId="7"/>
    <cellStyle name="Normal 2 2" xfId="11"/>
    <cellStyle name="Normal 3" xfId="8"/>
    <cellStyle name="Normal 4" xfId="10"/>
    <cellStyle name="Normal 5" xfId="13"/>
    <cellStyle name="Normal_budget03" xfId="9"/>
    <cellStyle name="Percent" xfId="1"/>
  </cellStyles>
  <dxfs count="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xmlns=""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xmlns=""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483131</v>
          </cell>
        </row>
        <row r="10">
          <cell r="L10">
            <v>91013</v>
          </cell>
        </row>
        <row r="11">
          <cell r="L11">
            <v>24577</v>
          </cell>
        </row>
        <row r="12">
          <cell r="L12">
            <v>9000</v>
          </cell>
        </row>
        <row r="13">
          <cell r="L13">
            <v>407093</v>
          </cell>
        </row>
        <row r="14">
          <cell r="L14">
            <v>185813</v>
          </cell>
        </row>
        <row r="15">
          <cell r="L15">
            <v>634893</v>
          </cell>
        </row>
        <row r="16">
          <cell r="L16">
            <v>0</v>
          </cell>
        </row>
        <row r="17">
          <cell r="L17">
            <v>163884</v>
          </cell>
        </row>
        <row r="18">
          <cell r="L18">
            <v>0</v>
          </cell>
        </row>
        <row r="19">
          <cell r="L19">
            <v>0</v>
          </cell>
        </row>
        <row r="20">
          <cell r="L20">
            <v>0</v>
          </cell>
        </row>
        <row r="21">
          <cell r="L21">
            <v>33660</v>
          </cell>
        </row>
        <row r="22">
          <cell r="L22">
            <v>1300</v>
          </cell>
        </row>
        <row r="25">
          <cell r="L25">
            <v>4736</v>
          </cell>
        </row>
        <row r="27">
          <cell r="L27">
            <v>44499</v>
          </cell>
        </row>
        <row r="28">
          <cell r="L28">
            <v>0</v>
          </cell>
        </row>
        <row r="29">
          <cell r="L29">
            <v>0</v>
          </cell>
        </row>
        <row r="30">
          <cell r="L30">
            <v>50631</v>
          </cell>
        </row>
        <row r="31">
          <cell r="L31">
            <v>0</v>
          </cell>
        </row>
        <row r="32">
          <cell r="L32">
            <v>0</v>
          </cell>
        </row>
        <row r="33">
          <cell r="L33">
            <v>0</v>
          </cell>
        </row>
        <row r="34">
          <cell r="L34">
            <v>0</v>
          </cell>
        </row>
        <row r="35">
          <cell r="L35">
            <v>0</v>
          </cell>
        </row>
        <row r="36">
          <cell r="L36">
            <v>0</v>
          </cell>
        </row>
        <row r="39">
          <cell r="L39">
            <v>8473</v>
          </cell>
        </row>
        <row r="40">
          <cell r="L40">
            <v>0</v>
          </cell>
        </row>
        <row r="41">
          <cell r="L41">
            <v>0</v>
          </cell>
        </row>
        <row r="42">
          <cell r="L42">
            <v>51883</v>
          </cell>
        </row>
        <row r="44">
          <cell r="L44">
            <v>198423</v>
          </cell>
        </row>
        <row r="45">
          <cell r="L45">
            <v>15429</v>
          </cell>
        </row>
        <row r="46">
          <cell r="L46">
            <v>0</v>
          </cell>
        </row>
        <row r="47">
          <cell r="L47">
            <v>0</v>
          </cell>
        </row>
        <row r="48">
          <cell r="L48">
            <v>236355</v>
          </cell>
        </row>
      </sheetData>
      <sheetData sheetId="3">
        <row r="5">
          <cell r="E5">
            <v>98065</v>
          </cell>
          <cell r="N5">
            <v>99866</v>
          </cell>
        </row>
        <row r="6">
          <cell r="E6">
            <v>23654</v>
          </cell>
          <cell r="N6">
            <v>0</v>
          </cell>
        </row>
        <row r="7">
          <cell r="E7">
            <v>10065</v>
          </cell>
          <cell r="N7">
            <v>0</v>
          </cell>
        </row>
        <row r="8">
          <cell r="E8">
            <v>0</v>
          </cell>
          <cell r="N8">
            <v>0</v>
          </cell>
        </row>
        <row r="9">
          <cell r="E9">
            <v>10966</v>
          </cell>
          <cell r="N9">
            <v>0</v>
          </cell>
        </row>
        <row r="10">
          <cell r="E10">
            <v>0</v>
          </cell>
          <cell r="N10">
            <v>0</v>
          </cell>
        </row>
        <row r="11">
          <cell r="E11">
            <v>0</v>
          </cell>
          <cell r="N11">
            <v>0</v>
          </cell>
        </row>
        <row r="12">
          <cell r="E12">
            <v>37146</v>
          </cell>
        </row>
        <row r="13">
          <cell r="E13">
            <v>0</v>
          </cell>
        </row>
        <row r="14">
          <cell r="E14">
            <v>0</v>
          </cell>
          <cell r="N14"/>
        </row>
        <row r="15">
          <cell r="E15">
            <v>0</v>
          </cell>
        </row>
        <row r="16">
          <cell r="E16">
            <v>0</v>
          </cell>
        </row>
        <row r="17">
          <cell r="E17">
            <v>0</v>
          </cell>
        </row>
        <row r="18">
          <cell r="E18">
            <v>0</v>
          </cell>
        </row>
        <row r="19">
          <cell r="E19">
            <v>0</v>
          </cell>
        </row>
        <row r="20">
          <cell r="E20">
            <v>0</v>
          </cell>
        </row>
        <row r="21">
          <cell r="E21">
            <v>33285</v>
          </cell>
          <cell r="N21"/>
        </row>
        <row r="22">
          <cell r="N22">
            <v>15429</v>
          </cell>
        </row>
        <row r="23">
          <cell r="N23"/>
        </row>
        <row r="24">
          <cell r="E24">
            <v>0</v>
          </cell>
          <cell r="N24"/>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23174</v>
          </cell>
        </row>
        <row r="40">
          <cell r="E40"/>
        </row>
        <row r="41">
          <cell r="E41"/>
        </row>
        <row r="42">
          <cell r="E42"/>
        </row>
        <row r="43">
          <cell r="E43">
            <v>149137</v>
          </cell>
        </row>
        <row r="44">
          <cell r="E44">
            <v>33058</v>
          </cell>
        </row>
        <row r="45">
          <cell r="E45"/>
        </row>
      </sheetData>
      <sheetData sheetId="4">
        <row r="8">
          <cell r="K8">
            <v>198423</v>
          </cell>
        </row>
        <row r="9">
          <cell r="K9">
            <v>0</v>
          </cell>
        </row>
        <row r="10">
          <cell r="K10">
            <v>0</v>
          </cell>
        </row>
        <row r="11">
          <cell r="K11">
            <v>0</v>
          </cell>
        </row>
        <row r="12">
          <cell r="K12">
            <v>0</v>
          </cell>
        </row>
        <row r="17">
          <cell r="F17"/>
        </row>
        <row r="18">
          <cell r="F18"/>
        </row>
        <row r="19">
          <cell r="F19"/>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412361</v>
          </cell>
        </row>
        <row r="9">
          <cell r="J9">
            <v>90435</v>
          </cell>
        </row>
        <row r="10">
          <cell r="J10">
            <v>60984</v>
          </cell>
        </row>
        <row r="11">
          <cell r="J11">
            <v>49468</v>
          </cell>
        </row>
        <row r="12">
          <cell r="J12">
            <v>307819</v>
          </cell>
        </row>
        <row r="13">
          <cell r="J13">
            <v>214961</v>
          </cell>
        </row>
        <row r="14">
          <cell r="J14">
            <v>318421</v>
          </cell>
        </row>
        <row r="15">
          <cell r="J15">
            <v>0</v>
          </cell>
        </row>
        <row r="16">
          <cell r="J16">
            <v>179894</v>
          </cell>
        </row>
        <row r="17">
          <cell r="J17">
            <v>0</v>
          </cell>
        </row>
        <row r="18">
          <cell r="J18">
            <v>69044</v>
          </cell>
        </row>
        <row r="19">
          <cell r="J19">
            <v>0</v>
          </cell>
        </row>
        <row r="20">
          <cell r="J20">
            <v>0</v>
          </cell>
        </row>
        <row r="21">
          <cell r="J21">
            <v>0</v>
          </cell>
        </row>
        <row r="22">
          <cell r="J22">
            <v>0</v>
          </cell>
        </row>
        <row r="25">
          <cell r="J25">
            <v>1917</v>
          </cell>
        </row>
        <row r="27">
          <cell r="J27">
            <v>40777</v>
          </cell>
        </row>
        <row r="28">
          <cell r="J28">
            <v>26732</v>
          </cell>
        </row>
        <row r="29">
          <cell r="J29">
            <v>10660</v>
          </cell>
        </row>
        <row r="30">
          <cell r="J30">
            <v>13780</v>
          </cell>
        </row>
        <row r="31">
          <cell r="J31">
            <v>0</v>
          </cell>
        </row>
        <row r="32">
          <cell r="J32">
            <v>0</v>
          </cell>
        </row>
        <row r="33">
          <cell r="J33">
            <v>0</v>
          </cell>
        </row>
        <row r="34">
          <cell r="J34">
            <v>0</v>
          </cell>
        </row>
        <row r="35">
          <cell r="J35">
            <v>0</v>
          </cell>
        </row>
        <row r="36">
          <cell r="J36">
            <v>0</v>
          </cell>
        </row>
        <row r="38">
          <cell r="J38">
            <v>26030</v>
          </cell>
        </row>
        <row r="39">
          <cell r="J39">
            <v>0</v>
          </cell>
        </row>
        <row r="40">
          <cell r="J40">
            <v>0</v>
          </cell>
        </row>
        <row r="41">
          <cell r="J41">
            <v>18774</v>
          </cell>
        </row>
        <row r="43">
          <cell r="J43">
            <v>250281</v>
          </cell>
        </row>
        <row r="44">
          <cell r="J44">
            <v>13424</v>
          </cell>
        </row>
        <row r="45">
          <cell r="J45">
            <v>0</v>
          </cell>
        </row>
        <row r="46">
          <cell r="J46">
            <v>0</v>
          </cell>
        </row>
        <row r="47">
          <cell r="J47">
            <v>676915</v>
          </cell>
        </row>
      </sheetData>
      <sheetData sheetId="3">
        <row r="30">
          <cell r="F30">
            <v>136824</v>
          </cell>
        </row>
      </sheetData>
      <sheetData sheetId="4">
        <row r="19">
          <cell r="F19">
            <v>-11362</v>
          </cell>
        </row>
      </sheetData>
      <sheetData sheetId="5">
        <row r="26">
          <cell r="O26">
            <v>-82106</v>
          </cell>
        </row>
        <row r="48">
          <cell r="O48">
            <v>0</v>
          </cell>
        </row>
      </sheetData>
      <sheetData sheetId="6">
        <row r="6">
          <cell r="F6">
            <v>1356540</v>
          </cell>
        </row>
        <row r="29">
          <cell r="T29">
            <v>36914</v>
          </cell>
        </row>
      </sheetData>
      <sheetData sheetId="7"/>
      <sheetData sheetId="8">
        <row r="6">
          <cell r="N6">
            <v>1</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1</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4029</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5"/>
  <sheetViews>
    <sheetView showGridLines="0" tabSelected="1" workbookViewId="0">
      <selection activeCell="M22" sqref="M22"/>
    </sheetView>
  </sheetViews>
  <sheetFormatPr defaultColWidth="9.296875" defaultRowHeight="13" x14ac:dyDescent="0.3"/>
  <cols>
    <col min="1" max="1" width="22.19921875" customWidth="1"/>
    <col min="2" max="2" width="6.296875" customWidth="1"/>
    <col min="3" max="3" width="5.296875" customWidth="1"/>
    <col min="4" max="4" width="9.296875" customWidth="1"/>
    <col min="5" max="5" width="6.296875" customWidth="1"/>
    <col min="6" max="6" width="13" customWidth="1"/>
    <col min="7" max="7" width="7.796875" customWidth="1"/>
    <col min="8" max="8" width="3.296875" customWidth="1"/>
    <col min="9" max="9" width="13" customWidth="1"/>
    <col min="10" max="12" width="9.296875" customWidth="1"/>
    <col min="13" max="13" width="11" customWidth="1"/>
    <col min="14" max="14" width="20" customWidth="1"/>
    <col min="15" max="15" width="17.296875" customWidth="1"/>
    <col min="16" max="16" width="7" customWidth="1"/>
    <col min="17" max="17" width="3.296875" customWidth="1"/>
    <col min="18" max="18" width="16" customWidth="1"/>
    <col min="19" max="26" width="9.296875" customWidth="1"/>
    <col min="27" max="27" width="18" customWidth="1"/>
    <col min="28" max="28" width="11.796875" customWidth="1"/>
    <col min="29" max="29" width="9.296875" customWidth="1"/>
  </cols>
  <sheetData>
    <row r="1" spans="1:28" ht="12.75" customHeight="1" x14ac:dyDescent="0.35">
      <c r="A1" s="801" t="s">
        <v>0</v>
      </c>
      <c r="B1" s="801"/>
      <c r="C1" s="801"/>
      <c r="D1" s="783" t="s">
        <v>1390</v>
      </c>
      <c r="E1" s="782"/>
      <c r="F1" s="782"/>
      <c r="G1" s="782"/>
      <c r="H1" s="782"/>
      <c r="I1" s="782"/>
      <c r="L1" s="568" t="s">
        <v>1</v>
      </c>
      <c r="M1" s="781" t="s">
        <v>1388</v>
      </c>
      <c r="N1" s="782"/>
      <c r="Q1" s="57" t="s">
        <v>2</v>
      </c>
      <c r="R1" s="539" t="s">
        <v>1389</v>
      </c>
      <c r="AA1" s="544" t="s">
        <v>3</v>
      </c>
      <c r="AB1" s="695">
        <v>45883</v>
      </c>
    </row>
    <row r="2" spans="1:28" ht="12.75" customHeight="1" x14ac:dyDescent="0.3">
      <c r="A2" s="101"/>
      <c r="B2" s="101"/>
      <c r="C2" s="101"/>
      <c r="D2" s="780" t="s">
        <v>4</v>
      </c>
      <c r="E2" s="780"/>
      <c r="F2" s="780"/>
      <c r="G2" s="780"/>
      <c r="H2" s="780"/>
      <c r="I2" s="780"/>
      <c r="L2" s="784"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786"/>
      <c r="N2" s="786"/>
      <c r="O2" s="786"/>
      <c r="P2" s="786"/>
      <c r="Q2" s="786"/>
      <c r="R2" s="786"/>
    </row>
    <row r="3" spans="1:28" ht="12.75" customHeight="1" x14ac:dyDescent="0.35">
      <c r="A3" s="101"/>
      <c r="B3" s="101"/>
      <c r="C3" s="101"/>
      <c r="D3" s="783" t="s">
        <v>1387</v>
      </c>
      <c r="E3" s="782"/>
      <c r="F3" s="782"/>
      <c r="G3" s="782"/>
      <c r="H3" s="782"/>
      <c r="I3" s="782"/>
      <c r="L3" s="786"/>
      <c r="M3" s="786"/>
      <c r="N3" s="786"/>
      <c r="O3" s="786"/>
      <c r="P3" s="786"/>
      <c r="Q3" s="786"/>
      <c r="R3" s="786"/>
    </row>
    <row r="4" spans="1:28" ht="12.75" customHeight="1" x14ac:dyDescent="0.3">
      <c r="A4" s="101"/>
      <c r="B4" s="101"/>
      <c r="C4" s="101"/>
      <c r="D4" s="780" t="s">
        <v>5</v>
      </c>
      <c r="E4" s="780"/>
      <c r="F4" s="780"/>
      <c r="G4" s="780"/>
      <c r="H4" s="780"/>
      <c r="I4" s="780"/>
      <c r="L4" s="784" t="str">
        <f>IF(L2="","",CONCATENATE(Alerts!B3,CHAR(10),Alerts!B4,CHAR(10),Alerts!B5,CHAR(10),Alerts!B6,CHAR(10),Alerts!B7,CHAR(10),Alerts!B8,CHAR(10),Alerts!B9,CHAR(10),Alerts!B10,CHAR(10),Alerts!B11,CHAR(10),Alerts!B12,CHAR(10),Alerts!B13,CHAR(10),Alerts!B14,CHAR(10),Alerts!B15,CHAR(10),Alerts!B16))</f>
        <v/>
      </c>
      <c r="M4" s="785"/>
      <c r="N4" s="785"/>
      <c r="O4" s="785"/>
      <c r="P4" s="785"/>
      <c r="Q4" s="785"/>
      <c r="R4" s="785"/>
    </row>
    <row r="5" spans="1:28" ht="12.75" customHeight="1" x14ac:dyDescent="0.3">
      <c r="A5" s="634" t="s">
        <v>726</v>
      </c>
      <c r="B5" s="101"/>
      <c r="C5" s="101"/>
      <c r="L5" s="785"/>
      <c r="M5" s="785"/>
      <c r="N5" s="785"/>
      <c r="O5" s="785"/>
      <c r="P5" s="785"/>
      <c r="Q5" s="785"/>
      <c r="R5" s="785"/>
    </row>
    <row r="6" spans="1:28" ht="17.5" customHeight="1" x14ac:dyDescent="0.35">
      <c r="A6" s="792" t="s">
        <v>1272</v>
      </c>
      <c r="B6" s="787" t="s">
        <v>1298</v>
      </c>
      <c r="C6" s="787"/>
      <c r="D6" s="787"/>
      <c r="E6" s="787"/>
      <c r="F6" s="787"/>
      <c r="G6" s="787"/>
      <c r="H6" s="787"/>
      <c r="I6" s="787"/>
      <c r="J6" s="77"/>
      <c r="L6" s="785"/>
      <c r="M6" s="785"/>
      <c r="N6" s="785"/>
      <c r="O6" s="785"/>
      <c r="P6" s="785"/>
      <c r="Q6" s="785"/>
      <c r="R6" s="785"/>
    </row>
    <row r="7" spans="1:28" ht="18" customHeight="1" x14ac:dyDescent="0.35">
      <c r="A7" s="792"/>
      <c r="B7" s="787" t="s">
        <v>6</v>
      </c>
      <c r="C7" s="787"/>
      <c r="D7" s="787"/>
      <c r="E7" s="787"/>
      <c r="F7" s="787"/>
      <c r="G7" s="787"/>
      <c r="H7" s="787"/>
      <c r="I7" s="787"/>
      <c r="J7" s="73"/>
      <c r="L7" s="785"/>
      <c r="M7" s="785"/>
      <c r="N7" s="785"/>
      <c r="O7" s="785"/>
      <c r="P7" s="785"/>
      <c r="Q7" s="785"/>
      <c r="R7" s="785"/>
    </row>
    <row r="8" spans="1:28" ht="18" customHeight="1" x14ac:dyDescent="0.3">
      <c r="A8" s="650"/>
      <c r="B8" s="788" t="s">
        <v>7</v>
      </c>
      <c r="C8" s="788"/>
      <c r="D8" s="788"/>
      <c r="E8" s="788"/>
      <c r="F8" s="788"/>
      <c r="G8" s="788"/>
      <c r="H8" s="788"/>
      <c r="I8" s="788"/>
      <c r="J8" s="77"/>
      <c r="L8" s="785"/>
      <c r="M8" s="785"/>
      <c r="N8" s="785"/>
      <c r="O8" s="785"/>
      <c r="P8" s="785"/>
      <c r="Q8" s="785"/>
      <c r="R8" s="785"/>
    </row>
    <row r="9" spans="1:28" ht="12.75" customHeight="1" x14ac:dyDescent="0.3">
      <c r="C9" s="102"/>
      <c r="D9" s="102"/>
      <c r="E9" s="102"/>
      <c r="F9" s="102"/>
      <c r="G9" s="102"/>
      <c r="H9" s="102"/>
      <c r="I9" s="102"/>
      <c r="J9" s="103"/>
      <c r="L9" s="785"/>
      <c r="M9" s="785"/>
      <c r="N9" s="785"/>
      <c r="O9" s="785"/>
      <c r="P9" s="784"/>
      <c r="Q9" s="785"/>
      <c r="R9" s="785"/>
    </row>
    <row r="10" spans="1:28" ht="26.25" customHeight="1" x14ac:dyDescent="0.35">
      <c r="A10" s="21"/>
      <c r="B10" s="790" t="str">
        <f>IF('Page 2'!N9="","","Checking the box to the left certifies the Charter did not incur any expenses for student support services, as defined in the USFRCS and reported on Page 2, Line 2, during the fiscal year.")</f>
        <v/>
      </c>
      <c r="C10" s="790"/>
      <c r="D10" s="790"/>
      <c r="E10" s="790"/>
      <c r="F10" s="790"/>
      <c r="G10" s="790"/>
      <c r="H10" s="790"/>
      <c r="I10" s="790"/>
      <c r="J10" s="791"/>
      <c r="L10" s="785"/>
      <c r="M10" s="785"/>
      <c r="N10" s="785"/>
      <c r="O10" s="785"/>
      <c r="P10" s="785"/>
      <c r="Q10" s="785"/>
      <c r="R10" s="785"/>
    </row>
    <row r="11" spans="1:28" x14ac:dyDescent="0.3">
      <c r="A11" s="793" t="s">
        <v>1286</v>
      </c>
      <c r="B11" s="793"/>
      <c r="C11" s="793"/>
      <c r="D11" s="794" t="s">
        <v>1395</v>
      </c>
      <c r="E11" s="794"/>
      <c r="F11" s="794"/>
      <c r="G11" s="794"/>
      <c r="H11" s="794"/>
      <c r="I11" s="794"/>
      <c r="J11" s="795"/>
      <c r="L11" s="785"/>
      <c r="M11" s="785"/>
      <c r="N11" s="785"/>
      <c r="O11" s="785"/>
      <c r="P11" s="785"/>
      <c r="Q11" s="785"/>
      <c r="R11" s="785"/>
    </row>
    <row r="12" spans="1:28" ht="25.5" customHeight="1" x14ac:dyDescent="0.35">
      <c r="A12" s="21"/>
      <c r="B12" s="790" t="str">
        <f>IF('Page 2'!N10="","","Checking the box to the left certifies the Charter did not incur any expenses for instructional support services, as defined in the USFRCS and reported on Page 2, Line 3, during the fiscal year.")</f>
        <v/>
      </c>
      <c r="C12" s="790"/>
      <c r="D12" s="790"/>
      <c r="E12" s="790"/>
      <c r="F12" s="790"/>
      <c r="G12" s="790"/>
      <c r="H12" s="790"/>
      <c r="I12" s="790"/>
      <c r="J12" s="791"/>
      <c r="K12" s="61"/>
      <c r="L12" s="785"/>
      <c r="M12" s="785"/>
      <c r="N12" s="785"/>
      <c r="O12" s="785"/>
      <c r="P12" s="785"/>
      <c r="Q12" s="785"/>
      <c r="R12" s="785"/>
    </row>
    <row r="13" spans="1:28" x14ac:dyDescent="0.3">
      <c r="A13" s="104"/>
      <c r="C13" s="102"/>
      <c r="D13" s="102"/>
      <c r="E13" s="102"/>
      <c r="F13" s="102"/>
      <c r="G13" s="102"/>
      <c r="H13" s="102"/>
      <c r="I13" s="102"/>
      <c r="J13" s="103"/>
      <c r="L13" s="785"/>
      <c r="M13" s="785"/>
      <c r="N13" s="785"/>
      <c r="O13" s="785"/>
      <c r="P13" s="785"/>
      <c r="Q13" s="785"/>
      <c r="R13" s="785"/>
    </row>
    <row r="14" spans="1:28" ht="25.5" customHeight="1" x14ac:dyDescent="0.35">
      <c r="A14" s="21"/>
      <c r="B14" s="799" t="str">
        <f>IF('Page 3'!M12="","","Checking the box to the left certifies the Charter did not incur any expenses for Classroom Site Project, as reported on Page 3, during the fiscal year.")</f>
        <v/>
      </c>
      <c r="C14" s="799"/>
      <c r="D14" s="799"/>
      <c r="E14" s="799"/>
      <c r="F14" s="799"/>
      <c r="G14" s="799"/>
      <c r="H14" s="799"/>
      <c r="I14" s="799"/>
      <c r="J14" s="800"/>
      <c r="L14" s="785"/>
      <c r="M14" s="785"/>
      <c r="N14" s="785"/>
      <c r="O14" s="785"/>
      <c r="P14" s="785"/>
      <c r="Q14" s="785"/>
      <c r="R14" s="785"/>
    </row>
    <row r="15" spans="1:28" x14ac:dyDescent="0.3">
      <c r="A15" s="104"/>
      <c r="C15" s="102"/>
      <c r="D15" s="102"/>
      <c r="E15" s="102"/>
      <c r="F15" s="102"/>
      <c r="G15" s="102"/>
      <c r="H15" s="102"/>
      <c r="I15" s="102"/>
      <c r="J15" s="103"/>
      <c r="L15" s="785"/>
      <c r="M15" s="785"/>
      <c r="N15" s="785"/>
      <c r="O15" s="785"/>
      <c r="P15" s="785"/>
      <c r="Q15" s="785"/>
      <c r="R15" s="785"/>
    </row>
    <row r="16" spans="1:28" ht="39.75" customHeight="1" x14ac:dyDescent="0.35">
      <c r="A16" s="21"/>
      <c r="B16" s="790" t="str">
        <f>IF('Page 6'!H33="","","Checking the box to the left certifies the Charter did not incur any current expenses for student support services, as defined in the USFRCS and reported on Page 6-Section E-Line 4, during the fiscal year.")</f>
        <v/>
      </c>
      <c r="C16" s="790"/>
      <c r="D16" s="790"/>
      <c r="E16" s="790"/>
      <c r="F16" s="790"/>
      <c r="G16" s="790"/>
      <c r="H16" s="790"/>
      <c r="I16" s="790"/>
      <c r="J16" s="791"/>
      <c r="L16" s="785"/>
      <c r="M16" s="785"/>
      <c r="N16" s="785"/>
      <c r="O16" s="785"/>
      <c r="P16" s="785"/>
      <c r="Q16" s="785"/>
      <c r="R16" s="785"/>
    </row>
    <row r="17" spans="1:26" x14ac:dyDescent="0.3">
      <c r="A17" s="104"/>
      <c r="C17" s="102"/>
      <c r="D17" s="102"/>
      <c r="E17" s="102"/>
      <c r="F17" s="102"/>
      <c r="G17" s="102"/>
      <c r="H17" s="102"/>
      <c r="I17" s="102"/>
      <c r="J17" s="103"/>
      <c r="L17" s="785"/>
      <c r="M17" s="785"/>
      <c r="N17" s="785"/>
      <c r="O17" s="785"/>
      <c r="P17" s="785"/>
      <c r="Q17" s="785"/>
      <c r="R17" s="785"/>
    </row>
    <row r="18" spans="1:26" ht="48" customHeight="1" x14ac:dyDescent="0.35">
      <c r="A18" s="21"/>
      <c r="B18" s="790" t="str">
        <f>IF('Page 4'!K10="","","Checking the box to the left certifies the Charter did not incur any expenses for Instructional Improvement Project, as defined in the USFRCS and reported on Page 4, Line 5, during the fiscal year.")</f>
        <v/>
      </c>
      <c r="C18" s="790"/>
      <c r="D18" s="790"/>
      <c r="E18" s="790"/>
      <c r="F18" s="790"/>
      <c r="G18" s="790"/>
      <c r="H18" s="790"/>
      <c r="I18" s="790"/>
      <c r="J18" s="791"/>
      <c r="L18" s="785"/>
      <c r="M18" s="785"/>
      <c r="N18" s="785"/>
      <c r="O18" s="785"/>
      <c r="P18" s="785"/>
      <c r="Q18" s="785"/>
      <c r="R18" s="785"/>
      <c r="S18" s="4"/>
      <c r="T18" s="4"/>
    </row>
    <row r="19" spans="1:26" ht="12.75" customHeight="1" x14ac:dyDescent="0.3">
      <c r="B19" s="796" t="s">
        <v>1299</v>
      </c>
      <c r="C19" s="796"/>
      <c r="D19" s="796"/>
      <c r="E19" s="796"/>
      <c r="F19" s="796"/>
      <c r="G19" s="796"/>
      <c r="H19" s="796"/>
      <c r="I19" s="796"/>
      <c r="J19" s="77"/>
      <c r="L19" s="803" t="s">
        <v>1300</v>
      </c>
      <c r="M19" s="803"/>
      <c r="N19" s="803"/>
      <c r="O19" s="803"/>
      <c r="P19" s="803"/>
      <c r="Q19" s="803"/>
      <c r="R19" s="803"/>
      <c r="S19" s="4"/>
      <c r="T19" s="4"/>
    </row>
    <row r="20" spans="1:26" ht="25.5" customHeight="1" thickBot="1" x14ac:dyDescent="0.4">
      <c r="B20" s="796"/>
      <c r="C20" s="796"/>
      <c r="D20" s="796"/>
      <c r="E20" s="796"/>
      <c r="F20" s="796"/>
      <c r="G20" s="796"/>
      <c r="H20" s="796"/>
      <c r="I20" s="796"/>
      <c r="J20" s="77"/>
      <c r="L20" t="s">
        <v>8</v>
      </c>
      <c r="N20" s="778">
        <v>45938</v>
      </c>
      <c r="O20" s="804" t="s">
        <v>9</v>
      </c>
      <c r="P20" s="804"/>
      <c r="Q20" s="804"/>
      <c r="R20" s="804"/>
      <c r="T20" s="806" t="str">
        <f>IF(Z20="X","","Charters schools must review the FY 2025 AFR Formula Corrections file and make any required formula corrections before finalizing and submitting the AFR. Select the X in the dropdown box in cell Z20 once this step is complete.")</f>
        <v>Charters schools must review the FY 2025 AFR Formula Corrections file and make any required formula corrections before finalizing and submitting the AFR. Select the X in the dropdown box in cell Z20 once this step is complete.</v>
      </c>
      <c r="U20" s="806"/>
      <c r="V20" s="806"/>
      <c r="W20" s="806"/>
      <c r="X20" s="806"/>
      <c r="Z20" s="687"/>
    </row>
    <row r="21" spans="1:26" ht="12.75" customHeight="1" x14ac:dyDescent="0.3">
      <c r="A21" s="789"/>
      <c r="B21" s="789"/>
      <c r="C21" s="789"/>
      <c r="D21" s="789"/>
      <c r="E21" s="789"/>
      <c r="F21" s="4"/>
      <c r="G21" s="798"/>
      <c r="H21" s="798"/>
      <c r="I21" s="798"/>
      <c r="J21" s="77"/>
      <c r="L21" s="789" t="s">
        <v>10</v>
      </c>
      <c r="M21" s="789"/>
      <c r="N21" s="789"/>
      <c r="O21" s="105"/>
      <c r="P21" s="105"/>
      <c r="Q21" s="105"/>
      <c r="R21" s="105"/>
      <c r="T21" s="806"/>
      <c r="U21" s="806"/>
      <c r="V21" s="806"/>
      <c r="W21" s="806"/>
      <c r="X21" s="806"/>
    </row>
    <row r="22" spans="1:26" ht="13.5" customHeight="1" x14ac:dyDescent="0.35">
      <c r="A22" s="779"/>
      <c r="B22" s="779"/>
      <c r="C22" s="779"/>
      <c r="D22" s="779"/>
      <c r="E22" s="779"/>
      <c r="F22" s="4"/>
      <c r="G22" s="781" t="s">
        <v>20</v>
      </c>
      <c r="H22" s="782"/>
      <c r="I22" s="782"/>
      <c r="J22" s="77"/>
      <c r="M22" s="105"/>
      <c r="N22" s="105"/>
      <c r="O22" s="105"/>
      <c r="P22" s="105"/>
      <c r="Q22" s="105"/>
      <c r="R22" s="105"/>
      <c r="T22" s="806"/>
      <c r="U22" s="806"/>
      <c r="V22" s="806"/>
      <c r="W22" s="806"/>
      <c r="X22" s="806"/>
    </row>
    <row r="23" spans="1:26" ht="12.75" customHeight="1" x14ac:dyDescent="0.35">
      <c r="H23" s="4"/>
      <c r="I23" s="4"/>
      <c r="J23" s="73"/>
      <c r="L23" s="779"/>
      <c r="M23" s="779"/>
      <c r="N23" s="779"/>
      <c r="P23" s="783" t="s">
        <v>1392</v>
      </c>
      <c r="Q23" s="782"/>
      <c r="R23" s="782"/>
      <c r="T23" s="806"/>
      <c r="U23" s="806"/>
      <c r="V23" s="806"/>
      <c r="W23" s="806"/>
      <c r="X23" s="806"/>
    </row>
    <row r="24" spans="1:26" ht="14.25" customHeight="1" x14ac:dyDescent="0.35">
      <c r="A24" s="779"/>
      <c r="B24" s="779"/>
      <c r="C24" s="779"/>
      <c r="D24" s="779"/>
      <c r="E24" s="779"/>
      <c r="F24" s="4"/>
      <c r="G24" s="781" t="s">
        <v>20</v>
      </c>
      <c r="H24" s="782"/>
      <c r="I24" s="782"/>
      <c r="J24" s="73"/>
      <c r="L24" s="797" t="s">
        <v>11</v>
      </c>
      <c r="M24" s="797"/>
      <c r="N24" s="797"/>
      <c r="P24" s="797" t="s">
        <v>12</v>
      </c>
      <c r="Q24" s="797"/>
      <c r="R24" s="797"/>
    </row>
    <row r="25" spans="1:26" ht="12.75" customHeight="1" x14ac:dyDescent="0.35">
      <c r="J25" s="73"/>
      <c r="L25" s="783" t="s">
        <v>1391</v>
      </c>
      <c r="M25" s="805"/>
      <c r="N25" s="805"/>
    </row>
    <row r="26" spans="1:26" ht="14.25" customHeight="1" x14ac:dyDescent="0.35">
      <c r="A26" s="779"/>
      <c r="B26" s="779"/>
      <c r="C26" s="779"/>
      <c r="D26" s="779"/>
      <c r="E26" s="779"/>
      <c r="F26" s="4"/>
      <c r="G26" s="781" t="s">
        <v>20</v>
      </c>
      <c r="H26" s="782"/>
      <c r="I26" s="782"/>
      <c r="J26" s="73"/>
      <c r="L26" s="797" t="s">
        <v>13</v>
      </c>
      <c r="M26" s="797"/>
      <c r="N26" s="797"/>
    </row>
    <row r="27" spans="1:26" ht="12.75" customHeight="1" x14ac:dyDescent="0.3">
      <c r="J27" s="73"/>
      <c r="L27" s="789"/>
      <c r="M27" s="789"/>
      <c r="N27" s="789"/>
      <c r="O27" s="106"/>
      <c r="P27" s="807"/>
      <c r="Q27" s="807"/>
      <c r="R27" s="807"/>
    </row>
    <row r="28" spans="1:26" ht="12.75" customHeight="1" x14ac:dyDescent="0.35">
      <c r="A28" s="779"/>
      <c r="B28" s="779"/>
      <c r="C28" s="779"/>
      <c r="D28" s="779"/>
      <c r="E28" s="779"/>
      <c r="F28" s="4"/>
      <c r="G28" s="781" t="s">
        <v>20</v>
      </c>
      <c r="H28" s="782"/>
      <c r="I28" s="782"/>
      <c r="J28" s="73"/>
      <c r="L28" s="779"/>
      <c r="M28" s="779"/>
      <c r="N28" s="779"/>
      <c r="P28" s="783" t="s">
        <v>1394</v>
      </c>
      <c r="Q28" s="782"/>
      <c r="R28" s="782"/>
    </row>
    <row r="29" spans="1:26" ht="14.25" customHeight="1" x14ac:dyDescent="0.3">
      <c r="D29" s="4"/>
      <c r="E29" s="4"/>
      <c r="F29" s="4"/>
      <c r="G29" s="4"/>
      <c r="J29" s="73"/>
      <c r="L29" s="797" t="s">
        <v>11</v>
      </c>
      <c r="M29" s="797"/>
      <c r="N29" s="797"/>
      <c r="P29" s="797" t="s">
        <v>12</v>
      </c>
      <c r="Q29" s="797"/>
      <c r="R29" s="797"/>
    </row>
    <row r="30" spans="1:26" ht="12.75" customHeight="1" x14ac:dyDescent="0.35">
      <c r="A30" s="779"/>
      <c r="B30" s="779"/>
      <c r="C30" s="779"/>
      <c r="D30" s="779"/>
      <c r="E30" s="779"/>
      <c r="F30" s="4"/>
      <c r="G30" s="781" t="s">
        <v>20</v>
      </c>
      <c r="H30" s="782"/>
      <c r="I30" s="782"/>
      <c r="K30" s="84"/>
      <c r="L30" s="783" t="s">
        <v>1393</v>
      </c>
      <c r="M30" s="805"/>
      <c r="N30" s="805"/>
    </row>
    <row r="31" spans="1:26" ht="30.75" customHeight="1" x14ac:dyDescent="0.35">
      <c r="A31" s="779"/>
      <c r="B31" s="779"/>
      <c r="C31" s="779"/>
      <c r="D31" s="779"/>
      <c r="E31" s="779"/>
      <c r="F31" s="4"/>
      <c r="G31" s="781" t="s">
        <v>20</v>
      </c>
      <c r="H31" s="782"/>
      <c r="I31" s="782"/>
      <c r="J31" s="73"/>
      <c r="K31" s="84"/>
      <c r="L31" s="797" t="s">
        <v>13</v>
      </c>
      <c r="M31" s="797"/>
      <c r="N31" s="797"/>
    </row>
    <row r="32" spans="1:26" ht="12.75" customHeight="1" x14ac:dyDescent="0.3">
      <c r="J32" s="73"/>
      <c r="K32" s="66"/>
      <c r="L32" s="67" t="s">
        <v>14</v>
      </c>
      <c r="M32" s="67"/>
      <c r="N32" s="67"/>
      <c r="O32" s="67"/>
      <c r="P32" s="67"/>
      <c r="Q32" s="67"/>
      <c r="R32" s="67"/>
    </row>
    <row r="33" spans="1:18" ht="12.75" customHeight="1" x14ac:dyDescent="0.35">
      <c r="A33" s="779"/>
      <c r="B33" s="779"/>
      <c r="C33" s="779"/>
      <c r="D33" s="779"/>
      <c r="E33" s="779"/>
      <c r="F33" s="4"/>
      <c r="G33" s="783" t="s">
        <v>20</v>
      </c>
      <c r="H33" s="782"/>
      <c r="I33" s="782"/>
      <c r="J33" s="73"/>
      <c r="L33" t="s">
        <v>15</v>
      </c>
      <c r="P33" s="7" t="s">
        <v>16</v>
      </c>
      <c r="Q33" s="802">
        <f>TotExpSchoolwide</f>
        <v>2179880</v>
      </c>
      <c r="R33" s="802"/>
    </row>
    <row r="34" spans="1:18" ht="12.75" customHeight="1" x14ac:dyDescent="0.3">
      <c r="A34" s="780" t="s">
        <v>17</v>
      </c>
      <c r="B34" s="780"/>
      <c r="C34" s="780"/>
      <c r="D34" s="780"/>
      <c r="E34" s="780"/>
      <c r="F34" s="4"/>
      <c r="G34" s="780" t="s">
        <v>18</v>
      </c>
      <c r="H34" s="780"/>
      <c r="I34" s="780"/>
      <c r="J34" s="73"/>
      <c r="L34" t="s">
        <v>19</v>
      </c>
      <c r="P34" s="7" t="s">
        <v>16</v>
      </c>
      <c r="Q34" s="802">
        <f>SP1000ClassSiteProj</f>
        <v>226824</v>
      </c>
      <c r="R34" s="802"/>
    </row>
    <row r="35" spans="1:18" ht="12.75" customHeight="1" x14ac:dyDescent="0.3">
      <c r="J35" s="73"/>
    </row>
  </sheetData>
  <sheetProtection sheet="1" formatCells="0" formatColumns="0" formatRows="0"/>
  <mergeCells count="58">
    <mergeCell ref="T20:X23"/>
    <mergeCell ref="L28:N28"/>
    <mergeCell ref="L29:N29"/>
    <mergeCell ref="L26:N26"/>
    <mergeCell ref="P23:R23"/>
    <mergeCell ref="P24:R24"/>
    <mergeCell ref="P27:R27"/>
    <mergeCell ref="L23:N23"/>
    <mergeCell ref="Q34:R34"/>
    <mergeCell ref="L31:N31"/>
    <mergeCell ref="L19:R19"/>
    <mergeCell ref="L21:N21"/>
    <mergeCell ref="O20:R20"/>
    <mergeCell ref="Q33:R33"/>
    <mergeCell ref="P29:R29"/>
    <mergeCell ref="P28:R28"/>
    <mergeCell ref="L25:N25"/>
    <mergeCell ref="L30:N30"/>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L4:R18"/>
    <mergeCell ref="L2:R3"/>
    <mergeCell ref="B6:I6"/>
    <mergeCell ref="B8:I8"/>
    <mergeCell ref="A21:E21"/>
    <mergeCell ref="B7:I7"/>
    <mergeCell ref="B10:J10"/>
    <mergeCell ref="B16:J16"/>
    <mergeCell ref="A6:A7"/>
    <mergeCell ref="A11:C11"/>
    <mergeCell ref="D11:J11"/>
    <mergeCell ref="G34:I34"/>
    <mergeCell ref="G24:I24"/>
    <mergeCell ref="G26:I26"/>
    <mergeCell ref="G28:I28"/>
    <mergeCell ref="G30:I30"/>
    <mergeCell ref="G31:I31"/>
    <mergeCell ref="G33:I33"/>
    <mergeCell ref="A24:E24"/>
    <mergeCell ref="A28:E28"/>
    <mergeCell ref="A30:E30"/>
    <mergeCell ref="A31:E31"/>
    <mergeCell ref="A34:E34"/>
    <mergeCell ref="A33:E33"/>
  </mergeCells>
  <conditionalFormatting sqref="A16:B16">
    <cfRule type="expression" priority="23" stopIfTrue="1">
      <formula>$A$16="X"</formula>
    </cfRule>
  </conditionalFormatting>
  <conditionalFormatting sqref="B10">
    <cfRule type="expression" dxfId="84"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3" priority="6" stopIfTrue="1">
      <formula>D1=""</formula>
    </cfRule>
  </conditionalFormatting>
  <conditionalFormatting sqref="D3:I3">
    <cfRule type="expression" dxfId="82" priority="4" stopIfTrue="1">
      <formula>$D$3=""</formula>
    </cfRule>
  </conditionalFormatting>
  <conditionalFormatting sqref="G22 G24 G26 G28 G30:G31 G33">
    <cfRule type="expression" dxfId="81" priority="5" stopIfTrue="1">
      <formula>$G22=""</formula>
    </cfRule>
  </conditionalFormatting>
  <conditionalFormatting sqref="L2:R3">
    <cfRule type="expression" dxfId="80" priority="15" stopIfTrue="1">
      <formula>$L$4&lt;&gt;""</formula>
    </cfRule>
  </conditionalFormatting>
  <conditionalFormatting sqref="N20 P23 L25 P28 L30">
    <cfRule type="expression" dxfId="79" priority="3" stopIfTrue="1">
      <formula>L20=""</formula>
    </cfRule>
  </conditionalFormatting>
  <conditionalFormatting sqref="T20">
    <cfRule type="expression" dxfId="78"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formula1>9</formula1>
    </dataValidation>
    <dataValidation type="date" operator="greaterThanOrEqual" allowBlank="1" showInputMessage="1" showErrorMessage="1" errorTitle="Date" error="Enter Valid Date_x000a_MM/DD/YYYY" promptTitle="Enter Date as" prompt="MM/DD/YYYY" sqref="N20">
      <formula1>42962</formula1>
    </dataValidation>
    <dataValidation type="list" allowBlank="1" showInputMessage="1" showErrorMessage="1" sqref="A14 A16 A12 A10 A18 Z20">
      <formula1>"X"</formula1>
    </dataValidation>
  </dataValidations>
  <hyperlinks>
    <hyperlink ref="A5" location="Instructions!A1" display="Instructions"/>
    <hyperlink ref="A6:A7" location="Instructions!C4" display="Complete the Cover, School listing, and Accounting data tabs first. See instructions."/>
    <hyperlink ref="A11:C11" location="websitelink" display="Charter website link of posted AFR"/>
  </hyperlinks>
  <pageMargins left="0.7" right="0.7" top="0.75" bottom="0.75" header="0.3" footer="0.3"/>
  <pageSetup scale="72" orientation="landscape"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4"/>
  <sheetViews>
    <sheetView showGridLines="0" zoomScale="110" zoomScaleNormal="110" workbookViewId="0">
      <selection activeCell="J25" sqref="J25"/>
    </sheetView>
  </sheetViews>
  <sheetFormatPr defaultColWidth="9.296875" defaultRowHeight="12.75" customHeight="1" x14ac:dyDescent="0.3"/>
  <cols>
    <col min="1" max="1" width="19.796875" style="149" customWidth="1"/>
    <col min="2" max="2" width="42.796875" style="149" customWidth="1"/>
    <col min="3" max="3" width="3" style="149" customWidth="1"/>
    <col min="4" max="6" width="16.796875" style="149" customWidth="1"/>
    <col min="7" max="7" width="18.69921875" style="149" customWidth="1"/>
    <col min="8" max="10" width="17.796875" style="152" customWidth="1"/>
    <col min="11" max="11" width="16.796875" style="152" customWidth="1"/>
    <col min="12" max="12" width="3" style="149" customWidth="1"/>
    <col min="13" max="13" width="10.796875" style="149" customWidth="1"/>
    <col min="14" max="14" width="9.296875" style="149" customWidth="1"/>
    <col min="15" max="15" width="2.296875" style="149" customWidth="1"/>
    <col min="16" max="16" width="9.296875" style="149" customWidth="1"/>
    <col min="17" max="25" width="9.296875" style="149" hidden="1" customWidth="1"/>
    <col min="26" max="29" width="9.296875" style="149" customWidth="1"/>
    <col min="30" max="16384" width="9.296875" style="149"/>
  </cols>
  <sheetData>
    <row r="1" spans="1:27" ht="12" customHeight="1" x14ac:dyDescent="0.3">
      <c r="A1" s="3" t="s">
        <v>0</v>
      </c>
      <c r="B1" s="1" t="str">
        <f>'Cover Page'!D1</f>
        <v>Mexicayotl Academy, Inc</v>
      </c>
      <c r="C1" s="4"/>
      <c r="D1"/>
      <c r="E1" s="57" t="s">
        <v>1</v>
      </c>
      <c r="F1" s="809" t="str">
        <f>'Cover Page'!M1</f>
        <v>Santa Cruz</v>
      </c>
      <c r="G1" s="809"/>
      <c r="H1"/>
      <c r="I1" s="57"/>
      <c r="J1" s="57" t="s">
        <v>2</v>
      </c>
      <c r="K1" s="2" t="str">
        <f>'Cover Page'!R1</f>
        <v>128703000</v>
      </c>
      <c r="L1" s="255"/>
      <c r="M1" s="4"/>
      <c r="N1" s="575"/>
      <c r="O1" s="575"/>
    </row>
    <row r="2" spans="1:27" ht="12" customHeight="1" x14ac:dyDescent="0.3">
      <c r="A2" s="57"/>
      <c r="B2" s="57"/>
      <c r="C2" s="3"/>
      <c r="D2" s="4"/>
      <c r="E2"/>
      <c r="F2"/>
      <c r="G2"/>
      <c r="H2" s="57"/>
      <c r="I2" s="4"/>
      <c r="J2" s="4"/>
      <c r="K2" s="4"/>
      <c r="L2"/>
      <c r="M2" s="4"/>
      <c r="N2" s="575"/>
      <c r="O2" s="575"/>
    </row>
    <row r="3" spans="1:27" ht="12" customHeight="1" x14ac:dyDescent="0.3">
      <c r="A3" s="256"/>
      <c r="B3" s="256"/>
      <c r="C3" s="256"/>
      <c r="D3" s="256"/>
      <c r="E3" s="256"/>
      <c r="F3" s="256"/>
      <c r="G3" s="256"/>
      <c r="H3" s="256"/>
      <c r="I3" s="256"/>
      <c r="J3" s="256"/>
      <c r="K3" s="256"/>
      <c r="L3" s="256"/>
      <c r="M3" s="256"/>
    </row>
    <row r="4" spans="1:27" ht="12" customHeight="1" x14ac:dyDescent="0.3">
      <c r="A4" s="256"/>
      <c r="B4" s="256"/>
      <c r="C4" s="904" t="s">
        <v>350</v>
      </c>
      <c r="D4" s="904"/>
      <c r="E4" s="904"/>
      <c r="F4" s="904"/>
      <c r="G4" s="904"/>
      <c r="H4" s="904"/>
      <c r="I4" s="904"/>
      <c r="J4" s="904"/>
      <c r="K4" s="904"/>
      <c r="L4" s="904"/>
      <c r="M4" s="256"/>
    </row>
    <row r="5" spans="1:27" ht="12" customHeight="1" x14ac:dyDescent="0.3">
      <c r="B5" s="651" t="s">
        <v>726</v>
      </c>
    </row>
    <row r="6" spans="1:27" ht="12" customHeight="1" x14ac:dyDescent="0.3">
      <c r="A6" s="257"/>
      <c r="B6" s="257"/>
      <c r="D6" s="905" t="s">
        <v>351</v>
      </c>
      <c r="E6" s="905"/>
      <c r="F6" s="905"/>
      <c r="G6" s="905"/>
      <c r="H6" s="905"/>
      <c r="I6" s="905"/>
      <c r="J6" s="905"/>
      <c r="K6" s="905"/>
      <c r="L6" s="258"/>
      <c r="M6" s="152"/>
      <c r="N6" s="152"/>
      <c r="V6" s="259"/>
    </row>
    <row r="7" spans="1:27" ht="12" customHeight="1" x14ac:dyDescent="0.3">
      <c r="D7" s="260"/>
      <c r="E7" s="261"/>
      <c r="F7" s="261" t="s">
        <v>150</v>
      </c>
      <c r="G7" s="261"/>
      <c r="H7" s="261"/>
      <c r="I7" s="262"/>
      <c r="J7" s="262" t="s">
        <v>94</v>
      </c>
      <c r="K7" s="263"/>
      <c r="L7" s="264"/>
      <c r="M7" s="152"/>
      <c r="N7" s="152"/>
      <c r="T7" s="259"/>
      <c r="V7" s="259"/>
    </row>
    <row r="8" spans="1:27" ht="12" customHeight="1" x14ac:dyDescent="0.3">
      <c r="D8" s="265"/>
      <c r="E8" s="266" t="s">
        <v>85</v>
      </c>
      <c r="F8" s="266" t="s">
        <v>92</v>
      </c>
      <c r="G8" s="266"/>
      <c r="H8" s="267" t="s">
        <v>352</v>
      </c>
      <c r="I8" s="267"/>
      <c r="J8" s="267" t="s">
        <v>353</v>
      </c>
      <c r="K8" s="263"/>
      <c r="L8" s="268"/>
      <c r="N8" s="152"/>
      <c r="U8" s="259"/>
    </row>
    <row r="9" spans="1:27" ht="12" customHeight="1" x14ac:dyDescent="0.3">
      <c r="D9" s="266" t="s">
        <v>90</v>
      </c>
      <c r="E9" s="269" t="s">
        <v>91</v>
      </c>
      <c r="F9" s="269" t="s">
        <v>354</v>
      </c>
      <c r="G9" s="269" t="s">
        <v>93</v>
      </c>
      <c r="H9" s="267" t="s">
        <v>355</v>
      </c>
      <c r="I9" s="270" t="s">
        <v>356</v>
      </c>
      <c r="J9" s="270" t="s">
        <v>357</v>
      </c>
      <c r="K9" s="271" t="s">
        <v>358</v>
      </c>
      <c r="L9" s="268"/>
      <c r="N9" s="152"/>
      <c r="U9" s="259"/>
      <c r="AA9" s="259"/>
    </row>
    <row r="10" spans="1:27" ht="12" customHeight="1" x14ac:dyDescent="0.3">
      <c r="A10" s="272" t="s">
        <v>359</v>
      </c>
      <c r="B10" s="272"/>
      <c r="D10" s="269">
        <v>6100</v>
      </c>
      <c r="E10" s="269">
        <v>6200</v>
      </c>
      <c r="F10" s="269">
        <v>6500</v>
      </c>
      <c r="G10" s="269">
        <v>6600</v>
      </c>
      <c r="H10" s="269">
        <v>6810</v>
      </c>
      <c r="I10" s="270">
        <v>6890</v>
      </c>
      <c r="J10" s="270" t="s">
        <v>360</v>
      </c>
      <c r="K10" s="273" t="s">
        <v>361</v>
      </c>
      <c r="L10" s="268"/>
      <c r="N10" s="152"/>
      <c r="S10" s="259"/>
      <c r="AA10" s="152"/>
    </row>
    <row r="11" spans="1:27" ht="12" customHeight="1" x14ac:dyDescent="0.3">
      <c r="A11" s="572" t="s">
        <v>197</v>
      </c>
      <c r="B11" s="572"/>
      <c r="C11" s="274" t="s">
        <v>24</v>
      </c>
      <c r="D11" s="547">
        <f>Calculations!E8</f>
        <v>652491</v>
      </c>
      <c r="E11" s="547">
        <f>Calculations!E113</f>
        <v>101394</v>
      </c>
      <c r="F11" s="547">
        <f>Calculations!E238</f>
        <v>43833</v>
      </c>
      <c r="G11" s="547">
        <f>Calculations!E636</f>
        <v>41823</v>
      </c>
      <c r="H11" s="547">
        <f>Calculations!E951</f>
        <v>270</v>
      </c>
      <c r="I11" s="547">
        <f>Calculations!E1116</f>
        <v>205</v>
      </c>
      <c r="J11" s="547">
        <f>Calculations!E1454-H11-I11</f>
        <v>5</v>
      </c>
      <c r="K11" s="540">
        <v>0</v>
      </c>
      <c r="L11" s="275" t="s">
        <v>24</v>
      </c>
      <c r="N11" s="152"/>
      <c r="S11" s="259"/>
      <c r="AA11" s="276" t="str">
        <f>IF(OR(K11="",K14="",K13="",K15="",K16="",K17="",K18="",K19="",K21="",K22="",K24="",K25="",K26=""),"yes","")</f>
        <v/>
      </c>
    </row>
    <row r="12" spans="1:27" ht="12" customHeight="1" x14ac:dyDescent="0.3">
      <c r="A12" s="149" t="s">
        <v>198</v>
      </c>
      <c r="C12" s="274"/>
      <c r="D12" s="277"/>
      <c r="E12" s="277"/>
      <c r="F12" s="277"/>
      <c r="G12" s="277"/>
      <c r="H12" s="277"/>
      <c r="I12" s="277"/>
      <c r="J12" s="277"/>
      <c r="K12" s="83"/>
      <c r="L12" s="275"/>
      <c r="N12" s="152"/>
      <c r="S12" s="259"/>
      <c r="AA12" s="276" t="str">
        <f>IF(OR(E33="",E34="",E35="",E36="",E40="",E41="",E42="",E43="",E44="",E49="",E53="",E54="",E55="",E56=""),"yes","")</f>
        <v/>
      </c>
    </row>
    <row r="13" spans="1:27" ht="12" customHeight="1" x14ac:dyDescent="0.3">
      <c r="A13" s="572" t="s">
        <v>362</v>
      </c>
      <c r="B13" s="572"/>
      <c r="C13" s="274" t="s">
        <v>26</v>
      </c>
      <c r="D13" s="552">
        <f>Calculations!E15</f>
        <v>178879</v>
      </c>
      <c r="E13" s="552">
        <f>Calculations!E120</f>
        <v>39743</v>
      </c>
      <c r="F13" s="552">
        <f>Calculations!E265</f>
        <v>36638</v>
      </c>
      <c r="G13" s="552">
        <f>Calculations!E643</f>
        <v>16394</v>
      </c>
      <c r="H13" s="552">
        <f>Calculations!E958</f>
        <v>30</v>
      </c>
      <c r="I13" s="552">
        <f>Calculations!E1123</f>
        <v>0</v>
      </c>
      <c r="J13" s="552">
        <f>Calculations!E1459-H13-I13</f>
        <v>1925</v>
      </c>
      <c r="K13" s="48">
        <v>0</v>
      </c>
      <c r="L13" s="275" t="s">
        <v>26</v>
      </c>
      <c r="W13" s="259"/>
      <c r="AA13" s="276" t="str">
        <f>IF(OR(K30="",K31="",K32="",K36="",K37="",K38="",K41="",K42="",K46="",K47="",K51="",K52="",K53="",K54="",K55="",K56="",K59="",K60=""),"yes","")</f>
        <v/>
      </c>
    </row>
    <row r="14" spans="1:27" ht="12" customHeight="1" x14ac:dyDescent="0.3">
      <c r="A14" s="572" t="s">
        <v>363</v>
      </c>
      <c r="B14" s="572"/>
      <c r="C14" s="274" t="s">
        <v>28</v>
      </c>
      <c r="D14" s="547">
        <f>Calculations!E22</f>
        <v>40743</v>
      </c>
      <c r="E14" s="547">
        <f>Calculations!E127</f>
        <v>15342</v>
      </c>
      <c r="F14" s="547">
        <f>Calculations!E292</f>
        <v>6477</v>
      </c>
      <c r="G14" s="547">
        <f>Calculations!E650</f>
        <v>8020</v>
      </c>
      <c r="H14" s="547">
        <f>Calculations!E965</f>
        <v>0</v>
      </c>
      <c r="I14" s="547">
        <f>Calculations!E1130</f>
        <v>122</v>
      </c>
      <c r="J14" s="547">
        <f>Calculations!E1464-H14-I14</f>
        <v>0</v>
      </c>
      <c r="K14" s="48">
        <v>0</v>
      </c>
      <c r="L14" s="278" t="s">
        <v>28</v>
      </c>
      <c r="N14" s="152"/>
      <c r="W14" s="259"/>
      <c r="AA14" s="276" t="str">
        <f>IF(AND(AA11="",AA12="",AA13=""),"","yes")</f>
        <v/>
      </c>
    </row>
    <row r="15" spans="1:27" ht="12" customHeight="1" x14ac:dyDescent="0.3">
      <c r="A15" s="572" t="s">
        <v>364</v>
      </c>
      <c r="B15" s="572"/>
      <c r="C15" s="274" t="s">
        <v>31</v>
      </c>
      <c r="D15" s="547">
        <f>Calculations!E29</f>
        <v>0</v>
      </c>
      <c r="E15" s="547">
        <f>Calculations!E134</f>
        <v>0</v>
      </c>
      <c r="F15" s="547">
        <f>Calculations!E319</f>
        <v>9240</v>
      </c>
      <c r="G15" s="547">
        <f>Calculations!E657</f>
        <v>0</v>
      </c>
      <c r="H15" s="547">
        <f>Calculations!E972</f>
        <v>0</v>
      </c>
      <c r="I15" s="547">
        <f>Calculations!E1137</f>
        <v>0</v>
      </c>
      <c r="J15" s="547">
        <f>Calculations!E1469-H15-I15</f>
        <v>0</v>
      </c>
      <c r="K15" s="47">
        <v>0</v>
      </c>
      <c r="L15" s="278" t="s">
        <v>31</v>
      </c>
    </row>
    <row r="16" spans="1:27" ht="12" customHeight="1" x14ac:dyDescent="0.3">
      <c r="A16" s="279" t="s">
        <v>365</v>
      </c>
      <c r="B16" s="279"/>
      <c r="C16" s="280" t="s">
        <v>33</v>
      </c>
      <c r="D16" s="547">
        <f>Calculations!E36</f>
        <v>323413</v>
      </c>
      <c r="E16" s="547">
        <f>Calculations!E141</f>
        <v>77877</v>
      </c>
      <c r="F16" s="547">
        <f>Calculations!E346</f>
        <v>11835</v>
      </c>
      <c r="G16" s="547">
        <f>Calculations!E664</f>
        <v>16102</v>
      </c>
      <c r="H16" s="547">
        <f>Calculations!E979</f>
        <v>592</v>
      </c>
      <c r="I16" s="547">
        <f>Calculations!E1144</f>
        <v>0</v>
      </c>
      <c r="J16" s="547">
        <f>Calculations!E1474-H16-I16</f>
        <v>0</v>
      </c>
      <c r="K16" s="47">
        <v>0</v>
      </c>
      <c r="L16" s="281" t="s">
        <v>33</v>
      </c>
    </row>
    <row r="17" spans="1:12" ht="12" customHeight="1" x14ac:dyDescent="0.3">
      <c r="A17" s="282" t="s">
        <v>366</v>
      </c>
      <c r="B17" s="282"/>
      <c r="C17" s="280" t="s">
        <v>35</v>
      </c>
      <c r="D17" s="547">
        <f>Calculations!E43+Calculations!E50</f>
        <v>39012</v>
      </c>
      <c r="E17" s="547">
        <f>Calculations!E148+Calculations!E155</f>
        <v>12402</v>
      </c>
      <c r="F17" s="547">
        <f>Calculations!E373+Calculations!E400</f>
        <v>143779</v>
      </c>
      <c r="G17" s="547">
        <f>Calculations!E671+Calculations!E678</f>
        <v>6349</v>
      </c>
      <c r="H17" s="547">
        <f>Calculations!E986+Calculations!E993</f>
        <v>9253</v>
      </c>
      <c r="I17" s="547">
        <f>Calculations!E1151+Calculations!E1158</f>
        <v>3474</v>
      </c>
      <c r="J17" s="547">
        <f>Calculations!E1479+Calculations!E1484-Calculations!E1082-H17-I17</f>
        <v>104</v>
      </c>
      <c r="K17" s="47">
        <v>0</v>
      </c>
      <c r="L17" s="281" t="s">
        <v>35</v>
      </c>
    </row>
    <row r="18" spans="1:12" ht="12" customHeight="1" x14ac:dyDescent="0.3">
      <c r="A18" s="572" t="s">
        <v>367</v>
      </c>
      <c r="B18" s="572"/>
      <c r="C18" s="280" t="s">
        <v>36</v>
      </c>
      <c r="D18" s="547">
        <f>Calculations!E57</f>
        <v>142883</v>
      </c>
      <c r="E18" s="547">
        <f>Calculations!E162</f>
        <v>31035</v>
      </c>
      <c r="F18" s="547">
        <f>Calculations!E427</f>
        <v>406134</v>
      </c>
      <c r="G18" s="547">
        <f>Calculations!E685</f>
        <v>74731</v>
      </c>
      <c r="H18" s="547">
        <f>Calculations!E1000</f>
        <v>0</v>
      </c>
      <c r="I18" s="547">
        <f>Calculations!E1165</f>
        <v>0</v>
      </c>
      <c r="J18" s="547">
        <f>Calculations!E1489-H18-I18</f>
        <v>0</v>
      </c>
      <c r="K18" s="47">
        <v>0</v>
      </c>
      <c r="L18" s="281" t="s">
        <v>36</v>
      </c>
    </row>
    <row r="19" spans="1:12" ht="12" customHeight="1" x14ac:dyDescent="0.3">
      <c r="A19" s="283" t="s">
        <v>368</v>
      </c>
      <c r="B19" s="283"/>
      <c r="C19" s="280" t="s">
        <v>38</v>
      </c>
      <c r="D19" s="547">
        <f>Calculations!E64</f>
        <v>2629</v>
      </c>
      <c r="E19" s="547">
        <f>Calculations!E169</f>
        <v>515</v>
      </c>
      <c r="F19" s="547">
        <f>Calculations!E454</f>
        <v>1877</v>
      </c>
      <c r="G19" s="547">
        <f>Calculations!E692</f>
        <v>3303</v>
      </c>
      <c r="H19" s="547">
        <f>Calculations!E1007</f>
        <v>103</v>
      </c>
      <c r="I19" s="547">
        <f>Calculations!E1172</f>
        <v>0</v>
      </c>
      <c r="J19" s="547">
        <f>Calculations!E1494-H19-I19</f>
        <v>0</v>
      </c>
      <c r="K19" s="50">
        <v>0</v>
      </c>
      <c r="L19" s="281" t="s">
        <v>38</v>
      </c>
    </row>
    <row r="20" spans="1:12" ht="12" customHeight="1" x14ac:dyDescent="0.3">
      <c r="A20" s="572" t="s">
        <v>369</v>
      </c>
      <c r="B20" s="572"/>
      <c r="C20" s="280"/>
      <c r="D20" s="277"/>
      <c r="E20" s="277"/>
      <c r="F20" s="277"/>
      <c r="G20" s="277"/>
      <c r="H20" s="277"/>
      <c r="I20" s="277"/>
      <c r="J20" s="277"/>
      <c r="K20" s="83"/>
      <c r="L20" s="284"/>
    </row>
    <row r="21" spans="1:12" ht="12" customHeight="1" x14ac:dyDescent="0.3">
      <c r="A21" s="283" t="s">
        <v>370</v>
      </c>
      <c r="B21" s="283"/>
      <c r="C21" s="280" t="s">
        <v>40</v>
      </c>
      <c r="D21" s="552">
        <f>Calculations!E71</f>
        <v>25327</v>
      </c>
      <c r="E21" s="552">
        <f>Calculations!E176</f>
        <v>5736</v>
      </c>
      <c r="F21" s="552">
        <f>Calculations!E481</f>
        <v>129611</v>
      </c>
      <c r="G21" s="552">
        <f>Calculations!E699</f>
        <v>114</v>
      </c>
      <c r="H21" s="552">
        <f>Calculations!E1014</f>
        <v>945</v>
      </c>
      <c r="I21" s="552">
        <f>Calculations!E1179</f>
        <v>0</v>
      </c>
      <c r="J21" s="552">
        <f>Calculations!E1499-H21-I21</f>
        <v>0</v>
      </c>
      <c r="K21" s="48">
        <v>0</v>
      </c>
      <c r="L21" s="284" t="s">
        <v>40</v>
      </c>
    </row>
    <row r="22" spans="1:12" ht="12" customHeight="1" x14ac:dyDescent="0.3">
      <c r="A22" s="283" t="s">
        <v>371</v>
      </c>
      <c r="B22" s="283"/>
      <c r="C22" s="280" t="s">
        <v>42</v>
      </c>
      <c r="D22" s="547">
        <f>Calculations!E85</f>
        <v>0</v>
      </c>
      <c r="E22" s="547">
        <f>Calculations!E190</f>
        <v>0</v>
      </c>
      <c r="F22" s="547">
        <f>Calculations!E535</f>
        <v>0</v>
      </c>
      <c r="G22" s="547">
        <f>Calculations!E713</f>
        <v>0</v>
      </c>
      <c r="H22" s="547">
        <f>Calculations!E1028</f>
        <v>0</v>
      </c>
      <c r="I22" s="547">
        <f>Calculations!E1193</f>
        <v>0</v>
      </c>
      <c r="J22" s="547">
        <f>Calculations!E1504-H22-I22</f>
        <v>0</v>
      </c>
      <c r="K22" s="48">
        <v>0</v>
      </c>
      <c r="L22" s="281" t="s">
        <v>42</v>
      </c>
    </row>
    <row r="23" spans="1:12" ht="12" customHeight="1" x14ac:dyDescent="0.3">
      <c r="A23" s="283" t="s">
        <v>372</v>
      </c>
      <c r="B23" s="283"/>
      <c r="C23" s="280" t="s">
        <v>44</v>
      </c>
      <c r="D23" s="547">
        <f t="shared" ref="D23:K23" si="0">SUM(D11:D22)</f>
        <v>1405377</v>
      </c>
      <c r="E23" s="547">
        <f t="shared" si="0"/>
        <v>284044</v>
      </c>
      <c r="F23" s="547">
        <f t="shared" si="0"/>
        <v>789424</v>
      </c>
      <c r="G23" s="547">
        <f t="shared" si="0"/>
        <v>166836</v>
      </c>
      <c r="H23" s="547">
        <f t="shared" si="0"/>
        <v>11193</v>
      </c>
      <c r="I23" s="547">
        <f t="shared" si="0"/>
        <v>3801</v>
      </c>
      <c r="J23" s="547">
        <f t="shared" si="0"/>
        <v>2034</v>
      </c>
      <c r="K23" s="547">
        <f t="shared" si="0"/>
        <v>0</v>
      </c>
      <c r="L23" s="281" t="s">
        <v>44</v>
      </c>
    </row>
    <row r="24" spans="1:12" ht="12" customHeight="1" x14ac:dyDescent="0.3">
      <c r="A24" s="283" t="s">
        <v>373</v>
      </c>
      <c r="B24" s="283"/>
      <c r="C24" s="280" t="s">
        <v>45</v>
      </c>
      <c r="D24" s="547">
        <f>Calculations!E106</f>
        <v>126768</v>
      </c>
      <c r="E24" s="547">
        <f>Calculations!E211</f>
        <v>13167</v>
      </c>
      <c r="F24" s="547">
        <f>Calculations!E629</f>
        <v>50498</v>
      </c>
      <c r="G24" s="545">
        <f>Calculations!E734+'Food Service'!$E$10+'Food Service'!$E$11</f>
        <v>167939</v>
      </c>
      <c r="H24" s="547">
        <f>Calculations!E1049</f>
        <v>0</v>
      </c>
      <c r="I24" s="547">
        <f>Calculations!E1214</f>
        <v>0</v>
      </c>
      <c r="J24" s="547">
        <f>Calculations!E1518-Calculations!E1109-H24-I24</f>
        <v>0</v>
      </c>
      <c r="K24" s="47">
        <v>0</v>
      </c>
      <c r="L24" s="281" t="s">
        <v>45</v>
      </c>
    </row>
    <row r="25" spans="1:12" ht="12" customHeight="1" x14ac:dyDescent="0.3">
      <c r="A25" s="283" t="s">
        <v>374</v>
      </c>
      <c r="B25" s="283"/>
      <c r="C25" s="280" t="s">
        <v>47</v>
      </c>
      <c r="D25" s="547">
        <f>Calculations!E93-Calculations!E106</f>
        <v>1278609</v>
      </c>
      <c r="E25" s="547">
        <f>Calculations!E198-Calculations!E211</f>
        <v>270877</v>
      </c>
      <c r="F25" s="547">
        <f>Calculations!E563-Calculations!E629</f>
        <v>738926</v>
      </c>
      <c r="G25" s="545">
        <f>Calculations!E721-Calculations!E734-'Food Service'!$E$10-'Food Service'!$E$11</f>
        <v>-1103</v>
      </c>
      <c r="H25" s="547">
        <f>Calculations!E1036-Calculations!E1049</f>
        <v>11193</v>
      </c>
      <c r="I25" s="547">
        <f>Calculations!E1201-Calculations!E1214</f>
        <v>3801</v>
      </c>
      <c r="J25" s="547">
        <f>Calculations!E1505-Calculations!E1518-Calculations!E1082-H25-I25</f>
        <v>2034</v>
      </c>
      <c r="K25" s="47">
        <v>0</v>
      </c>
      <c r="L25" s="281" t="s">
        <v>47</v>
      </c>
    </row>
    <row r="26" spans="1:12" ht="12" customHeight="1" x14ac:dyDescent="0.3">
      <c r="A26" s="283" t="s">
        <v>375</v>
      </c>
      <c r="B26" s="283"/>
      <c r="C26" s="280" t="s">
        <v>49</v>
      </c>
      <c r="D26" s="547">
        <f>Calculations!E92</f>
        <v>0</v>
      </c>
      <c r="E26" s="547">
        <f>Calculations!E197</f>
        <v>0</v>
      </c>
      <c r="F26" s="547">
        <f>Calculations!E562</f>
        <v>0</v>
      </c>
      <c r="G26" s="547">
        <f>Calculations!E720</f>
        <v>0</v>
      </c>
      <c r="H26" s="547">
        <f>Calculations!E1035</f>
        <v>0</v>
      </c>
      <c r="I26" s="547">
        <f>Calculations!E1200</f>
        <v>0</v>
      </c>
      <c r="J26" s="547">
        <f>Calculations!E1523-H26-I26</f>
        <v>0</v>
      </c>
      <c r="K26" s="47">
        <v>170162</v>
      </c>
      <c r="L26" s="281" t="s">
        <v>49</v>
      </c>
    </row>
    <row r="27" spans="1:12" ht="12" customHeight="1" x14ac:dyDescent="0.3">
      <c r="B27" s="572"/>
      <c r="C27" s="280"/>
      <c r="D27" s="285"/>
      <c r="E27" s="285"/>
      <c r="F27" s="285"/>
      <c r="G27" s="285"/>
      <c r="H27" s="285"/>
      <c r="I27" s="285"/>
      <c r="J27" s="285"/>
      <c r="K27" s="286"/>
      <c r="L27" s="285"/>
    </row>
    <row r="28" spans="1:12" ht="13" hidden="1" x14ac:dyDescent="0.3">
      <c r="A28" s="287"/>
      <c r="B28" s="572"/>
      <c r="C28" s="280"/>
      <c r="D28" s="285"/>
      <c r="E28" s="285"/>
      <c r="F28" s="285"/>
      <c r="G28" s="285"/>
      <c r="H28" s="285"/>
      <c r="I28" s="285"/>
      <c r="J28" s="285"/>
      <c r="K28" s="286"/>
      <c r="L28" s="285"/>
    </row>
    <row r="29" spans="1:12" ht="12" customHeight="1" x14ac:dyDescent="0.3">
      <c r="A29" s="288"/>
      <c r="B29" s="288"/>
      <c r="C29" s="288"/>
      <c r="D29" s="289" t="s">
        <v>376</v>
      </c>
      <c r="E29" s="290"/>
      <c r="F29" s="291"/>
      <c r="H29" s="292" t="s">
        <v>1326</v>
      </c>
      <c r="I29" s="207"/>
      <c r="J29" s="292"/>
    </row>
    <row r="30" spans="1:12" ht="12" customHeight="1" x14ac:dyDescent="0.3">
      <c r="A30" s="288"/>
      <c r="B30" s="288"/>
      <c r="C30" s="293"/>
      <c r="D30" s="148" t="s">
        <v>377</v>
      </c>
      <c r="E30" s="294"/>
      <c r="F30" s="291"/>
      <c r="H30" s="902" t="s">
        <v>378</v>
      </c>
      <c r="I30" s="902"/>
      <c r="J30" s="906"/>
      <c r="K30" s="47">
        <v>0</v>
      </c>
      <c r="L30" s="295" t="s">
        <v>24</v>
      </c>
    </row>
    <row r="31" spans="1:12" ht="12" customHeight="1" x14ac:dyDescent="0.3">
      <c r="A31" s="288"/>
      <c r="B31" s="288"/>
      <c r="C31" s="293"/>
      <c r="D31" s="148" t="s">
        <v>379</v>
      </c>
      <c r="E31" s="296" t="s">
        <v>380</v>
      </c>
      <c r="F31" s="291"/>
      <c r="H31" s="902" t="s">
        <v>381</v>
      </c>
      <c r="I31" s="902"/>
      <c r="J31" s="906"/>
      <c r="K31" s="47">
        <v>0</v>
      </c>
      <c r="L31" s="295" t="s">
        <v>26</v>
      </c>
    </row>
    <row r="32" spans="1:12" ht="12" customHeight="1" x14ac:dyDescent="0.3">
      <c r="A32" s="288"/>
      <c r="B32" s="288"/>
      <c r="C32" s="293"/>
      <c r="D32" s="297" t="s">
        <v>382</v>
      </c>
      <c r="E32" s="298" t="s">
        <v>361</v>
      </c>
      <c r="F32" s="288"/>
      <c r="H32" s="902" t="s">
        <v>383</v>
      </c>
      <c r="I32" s="902"/>
      <c r="J32" s="906"/>
      <c r="K32" s="47">
        <v>0</v>
      </c>
      <c r="L32" s="295" t="s">
        <v>28</v>
      </c>
    </row>
    <row r="33" spans="1:12" ht="12" customHeight="1" x14ac:dyDescent="0.3">
      <c r="A33" s="900" t="s">
        <v>384</v>
      </c>
      <c r="B33" s="900"/>
      <c r="C33" s="299"/>
      <c r="D33" s="547">
        <f t="array" ref="D33">SUM(SUMIFS('Accounting data'!$G$2:$G$37002,'Accounting data'!$I$2:$I$37002,"7*",'Accounting data'!$J$2:$J$37002,{"1*","2*","3*","4*","5*"},'Accounting data'!$K$2:$K$37002,"6*"))-SUM(SUMIFS('Accounting data'!$G$2:$G$37002,'Accounting data'!$I$2:$I$37002,"7*",'Accounting data'!$J$2:$J$37002,{"1*","2*","3*","4*","5*"},'Accounting data'!$K$2:$K$37002,"67*"))-SUM(SUMIFS('Accounting data'!$G$2:$G$37002,'Accounting data'!$I$2:$I$37002,"7*",'Accounting data'!$J$2:$J$37002,{"1*","2*","3*","4*","5*"},'Accounting data'!$K$2:$K$37002,"69*"))</f>
        <v>0</v>
      </c>
      <c r="E33" s="47">
        <v>0</v>
      </c>
      <c r="F33" s="300" t="s">
        <v>24</v>
      </c>
      <c r="H33" s="149"/>
      <c r="I33" s="149"/>
      <c r="J33" s="149"/>
      <c r="K33" s="301"/>
    </row>
    <row r="34" spans="1:12" ht="12" customHeight="1" x14ac:dyDescent="0.3">
      <c r="A34" s="902" t="s">
        <v>385</v>
      </c>
      <c r="B34" s="902"/>
      <c r="C34" s="573"/>
      <c r="D34" s="547">
        <f t="array" ref="D34">SUM(SUMIFS('Accounting data'!$G$2:$G$37002,'Accounting data'!$I$2:$I$37002,"8*",'Accounting data'!$J$2:$J$37002,{"1*","2*","3*","4*","5*"},'Accounting data'!$K$2:$K$37002,"6*"))-SUM(SUMIFS('Accounting data'!$G$2:$G$37002,'Accounting data'!$I$2:$I$37002,"8*",'Accounting data'!$J$2:$J$37002,{"1*","2*","3*","4*","5*"},'Accounting data'!$K$2:$K$37002,"67*"))-SUM(SUMIFS('Accounting data'!$G$2:$G$37002,'Accounting data'!$I$2:$I$37002,"8*",'Accounting data'!$J$2:$J$37002,{"1*","2*","3*","4*","5*"},'Accounting data'!$K$2:$K$37002,"69*"))</f>
        <v>0</v>
      </c>
      <c r="E34" s="47">
        <v>0</v>
      </c>
      <c r="F34" s="300" t="s">
        <v>26</v>
      </c>
      <c r="H34" s="149"/>
      <c r="I34" s="149"/>
      <c r="J34" s="149"/>
      <c r="K34" s="301"/>
    </row>
    <row r="35" spans="1:12" ht="12" customHeight="1" x14ac:dyDescent="0.3">
      <c r="A35" s="902" t="s">
        <v>386</v>
      </c>
      <c r="B35" s="902"/>
      <c r="C35" s="573"/>
      <c r="D35" s="547">
        <f t="array" ref="D35">SUM(SUMIFS('Accounting data'!$G$2:$G$37002,'Accounting data'!$I$2:$I$37002,"9*",'Accounting data'!$J$2:$J$37002,{"1*","2*","3*","4*","5*"},'Accounting data'!$K$2:$K$37002,"6*"))-SUM(SUMIFS('Accounting data'!$G$2:$G$37002,'Accounting data'!$I$2:$I$37002,"9*",'Accounting data'!$J$2:$J$37002,{"1*","2*","3*","4*","5*"},'Accounting data'!$K$2:$K$37002,"67*"))-SUM(SUMIFS('Accounting data'!$G$2:$G$37002,'Accounting data'!$I$2:$I$37002,"9*",'Accounting data'!$J$2:$J$37002,{"1*","2*","3*","4*","5*"},'Accounting data'!$K$2:$K$37002,"69*"))</f>
        <v>0</v>
      </c>
      <c r="E35" s="47">
        <v>0</v>
      </c>
      <c r="F35" s="300" t="s">
        <v>28</v>
      </c>
      <c r="H35" s="292" t="s">
        <v>387</v>
      </c>
      <c r="I35" s="207"/>
      <c r="J35" s="149"/>
      <c r="K35" s="301"/>
    </row>
    <row r="36" spans="1:12" ht="12" customHeight="1" x14ac:dyDescent="0.3">
      <c r="A36" s="902" t="s">
        <v>388</v>
      </c>
      <c r="B36" s="902"/>
      <c r="C36" s="299"/>
      <c r="D36" s="547">
        <f>Calculations!E1335</f>
        <v>0</v>
      </c>
      <c r="E36" s="47">
        <v>0</v>
      </c>
      <c r="F36" s="284" t="s">
        <v>31</v>
      </c>
      <c r="H36" s="898" t="s">
        <v>1319</v>
      </c>
      <c r="I36" s="898"/>
      <c r="J36" s="899"/>
      <c r="K36" s="47">
        <v>0</v>
      </c>
      <c r="L36" s="295" t="s">
        <v>24</v>
      </c>
    </row>
    <row r="37" spans="1:12" ht="12" customHeight="1" x14ac:dyDescent="0.3">
      <c r="C37" s="295"/>
      <c r="E37" s="152"/>
      <c r="F37" s="300"/>
      <c r="H37" s="898" t="s">
        <v>1320</v>
      </c>
      <c r="I37" s="898"/>
      <c r="J37" s="899"/>
      <c r="K37" s="47">
        <v>0</v>
      </c>
      <c r="L37" s="295" t="s">
        <v>26</v>
      </c>
    </row>
    <row r="38" spans="1:12" ht="12" customHeight="1" x14ac:dyDescent="0.3">
      <c r="C38" s="295"/>
      <c r="E38" s="152"/>
      <c r="F38" s="300"/>
      <c r="H38" s="898" t="s">
        <v>1321</v>
      </c>
      <c r="I38" s="898"/>
      <c r="J38" s="899"/>
      <c r="K38" s="47">
        <v>0</v>
      </c>
      <c r="L38" s="295" t="s">
        <v>28</v>
      </c>
    </row>
    <row r="39" spans="1:12" ht="12" customHeight="1" x14ac:dyDescent="0.3">
      <c r="A39" s="292" t="s">
        <v>389</v>
      </c>
      <c r="B39" s="207"/>
      <c r="E39" s="302" t="s">
        <v>390</v>
      </c>
      <c r="F39"/>
      <c r="H39" s="898" t="s">
        <v>1322</v>
      </c>
      <c r="I39" s="898"/>
      <c r="J39" s="899"/>
      <c r="K39" s="547">
        <f>K36+K37-K38</f>
        <v>0</v>
      </c>
      <c r="L39" s="295" t="s">
        <v>31</v>
      </c>
    </row>
    <row r="40" spans="1:12" ht="12" customHeight="1" x14ac:dyDescent="0.3">
      <c r="A40" s="903" t="s">
        <v>391</v>
      </c>
      <c r="B40" s="815"/>
      <c r="E40" s="49">
        <v>0</v>
      </c>
      <c r="F40" s="213" t="s">
        <v>24</v>
      </c>
      <c r="K40" s="301"/>
    </row>
    <row r="41" spans="1:12" ht="12" customHeight="1" x14ac:dyDescent="0.3">
      <c r="A41" s="815" t="s">
        <v>392</v>
      </c>
      <c r="B41" s="815"/>
      <c r="C41" s="303"/>
      <c r="E41" s="49">
        <v>0</v>
      </c>
      <c r="F41" s="284" t="s">
        <v>26</v>
      </c>
      <c r="H41" s="898" t="s">
        <v>1323</v>
      </c>
      <c r="I41" s="898"/>
      <c r="J41" s="898"/>
      <c r="K41" s="49">
        <v>5393</v>
      </c>
      <c r="L41" s="295" t="s">
        <v>33</v>
      </c>
    </row>
    <row r="42" spans="1:12" ht="12" customHeight="1" x14ac:dyDescent="0.3">
      <c r="A42" s="815" t="s">
        <v>393</v>
      </c>
      <c r="B42" s="815"/>
      <c r="C42" s="303"/>
      <c r="E42" s="49">
        <v>137104</v>
      </c>
      <c r="F42" s="284" t="s">
        <v>28</v>
      </c>
      <c r="H42" s="898" t="s">
        <v>1324</v>
      </c>
      <c r="I42" s="898"/>
      <c r="J42" s="898"/>
      <c r="K42" s="49">
        <v>4443</v>
      </c>
      <c r="L42" s="295" t="s">
        <v>35</v>
      </c>
    </row>
    <row r="43" spans="1:12" ht="12" customHeight="1" x14ac:dyDescent="0.3">
      <c r="A43" s="815" t="s">
        <v>394</v>
      </c>
      <c r="B43" s="815"/>
      <c r="C43" s="303"/>
      <c r="E43" s="49">
        <v>33058</v>
      </c>
      <c r="F43" s="284" t="s">
        <v>31</v>
      </c>
      <c r="K43" s="301"/>
    </row>
    <row r="44" spans="1:12" ht="12" customHeight="1" x14ac:dyDescent="0.3">
      <c r="A44" s="815" t="s">
        <v>395</v>
      </c>
      <c r="B44" s="815"/>
      <c r="C44" s="303"/>
      <c r="E44" s="49">
        <v>0</v>
      </c>
      <c r="F44" s="284" t="s">
        <v>33</v>
      </c>
      <c r="H44" s="295"/>
      <c r="I44" s="304"/>
      <c r="J44" s="304"/>
      <c r="K44" s="305"/>
      <c r="L44" s="304"/>
    </row>
    <row r="45" spans="1:12" ht="12" customHeight="1" x14ac:dyDescent="0.3">
      <c r="A45"/>
      <c r="B45"/>
      <c r="C45" s="295"/>
      <c r="E45"/>
      <c r="F45"/>
      <c r="H45" s="292" t="s">
        <v>396</v>
      </c>
      <c r="I45" s="207"/>
      <c r="J45" s="292"/>
      <c r="K45" s="301"/>
    </row>
    <row r="46" spans="1:12" ht="12.75" customHeight="1" x14ac:dyDescent="0.3">
      <c r="E46" s="306"/>
      <c r="H46" s="900" t="s">
        <v>397</v>
      </c>
      <c r="I46" s="900"/>
      <c r="J46" s="901"/>
      <c r="K46" s="47">
        <v>11542</v>
      </c>
      <c r="L46" s="295" t="s">
        <v>24</v>
      </c>
    </row>
    <row r="47" spans="1:12" ht="12.75" customHeight="1" x14ac:dyDescent="0.3">
      <c r="A47" s="307" t="s">
        <v>398</v>
      </c>
      <c r="B47" s="308"/>
      <c r="C47" s="291"/>
      <c r="E47" s="309" t="s">
        <v>351</v>
      </c>
      <c r="H47" s="900" t="s">
        <v>399</v>
      </c>
      <c r="I47" s="900"/>
      <c r="J47" s="901"/>
      <c r="K47" s="47">
        <v>55984</v>
      </c>
      <c r="L47" s="295" t="s">
        <v>26</v>
      </c>
    </row>
    <row r="48" spans="1:12" ht="12.75" customHeight="1" x14ac:dyDescent="0.3">
      <c r="A48" s="572" t="s">
        <v>400</v>
      </c>
      <c r="B48" s="572"/>
      <c r="C48" s="310"/>
      <c r="E48" s="547">
        <f>Calculations!E1082+Calculations!E1449</f>
        <v>87</v>
      </c>
      <c r="F48" s="300" t="s">
        <v>24</v>
      </c>
      <c r="G48" s="572"/>
      <c r="K48" s="301"/>
    </row>
    <row r="49" spans="1:26" ht="12.75" customHeight="1" x14ac:dyDescent="0.3">
      <c r="A49" s="900" t="s">
        <v>401</v>
      </c>
      <c r="B49" s="900"/>
      <c r="C49" s="310"/>
      <c r="E49" s="47">
        <v>0</v>
      </c>
      <c r="F49" s="300" t="s">
        <v>26</v>
      </c>
      <c r="K49" s="301"/>
    </row>
    <row r="50" spans="1:26" ht="12.75" customHeight="1" x14ac:dyDescent="0.3">
      <c r="A50" s="902" t="s">
        <v>402</v>
      </c>
      <c r="B50" s="902"/>
      <c r="E50" s="547">
        <f>Calculations!E1539-Calculations!E1449</f>
        <v>0</v>
      </c>
      <c r="F50" s="311" t="s">
        <v>28</v>
      </c>
      <c r="H50" s="292" t="s">
        <v>403</v>
      </c>
      <c r="I50" s="292"/>
      <c r="K50" s="301"/>
    </row>
    <row r="51" spans="1:26" ht="12.75" customHeight="1" x14ac:dyDescent="0.3">
      <c r="E51" s="152"/>
      <c r="G51" s="312"/>
      <c r="H51" s="152" t="s">
        <v>404</v>
      </c>
      <c r="K51" s="49">
        <v>0</v>
      </c>
      <c r="L51" s="295" t="s">
        <v>24</v>
      </c>
      <c r="Z51" s="510"/>
    </row>
    <row r="52" spans="1:26" ht="12.75" customHeight="1" x14ac:dyDescent="0.3">
      <c r="A52" s="207" t="s">
        <v>405</v>
      </c>
      <c r="B52" s="313"/>
      <c r="C52" s="295"/>
      <c r="E52" s="152"/>
      <c r="G52" s="312"/>
      <c r="H52" s="152" t="s">
        <v>406</v>
      </c>
      <c r="K52" s="49">
        <v>0</v>
      </c>
      <c r="L52" s="295" t="s">
        <v>26</v>
      </c>
      <c r="Z52" s="510"/>
    </row>
    <row r="53" spans="1:26" ht="12.75" customHeight="1" x14ac:dyDescent="0.3">
      <c r="A53" s="149" t="s">
        <v>407</v>
      </c>
      <c r="C53" s="274"/>
      <c r="D53" s="314"/>
      <c r="E53" s="49">
        <v>10065</v>
      </c>
      <c r="F53" s="315" t="s">
        <v>24</v>
      </c>
      <c r="G53" s="312"/>
      <c r="H53" s="152" t="s">
        <v>408</v>
      </c>
      <c r="K53" s="49">
        <v>0</v>
      </c>
      <c r="L53" s="274" t="s">
        <v>28</v>
      </c>
      <c r="Z53" s="510"/>
    </row>
    <row r="54" spans="1:26" ht="12.75" customHeight="1" x14ac:dyDescent="0.3">
      <c r="A54" s="149" t="s">
        <v>409</v>
      </c>
      <c r="C54" s="274"/>
      <c r="D54" s="314"/>
      <c r="E54" s="49">
        <v>0</v>
      </c>
      <c r="F54" s="315" t="s">
        <v>26</v>
      </c>
      <c r="G54" s="312"/>
      <c r="H54" s="152" t="s">
        <v>410</v>
      </c>
      <c r="K54" s="49">
        <v>0</v>
      </c>
      <c r="L54" s="274" t="s">
        <v>31</v>
      </c>
      <c r="Z54" s="510"/>
    </row>
    <row r="55" spans="1:26" ht="12.75" customHeight="1" x14ac:dyDescent="0.3">
      <c r="A55" s="149" t="s">
        <v>411</v>
      </c>
      <c r="C55" s="274"/>
      <c r="D55" s="314"/>
      <c r="E55" s="49">
        <v>0</v>
      </c>
      <c r="F55" s="315" t="s">
        <v>28</v>
      </c>
      <c r="G55" s="312"/>
      <c r="H55" s="572" t="s">
        <v>412</v>
      </c>
      <c r="I55" s="572"/>
      <c r="J55" s="572"/>
      <c r="K55" s="49">
        <f>137.07+899.56+1124</f>
        <v>2161</v>
      </c>
      <c r="L55" s="274" t="s">
        <v>33</v>
      </c>
      <c r="Z55" s="510"/>
    </row>
    <row r="56" spans="1:26" ht="12.75" customHeight="1" x14ac:dyDescent="0.3">
      <c r="A56" s="149" t="s">
        <v>413</v>
      </c>
      <c r="C56" s="274"/>
      <c r="D56" s="314"/>
      <c r="E56" s="49">
        <v>0</v>
      </c>
      <c r="F56" s="315" t="s">
        <v>31</v>
      </c>
      <c r="H56" s="572" t="s">
        <v>414</v>
      </c>
      <c r="I56" s="572"/>
      <c r="J56" s="572"/>
      <c r="K56" s="49">
        <v>5109</v>
      </c>
      <c r="L56" s="274" t="s">
        <v>35</v>
      </c>
      <c r="Z56" s="510"/>
    </row>
    <row r="57" spans="1:26" ht="12.75" customHeight="1" x14ac:dyDescent="0.3">
      <c r="C57" s="316"/>
      <c r="D57" s="314"/>
      <c r="F57" s="259"/>
      <c r="G57" s="312"/>
      <c r="K57" s="301"/>
      <c r="L57" s="274"/>
      <c r="Z57" s="510"/>
    </row>
    <row r="58" spans="1:26" ht="12.5" customHeight="1" x14ac:dyDescent="0.3">
      <c r="G58" s="312"/>
      <c r="H58" s="896" t="s">
        <v>1294</v>
      </c>
      <c r="I58" s="896"/>
      <c r="J58" s="896"/>
      <c r="K58" s="896"/>
      <c r="Z58" s="510"/>
    </row>
    <row r="59" spans="1:26" ht="41.5" customHeight="1" x14ac:dyDescent="0.3">
      <c r="G59" s="312"/>
      <c r="H59" s="897" t="s">
        <v>1289</v>
      </c>
      <c r="I59" s="897"/>
      <c r="J59" s="897"/>
      <c r="K59" s="658">
        <f>4562.56+1714.55</f>
        <v>6277</v>
      </c>
      <c r="L59" s="274" t="s">
        <v>24</v>
      </c>
      <c r="Z59" s="510"/>
    </row>
    <row r="60" spans="1:26" ht="41.5" customHeight="1" x14ac:dyDescent="0.3">
      <c r="G60" s="312"/>
      <c r="H60" s="897" t="s">
        <v>1290</v>
      </c>
      <c r="I60" s="897"/>
      <c r="J60" s="897"/>
      <c r="K60" s="658">
        <v>0</v>
      </c>
      <c r="L60" s="274" t="s">
        <v>26</v>
      </c>
      <c r="Z60" s="510"/>
    </row>
    <row r="61" spans="1:26" ht="27" customHeight="1" x14ac:dyDescent="0.3">
      <c r="G61" s="312"/>
      <c r="Z61" s="510"/>
    </row>
    <row r="62" spans="1:26" ht="12.75" customHeight="1" x14ac:dyDescent="0.3">
      <c r="H62" s="690" t="s">
        <v>1378</v>
      </c>
      <c r="Z62" s="510"/>
    </row>
    <row r="63" spans="1:26" ht="12.75" customHeight="1" x14ac:dyDescent="0.3">
      <c r="H63" s="895" t="s">
        <v>1295</v>
      </c>
      <c r="I63" s="895"/>
      <c r="J63" s="895"/>
      <c r="K63" s="659">
        <f>4092.63+279.65</f>
        <v>4372</v>
      </c>
      <c r="L63" s="675" t="s">
        <v>24</v>
      </c>
      <c r="Z63" s="510"/>
    </row>
    <row r="64" spans="1:26" ht="12.75" customHeight="1" x14ac:dyDescent="0.3">
      <c r="Z64" s="510"/>
    </row>
  </sheetData>
  <sheetProtection sheet="1" formatCells="0" formatColumns="0" formatRows="0"/>
  <mergeCells count="29">
    <mergeCell ref="F1:G1"/>
    <mergeCell ref="C4:L4"/>
    <mergeCell ref="D6:K6"/>
    <mergeCell ref="H32:J32"/>
    <mergeCell ref="H30:J30"/>
    <mergeCell ref="H31:J31"/>
    <mergeCell ref="A50:B50"/>
    <mergeCell ref="A33:B33"/>
    <mergeCell ref="A44:B44"/>
    <mergeCell ref="A40:B40"/>
    <mergeCell ref="A43:B43"/>
    <mergeCell ref="A34:B34"/>
    <mergeCell ref="A49:B49"/>
    <mergeCell ref="A35:B35"/>
    <mergeCell ref="A36:B36"/>
    <mergeCell ref="A41:B41"/>
    <mergeCell ref="A42:B42"/>
    <mergeCell ref="H36:J36"/>
    <mergeCell ref="H42:J42"/>
    <mergeCell ref="H41:J41"/>
    <mergeCell ref="H38:J38"/>
    <mergeCell ref="H39:J39"/>
    <mergeCell ref="H63:J63"/>
    <mergeCell ref="H58:K58"/>
    <mergeCell ref="H59:J59"/>
    <mergeCell ref="H60:J60"/>
    <mergeCell ref="H37:J37"/>
    <mergeCell ref="H46:J46"/>
    <mergeCell ref="H47:J47"/>
  </mergeCells>
  <conditionalFormatting sqref="E33:E36 E49 E53:E56">
    <cfRule type="expression" dxfId="39" priority="8" stopIfTrue="1">
      <formula>$E33=""</formula>
    </cfRule>
  </conditionalFormatting>
  <conditionalFormatting sqref="E40:E41 E44">
    <cfRule type="expression" dxfId="38" priority="4" stopIfTrue="1">
      <formula>$E40=""</formula>
    </cfRule>
  </conditionalFormatting>
  <conditionalFormatting sqref="K11 K13:K19 K21:K22 K24:K26 K30:K32 K36:K38 K41:K42 K46:K47 K51:K56 K59:K60">
    <cfRule type="expression" dxfId="37" priority="7" stopIfTrue="1">
      <formula>$K11=""</formula>
    </cfRule>
  </conditionalFormatting>
  <conditionalFormatting sqref="K63">
    <cfRule type="expression" dxfId="36" priority="1" stopIfTrue="1">
      <formula>$K63=""</formula>
    </cfRule>
  </conditionalFormatting>
  <dataValidations count="2">
    <dataValidation allowBlank="1" showInputMessage="1" showErrorMessage="1" prompt="This amount has been adjusted to include federal food service revenue amounts included on the FS AFR." sqref="G24"/>
    <dataValidation allowBlank="1" showInputMessage="1" showErrorMessage="1" prompt="This amount has been adjusted to exclude federal food service revenue amounts included on the FS AFR. If the amount is negative, refer to the General instructions for Page 10." sqref="G25"/>
  </dataValidations>
  <hyperlinks>
    <hyperlink ref="E31:E32" location="PropertyDisbursements" display="Property "/>
    <hyperlink ref="A39:B39" location="PropertyDisbursementsByType" display="Property Disbursements by Type"/>
    <hyperlink ref="A47" location="DebtService" display="Debt Service"/>
    <hyperlink ref="H35" location="DebtService" display="Debt Service"/>
    <hyperlink ref="H45" location="DebtService" display="Debt Service"/>
    <hyperlink ref="H35:I35" location="LongandShortTermDebt" display="Long-term and Short-term Debt"/>
    <hyperlink ref="H45:J45" location="UtilitiesandEnergyServices" display="Utilities and Energy Detail (Function 2600)"/>
    <hyperlink ref="H50" location="TechnologyDetail" display="Technology"/>
    <hyperlink ref="H29:J29" location="CashandInvestments" display="Cash and Investments held at June 30, 2017"/>
    <hyperlink ref="K9:K10" location="PropertyDisbursements" display="Property"/>
    <hyperlink ref="A52:B52" location="Revenue_From_Selected_Federal_Sources" display="Revenue from selected federal sources "/>
    <hyperlink ref="H58" location="SupportServicesInstructionDetail" display="Support services-instruction detail"/>
    <hyperlink ref="B5" location="GeneralPage10" display="Instructions"/>
  </hyperlinks>
  <pageMargins left="0.7" right="0.7" top="0.75" bottom="0.75" header="0.3" footer="0.3"/>
  <pageSetup scale="61" orientation="landscape"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49"/>
  <sheetViews>
    <sheetView showGridLines="0" workbookViewId="0">
      <selection activeCell="N40" sqref="N40"/>
    </sheetView>
  </sheetViews>
  <sheetFormatPr defaultColWidth="9" defaultRowHeight="13" x14ac:dyDescent="0.3"/>
  <cols>
    <col min="1" max="1" width="48.296875" style="318" customWidth="1"/>
    <col min="2" max="2" width="2.796875" style="318" customWidth="1"/>
    <col min="3" max="3" width="35.296875" style="318" customWidth="1"/>
    <col min="4" max="4" width="13.796875" style="318" bestFit="1" customWidth="1"/>
    <col min="5" max="5" width="15.296875" style="318" customWidth="1"/>
    <col min="6" max="6" width="14.19921875" style="318" customWidth="1"/>
    <col min="7" max="7" width="15.19921875" style="318" customWidth="1"/>
    <col min="8" max="8" width="13.296875" style="319" customWidth="1"/>
    <col min="9" max="9" width="17.296875" style="319" customWidth="1"/>
    <col min="10" max="10" width="15.19921875" style="319" customWidth="1"/>
    <col min="11" max="11" width="20.296875" style="319" customWidth="1"/>
    <col min="12" max="12" width="16" style="318" customWidth="1"/>
    <col min="13" max="13" width="16.796875" style="318" customWidth="1"/>
    <col min="14" max="14" width="16" style="318" customWidth="1"/>
    <col min="15" max="15" width="14.796875" style="318" customWidth="1"/>
    <col min="16" max="16" width="9.3984375" style="318" customWidth="1"/>
    <col min="17" max="17" width="14.796875" style="318" customWidth="1"/>
    <col min="18" max="21" width="9" style="324" customWidth="1"/>
    <col min="22" max="26" width="9" style="325" customWidth="1"/>
    <col min="27" max="27" width="8.19921875" style="325" bestFit="1" customWidth="1"/>
    <col min="28" max="29" width="9" style="325" customWidth="1"/>
    <col min="30" max="34" width="10.296875" style="326" customWidth="1"/>
    <col min="35" max="35" width="9" style="326" customWidth="1"/>
    <col min="36" max="48" width="9" style="324" customWidth="1"/>
    <col min="49" max="256" width="9" style="318" customWidth="1"/>
    <col min="257" max="257" width="60.296875" style="318" customWidth="1"/>
    <col min="258" max="258" width="2.796875" style="318" customWidth="1"/>
    <col min="259" max="259" width="14.796875" style="318" customWidth="1"/>
    <col min="260" max="260" width="13.796875" style="318" bestFit="1" customWidth="1"/>
    <col min="261" max="261" width="15.296875" style="318" customWidth="1"/>
    <col min="262" max="262" width="14.19921875" style="318" customWidth="1"/>
    <col min="263" max="263" width="15.19921875" style="318" customWidth="1"/>
    <col min="264" max="264" width="13.296875" style="318" customWidth="1"/>
    <col min="265" max="265" width="17.296875" style="318" customWidth="1"/>
    <col min="266" max="266" width="15.19921875" style="318" customWidth="1"/>
    <col min="267" max="267" width="19.69921875" style="318" customWidth="1"/>
    <col min="268" max="270" width="16" style="318" customWidth="1"/>
    <col min="271" max="271" width="14.796875" style="318" customWidth="1"/>
    <col min="272" max="272" width="17.296875" style="318" customWidth="1"/>
    <col min="273" max="273" width="14.796875" style="318" customWidth="1"/>
    <col min="274" max="282" width="9" style="318" customWidth="1"/>
    <col min="283" max="283" width="7.19921875" style="318" bestFit="1" customWidth="1"/>
    <col min="284" max="285" width="9" style="318" customWidth="1"/>
    <col min="286" max="290" width="10.296875" style="318" customWidth="1"/>
    <col min="291" max="512" width="9" style="318" customWidth="1"/>
    <col min="513" max="513" width="60.296875" style="318" customWidth="1"/>
    <col min="514" max="514" width="2.796875" style="318" customWidth="1"/>
    <col min="515" max="515" width="14.796875" style="318" customWidth="1"/>
    <col min="516" max="516" width="13.796875" style="318" bestFit="1" customWidth="1"/>
    <col min="517" max="517" width="15.296875" style="318" customWidth="1"/>
    <col min="518" max="518" width="14.19921875" style="318" customWidth="1"/>
    <col min="519" max="519" width="15.19921875" style="318" customWidth="1"/>
    <col min="520" max="520" width="13.296875" style="318" customWidth="1"/>
    <col min="521" max="521" width="17.296875" style="318" customWidth="1"/>
    <col min="522" max="522" width="15.19921875" style="318" customWidth="1"/>
    <col min="523" max="523" width="19.69921875" style="318" customWidth="1"/>
    <col min="524" max="526" width="16" style="318" customWidth="1"/>
    <col min="527" max="527" width="14.796875" style="318" customWidth="1"/>
    <col min="528" max="528" width="17.296875" style="318" customWidth="1"/>
    <col min="529" max="529" width="14.796875" style="318" customWidth="1"/>
    <col min="530" max="538" width="9" style="318" customWidth="1"/>
    <col min="539" max="539" width="7.19921875" style="318" bestFit="1" customWidth="1"/>
    <col min="540" max="541" width="9" style="318" customWidth="1"/>
    <col min="542" max="546" width="10.296875" style="318" customWidth="1"/>
    <col min="547" max="768" width="9" style="318" customWidth="1"/>
    <col min="769" max="769" width="60.296875" style="318" customWidth="1"/>
    <col min="770" max="770" width="2.796875" style="318" customWidth="1"/>
    <col min="771" max="771" width="14.796875" style="318" customWidth="1"/>
    <col min="772" max="772" width="13.796875" style="318" bestFit="1" customWidth="1"/>
    <col min="773" max="773" width="15.296875" style="318" customWidth="1"/>
    <col min="774" max="774" width="14.19921875" style="318" customWidth="1"/>
    <col min="775" max="775" width="15.19921875" style="318" customWidth="1"/>
    <col min="776" max="776" width="13.296875" style="318" customWidth="1"/>
    <col min="777" max="777" width="17.296875" style="318" customWidth="1"/>
    <col min="778" max="778" width="15.19921875" style="318" customWidth="1"/>
    <col min="779" max="779" width="19.69921875" style="318" customWidth="1"/>
    <col min="780" max="782" width="16" style="318" customWidth="1"/>
    <col min="783" max="783" width="14.796875" style="318" customWidth="1"/>
    <col min="784" max="784" width="17.296875" style="318" customWidth="1"/>
    <col min="785" max="785" width="14.796875" style="318" customWidth="1"/>
    <col min="786" max="794" width="9" style="318" customWidth="1"/>
    <col min="795" max="795" width="7.19921875" style="318" bestFit="1" customWidth="1"/>
    <col min="796" max="797" width="9" style="318" customWidth="1"/>
    <col min="798" max="802" width="10.296875" style="318" customWidth="1"/>
    <col min="803" max="1024" width="9" style="318" customWidth="1"/>
    <col min="1025" max="1025" width="60.296875" style="318" customWidth="1"/>
    <col min="1026" max="1026" width="2.796875" style="318" customWidth="1"/>
    <col min="1027" max="1027" width="14.796875" style="318" customWidth="1"/>
    <col min="1028" max="1028" width="13.796875" style="318" bestFit="1" customWidth="1"/>
    <col min="1029" max="1029" width="15.296875" style="318" customWidth="1"/>
    <col min="1030" max="1030" width="14.19921875" style="318" customWidth="1"/>
    <col min="1031" max="1031" width="15.19921875" style="318" customWidth="1"/>
    <col min="1032" max="1032" width="13.296875" style="318" customWidth="1"/>
    <col min="1033" max="1033" width="17.296875" style="318" customWidth="1"/>
    <col min="1034" max="1034" width="15.19921875" style="318" customWidth="1"/>
    <col min="1035" max="1035" width="19.69921875" style="318" customWidth="1"/>
    <col min="1036" max="1038" width="16" style="318" customWidth="1"/>
    <col min="1039" max="1039" width="14.796875" style="318" customWidth="1"/>
    <col min="1040" max="1040" width="17.296875" style="318" customWidth="1"/>
    <col min="1041" max="1041" width="14.796875" style="318" customWidth="1"/>
    <col min="1042" max="1050" width="9" style="318" customWidth="1"/>
    <col min="1051" max="1051" width="7.19921875" style="318" bestFit="1" customWidth="1"/>
    <col min="1052" max="1053" width="9" style="318" customWidth="1"/>
    <col min="1054" max="1058" width="10.296875" style="318" customWidth="1"/>
    <col min="1059" max="1280" width="9" style="318" customWidth="1"/>
    <col min="1281" max="1281" width="60.296875" style="318" customWidth="1"/>
    <col min="1282" max="1282" width="2.796875" style="318" customWidth="1"/>
    <col min="1283" max="1283" width="14.796875" style="318" customWidth="1"/>
    <col min="1284" max="1284" width="13.796875" style="318" bestFit="1" customWidth="1"/>
    <col min="1285" max="1285" width="15.296875" style="318" customWidth="1"/>
    <col min="1286" max="1286" width="14.19921875" style="318" customWidth="1"/>
    <col min="1287" max="1287" width="15.19921875" style="318" customWidth="1"/>
    <col min="1288" max="1288" width="13.296875" style="318" customWidth="1"/>
    <col min="1289" max="1289" width="17.296875" style="318" customWidth="1"/>
    <col min="1290" max="1290" width="15.19921875" style="318" customWidth="1"/>
    <col min="1291" max="1291" width="19.69921875" style="318" customWidth="1"/>
    <col min="1292" max="1294" width="16" style="318" customWidth="1"/>
    <col min="1295" max="1295" width="14.796875" style="318" customWidth="1"/>
    <col min="1296" max="1296" width="17.296875" style="318" customWidth="1"/>
    <col min="1297" max="1297" width="14.796875" style="318" customWidth="1"/>
    <col min="1298" max="1306" width="9" style="318" customWidth="1"/>
    <col min="1307" max="1307" width="7.19921875" style="318" bestFit="1" customWidth="1"/>
    <col min="1308" max="1309" width="9" style="318" customWidth="1"/>
    <col min="1310" max="1314" width="10.296875" style="318" customWidth="1"/>
    <col min="1315" max="1536" width="9" style="318" customWidth="1"/>
    <col min="1537" max="1537" width="60.296875" style="318" customWidth="1"/>
    <col min="1538" max="1538" width="2.796875" style="318" customWidth="1"/>
    <col min="1539" max="1539" width="14.796875" style="318" customWidth="1"/>
    <col min="1540" max="1540" width="13.796875" style="318" bestFit="1" customWidth="1"/>
    <col min="1541" max="1541" width="15.296875" style="318" customWidth="1"/>
    <col min="1542" max="1542" width="14.19921875" style="318" customWidth="1"/>
    <col min="1543" max="1543" width="15.19921875" style="318" customWidth="1"/>
    <col min="1544" max="1544" width="13.296875" style="318" customWidth="1"/>
    <col min="1545" max="1545" width="17.296875" style="318" customWidth="1"/>
    <col min="1546" max="1546" width="15.19921875" style="318" customWidth="1"/>
    <col min="1547" max="1547" width="19.69921875" style="318" customWidth="1"/>
    <col min="1548" max="1550" width="16" style="318" customWidth="1"/>
    <col min="1551" max="1551" width="14.796875" style="318" customWidth="1"/>
    <col min="1552" max="1552" width="17.296875" style="318" customWidth="1"/>
    <col min="1553" max="1553" width="14.796875" style="318" customWidth="1"/>
    <col min="1554" max="1562" width="9" style="318" customWidth="1"/>
    <col min="1563" max="1563" width="7.19921875" style="318" bestFit="1" customWidth="1"/>
    <col min="1564" max="1565" width="9" style="318" customWidth="1"/>
    <col min="1566" max="1570" width="10.296875" style="318" customWidth="1"/>
    <col min="1571" max="1792" width="9" style="318" customWidth="1"/>
    <col min="1793" max="1793" width="60.296875" style="318" customWidth="1"/>
    <col min="1794" max="1794" width="2.796875" style="318" customWidth="1"/>
    <col min="1795" max="1795" width="14.796875" style="318" customWidth="1"/>
    <col min="1796" max="1796" width="13.796875" style="318" bestFit="1" customWidth="1"/>
    <col min="1797" max="1797" width="15.296875" style="318" customWidth="1"/>
    <col min="1798" max="1798" width="14.19921875" style="318" customWidth="1"/>
    <col min="1799" max="1799" width="15.19921875" style="318" customWidth="1"/>
    <col min="1800" max="1800" width="13.296875" style="318" customWidth="1"/>
    <col min="1801" max="1801" width="17.296875" style="318" customWidth="1"/>
    <col min="1802" max="1802" width="15.19921875" style="318" customWidth="1"/>
    <col min="1803" max="1803" width="19.69921875" style="318" customWidth="1"/>
    <col min="1804" max="1806" width="16" style="318" customWidth="1"/>
    <col min="1807" max="1807" width="14.796875" style="318" customWidth="1"/>
    <col min="1808" max="1808" width="17.296875" style="318" customWidth="1"/>
    <col min="1809" max="1809" width="14.796875" style="318" customWidth="1"/>
    <col min="1810" max="1818" width="9" style="318" customWidth="1"/>
    <col min="1819" max="1819" width="7.19921875" style="318" bestFit="1" customWidth="1"/>
    <col min="1820" max="1821" width="9" style="318" customWidth="1"/>
    <col min="1822" max="1826" width="10.296875" style="318" customWidth="1"/>
    <col min="1827" max="2048" width="9" style="318" customWidth="1"/>
    <col min="2049" max="2049" width="60.296875" style="318" customWidth="1"/>
    <col min="2050" max="2050" width="2.796875" style="318" customWidth="1"/>
    <col min="2051" max="2051" width="14.796875" style="318" customWidth="1"/>
    <col min="2052" max="2052" width="13.796875" style="318" bestFit="1" customWidth="1"/>
    <col min="2053" max="2053" width="15.296875" style="318" customWidth="1"/>
    <col min="2054" max="2054" width="14.19921875" style="318" customWidth="1"/>
    <col min="2055" max="2055" width="15.19921875" style="318" customWidth="1"/>
    <col min="2056" max="2056" width="13.296875" style="318" customWidth="1"/>
    <col min="2057" max="2057" width="17.296875" style="318" customWidth="1"/>
    <col min="2058" max="2058" width="15.19921875" style="318" customWidth="1"/>
    <col min="2059" max="2059" width="19.69921875" style="318" customWidth="1"/>
    <col min="2060" max="2062" width="16" style="318" customWidth="1"/>
    <col min="2063" max="2063" width="14.796875" style="318" customWidth="1"/>
    <col min="2064" max="2064" width="17.296875" style="318" customWidth="1"/>
    <col min="2065" max="2065" width="14.796875" style="318" customWidth="1"/>
    <col min="2066" max="2074" width="9" style="318" customWidth="1"/>
    <col min="2075" max="2075" width="7.19921875" style="318" bestFit="1" customWidth="1"/>
    <col min="2076" max="2077" width="9" style="318" customWidth="1"/>
    <col min="2078" max="2082" width="10.296875" style="318" customWidth="1"/>
    <col min="2083" max="2304" width="9" style="318" customWidth="1"/>
    <col min="2305" max="2305" width="60.296875" style="318" customWidth="1"/>
    <col min="2306" max="2306" width="2.796875" style="318" customWidth="1"/>
    <col min="2307" max="2307" width="14.796875" style="318" customWidth="1"/>
    <col min="2308" max="2308" width="13.796875" style="318" bestFit="1" customWidth="1"/>
    <col min="2309" max="2309" width="15.296875" style="318" customWidth="1"/>
    <col min="2310" max="2310" width="14.19921875" style="318" customWidth="1"/>
    <col min="2311" max="2311" width="15.19921875" style="318" customWidth="1"/>
    <col min="2312" max="2312" width="13.296875" style="318" customWidth="1"/>
    <col min="2313" max="2313" width="17.296875" style="318" customWidth="1"/>
    <col min="2314" max="2314" width="15.19921875" style="318" customWidth="1"/>
    <col min="2315" max="2315" width="19.69921875" style="318" customWidth="1"/>
    <col min="2316" max="2318" width="16" style="318" customWidth="1"/>
    <col min="2319" max="2319" width="14.796875" style="318" customWidth="1"/>
    <col min="2320" max="2320" width="17.296875" style="318" customWidth="1"/>
    <col min="2321" max="2321" width="14.796875" style="318" customWidth="1"/>
    <col min="2322" max="2330" width="9" style="318" customWidth="1"/>
    <col min="2331" max="2331" width="7.19921875" style="318" bestFit="1" customWidth="1"/>
    <col min="2332" max="2333" width="9" style="318" customWidth="1"/>
    <col min="2334" max="2338" width="10.296875" style="318" customWidth="1"/>
    <col min="2339" max="2560" width="9" style="318" customWidth="1"/>
    <col min="2561" max="2561" width="60.296875" style="318" customWidth="1"/>
    <col min="2562" max="2562" width="2.796875" style="318" customWidth="1"/>
    <col min="2563" max="2563" width="14.796875" style="318" customWidth="1"/>
    <col min="2564" max="2564" width="13.796875" style="318" bestFit="1" customWidth="1"/>
    <col min="2565" max="2565" width="15.296875" style="318" customWidth="1"/>
    <col min="2566" max="2566" width="14.19921875" style="318" customWidth="1"/>
    <col min="2567" max="2567" width="15.19921875" style="318" customWidth="1"/>
    <col min="2568" max="2568" width="13.296875" style="318" customWidth="1"/>
    <col min="2569" max="2569" width="17.296875" style="318" customWidth="1"/>
    <col min="2570" max="2570" width="15.19921875" style="318" customWidth="1"/>
    <col min="2571" max="2571" width="19.69921875" style="318" customWidth="1"/>
    <col min="2572" max="2574" width="16" style="318" customWidth="1"/>
    <col min="2575" max="2575" width="14.796875" style="318" customWidth="1"/>
    <col min="2576" max="2576" width="17.296875" style="318" customWidth="1"/>
    <col min="2577" max="2577" width="14.796875" style="318" customWidth="1"/>
    <col min="2578" max="2586" width="9" style="318" customWidth="1"/>
    <col min="2587" max="2587" width="7.19921875" style="318" bestFit="1" customWidth="1"/>
    <col min="2588" max="2589" width="9" style="318" customWidth="1"/>
    <col min="2590" max="2594" width="10.296875" style="318" customWidth="1"/>
    <col min="2595" max="2816" width="9" style="318" customWidth="1"/>
    <col min="2817" max="2817" width="60.296875" style="318" customWidth="1"/>
    <col min="2818" max="2818" width="2.796875" style="318" customWidth="1"/>
    <col min="2819" max="2819" width="14.796875" style="318" customWidth="1"/>
    <col min="2820" max="2820" width="13.796875" style="318" bestFit="1" customWidth="1"/>
    <col min="2821" max="2821" width="15.296875" style="318" customWidth="1"/>
    <col min="2822" max="2822" width="14.19921875" style="318" customWidth="1"/>
    <col min="2823" max="2823" width="15.19921875" style="318" customWidth="1"/>
    <col min="2824" max="2824" width="13.296875" style="318" customWidth="1"/>
    <col min="2825" max="2825" width="17.296875" style="318" customWidth="1"/>
    <col min="2826" max="2826" width="15.19921875" style="318" customWidth="1"/>
    <col min="2827" max="2827" width="19.69921875" style="318" customWidth="1"/>
    <col min="2828" max="2830" width="16" style="318" customWidth="1"/>
    <col min="2831" max="2831" width="14.796875" style="318" customWidth="1"/>
    <col min="2832" max="2832" width="17.296875" style="318" customWidth="1"/>
    <col min="2833" max="2833" width="14.796875" style="318" customWidth="1"/>
    <col min="2834" max="2842" width="9" style="318" customWidth="1"/>
    <col min="2843" max="2843" width="7.19921875" style="318" bestFit="1" customWidth="1"/>
    <col min="2844" max="2845" width="9" style="318" customWidth="1"/>
    <col min="2846" max="2850" width="10.296875" style="318" customWidth="1"/>
    <col min="2851" max="3072" width="9" style="318" customWidth="1"/>
    <col min="3073" max="3073" width="60.296875" style="318" customWidth="1"/>
    <col min="3074" max="3074" width="2.796875" style="318" customWidth="1"/>
    <col min="3075" max="3075" width="14.796875" style="318" customWidth="1"/>
    <col min="3076" max="3076" width="13.796875" style="318" bestFit="1" customWidth="1"/>
    <col min="3077" max="3077" width="15.296875" style="318" customWidth="1"/>
    <col min="3078" max="3078" width="14.19921875" style="318" customWidth="1"/>
    <col min="3079" max="3079" width="15.19921875" style="318" customWidth="1"/>
    <col min="3080" max="3080" width="13.296875" style="318" customWidth="1"/>
    <col min="3081" max="3081" width="17.296875" style="318" customWidth="1"/>
    <col min="3082" max="3082" width="15.19921875" style="318" customWidth="1"/>
    <col min="3083" max="3083" width="19.69921875" style="318" customWidth="1"/>
    <col min="3084" max="3086" width="16" style="318" customWidth="1"/>
    <col min="3087" max="3087" width="14.796875" style="318" customWidth="1"/>
    <col min="3088" max="3088" width="17.296875" style="318" customWidth="1"/>
    <col min="3089" max="3089" width="14.796875" style="318" customWidth="1"/>
    <col min="3090" max="3098" width="9" style="318" customWidth="1"/>
    <col min="3099" max="3099" width="7.19921875" style="318" bestFit="1" customWidth="1"/>
    <col min="3100" max="3101" width="9" style="318" customWidth="1"/>
    <col min="3102" max="3106" width="10.296875" style="318" customWidth="1"/>
    <col min="3107" max="3328" width="9" style="318" customWidth="1"/>
    <col min="3329" max="3329" width="60.296875" style="318" customWidth="1"/>
    <col min="3330" max="3330" width="2.796875" style="318" customWidth="1"/>
    <col min="3331" max="3331" width="14.796875" style="318" customWidth="1"/>
    <col min="3332" max="3332" width="13.796875" style="318" bestFit="1" customWidth="1"/>
    <col min="3333" max="3333" width="15.296875" style="318" customWidth="1"/>
    <col min="3334" max="3334" width="14.19921875" style="318" customWidth="1"/>
    <col min="3335" max="3335" width="15.19921875" style="318" customWidth="1"/>
    <col min="3336" max="3336" width="13.296875" style="318" customWidth="1"/>
    <col min="3337" max="3337" width="17.296875" style="318" customWidth="1"/>
    <col min="3338" max="3338" width="15.19921875" style="318" customWidth="1"/>
    <col min="3339" max="3339" width="19.69921875" style="318" customWidth="1"/>
    <col min="3340" max="3342" width="16" style="318" customWidth="1"/>
    <col min="3343" max="3343" width="14.796875" style="318" customWidth="1"/>
    <col min="3344" max="3344" width="17.296875" style="318" customWidth="1"/>
    <col min="3345" max="3345" width="14.796875" style="318" customWidth="1"/>
    <col min="3346" max="3354" width="9" style="318" customWidth="1"/>
    <col min="3355" max="3355" width="7.19921875" style="318" bestFit="1" customWidth="1"/>
    <col min="3356" max="3357" width="9" style="318" customWidth="1"/>
    <col min="3358" max="3362" width="10.296875" style="318" customWidth="1"/>
    <col min="3363" max="3584" width="9" style="318" customWidth="1"/>
    <col min="3585" max="3585" width="60.296875" style="318" customWidth="1"/>
    <col min="3586" max="3586" width="2.796875" style="318" customWidth="1"/>
    <col min="3587" max="3587" width="14.796875" style="318" customWidth="1"/>
    <col min="3588" max="3588" width="13.796875" style="318" bestFit="1" customWidth="1"/>
    <col min="3589" max="3589" width="15.296875" style="318" customWidth="1"/>
    <col min="3590" max="3590" width="14.19921875" style="318" customWidth="1"/>
    <col min="3591" max="3591" width="15.19921875" style="318" customWidth="1"/>
    <col min="3592" max="3592" width="13.296875" style="318" customWidth="1"/>
    <col min="3593" max="3593" width="17.296875" style="318" customWidth="1"/>
    <col min="3594" max="3594" width="15.19921875" style="318" customWidth="1"/>
    <col min="3595" max="3595" width="19.69921875" style="318" customWidth="1"/>
    <col min="3596" max="3598" width="16" style="318" customWidth="1"/>
    <col min="3599" max="3599" width="14.796875" style="318" customWidth="1"/>
    <col min="3600" max="3600" width="17.296875" style="318" customWidth="1"/>
    <col min="3601" max="3601" width="14.796875" style="318" customWidth="1"/>
    <col min="3602" max="3610" width="9" style="318" customWidth="1"/>
    <col min="3611" max="3611" width="7.19921875" style="318" bestFit="1" customWidth="1"/>
    <col min="3612" max="3613" width="9" style="318" customWidth="1"/>
    <col min="3614" max="3618" width="10.296875" style="318" customWidth="1"/>
    <col min="3619" max="3840" width="9" style="318" customWidth="1"/>
    <col min="3841" max="3841" width="60.296875" style="318" customWidth="1"/>
    <col min="3842" max="3842" width="2.796875" style="318" customWidth="1"/>
    <col min="3843" max="3843" width="14.796875" style="318" customWidth="1"/>
    <col min="3844" max="3844" width="13.796875" style="318" bestFit="1" customWidth="1"/>
    <col min="3845" max="3845" width="15.296875" style="318" customWidth="1"/>
    <col min="3846" max="3846" width="14.19921875" style="318" customWidth="1"/>
    <col min="3847" max="3847" width="15.19921875" style="318" customWidth="1"/>
    <col min="3848" max="3848" width="13.296875" style="318" customWidth="1"/>
    <col min="3849" max="3849" width="17.296875" style="318" customWidth="1"/>
    <col min="3850" max="3850" width="15.19921875" style="318" customWidth="1"/>
    <col min="3851" max="3851" width="19.69921875" style="318" customWidth="1"/>
    <col min="3852" max="3854" width="16" style="318" customWidth="1"/>
    <col min="3855" max="3855" width="14.796875" style="318" customWidth="1"/>
    <col min="3856" max="3856" width="17.296875" style="318" customWidth="1"/>
    <col min="3857" max="3857" width="14.796875" style="318" customWidth="1"/>
    <col min="3858" max="3866" width="9" style="318" customWidth="1"/>
    <col min="3867" max="3867" width="7.19921875" style="318" bestFit="1" customWidth="1"/>
    <col min="3868" max="3869" width="9" style="318" customWidth="1"/>
    <col min="3870" max="3874" width="10.296875" style="318" customWidth="1"/>
    <col min="3875" max="4096" width="9" style="318" customWidth="1"/>
    <col min="4097" max="4097" width="60.296875" style="318" customWidth="1"/>
    <col min="4098" max="4098" width="2.796875" style="318" customWidth="1"/>
    <col min="4099" max="4099" width="14.796875" style="318" customWidth="1"/>
    <col min="4100" max="4100" width="13.796875" style="318" bestFit="1" customWidth="1"/>
    <col min="4101" max="4101" width="15.296875" style="318" customWidth="1"/>
    <col min="4102" max="4102" width="14.19921875" style="318" customWidth="1"/>
    <col min="4103" max="4103" width="15.19921875" style="318" customWidth="1"/>
    <col min="4104" max="4104" width="13.296875" style="318" customWidth="1"/>
    <col min="4105" max="4105" width="17.296875" style="318" customWidth="1"/>
    <col min="4106" max="4106" width="15.19921875" style="318" customWidth="1"/>
    <col min="4107" max="4107" width="19.69921875" style="318" customWidth="1"/>
    <col min="4108" max="4110" width="16" style="318" customWidth="1"/>
    <col min="4111" max="4111" width="14.796875" style="318" customWidth="1"/>
    <col min="4112" max="4112" width="17.296875" style="318" customWidth="1"/>
    <col min="4113" max="4113" width="14.796875" style="318" customWidth="1"/>
    <col min="4114" max="4122" width="9" style="318" customWidth="1"/>
    <col min="4123" max="4123" width="7.19921875" style="318" bestFit="1" customWidth="1"/>
    <col min="4124" max="4125" width="9" style="318" customWidth="1"/>
    <col min="4126" max="4130" width="10.296875" style="318" customWidth="1"/>
    <col min="4131" max="4352" width="9" style="318" customWidth="1"/>
    <col min="4353" max="4353" width="60.296875" style="318" customWidth="1"/>
    <col min="4354" max="4354" width="2.796875" style="318" customWidth="1"/>
    <col min="4355" max="4355" width="14.796875" style="318" customWidth="1"/>
    <col min="4356" max="4356" width="13.796875" style="318" bestFit="1" customWidth="1"/>
    <col min="4357" max="4357" width="15.296875" style="318" customWidth="1"/>
    <col min="4358" max="4358" width="14.19921875" style="318" customWidth="1"/>
    <col min="4359" max="4359" width="15.19921875" style="318" customWidth="1"/>
    <col min="4360" max="4360" width="13.296875" style="318" customWidth="1"/>
    <col min="4361" max="4361" width="17.296875" style="318" customWidth="1"/>
    <col min="4362" max="4362" width="15.19921875" style="318" customWidth="1"/>
    <col min="4363" max="4363" width="19.69921875" style="318" customWidth="1"/>
    <col min="4364" max="4366" width="16" style="318" customWidth="1"/>
    <col min="4367" max="4367" width="14.796875" style="318" customWidth="1"/>
    <col min="4368" max="4368" width="17.296875" style="318" customWidth="1"/>
    <col min="4369" max="4369" width="14.796875" style="318" customWidth="1"/>
    <col min="4370" max="4378" width="9" style="318" customWidth="1"/>
    <col min="4379" max="4379" width="7.19921875" style="318" bestFit="1" customWidth="1"/>
    <col min="4380" max="4381" width="9" style="318" customWidth="1"/>
    <col min="4382" max="4386" width="10.296875" style="318" customWidth="1"/>
    <col min="4387" max="4608" width="9" style="318" customWidth="1"/>
    <col min="4609" max="4609" width="60.296875" style="318" customWidth="1"/>
    <col min="4610" max="4610" width="2.796875" style="318" customWidth="1"/>
    <col min="4611" max="4611" width="14.796875" style="318" customWidth="1"/>
    <col min="4612" max="4612" width="13.796875" style="318" bestFit="1" customWidth="1"/>
    <col min="4613" max="4613" width="15.296875" style="318" customWidth="1"/>
    <col min="4614" max="4614" width="14.19921875" style="318" customWidth="1"/>
    <col min="4615" max="4615" width="15.19921875" style="318" customWidth="1"/>
    <col min="4616" max="4616" width="13.296875" style="318" customWidth="1"/>
    <col min="4617" max="4617" width="17.296875" style="318" customWidth="1"/>
    <col min="4618" max="4618" width="15.19921875" style="318" customWidth="1"/>
    <col min="4619" max="4619" width="19.69921875" style="318" customWidth="1"/>
    <col min="4620" max="4622" width="16" style="318" customWidth="1"/>
    <col min="4623" max="4623" width="14.796875" style="318" customWidth="1"/>
    <col min="4624" max="4624" width="17.296875" style="318" customWidth="1"/>
    <col min="4625" max="4625" width="14.796875" style="318" customWidth="1"/>
    <col min="4626" max="4634" width="9" style="318" customWidth="1"/>
    <col min="4635" max="4635" width="7.19921875" style="318" bestFit="1" customWidth="1"/>
    <col min="4636" max="4637" width="9" style="318" customWidth="1"/>
    <col min="4638" max="4642" width="10.296875" style="318" customWidth="1"/>
    <col min="4643" max="4864" width="9" style="318" customWidth="1"/>
    <col min="4865" max="4865" width="60.296875" style="318" customWidth="1"/>
    <col min="4866" max="4866" width="2.796875" style="318" customWidth="1"/>
    <col min="4867" max="4867" width="14.796875" style="318" customWidth="1"/>
    <col min="4868" max="4868" width="13.796875" style="318" bestFit="1" customWidth="1"/>
    <col min="4869" max="4869" width="15.296875" style="318" customWidth="1"/>
    <col min="4870" max="4870" width="14.19921875" style="318" customWidth="1"/>
    <col min="4871" max="4871" width="15.19921875" style="318" customWidth="1"/>
    <col min="4872" max="4872" width="13.296875" style="318" customWidth="1"/>
    <col min="4873" max="4873" width="17.296875" style="318" customWidth="1"/>
    <col min="4874" max="4874" width="15.19921875" style="318" customWidth="1"/>
    <col min="4875" max="4875" width="19.69921875" style="318" customWidth="1"/>
    <col min="4876" max="4878" width="16" style="318" customWidth="1"/>
    <col min="4879" max="4879" width="14.796875" style="318" customWidth="1"/>
    <col min="4880" max="4880" width="17.296875" style="318" customWidth="1"/>
    <col min="4881" max="4881" width="14.796875" style="318" customWidth="1"/>
    <col min="4882" max="4890" width="9" style="318" customWidth="1"/>
    <col min="4891" max="4891" width="7.19921875" style="318" bestFit="1" customWidth="1"/>
    <col min="4892" max="4893" width="9" style="318" customWidth="1"/>
    <col min="4894" max="4898" width="10.296875" style="318" customWidth="1"/>
    <col min="4899" max="5120" width="9" style="318" customWidth="1"/>
    <col min="5121" max="5121" width="60.296875" style="318" customWidth="1"/>
    <col min="5122" max="5122" width="2.796875" style="318" customWidth="1"/>
    <col min="5123" max="5123" width="14.796875" style="318" customWidth="1"/>
    <col min="5124" max="5124" width="13.796875" style="318" bestFit="1" customWidth="1"/>
    <col min="5125" max="5125" width="15.296875" style="318" customWidth="1"/>
    <col min="5126" max="5126" width="14.19921875" style="318" customWidth="1"/>
    <col min="5127" max="5127" width="15.19921875" style="318" customWidth="1"/>
    <col min="5128" max="5128" width="13.296875" style="318" customWidth="1"/>
    <col min="5129" max="5129" width="17.296875" style="318" customWidth="1"/>
    <col min="5130" max="5130" width="15.19921875" style="318" customWidth="1"/>
    <col min="5131" max="5131" width="19.69921875" style="318" customWidth="1"/>
    <col min="5132" max="5134" width="16" style="318" customWidth="1"/>
    <col min="5135" max="5135" width="14.796875" style="318" customWidth="1"/>
    <col min="5136" max="5136" width="17.296875" style="318" customWidth="1"/>
    <col min="5137" max="5137" width="14.796875" style="318" customWidth="1"/>
    <col min="5138" max="5146" width="9" style="318" customWidth="1"/>
    <col min="5147" max="5147" width="7.19921875" style="318" bestFit="1" customWidth="1"/>
    <col min="5148" max="5149" width="9" style="318" customWidth="1"/>
    <col min="5150" max="5154" width="10.296875" style="318" customWidth="1"/>
    <col min="5155" max="5376" width="9" style="318" customWidth="1"/>
    <col min="5377" max="5377" width="60.296875" style="318" customWidth="1"/>
    <col min="5378" max="5378" width="2.796875" style="318" customWidth="1"/>
    <col min="5379" max="5379" width="14.796875" style="318" customWidth="1"/>
    <col min="5380" max="5380" width="13.796875" style="318" bestFit="1" customWidth="1"/>
    <col min="5381" max="5381" width="15.296875" style="318" customWidth="1"/>
    <col min="5382" max="5382" width="14.19921875" style="318" customWidth="1"/>
    <col min="5383" max="5383" width="15.19921875" style="318" customWidth="1"/>
    <col min="5384" max="5384" width="13.296875" style="318" customWidth="1"/>
    <col min="5385" max="5385" width="17.296875" style="318" customWidth="1"/>
    <col min="5386" max="5386" width="15.19921875" style="318" customWidth="1"/>
    <col min="5387" max="5387" width="19.69921875" style="318" customWidth="1"/>
    <col min="5388" max="5390" width="16" style="318" customWidth="1"/>
    <col min="5391" max="5391" width="14.796875" style="318" customWidth="1"/>
    <col min="5392" max="5392" width="17.296875" style="318" customWidth="1"/>
    <col min="5393" max="5393" width="14.796875" style="318" customWidth="1"/>
    <col min="5394" max="5402" width="9" style="318" customWidth="1"/>
    <col min="5403" max="5403" width="7.19921875" style="318" bestFit="1" customWidth="1"/>
    <col min="5404" max="5405" width="9" style="318" customWidth="1"/>
    <col min="5406" max="5410" width="10.296875" style="318" customWidth="1"/>
    <col min="5411" max="5632" width="9" style="318" customWidth="1"/>
    <col min="5633" max="5633" width="60.296875" style="318" customWidth="1"/>
    <col min="5634" max="5634" width="2.796875" style="318" customWidth="1"/>
    <col min="5635" max="5635" width="14.796875" style="318" customWidth="1"/>
    <col min="5636" max="5636" width="13.796875" style="318" bestFit="1" customWidth="1"/>
    <col min="5637" max="5637" width="15.296875" style="318" customWidth="1"/>
    <col min="5638" max="5638" width="14.19921875" style="318" customWidth="1"/>
    <col min="5639" max="5639" width="15.19921875" style="318" customWidth="1"/>
    <col min="5640" max="5640" width="13.296875" style="318" customWidth="1"/>
    <col min="5641" max="5641" width="17.296875" style="318" customWidth="1"/>
    <col min="5642" max="5642" width="15.19921875" style="318" customWidth="1"/>
    <col min="5643" max="5643" width="19.69921875" style="318" customWidth="1"/>
    <col min="5644" max="5646" width="16" style="318" customWidth="1"/>
    <col min="5647" max="5647" width="14.796875" style="318" customWidth="1"/>
    <col min="5648" max="5648" width="17.296875" style="318" customWidth="1"/>
    <col min="5649" max="5649" width="14.796875" style="318" customWidth="1"/>
    <col min="5650" max="5658" width="9" style="318" customWidth="1"/>
    <col min="5659" max="5659" width="7.19921875" style="318" bestFit="1" customWidth="1"/>
    <col min="5660" max="5661" width="9" style="318" customWidth="1"/>
    <col min="5662" max="5666" width="10.296875" style="318" customWidth="1"/>
    <col min="5667" max="5888" width="9" style="318" customWidth="1"/>
    <col min="5889" max="5889" width="60.296875" style="318" customWidth="1"/>
    <col min="5890" max="5890" width="2.796875" style="318" customWidth="1"/>
    <col min="5891" max="5891" width="14.796875" style="318" customWidth="1"/>
    <col min="5892" max="5892" width="13.796875" style="318" bestFit="1" customWidth="1"/>
    <col min="5893" max="5893" width="15.296875" style="318" customWidth="1"/>
    <col min="5894" max="5894" width="14.19921875" style="318" customWidth="1"/>
    <col min="5895" max="5895" width="15.19921875" style="318" customWidth="1"/>
    <col min="5896" max="5896" width="13.296875" style="318" customWidth="1"/>
    <col min="5897" max="5897" width="17.296875" style="318" customWidth="1"/>
    <col min="5898" max="5898" width="15.19921875" style="318" customWidth="1"/>
    <col min="5899" max="5899" width="19.69921875" style="318" customWidth="1"/>
    <col min="5900" max="5902" width="16" style="318" customWidth="1"/>
    <col min="5903" max="5903" width="14.796875" style="318" customWidth="1"/>
    <col min="5904" max="5904" width="17.296875" style="318" customWidth="1"/>
    <col min="5905" max="5905" width="14.796875" style="318" customWidth="1"/>
    <col min="5906" max="5914" width="9" style="318" customWidth="1"/>
    <col min="5915" max="5915" width="7.19921875" style="318" bestFit="1" customWidth="1"/>
    <col min="5916" max="5917" width="9" style="318" customWidth="1"/>
    <col min="5918" max="5922" width="10.296875" style="318" customWidth="1"/>
    <col min="5923" max="6144" width="9" style="318" customWidth="1"/>
    <col min="6145" max="6145" width="60.296875" style="318" customWidth="1"/>
    <col min="6146" max="6146" width="2.796875" style="318" customWidth="1"/>
    <col min="6147" max="6147" width="14.796875" style="318" customWidth="1"/>
    <col min="6148" max="6148" width="13.796875" style="318" bestFit="1" customWidth="1"/>
    <col min="6149" max="6149" width="15.296875" style="318" customWidth="1"/>
    <col min="6150" max="6150" width="14.19921875" style="318" customWidth="1"/>
    <col min="6151" max="6151" width="15.19921875" style="318" customWidth="1"/>
    <col min="6152" max="6152" width="13.296875" style="318" customWidth="1"/>
    <col min="6153" max="6153" width="17.296875" style="318" customWidth="1"/>
    <col min="6154" max="6154" width="15.19921875" style="318" customWidth="1"/>
    <col min="6155" max="6155" width="19.69921875" style="318" customWidth="1"/>
    <col min="6156" max="6158" width="16" style="318" customWidth="1"/>
    <col min="6159" max="6159" width="14.796875" style="318" customWidth="1"/>
    <col min="6160" max="6160" width="17.296875" style="318" customWidth="1"/>
    <col min="6161" max="6161" width="14.796875" style="318" customWidth="1"/>
    <col min="6162" max="6170" width="9" style="318" customWidth="1"/>
    <col min="6171" max="6171" width="7.19921875" style="318" bestFit="1" customWidth="1"/>
    <col min="6172" max="6173" width="9" style="318" customWidth="1"/>
    <col min="6174" max="6178" width="10.296875" style="318" customWidth="1"/>
    <col min="6179" max="6400" width="9" style="318" customWidth="1"/>
    <col min="6401" max="6401" width="60.296875" style="318" customWidth="1"/>
    <col min="6402" max="6402" width="2.796875" style="318" customWidth="1"/>
    <col min="6403" max="6403" width="14.796875" style="318" customWidth="1"/>
    <col min="6404" max="6404" width="13.796875" style="318" bestFit="1" customWidth="1"/>
    <col min="6405" max="6405" width="15.296875" style="318" customWidth="1"/>
    <col min="6406" max="6406" width="14.19921875" style="318" customWidth="1"/>
    <col min="6407" max="6407" width="15.19921875" style="318" customWidth="1"/>
    <col min="6408" max="6408" width="13.296875" style="318" customWidth="1"/>
    <col min="6409" max="6409" width="17.296875" style="318" customWidth="1"/>
    <col min="6410" max="6410" width="15.19921875" style="318" customWidth="1"/>
    <col min="6411" max="6411" width="19.69921875" style="318" customWidth="1"/>
    <col min="6412" max="6414" width="16" style="318" customWidth="1"/>
    <col min="6415" max="6415" width="14.796875" style="318" customWidth="1"/>
    <col min="6416" max="6416" width="17.296875" style="318" customWidth="1"/>
    <col min="6417" max="6417" width="14.796875" style="318" customWidth="1"/>
    <col min="6418" max="6426" width="9" style="318" customWidth="1"/>
    <col min="6427" max="6427" width="7.19921875" style="318" bestFit="1" customWidth="1"/>
    <col min="6428" max="6429" width="9" style="318" customWidth="1"/>
    <col min="6430" max="6434" width="10.296875" style="318" customWidth="1"/>
    <col min="6435" max="6656" width="9" style="318" customWidth="1"/>
    <col min="6657" max="6657" width="60.296875" style="318" customWidth="1"/>
    <col min="6658" max="6658" width="2.796875" style="318" customWidth="1"/>
    <col min="6659" max="6659" width="14.796875" style="318" customWidth="1"/>
    <col min="6660" max="6660" width="13.796875" style="318" bestFit="1" customWidth="1"/>
    <col min="6661" max="6661" width="15.296875" style="318" customWidth="1"/>
    <col min="6662" max="6662" width="14.19921875" style="318" customWidth="1"/>
    <col min="6663" max="6663" width="15.19921875" style="318" customWidth="1"/>
    <col min="6664" max="6664" width="13.296875" style="318" customWidth="1"/>
    <col min="6665" max="6665" width="17.296875" style="318" customWidth="1"/>
    <col min="6666" max="6666" width="15.19921875" style="318" customWidth="1"/>
    <col min="6667" max="6667" width="19.69921875" style="318" customWidth="1"/>
    <col min="6668" max="6670" width="16" style="318" customWidth="1"/>
    <col min="6671" max="6671" width="14.796875" style="318" customWidth="1"/>
    <col min="6672" max="6672" width="17.296875" style="318" customWidth="1"/>
    <col min="6673" max="6673" width="14.796875" style="318" customWidth="1"/>
    <col min="6674" max="6682" width="9" style="318" customWidth="1"/>
    <col min="6683" max="6683" width="7.19921875" style="318" bestFit="1" customWidth="1"/>
    <col min="6684" max="6685" width="9" style="318" customWidth="1"/>
    <col min="6686" max="6690" width="10.296875" style="318" customWidth="1"/>
    <col min="6691" max="6912" width="9" style="318" customWidth="1"/>
    <col min="6913" max="6913" width="60.296875" style="318" customWidth="1"/>
    <col min="6914" max="6914" width="2.796875" style="318" customWidth="1"/>
    <col min="6915" max="6915" width="14.796875" style="318" customWidth="1"/>
    <col min="6916" max="6916" width="13.796875" style="318" bestFit="1" customWidth="1"/>
    <col min="6917" max="6917" width="15.296875" style="318" customWidth="1"/>
    <col min="6918" max="6918" width="14.19921875" style="318" customWidth="1"/>
    <col min="6919" max="6919" width="15.19921875" style="318" customWidth="1"/>
    <col min="6920" max="6920" width="13.296875" style="318" customWidth="1"/>
    <col min="6921" max="6921" width="17.296875" style="318" customWidth="1"/>
    <col min="6922" max="6922" width="15.19921875" style="318" customWidth="1"/>
    <col min="6923" max="6923" width="19.69921875" style="318" customWidth="1"/>
    <col min="6924" max="6926" width="16" style="318" customWidth="1"/>
    <col min="6927" max="6927" width="14.796875" style="318" customWidth="1"/>
    <col min="6928" max="6928" width="17.296875" style="318" customWidth="1"/>
    <col min="6929" max="6929" width="14.796875" style="318" customWidth="1"/>
    <col min="6930" max="6938" width="9" style="318" customWidth="1"/>
    <col min="6939" max="6939" width="7.19921875" style="318" bestFit="1" customWidth="1"/>
    <col min="6940" max="6941" width="9" style="318" customWidth="1"/>
    <col min="6942" max="6946" width="10.296875" style="318" customWidth="1"/>
    <col min="6947" max="7168" width="9" style="318" customWidth="1"/>
    <col min="7169" max="7169" width="60.296875" style="318" customWidth="1"/>
    <col min="7170" max="7170" width="2.796875" style="318" customWidth="1"/>
    <col min="7171" max="7171" width="14.796875" style="318" customWidth="1"/>
    <col min="7172" max="7172" width="13.796875" style="318" bestFit="1" customWidth="1"/>
    <col min="7173" max="7173" width="15.296875" style="318" customWidth="1"/>
    <col min="7174" max="7174" width="14.19921875" style="318" customWidth="1"/>
    <col min="7175" max="7175" width="15.19921875" style="318" customWidth="1"/>
    <col min="7176" max="7176" width="13.296875" style="318" customWidth="1"/>
    <col min="7177" max="7177" width="17.296875" style="318" customWidth="1"/>
    <col min="7178" max="7178" width="15.19921875" style="318" customWidth="1"/>
    <col min="7179" max="7179" width="19.69921875" style="318" customWidth="1"/>
    <col min="7180" max="7182" width="16" style="318" customWidth="1"/>
    <col min="7183" max="7183" width="14.796875" style="318" customWidth="1"/>
    <col min="7184" max="7184" width="17.296875" style="318" customWidth="1"/>
    <col min="7185" max="7185" width="14.796875" style="318" customWidth="1"/>
    <col min="7186" max="7194" width="9" style="318" customWidth="1"/>
    <col min="7195" max="7195" width="7.19921875" style="318" bestFit="1" customWidth="1"/>
    <col min="7196" max="7197" width="9" style="318" customWidth="1"/>
    <col min="7198" max="7202" width="10.296875" style="318" customWidth="1"/>
    <col min="7203" max="7424" width="9" style="318" customWidth="1"/>
    <col min="7425" max="7425" width="60.296875" style="318" customWidth="1"/>
    <col min="7426" max="7426" width="2.796875" style="318" customWidth="1"/>
    <col min="7427" max="7427" width="14.796875" style="318" customWidth="1"/>
    <col min="7428" max="7428" width="13.796875" style="318" bestFit="1" customWidth="1"/>
    <col min="7429" max="7429" width="15.296875" style="318" customWidth="1"/>
    <col min="7430" max="7430" width="14.19921875" style="318" customWidth="1"/>
    <col min="7431" max="7431" width="15.19921875" style="318" customWidth="1"/>
    <col min="7432" max="7432" width="13.296875" style="318" customWidth="1"/>
    <col min="7433" max="7433" width="17.296875" style="318" customWidth="1"/>
    <col min="7434" max="7434" width="15.19921875" style="318" customWidth="1"/>
    <col min="7435" max="7435" width="19.69921875" style="318" customWidth="1"/>
    <col min="7436" max="7438" width="16" style="318" customWidth="1"/>
    <col min="7439" max="7439" width="14.796875" style="318" customWidth="1"/>
    <col min="7440" max="7440" width="17.296875" style="318" customWidth="1"/>
    <col min="7441" max="7441" width="14.796875" style="318" customWidth="1"/>
    <col min="7442" max="7450" width="9" style="318" customWidth="1"/>
    <col min="7451" max="7451" width="7.19921875" style="318" bestFit="1" customWidth="1"/>
    <col min="7452" max="7453" width="9" style="318" customWidth="1"/>
    <col min="7454" max="7458" width="10.296875" style="318" customWidth="1"/>
    <col min="7459" max="7680" width="9" style="318" customWidth="1"/>
    <col min="7681" max="7681" width="60.296875" style="318" customWidth="1"/>
    <col min="7682" max="7682" width="2.796875" style="318" customWidth="1"/>
    <col min="7683" max="7683" width="14.796875" style="318" customWidth="1"/>
    <col min="7684" max="7684" width="13.796875" style="318" bestFit="1" customWidth="1"/>
    <col min="7685" max="7685" width="15.296875" style="318" customWidth="1"/>
    <col min="7686" max="7686" width="14.19921875" style="318" customWidth="1"/>
    <col min="7687" max="7687" width="15.19921875" style="318" customWidth="1"/>
    <col min="7688" max="7688" width="13.296875" style="318" customWidth="1"/>
    <col min="7689" max="7689" width="17.296875" style="318" customWidth="1"/>
    <col min="7690" max="7690" width="15.19921875" style="318" customWidth="1"/>
    <col min="7691" max="7691" width="19.69921875" style="318" customWidth="1"/>
    <col min="7692" max="7694" width="16" style="318" customWidth="1"/>
    <col min="7695" max="7695" width="14.796875" style="318" customWidth="1"/>
    <col min="7696" max="7696" width="17.296875" style="318" customWidth="1"/>
    <col min="7697" max="7697" width="14.796875" style="318" customWidth="1"/>
    <col min="7698" max="7706" width="9" style="318" customWidth="1"/>
    <col min="7707" max="7707" width="7.19921875" style="318" bestFit="1" customWidth="1"/>
    <col min="7708" max="7709" width="9" style="318" customWidth="1"/>
    <col min="7710" max="7714" width="10.296875" style="318" customWidth="1"/>
    <col min="7715" max="7936" width="9" style="318" customWidth="1"/>
    <col min="7937" max="7937" width="60.296875" style="318" customWidth="1"/>
    <col min="7938" max="7938" width="2.796875" style="318" customWidth="1"/>
    <col min="7939" max="7939" width="14.796875" style="318" customWidth="1"/>
    <col min="7940" max="7940" width="13.796875" style="318" bestFit="1" customWidth="1"/>
    <col min="7941" max="7941" width="15.296875" style="318" customWidth="1"/>
    <col min="7942" max="7942" width="14.19921875" style="318" customWidth="1"/>
    <col min="7943" max="7943" width="15.19921875" style="318" customWidth="1"/>
    <col min="7944" max="7944" width="13.296875" style="318" customWidth="1"/>
    <col min="7945" max="7945" width="17.296875" style="318" customWidth="1"/>
    <col min="7946" max="7946" width="15.19921875" style="318" customWidth="1"/>
    <col min="7947" max="7947" width="19.69921875" style="318" customWidth="1"/>
    <col min="7948" max="7950" width="16" style="318" customWidth="1"/>
    <col min="7951" max="7951" width="14.796875" style="318" customWidth="1"/>
    <col min="7952" max="7952" width="17.296875" style="318" customWidth="1"/>
    <col min="7953" max="7953" width="14.796875" style="318" customWidth="1"/>
    <col min="7954" max="7962" width="9" style="318" customWidth="1"/>
    <col min="7963" max="7963" width="7.19921875" style="318" bestFit="1" customWidth="1"/>
    <col min="7964" max="7965" width="9" style="318" customWidth="1"/>
    <col min="7966" max="7970" width="10.296875" style="318" customWidth="1"/>
    <col min="7971" max="8192" width="9" style="318" customWidth="1"/>
    <col min="8193" max="8193" width="60.296875" style="318" customWidth="1"/>
    <col min="8194" max="8194" width="2.796875" style="318" customWidth="1"/>
    <col min="8195" max="8195" width="14.796875" style="318" customWidth="1"/>
    <col min="8196" max="8196" width="13.796875" style="318" bestFit="1" customWidth="1"/>
    <col min="8197" max="8197" width="15.296875" style="318" customWidth="1"/>
    <col min="8198" max="8198" width="14.19921875" style="318" customWidth="1"/>
    <col min="8199" max="8199" width="15.19921875" style="318" customWidth="1"/>
    <col min="8200" max="8200" width="13.296875" style="318" customWidth="1"/>
    <col min="8201" max="8201" width="17.296875" style="318" customWidth="1"/>
    <col min="8202" max="8202" width="15.19921875" style="318" customWidth="1"/>
    <col min="8203" max="8203" width="19.69921875" style="318" customWidth="1"/>
    <col min="8204" max="8206" width="16" style="318" customWidth="1"/>
    <col min="8207" max="8207" width="14.796875" style="318" customWidth="1"/>
    <col min="8208" max="8208" width="17.296875" style="318" customWidth="1"/>
    <col min="8209" max="8209" width="14.796875" style="318" customWidth="1"/>
    <col min="8210" max="8218" width="9" style="318" customWidth="1"/>
    <col min="8219" max="8219" width="7.19921875" style="318" bestFit="1" customWidth="1"/>
    <col min="8220" max="8221" width="9" style="318" customWidth="1"/>
    <col min="8222" max="8226" width="10.296875" style="318" customWidth="1"/>
    <col min="8227" max="8448" width="9" style="318" customWidth="1"/>
    <col min="8449" max="8449" width="60.296875" style="318" customWidth="1"/>
    <col min="8450" max="8450" width="2.796875" style="318" customWidth="1"/>
    <col min="8451" max="8451" width="14.796875" style="318" customWidth="1"/>
    <col min="8452" max="8452" width="13.796875" style="318" bestFit="1" customWidth="1"/>
    <col min="8453" max="8453" width="15.296875" style="318" customWidth="1"/>
    <col min="8454" max="8454" width="14.19921875" style="318" customWidth="1"/>
    <col min="8455" max="8455" width="15.19921875" style="318" customWidth="1"/>
    <col min="8456" max="8456" width="13.296875" style="318" customWidth="1"/>
    <col min="8457" max="8457" width="17.296875" style="318" customWidth="1"/>
    <col min="8458" max="8458" width="15.19921875" style="318" customWidth="1"/>
    <col min="8459" max="8459" width="19.69921875" style="318" customWidth="1"/>
    <col min="8460" max="8462" width="16" style="318" customWidth="1"/>
    <col min="8463" max="8463" width="14.796875" style="318" customWidth="1"/>
    <col min="8464" max="8464" width="17.296875" style="318" customWidth="1"/>
    <col min="8465" max="8465" width="14.796875" style="318" customWidth="1"/>
    <col min="8466" max="8474" width="9" style="318" customWidth="1"/>
    <col min="8475" max="8475" width="7.19921875" style="318" bestFit="1" customWidth="1"/>
    <col min="8476" max="8477" width="9" style="318" customWidth="1"/>
    <col min="8478" max="8482" width="10.296875" style="318" customWidth="1"/>
    <col min="8483" max="8704" width="9" style="318" customWidth="1"/>
    <col min="8705" max="8705" width="60.296875" style="318" customWidth="1"/>
    <col min="8706" max="8706" width="2.796875" style="318" customWidth="1"/>
    <col min="8707" max="8707" width="14.796875" style="318" customWidth="1"/>
    <col min="8708" max="8708" width="13.796875" style="318" bestFit="1" customWidth="1"/>
    <col min="8709" max="8709" width="15.296875" style="318" customWidth="1"/>
    <col min="8710" max="8710" width="14.19921875" style="318" customWidth="1"/>
    <col min="8711" max="8711" width="15.19921875" style="318" customWidth="1"/>
    <col min="8712" max="8712" width="13.296875" style="318" customWidth="1"/>
    <col min="8713" max="8713" width="17.296875" style="318" customWidth="1"/>
    <col min="8714" max="8714" width="15.19921875" style="318" customWidth="1"/>
    <col min="8715" max="8715" width="19.69921875" style="318" customWidth="1"/>
    <col min="8716" max="8718" width="16" style="318" customWidth="1"/>
    <col min="8719" max="8719" width="14.796875" style="318" customWidth="1"/>
    <col min="8720" max="8720" width="17.296875" style="318" customWidth="1"/>
    <col min="8721" max="8721" width="14.796875" style="318" customWidth="1"/>
    <col min="8722" max="8730" width="9" style="318" customWidth="1"/>
    <col min="8731" max="8731" width="7.19921875" style="318" bestFit="1" customWidth="1"/>
    <col min="8732" max="8733" width="9" style="318" customWidth="1"/>
    <col min="8734" max="8738" width="10.296875" style="318" customWidth="1"/>
    <col min="8739" max="8960" width="9" style="318" customWidth="1"/>
    <col min="8961" max="8961" width="60.296875" style="318" customWidth="1"/>
    <col min="8962" max="8962" width="2.796875" style="318" customWidth="1"/>
    <col min="8963" max="8963" width="14.796875" style="318" customWidth="1"/>
    <col min="8964" max="8964" width="13.796875" style="318" bestFit="1" customWidth="1"/>
    <col min="8965" max="8965" width="15.296875" style="318" customWidth="1"/>
    <col min="8966" max="8966" width="14.19921875" style="318" customWidth="1"/>
    <col min="8967" max="8967" width="15.19921875" style="318" customWidth="1"/>
    <col min="8968" max="8968" width="13.296875" style="318" customWidth="1"/>
    <col min="8969" max="8969" width="17.296875" style="318" customWidth="1"/>
    <col min="8970" max="8970" width="15.19921875" style="318" customWidth="1"/>
    <col min="8971" max="8971" width="19.69921875" style="318" customWidth="1"/>
    <col min="8972" max="8974" width="16" style="318" customWidth="1"/>
    <col min="8975" max="8975" width="14.796875" style="318" customWidth="1"/>
    <col min="8976" max="8976" width="17.296875" style="318" customWidth="1"/>
    <col min="8977" max="8977" width="14.796875" style="318" customWidth="1"/>
    <col min="8978" max="8986" width="9" style="318" customWidth="1"/>
    <col min="8987" max="8987" width="7.19921875" style="318" bestFit="1" customWidth="1"/>
    <col min="8988" max="8989" width="9" style="318" customWidth="1"/>
    <col min="8990" max="8994" width="10.296875" style="318" customWidth="1"/>
    <col min="8995" max="9216" width="9" style="318" customWidth="1"/>
    <col min="9217" max="9217" width="60.296875" style="318" customWidth="1"/>
    <col min="9218" max="9218" width="2.796875" style="318" customWidth="1"/>
    <col min="9219" max="9219" width="14.796875" style="318" customWidth="1"/>
    <col min="9220" max="9220" width="13.796875" style="318" bestFit="1" customWidth="1"/>
    <col min="9221" max="9221" width="15.296875" style="318" customWidth="1"/>
    <col min="9222" max="9222" width="14.19921875" style="318" customWidth="1"/>
    <col min="9223" max="9223" width="15.19921875" style="318" customWidth="1"/>
    <col min="9224" max="9224" width="13.296875" style="318" customWidth="1"/>
    <col min="9225" max="9225" width="17.296875" style="318" customWidth="1"/>
    <col min="9226" max="9226" width="15.19921875" style="318" customWidth="1"/>
    <col min="9227" max="9227" width="19.69921875" style="318" customWidth="1"/>
    <col min="9228" max="9230" width="16" style="318" customWidth="1"/>
    <col min="9231" max="9231" width="14.796875" style="318" customWidth="1"/>
    <col min="9232" max="9232" width="17.296875" style="318" customWidth="1"/>
    <col min="9233" max="9233" width="14.796875" style="318" customWidth="1"/>
    <col min="9234" max="9242" width="9" style="318" customWidth="1"/>
    <col min="9243" max="9243" width="7.19921875" style="318" bestFit="1" customWidth="1"/>
    <col min="9244" max="9245" width="9" style="318" customWidth="1"/>
    <col min="9246" max="9250" width="10.296875" style="318" customWidth="1"/>
    <col min="9251" max="9472" width="9" style="318" customWidth="1"/>
    <col min="9473" max="9473" width="60.296875" style="318" customWidth="1"/>
    <col min="9474" max="9474" width="2.796875" style="318" customWidth="1"/>
    <col min="9475" max="9475" width="14.796875" style="318" customWidth="1"/>
    <col min="9476" max="9476" width="13.796875" style="318" bestFit="1" customWidth="1"/>
    <col min="9477" max="9477" width="15.296875" style="318" customWidth="1"/>
    <col min="9478" max="9478" width="14.19921875" style="318" customWidth="1"/>
    <col min="9479" max="9479" width="15.19921875" style="318" customWidth="1"/>
    <col min="9480" max="9480" width="13.296875" style="318" customWidth="1"/>
    <col min="9481" max="9481" width="17.296875" style="318" customWidth="1"/>
    <col min="9482" max="9482" width="15.19921875" style="318" customWidth="1"/>
    <col min="9483" max="9483" width="19.69921875" style="318" customWidth="1"/>
    <col min="9484" max="9486" width="16" style="318" customWidth="1"/>
    <col min="9487" max="9487" width="14.796875" style="318" customWidth="1"/>
    <col min="9488" max="9488" width="17.296875" style="318" customWidth="1"/>
    <col min="9489" max="9489" width="14.796875" style="318" customWidth="1"/>
    <col min="9490" max="9498" width="9" style="318" customWidth="1"/>
    <col min="9499" max="9499" width="7.19921875" style="318" bestFit="1" customWidth="1"/>
    <col min="9500" max="9501" width="9" style="318" customWidth="1"/>
    <col min="9502" max="9506" width="10.296875" style="318" customWidth="1"/>
    <col min="9507" max="9728" width="9" style="318" customWidth="1"/>
    <col min="9729" max="9729" width="60.296875" style="318" customWidth="1"/>
    <col min="9730" max="9730" width="2.796875" style="318" customWidth="1"/>
    <col min="9731" max="9731" width="14.796875" style="318" customWidth="1"/>
    <col min="9732" max="9732" width="13.796875" style="318" bestFit="1" customWidth="1"/>
    <col min="9733" max="9733" width="15.296875" style="318" customWidth="1"/>
    <col min="9734" max="9734" width="14.19921875" style="318" customWidth="1"/>
    <col min="9735" max="9735" width="15.19921875" style="318" customWidth="1"/>
    <col min="9736" max="9736" width="13.296875" style="318" customWidth="1"/>
    <col min="9737" max="9737" width="17.296875" style="318" customWidth="1"/>
    <col min="9738" max="9738" width="15.19921875" style="318" customWidth="1"/>
    <col min="9739" max="9739" width="19.69921875" style="318" customWidth="1"/>
    <col min="9740" max="9742" width="16" style="318" customWidth="1"/>
    <col min="9743" max="9743" width="14.796875" style="318" customWidth="1"/>
    <col min="9744" max="9744" width="17.296875" style="318" customWidth="1"/>
    <col min="9745" max="9745" width="14.796875" style="318" customWidth="1"/>
    <col min="9746" max="9754" width="9" style="318" customWidth="1"/>
    <col min="9755" max="9755" width="7.19921875" style="318" bestFit="1" customWidth="1"/>
    <col min="9756" max="9757" width="9" style="318" customWidth="1"/>
    <col min="9758" max="9762" width="10.296875" style="318" customWidth="1"/>
    <col min="9763" max="9984" width="9" style="318" customWidth="1"/>
    <col min="9985" max="9985" width="60.296875" style="318" customWidth="1"/>
    <col min="9986" max="9986" width="2.796875" style="318" customWidth="1"/>
    <col min="9987" max="9987" width="14.796875" style="318" customWidth="1"/>
    <col min="9988" max="9988" width="13.796875" style="318" bestFit="1" customWidth="1"/>
    <col min="9989" max="9989" width="15.296875" style="318" customWidth="1"/>
    <col min="9990" max="9990" width="14.19921875" style="318" customWidth="1"/>
    <col min="9991" max="9991" width="15.19921875" style="318" customWidth="1"/>
    <col min="9992" max="9992" width="13.296875" style="318" customWidth="1"/>
    <col min="9993" max="9993" width="17.296875" style="318" customWidth="1"/>
    <col min="9994" max="9994" width="15.19921875" style="318" customWidth="1"/>
    <col min="9995" max="9995" width="19.69921875" style="318" customWidth="1"/>
    <col min="9996" max="9998" width="16" style="318" customWidth="1"/>
    <col min="9999" max="9999" width="14.796875" style="318" customWidth="1"/>
    <col min="10000" max="10000" width="17.296875" style="318" customWidth="1"/>
    <col min="10001" max="10001" width="14.796875" style="318" customWidth="1"/>
    <col min="10002" max="10010" width="9" style="318" customWidth="1"/>
    <col min="10011" max="10011" width="7.19921875" style="318" bestFit="1" customWidth="1"/>
    <col min="10012" max="10013" width="9" style="318" customWidth="1"/>
    <col min="10014" max="10018" width="10.296875" style="318" customWidth="1"/>
    <col min="10019" max="10240" width="9" style="318" customWidth="1"/>
    <col min="10241" max="10241" width="60.296875" style="318" customWidth="1"/>
    <col min="10242" max="10242" width="2.796875" style="318" customWidth="1"/>
    <col min="10243" max="10243" width="14.796875" style="318" customWidth="1"/>
    <col min="10244" max="10244" width="13.796875" style="318" bestFit="1" customWidth="1"/>
    <col min="10245" max="10245" width="15.296875" style="318" customWidth="1"/>
    <col min="10246" max="10246" width="14.19921875" style="318" customWidth="1"/>
    <col min="10247" max="10247" width="15.19921875" style="318" customWidth="1"/>
    <col min="10248" max="10248" width="13.296875" style="318" customWidth="1"/>
    <col min="10249" max="10249" width="17.296875" style="318" customWidth="1"/>
    <col min="10250" max="10250" width="15.19921875" style="318" customWidth="1"/>
    <col min="10251" max="10251" width="19.69921875" style="318" customWidth="1"/>
    <col min="10252" max="10254" width="16" style="318" customWidth="1"/>
    <col min="10255" max="10255" width="14.796875" style="318" customWidth="1"/>
    <col min="10256" max="10256" width="17.296875" style="318" customWidth="1"/>
    <col min="10257" max="10257" width="14.796875" style="318" customWidth="1"/>
    <col min="10258" max="10266" width="9" style="318" customWidth="1"/>
    <col min="10267" max="10267" width="7.19921875" style="318" bestFit="1" customWidth="1"/>
    <col min="10268" max="10269" width="9" style="318" customWidth="1"/>
    <col min="10270" max="10274" width="10.296875" style="318" customWidth="1"/>
    <col min="10275" max="10496" width="9" style="318" customWidth="1"/>
    <col min="10497" max="10497" width="60.296875" style="318" customWidth="1"/>
    <col min="10498" max="10498" width="2.796875" style="318" customWidth="1"/>
    <col min="10499" max="10499" width="14.796875" style="318" customWidth="1"/>
    <col min="10500" max="10500" width="13.796875" style="318" bestFit="1" customWidth="1"/>
    <col min="10501" max="10501" width="15.296875" style="318" customWidth="1"/>
    <col min="10502" max="10502" width="14.19921875" style="318" customWidth="1"/>
    <col min="10503" max="10503" width="15.19921875" style="318" customWidth="1"/>
    <col min="10504" max="10504" width="13.296875" style="318" customWidth="1"/>
    <col min="10505" max="10505" width="17.296875" style="318" customWidth="1"/>
    <col min="10506" max="10506" width="15.19921875" style="318" customWidth="1"/>
    <col min="10507" max="10507" width="19.69921875" style="318" customWidth="1"/>
    <col min="10508" max="10510" width="16" style="318" customWidth="1"/>
    <col min="10511" max="10511" width="14.796875" style="318" customWidth="1"/>
    <col min="10512" max="10512" width="17.296875" style="318" customWidth="1"/>
    <col min="10513" max="10513" width="14.796875" style="318" customWidth="1"/>
    <col min="10514" max="10522" width="9" style="318" customWidth="1"/>
    <col min="10523" max="10523" width="7.19921875" style="318" bestFit="1" customWidth="1"/>
    <col min="10524" max="10525" width="9" style="318" customWidth="1"/>
    <col min="10526" max="10530" width="10.296875" style="318" customWidth="1"/>
    <col min="10531" max="10752" width="9" style="318" customWidth="1"/>
    <col min="10753" max="10753" width="60.296875" style="318" customWidth="1"/>
    <col min="10754" max="10754" width="2.796875" style="318" customWidth="1"/>
    <col min="10755" max="10755" width="14.796875" style="318" customWidth="1"/>
    <col min="10756" max="10756" width="13.796875" style="318" bestFit="1" customWidth="1"/>
    <col min="10757" max="10757" width="15.296875" style="318" customWidth="1"/>
    <col min="10758" max="10758" width="14.19921875" style="318" customWidth="1"/>
    <col min="10759" max="10759" width="15.19921875" style="318" customWidth="1"/>
    <col min="10760" max="10760" width="13.296875" style="318" customWidth="1"/>
    <col min="10761" max="10761" width="17.296875" style="318" customWidth="1"/>
    <col min="10762" max="10762" width="15.19921875" style="318" customWidth="1"/>
    <col min="10763" max="10763" width="19.69921875" style="318" customWidth="1"/>
    <col min="10764" max="10766" width="16" style="318" customWidth="1"/>
    <col min="10767" max="10767" width="14.796875" style="318" customWidth="1"/>
    <col min="10768" max="10768" width="17.296875" style="318" customWidth="1"/>
    <col min="10769" max="10769" width="14.796875" style="318" customWidth="1"/>
    <col min="10770" max="10778" width="9" style="318" customWidth="1"/>
    <col min="10779" max="10779" width="7.19921875" style="318" bestFit="1" customWidth="1"/>
    <col min="10780" max="10781" width="9" style="318" customWidth="1"/>
    <col min="10782" max="10786" width="10.296875" style="318" customWidth="1"/>
    <col min="10787" max="11008" width="9" style="318" customWidth="1"/>
    <col min="11009" max="11009" width="60.296875" style="318" customWidth="1"/>
    <col min="11010" max="11010" width="2.796875" style="318" customWidth="1"/>
    <col min="11011" max="11011" width="14.796875" style="318" customWidth="1"/>
    <col min="11012" max="11012" width="13.796875" style="318" bestFit="1" customWidth="1"/>
    <col min="11013" max="11013" width="15.296875" style="318" customWidth="1"/>
    <col min="11014" max="11014" width="14.19921875" style="318" customWidth="1"/>
    <col min="11015" max="11015" width="15.19921875" style="318" customWidth="1"/>
    <col min="11016" max="11016" width="13.296875" style="318" customWidth="1"/>
    <col min="11017" max="11017" width="17.296875" style="318" customWidth="1"/>
    <col min="11018" max="11018" width="15.19921875" style="318" customWidth="1"/>
    <col min="11019" max="11019" width="19.69921875" style="318" customWidth="1"/>
    <col min="11020" max="11022" width="16" style="318" customWidth="1"/>
    <col min="11023" max="11023" width="14.796875" style="318" customWidth="1"/>
    <col min="11024" max="11024" width="17.296875" style="318" customWidth="1"/>
    <col min="11025" max="11025" width="14.796875" style="318" customWidth="1"/>
    <col min="11026" max="11034" width="9" style="318" customWidth="1"/>
    <col min="11035" max="11035" width="7.19921875" style="318" bestFit="1" customWidth="1"/>
    <col min="11036" max="11037" width="9" style="318" customWidth="1"/>
    <col min="11038" max="11042" width="10.296875" style="318" customWidth="1"/>
    <col min="11043" max="11264" width="9" style="318" customWidth="1"/>
    <col min="11265" max="11265" width="60.296875" style="318" customWidth="1"/>
    <col min="11266" max="11266" width="2.796875" style="318" customWidth="1"/>
    <col min="11267" max="11267" width="14.796875" style="318" customWidth="1"/>
    <col min="11268" max="11268" width="13.796875" style="318" bestFit="1" customWidth="1"/>
    <col min="11269" max="11269" width="15.296875" style="318" customWidth="1"/>
    <col min="11270" max="11270" width="14.19921875" style="318" customWidth="1"/>
    <col min="11271" max="11271" width="15.19921875" style="318" customWidth="1"/>
    <col min="11272" max="11272" width="13.296875" style="318" customWidth="1"/>
    <col min="11273" max="11273" width="17.296875" style="318" customWidth="1"/>
    <col min="11274" max="11274" width="15.19921875" style="318" customWidth="1"/>
    <col min="11275" max="11275" width="19.69921875" style="318" customWidth="1"/>
    <col min="11276" max="11278" width="16" style="318" customWidth="1"/>
    <col min="11279" max="11279" width="14.796875" style="318" customWidth="1"/>
    <col min="11280" max="11280" width="17.296875" style="318" customWidth="1"/>
    <col min="11281" max="11281" width="14.796875" style="318" customWidth="1"/>
    <col min="11282" max="11290" width="9" style="318" customWidth="1"/>
    <col min="11291" max="11291" width="7.19921875" style="318" bestFit="1" customWidth="1"/>
    <col min="11292" max="11293" width="9" style="318" customWidth="1"/>
    <col min="11294" max="11298" width="10.296875" style="318" customWidth="1"/>
    <col min="11299" max="11520" width="9" style="318" customWidth="1"/>
    <col min="11521" max="11521" width="60.296875" style="318" customWidth="1"/>
    <col min="11522" max="11522" width="2.796875" style="318" customWidth="1"/>
    <col min="11523" max="11523" width="14.796875" style="318" customWidth="1"/>
    <col min="11524" max="11524" width="13.796875" style="318" bestFit="1" customWidth="1"/>
    <col min="11525" max="11525" width="15.296875" style="318" customWidth="1"/>
    <col min="11526" max="11526" width="14.19921875" style="318" customWidth="1"/>
    <col min="11527" max="11527" width="15.19921875" style="318" customWidth="1"/>
    <col min="11528" max="11528" width="13.296875" style="318" customWidth="1"/>
    <col min="11529" max="11529" width="17.296875" style="318" customWidth="1"/>
    <col min="11530" max="11530" width="15.19921875" style="318" customWidth="1"/>
    <col min="11531" max="11531" width="19.69921875" style="318" customWidth="1"/>
    <col min="11532" max="11534" width="16" style="318" customWidth="1"/>
    <col min="11535" max="11535" width="14.796875" style="318" customWidth="1"/>
    <col min="11536" max="11536" width="17.296875" style="318" customWidth="1"/>
    <col min="11537" max="11537" width="14.796875" style="318" customWidth="1"/>
    <col min="11538" max="11546" width="9" style="318" customWidth="1"/>
    <col min="11547" max="11547" width="7.19921875" style="318" bestFit="1" customWidth="1"/>
    <col min="11548" max="11549" width="9" style="318" customWidth="1"/>
    <col min="11550" max="11554" width="10.296875" style="318" customWidth="1"/>
    <col min="11555" max="11776" width="9" style="318" customWidth="1"/>
    <col min="11777" max="11777" width="60.296875" style="318" customWidth="1"/>
    <col min="11778" max="11778" width="2.796875" style="318" customWidth="1"/>
    <col min="11779" max="11779" width="14.796875" style="318" customWidth="1"/>
    <col min="11780" max="11780" width="13.796875" style="318" bestFit="1" customWidth="1"/>
    <col min="11781" max="11781" width="15.296875" style="318" customWidth="1"/>
    <col min="11782" max="11782" width="14.19921875" style="318" customWidth="1"/>
    <col min="11783" max="11783" width="15.19921875" style="318" customWidth="1"/>
    <col min="11784" max="11784" width="13.296875" style="318" customWidth="1"/>
    <col min="11785" max="11785" width="17.296875" style="318" customWidth="1"/>
    <col min="11786" max="11786" width="15.19921875" style="318" customWidth="1"/>
    <col min="11787" max="11787" width="19.69921875" style="318" customWidth="1"/>
    <col min="11788" max="11790" width="16" style="318" customWidth="1"/>
    <col min="11791" max="11791" width="14.796875" style="318" customWidth="1"/>
    <col min="11792" max="11792" width="17.296875" style="318" customWidth="1"/>
    <col min="11793" max="11793" width="14.796875" style="318" customWidth="1"/>
    <col min="11794" max="11802" width="9" style="318" customWidth="1"/>
    <col min="11803" max="11803" width="7.19921875" style="318" bestFit="1" customWidth="1"/>
    <col min="11804" max="11805" width="9" style="318" customWidth="1"/>
    <col min="11806" max="11810" width="10.296875" style="318" customWidth="1"/>
    <col min="11811" max="12032" width="9" style="318" customWidth="1"/>
    <col min="12033" max="12033" width="60.296875" style="318" customWidth="1"/>
    <col min="12034" max="12034" width="2.796875" style="318" customWidth="1"/>
    <col min="12035" max="12035" width="14.796875" style="318" customWidth="1"/>
    <col min="12036" max="12036" width="13.796875" style="318" bestFit="1" customWidth="1"/>
    <col min="12037" max="12037" width="15.296875" style="318" customWidth="1"/>
    <col min="12038" max="12038" width="14.19921875" style="318" customWidth="1"/>
    <col min="12039" max="12039" width="15.19921875" style="318" customWidth="1"/>
    <col min="12040" max="12040" width="13.296875" style="318" customWidth="1"/>
    <col min="12041" max="12041" width="17.296875" style="318" customWidth="1"/>
    <col min="12042" max="12042" width="15.19921875" style="318" customWidth="1"/>
    <col min="12043" max="12043" width="19.69921875" style="318" customWidth="1"/>
    <col min="12044" max="12046" width="16" style="318" customWidth="1"/>
    <col min="12047" max="12047" width="14.796875" style="318" customWidth="1"/>
    <col min="12048" max="12048" width="17.296875" style="318" customWidth="1"/>
    <col min="12049" max="12049" width="14.796875" style="318" customWidth="1"/>
    <col min="12050" max="12058" width="9" style="318" customWidth="1"/>
    <col min="12059" max="12059" width="7.19921875" style="318" bestFit="1" customWidth="1"/>
    <col min="12060" max="12061" width="9" style="318" customWidth="1"/>
    <col min="12062" max="12066" width="10.296875" style="318" customWidth="1"/>
    <col min="12067" max="12288" width="9" style="318" customWidth="1"/>
    <col min="12289" max="12289" width="60.296875" style="318" customWidth="1"/>
    <col min="12290" max="12290" width="2.796875" style="318" customWidth="1"/>
    <col min="12291" max="12291" width="14.796875" style="318" customWidth="1"/>
    <col min="12292" max="12292" width="13.796875" style="318" bestFit="1" customWidth="1"/>
    <col min="12293" max="12293" width="15.296875" style="318" customWidth="1"/>
    <col min="12294" max="12294" width="14.19921875" style="318" customWidth="1"/>
    <col min="12295" max="12295" width="15.19921875" style="318" customWidth="1"/>
    <col min="12296" max="12296" width="13.296875" style="318" customWidth="1"/>
    <col min="12297" max="12297" width="17.296875" style="318" customWidth="1"/>
    <col min="12298" max="12298" width="15.19921875" style="318" customWidth="1"/>
    <col min="12299" max="12299" width="19.69921875" style="318" customWidth="1"/>
    <col min="12300" max="12302" width="16" style="318" customWidth="1"/>
    <col min="12303" max="12303" width="14.796875" style="318" customWidth="1"/>
    <col min="12304" max="12304" width="17.296875" style="318" customWidth="1"/>
    <col min="12305" max="12305" width="14.796875" style="318" customWidth="1"/>
    <col min="12306" max="12314" width="9" style="318" customWidth="1"/>
    <col min="12315" max="12315" width="7.19921875" style="318" bestFit="1" customWidth="1"/>
    <col min="12316" max="12317" width="9" style="318" customWidth="1"/>
    <col min="12318" max="12322" width="10.296875" style="318" customWidth="1"/>
    <col min="12323" max="12544" width="9" style="318" customWidth="1"/>
    <col min="12545" max="12545" width="60.296875" style="318" customWidth="1"/>
    <col min="12546" max="12546" width="2.796875" style="318" customWidth="1"/>
    <col min="12547" max="12547" width="14.796875" style="318" customWidth="1"/>
    <col min="12548" max="12548" width="13.796875" style="318" bestFit="1" customWidth="1"/>
    <col min="12549" max="12549" width="15.296875" style="318" customWidth="1"/>
    <col min="12550" max="12550" width="14.19921875" style="318" customWidth="1"/>
    <col min="12551" max="12551" width="15.19921875" style="318" customWidth="1"/>
    <col min="12552" max="12552" width="13.296875" style="318" customWidth="1"/>
    <col min="12553" max="12553" width="17.296875" style="318" customWidth="1"/>
    <col min="12554" max="12554" width="15.19921875" style="318" customWidth="1"/>
    <col min="12555" max="12555" width="19.69921875" style="318" customWidth="1"/>
    <col min="12556" max="12558" width="16" style="318" customWidth="1"/>
    <col min="12559" max="12559" width="14.796875" style="318" customWidth="1"/>
    <col min="12560" max="12560" width="17.296875" style="318" customWidth="1"/>
    <col min="12561" max="12561" width="14.796875" style="318" customWidth="1"/>
    <col min="12562" max="12570" width="9" style="318" customWidth="1"/>
    <col min="12571" max="12571" width="7.19921875" style="318" bestFit="1" customWidth="1"/>
    <col min="12572" max="12573" width="9" style="318" customWidth="1"/>
    <col min="12574" max="12578" width="10.296875" style="318" customWidth="1"/>
    <col min="12579" max="12800" width="9" style="318" customWidth="1"/>
    <col min="12801" max="12801" width="60.296875" style="318" customWidth="1"/>
    <col min="12802" max="12802" width="2.796875" style="318" customWidth="1"/>
    <col min="12803" max="12803" width="14.796875" style="318" customWidth="1"/>
    <col min="12804" max="12804" width="13.796875" style="318" bestFit="1" customWidth="1"/>
    <col min="12805" max="12805" width="15.296875" style="318" customWidth="1"/>
    <col min="12806" max="12806" width="14.19921875" style="318" customWidth="1"/>
    <col min="12807" max="12807" width="15.19921875" style="318" customWidth="1"/>
    <col min="12808" max="12808" width="13.296875" style="318" customWidth="1"/>
    <col min="12809" max="12809" width="17.296875" style="318" customWidth="1"/>
    <col min="12810" max="12810" width="15.19921875" style="318" customWidth="1"/>
    <col min="12811" max="12811" width="19.69921875" style="318" customWidth="1"/>
    <col min="12812" max="12814" width="16" style="318" customWidth="1"/>
    <col min="12815" max="12815" width="14.796875" style="318" customWidth="1"/>
    <col min="12816" max="12816" width="17.296875" style="318" customWidth="1"/>
    <col min="12817" max="12817" width="14.796875" style="318" customWidth="1"/>
    <col min="12818" max="12826" width="9" style="318" customWidth="1"/>
    <col min="12827" max="12827" width="7.19921875" style="318" bestFit="1" customWidth="1"/>
    <col min="12828" max="12829" width="9" style="318" customWidth="1"/>
    <col min="12830" max="12834" width="10.296875" style="318" customWidth="1"/>
    <col min="12835" max="13056" width="9" style="318" customWidth="1"/>
    <col min="13057" max="13057" width="60.296875" style="318" customWidth="1"/>
    <col min="13058" max="13058" width="2.796875" style="318" customWidth="1"/>
    <col min="13059" max="13059" width="14.796875" style="318" customWidth="1"/>
    <col min="13060" max="13060" width="13.796875" style="318" bestFit="1" customWidth="1"/>
    <col min="13061" max="13061" width="15.296875" style="318" customWidth="1"/>
    <col min="13062" max="13062" width="14.19921875" style="318" customWidth="1"/>
    <col min="13063" max="13063" width="15.19921875" style="318" customWidth="1"/>
    <col min="13064" max="13064" width="13.296875" style="318" customWidth="1"/>
    <col min="13065" max="13065" width="17.296875" style="318" customWidth="1"/>
    <col min="13066" max="13066" width="15.19921875" style="318" customWidth="1"/>
    <col min="13067" max="13067" width="19.69921875" style="318" customWidth="1"/>
    <col min="13068" max="13070" width="16" style="318" customWidth="1"/>
    <col min="13071" max="13071" width="14.796875" style="318" customWidth="1"/>
    <col min="13072" max="13072" width="17.296875" style="318" customWidth="1"/>
    <col min="13073" max="13073" width="14.796875" style="318" customWidth="1"/>
    <col min="13074" max="13082" width="9" style="318" customWidth="1"/>
    <col min="13083" max="13083" width="7.19921875" style="318" bestFit="1" customWidth="1"/>
    <col min="13084" max="13085" width="9" style="318" customWidth="1"/>
    <col min="13086" max="13090" width="10.296875" style="318" customWidth="1"/>
    <col min="13091" max="13312" width="9" style="318" customWidth="1"/>
    <col min="13313" max="13313" width="60.296875" style="318" customWidth="1"/>
    <col min="13314" max="13314" width="2.796875" style="318" customWidth="1"/>
    <col min="13315" max="13315" width="14.796875" style="318" customWidth="1"/>
    <col min="13316" max="13316" width="13.796875" style="318" bestFit="1" customWidth="1"/>
    <col min="13317" max="13317" width="15.296875" style="318" customWidth="1"/>
    <col min="13318" max="13318" width="14.19921875" style="318" customWidth="1"/>
    <col min="13319" max="13319" width="15.19921875" style="318" customWidth="1"/>
    <col min="13320" max="13320" width="13.296875" style="318" customWidth="1"/>
    <col min="13321" max="13321" width="17.296875" style="318" customWidth="1"/>
    <col min="13322" max="13322" width="15.19921875" style="318" customWidth="1"/>
    <col min="13323" max="13323" width="19.69921875" style="318" customWidth="1"/>
    <col min="13324" max="13326" width="16" style="318" customWidth="1"/>
    <col min="13327" max="13327" width="14.796875" style="318" customWidth="1"/>
    <col min="13328" max="13328" width="17.296875" style="318" customWidth="1"/>
    <col min="13329" max="13329" width="14.796875" style="318" customWidth="1"/>
    <col min="13330" max="13338" width="9" style="318" customWidth="1"/>
    <col min="13339" max="13339" width="7.19921875" style="318" bestFit="1" customWidth="1"/>
    <col min="13340" max="13341" width="9" style="318" customWidth="1"/>
    <col min="13342" max="13346" width="10.296875" style="318" customWidth="1"/>
    <col min="13347" max="13568" width="9" style="318" customWidth="1"/>
    <col min="13569" max="13569" width="60.296875" style="318" customWidth="1"/>
    <col min="13570" max="13570" width="2.796875" style="318" customWidth="1"/>
    <col min="13571" max="13571" width="14.796875" style="318" customWidth="1"/>
    <col min="13572" max="13572" width="13.796875" style="318" bestFit="1" customWidth="1"/>
    <col min="13573" max="13573" width="15.296875" style="318" customWidth="1"/>
    <col min="13574" max="13574" width="14.19921875" style="318" customWidth="1"/>
    <col min="13575" max="13575" width="15.19921875" style="318" customWidth="1"/>
    <col min="13576" max="13576" width="13.296875" style="318" customWidth="1"/>
    <col min="13577" max="13577" width="17.296875" style="318" customWidth="1"/>
    <col min="13578" max="13578" width="15.19921875" style="318" customWidth="1"/>
    <col min="13579" max="13579" width="19.69921875" style="318" customWidth="1"/>
    <col min="13580" max="13582" width="16" style="318" customWidth="1"/>
    <col min="13583" max="13583" width="14.796875" style="318" customWidth="1"/>
    <col min="13584" max="13584" width="17.296875" style="318" customWidth="1"/>
    <col min="13585" max="13585" width="14.796875" style="318" customWidth="1"/>
    <col min="13586" max="13594" width="9" style="318" customWidth="1"/>
    <col min="13595" max="13595" width="7.19921875" style="318" bestFit="1" customWidth="1"/>
    <col min="13596" max="13597" width="9" style="318" customWidth="1"/>
    <col min="13598" max="13602" width="10.296875" style="318" customWidth="1"/>
    <col min="13603" max="13824" width="9" style="318" customWidth="1"/>
    <col min="13825" max="13825" width="60.296875" style="318" customWidth="1"/>
    <col min="13826" max="13826" width="2.796875" style="318" customWidth="1"/>
    <col min="13827" max="13827" width="14.796875" style="318" customWidth="1"/>
    <col min="13828" max="13828" width="13.796875" style="318" bestFit="1" customWidth="1"/>
    <col min="13829" max="13829" width="15.296875" style="318" customWidth="1"/>
    <col min="13830" max="13830" width="14.19921875" style="318" customWidth="1"/>
    <col min="13831" max="13831" width="15.19921875" style="318" customWidth="1"/>
    <col min="13832" max="13832" width="13.296875" style="318" customWidth="1"/>
    <col min="13833" max="13833" width="17.296875" style="318" customWidth="1"/>
    <col min="13834" max="13834" width="15.19921875" style="318" customWidth="1"/>
    <col min="13835" max="13835" width="19.69921875" style="318" customWidth="1"/>
    <col min="13836" max="13838" width="16" style="318" customWidth="1"/>
    <col min="13839" max="13839" width="14.796875" style="318" customWidth="1"/>
    <col min="13840" max="13840" width="17.296875" style="318" customWidth="1"/>
    <col min="13841" max="13841" width="14.796875" style="318" customWidth="1"/>
    <col min="13842" max="13850" width="9" style="318" customWidth="1"/>
    <col min="13851" max="13851" width="7.19921875" style="318" bestFit="1" customWidth="1"/>
    <col min="13852" max="13853" width="9" style="318" customWidth="1"/>
    <col min="13854" max="13858" width="10.296875" style="318" customWidth="1"/>
    <col min="13859" max="14080" width="9" style="318" customWidth="1"/>
    <col min="14081" max="14081" width="60.296875" style="318" customWidth="1"/>
    <col min="14082" max="14082" width="2.796875" style="318" customWidth="1"/>
    <col min="14083" max="14083" width="14.796875" style="318" customWidth="1"/>
    <col min="14084" max="14084" width="13.796875" style="318" bestFit="1" customWidth="1"/>
    <col min="14085" max="14085" width="15.296875" style="318" customWidth="1"/>
    <col min="14086" max="14086" width="14.19921875" style="318" customWidth="1"/>
    <col min="14087" max="14087" width="15.19921875" style="318" customWidth="1"/>
    <col min="14088" max="14088" width="13.296875" style="318" customWidth="1"/>
    <col min="14089" max="14089" width="17.296875" style="318" customWidth="1"/>
    <col min="14090" max="14090" width="15.19921875" style="318" customWidth="1"/>
    <col min="14091" max="14091" width="19.69921875" style="318" customWidth="1"/>
    <col min="14092" max="14094" width="16" style="318" customWidth="1"/>
    <col min="14095" max="14095" width="14.796875" style="318" customWidth="1"/>
    <col min="14096" max="14096" width="17.296875" style="318" customWidth="1"/>
    <col min="14097" max="14097" width="14.796875" style="318" customWidth="1"/>
    <col min="14098" max="14106" width="9" style="318" customWidth="1"/>
    <col min="14107" max="14107" width="7.19921875" style="318" bestFit="1" customWidth="1"/>
    <col min="14108" max="14109" width="9" style="318" customWidth="1"/>
    <col min="14110" max="14114" width="10.296875" style="318" customWidth="1"/>
    <col min="14115" max="14336" width="9" style="318" customWidth="1"/>
    <col min="14337" max="14337" width="60.296875" style="318" customWidth="1"/>
    <col min="14338" max="14338" width="2.796875" style="318" customWidth="1"/>
    <col min="14339" max="14339" width="14.796875" style="318" customWidth="1"/>
    <col min="14340" max="14340" width="13.796875" style="318" bestFit="1" customWidth="1"/>
    <col min="14341" max="14341" width="15.296875" style="318" customWidth="1"/>
    <col min="14342" max="14342" width="14.19921875" style="318" customWidth="1"/>
    <col min="14343" max="14343" width="15.19921875" style="318" customWidth="1"/>
    <col min="14344" max="14344" width="13.296875" style="318" customWidth="1"/>
    <col min="14345" max="14345" width="17.296875" style="318" customWidth="1"/>
    <col min="14346" max="14346" width="15.19921875" style="318" customWidth="1"/>
    <col min="14347" max="14347" width="19.69921875" style="318" customWidth="1"/>
    <col min="14348" max="14350" width="16" style="318" customWidth="1"/>
    <col min="14351" max="14351" width="14.796875" style="318" customWidth="1"/>
    <col min="14352" max="14352" width="17.296875" style="318" customWidth="1"/>
    <col min="14353" max="14353" width="14.796875" style="318" customWidth="1"/>
    <col min="14354" max="14362" width="9" style="318" customWidth="1"/>
    <col min="14363" max="14363" width="7.19921875" style="318" bestFit="1" customWidth="1"/>
    <col min="14364" max="14365" width="9" style="318" customWidth="1"/>
    <col min="14366" max="14370" width="10.296875" style="318" customWidth="1"/>
    <col min="14371" max="14592" width="9" style="318" customWidth="1"/>
    <col min="14593" max="14593" width="60.296875" style="318" customWidth="1"/>
    <col min="14594" max="14594" width="2.796875" style="318" customWidth="1"/>
    <col min="14595" max="14595" width="14.796875" style="318" customWidth="1"/>
    <col min="14596" max="14596" width="13.796875" style="318" bestFit="1" customWidth="1"/>
    <col min="14597" max="14597" width="15.296875" style="318" customWidth="1"/>
    <col min="14598" max="14598" width="14.19921875" style="318" customWidth="1"/>
    <col min="14599" max="14599" width="15.19921875" style="318" customWidth="1"/>
    <col min="14600" max="14600" width="13.296875" style="318" customWidth="1"/>
    <col min="14601" max="14601" width="17.296875" style="318" customWidth="1"/>
    <col min="14602" max="14602" width="15.19921875" style="318" customWidth="1"/>
    <col min="14603" max="14603" width="19.69921875" style="318" customWidth="1"/>
    <col min="14604" max="14606" width="16" style="318" customWidth="1"/>
    <col min="14607" max="14607" width="14.796875" style="318" customWidth="1"/>
    <col min="14608" max="14608" width="17.296875" style="318" customWidth="1"/>
    <col min="14609" max="14609" width="14.796875" style="318" customWidth="1"/>
    <col min="14610" max="14618" width="9" style="318" customWidth="1"/>
    <col min="14619" max="14619" width="7.19921875" style="318" bestFit="1" customWidth="1"/>
    <col min="14620" max="14621" width="9" style="318" customWidth="1"/>
    <col min="14622" max="14626" width="10.296875" style="318" customWidth="1"/>
    <col min="14627" max="14848" width="9" style="318" customWidth="1"/>
    <col min="14849" max="14849" width="60.296875" style="318" customWidth="1"/>
    <col min="14850" max="14850" width="2.796875" style="318" customWidth="1"/>
    <col min="14851" max="14851" width="14.796875" style="318" customWidth="1"/>
    <col min="14852" max="14852" width="13.796875" style="318" bestFit="1" customWidth="1"/>
    <col min="14853" max="14853" width="15.296875" style="318" customWidth="1"/>
    <col min="14854" max="14854" width="14.19921875" style="318" customWidth="1"/>
    <col min="14855" max="14855" width="15.19921875" style="318" customWidth="1"/>
    <col min="14856" max="14856" width="13.296875" style="318" customWidth="1"/>
    <col min="14857" max="14857" width="17.296875" style="318" customWidth="1"/>
    <col min="14858" max="14858" width="15.19921875" style="318" customWidth="1"/>
    <col min="14859" max="14859" width="19.69921875" style="318" customWidth="1"/>
    <col min="14860" max="14862" width="16" style="318" customWidth="1"/>
    <col min="14863" max="14863" width="14.796875" style="318" customWidth="1"/>
    <col min="14864" max="14864" width="17.296875" style="318" customWidth="1"/>
    <col min="14865" max="14865" width="14.796875" style="318" customWidth="1"/>
    <col min="14866" max="14874" width="9" style="318" customWidth="1"/>
    <col min="14875" max="14875" width="7.19921875" style="318" bestFit="1" customWidth="1"/>
    <col min="14876" max="14877" width="9" style="318" customWidth="1"/>
    <col min="14878" max="14882" width="10.296875" style="318" customWidth="1"/>
    <col min="14883" max="15104" width="9" style="318" customWidth="1"/>
    <col min="15105" max="15105" width="60.296875" style="318" customWidth="1"/>
    <col min="15106" max="15106" width="2.796875" style="318" customWidth="1"/>
    <col min="15107" max="15107" width="14.796875" style="318" customWidth="1"/>
    <col min="15108" max="15108" width="13.796875" style="318" bestFit="1" customWidth="1"/>
    <col min="15109" max="15109" width="15.296875" style="318" customWidth="1"/>
    <col min="15110" max="15110" width="14.19921875" style="318" customWidth="1"/>
    <col min="15111" max="15111" width="15.19921875" style="318" customWidth="1"/>
    <col min="15112" max="15112" width="13.296875" style="318" customWidth="1"/>
    <col min="15113" max="15113" width="17.296875" style="318" customWidth="1"/>
    <col min="15114" max="15114" width="15.19921875" style="318" customWidth="1"/>
    <col min="15115" max="15115" width="19.69921875" style="318" customWidth="1"/>
    <col min="15116" max="15118" width="16" style="318" customWidth="1"/>
    <col min="15119" max="15119" width="14.796875" style="318" customWidth="1"/>
    <col min="15120" max="15120" width="17.296875" style="318" customWidth="1"/>
    <col min="15121" max="15121" width="14.796875" style="318" customWidth="1"/>
    <col min="15122" max="15130" width="9" style="318" customWidth="1"/>
    <col min="15131" max="15131" width="7.19921875" style="318" bestFit="1" customWidth="1"/>
    <col min="15132" max="15133" width="9" style="318" customWidth="1"/>
    <col min="15134" max="15138" width="10.296875" style="318" customWidth="1"/>
    <col min="15139" max="15360" width="9" style="318" customWidth="1"/>
    <col min="15361" max="15361" width="60.296875" style="318" customWidth="1"/>
    <col min="15362" max="15362" width="2.796875" style="318" customWidth="1"/>
    <col min="15363" max="15363" width="14.796875" style="318" customWidth="1"/>
    <col min="15364" max="15364" width="13.796875" style="318" bestFit="1" customWidth="1"/>
    <col min="15365" max="15365" width="15.296875" style="318" customWidth="1"/>
    <col min="15366" max="15366" width="14.19921875" style="318" customWidth="1"/>
    <col min="15367" max="15367" width="15.19921875" style="318" customWidth="1"/>
    <col min="15368" max="15368" width="13.296875" style="318" customWidth="1"/>
    <col min="15369" max="15369" width="17.296875" style="318" customWidth="1"/>
    <col min="15370" max="15370" width="15.19921875" style="318" customWidth="1"/>
    <col min="15371" max="15371" width="19.69921875" style="318" customWidth="1"/>
    <col min="15372" max="15374" width="16" style="318" customWidth="1"/>
    <col min="15375" max="15375" width="14.796875" style="318" customWidth="1"/>
    <col min="15376" max="15376" width="17.296875" style="318" customWidth="1"/>
    <col min="15377" max="15377" width="14.796875" style="318" customWidth="1"/>
    <col min="15378" max="15386" width="9" style="318" customWidth="1"/>
    <col min="15387" max="15387" width="7.19921875" style="318" bestFit="1" customWidth="1"/>
    <col min="15388" max="15389" width="9" style="318" customWidth="1"/>
    <col min="15390" max="15394" width="10.296875" style="318" customWidth="1"/>
    <col min="15395" max="15616" width="9" style="318" customWidth="1"/>
    <col min="15617" max="15617" width="60.296875" style="318" customWidth="1"/>
    <col min="15618" max="15618" width="2.796875" style="318" customWidth="1"/>
    <col min="15619" max="15619" width="14.796875" style="318" customWidth="1"/>
    <col min="15620" max="15620" width="13.796875" style="318" bestFit="1" customWidth="1"/>
    <col min="15621" max="15621" width="15.296875" style="318" customWidth="1"/>
    <col min="15622" max="15622" width="14.19921875" style="318" customWidth="1"/>
    <col min="15623" max="15623" width="15.19921875" style="318" customWidth="1"/>
    <col min="15624" max="15624" width="13.296875" style="318" customWidth="1"/>
    <col min="15625" max="15625" width="17.296875" style="318" customWidth="1"/>
    <col min="15626" max="15626" width="15.19921875" style="318" customWidth="1"/>
    <col min="15627" max="15627" width="19.69921875" style="318" customWidth="1"/>
    <col min="15628" max="15630" width="16" style="318" customWidth="1"/>
    <col min="15631" max="15631" width="14.796875" style="318" customWidth="1"/>
    <col min="15632" max="15632" width="17.296875" style="318" customWidth="1"/>
    <col min="15633" max="15633" width="14.796875" style="318" customWidth="1"/>
    <col min="15634" max="15642" width="9" style="318" customWidth="1"/>
    <col min="15643" max="15643" width="7.19921875" style="318" bestFit="1" customWidth="1"/>
    <col min="15644" max="15645" width="9" style="318" customWidth="1"/>
    <col min="15646" max="15650" width="10.296875" style="318" customWidth="1"/>
    <col min="15651" max="15872" width="9" style="318" customWidth="1"/>
    <col min="15873" max="15873" width="60.296875" style="318" customWidth="1"/>
    <col min="15874" max="15874" width="2.796875" style="318" customWidth="1"/>
    <col min="15875" max="15875" width="14.796875" style="318" customWidth="1"/>
    <col min="15876" max="15876" width="13.796875" style="318" bestFit="1" customWidth="1"/>
    <col min="15877" max="15877" width="15.296875" style="318" customWidth="1"/>
    <col min="15878" max="15878" width="14.19921875" style="318" customWidth="1"/>
    <col min="15879" max="15879" width="15.19921875" style="318" customWidth="1"/>
    <col min="15880" max="15880" width="13.296875" style="318" customWidth="1"/>
    <col min="15881" max="15881" width="17.296875" style="318" customWidth="1"/>
    <col min="15882" max="15882" width="15.19921875" style="318" customWidth="1"/>
    <col min="15883" max="15883" width="19.69921875" style="318" customWidth="1"/>
    <col min="15884" max="15886" width="16" style="318" customWidth="1"/>
    <col min="15887" max="15887" width="14.796875" style="318" customWidth="1"/>
    <col min="15888" max="15888" width="17.296875" style="318" customWidth="1"/>
    <col min="15889" max="15889" width="14.796875" style="318" customWidth="1"/>
    <col min="15890" max="15898" width="9" style="318" customWidth="1"/>
    <col min="15899" max="15899" width="7.19921875" style="318" bestFit="1" customWidth="1"/>
    <col min="15900" max="15901" width="9" style="318" customWidth="1"/>
    <col min="15902" max="15906" width="10.296875" style="318" customWidth="1"/>
    <col min="15907" max="16128" width="9" style="318" customWidth="1"/>
    <col min="16129" max="16129" width="60.296875" style="318" customWidth="1"/>
    <col min="16130" max="16130" width="2.796875" style="318" customWidth="1"/>
    <col min="16131" max="16131" width="14.796875" style="318" customWidth="1"/>
    <col min="16132" max="16132" width="13.796875" style="318" bestFit="1" customWidth="1"/>
    <col min="16133" max="16133" width="15.296875" style="318" customWidth="1"/>
    <col min="16134" max="16134" width="14.19921875" style="318" customWidth="1"/>
    <col min="16135" max="16135" width="15.19921875" style="318" customWidth="1"/>
    <col min="16136" max="16136" width="13.296875" style="318" customWidth="1"/>
    <col min="16137" max="16137" width="17.296875" style="318" customWidth="1"/>
    <col min="16138" max="16138" width="15.19921875" style="318" customWidth="1"/>
    <col min="16139" max="16139" width="19.69921875" style="318" customWidth="1"/>
    <col min="16140" max="16142" width="16" style="318" customWidth="1"/>
    <col min="16143" max="16143" width="14.796875" style="318" customWidth="1"/>
    <col min="16144" max="16144" width="17.296875" style="318" customWidth="1"/>
    <col min="16145" max="16145" width="14.796875" style="318" customWidth="1"/>
    <col min="16146" max="16154" width="9" style="318" customWidth="1"/>
    <col min="16155" max="16155" width="7.19921875" style="318" bestFit="1" customWidth="1"/>
    <col min="16156" max="16157" width="9" style="318" customWidth="1"/>
    <col min="16158" max="16162" width="10.296875" style="318" customWidth="1"/>
    <col min="16163" max="16384" width="9" style="318" customWidth="1"/>
  </cols>
  <sheetData>
    <row r="1" spans="1:27" x14ac:dyDescent="0.3">
      <c r="A1" s="317" t="s">
        <v>0</v>
      </c>
      <c r="B1" s="940" t="str">
        <f>'Cover Page'!D1</f>
        <v>Mexicayotl Academy, Inc</v>
      </c>
      <c r="C1" s="940"/>
      <c r="D1" s="940"/>
      <c r="E1" s="940"/>
      <c r="G1" s="317" t="s">
        <v>1</v>
      </c>
      <c r="H1" s="940" t="str">
        <f>'Cover Page'!M1</f>
        <v>Santa Cruz</v>
      </c>
      <c r="I1" s="940"/>
      <c r="K1" s="317" t="s">
        <v>2</v>
      </c>
      <c r="L1" s="320" t="str">
        <f>'Cover Page'!R1</f>
        <v>128703000</v>
      </c>
      <c r="M1" s="321"/>
      <c r="N1" s="321"/>
      <c r="O1" s="322"/>
      <c r="P1" s="323"/>
    </row>
    <row r="2" spans="1:27" x14ac:dyDescent="0.3">
      <c r="A2" s="317"/>
      <c r="B2" s="317"/>
      <c r="C2" s="327"/>
      <c r="D2" s="321"/>
      <c r="E2" s="328"/>
      <c r="F2" s="328"/>
      <c r="G2" s="328"/>
      <c r="H2" s="317"/>
      <c r="I2" s="321"/>
      <c r="J2" s="321"/>
      <c r="K2" s="321"/>
      <c r="L2" s="328"/>
      <c r="M2" s="321"/>
      <c r="N2" s="321"/>
      <c r="O2" s="322"/>
      <c r="P2" s="322"/>
      <c r="Q2" s="329"/>
    </row>
    <row r="3" spans="1:27" x14ac:dyDescent="0.3">
      <c r="A3" s="656" t="s">
        <v>726</v>
      </c>
      <c r="B3"/>
      <c r="C3" t="s">
        <v>416</v>
      </c>
      <c r="D3" s="556"/>
      <c r="E3" s="556"/>
      <c r="F3" s="556"/>
      <c r="G3" s="556"/>
      <c r="H3" s="556"/>
      <c r="I3" s="556"/>
      <c r="J3" s="556"/>
      <c r="K3" s="556"/>
      <c r="L3" s="556"/>
      <c r="M3" s="556"/>
      <c r="N3" s="322"/>
    </row>
    <row r="4" spans="1:27" ht="24" customHeight="1" x14ac:dyDescent="0.3">
      <c r="L4" s="322"/>
      <c r="M4" s="556"/>
      <c r="N4" s="556"/>
    </row>
    <row r="5" spans="1:27" x14ac:dyDescent="0.3">
      <c r="A5" s="927"/>
      <c r="B5" s="29"/>
      <c r="C5" s="330"/>
      <c r="D5" s="929" t="s">
        <v>351</v>
      </c>
      <c r="E5" s="930"/>
      <c r="F5" s="930"/>
      <c r="G5" s="930"/>
      <c r="H5" s="930"/>
      <c r="I5" s="930"/>
      <c r="J5" s="930"/>
      <c r="K5" s="930"/>
      <c r="L5" s="931"/>
      <c r="M5" s="331" t="s">
        <v>417</v>
      </c>
      <c r="N5" s="932" t="s">
        <v>283</v>
      </c>
    </row>
    <row r="6" spans="1:27" x14ac:dyDescent="0.3">
      <c r="A6" s="928"/>
      <c r="D6" s="332"/>
      <c r="E6" s="333"/>
      <c r="F6" s="333" t="s">
        <v>150</v>
      </c>
      <c r="G6" s="333"/>
      <c r="H6" s="333"/>
      <c r="I6" s="333"/>
      <c r="J6" s="333"/>
      <c r="K6" s="333" t="s">
        <v>94</v>
      </c>
      <c r="L6" s="334"/>
      <c r="N6" s="933"/>
    </row>
    <row r="7" spans="1:27" x14ac:dyDescent="0.3">
      <c r="D7" s="335"/>
      <c r="E7" s="336" t="s">
        <v>85</v>
      </c>
      <c r="F7" s="336" t="s">
        <v>92</v>
      </c>
      <c r="G7" s="336"/>
      <c r="H7" s="336" t="s">
        <v>352</v>
      </c>
      <c r="I7" s="336" t="s">
        <v>418</v>
      </c>
      <c r="J7" s="336"/>
      <c r="K7" s="337" t="s">
        <v>353</v>
      </c>
      <c r="L7" s="338"/>
      <c r="M7" s="339" t="s">
        <v>419</v>
      </c>
      <c r="N7" s="933"/>
    </row>
    <row r="8" spans="1:27" ht="12" customHeight="1" x14ac:dyDescent="0.3">
      <c r="A8" s="935" t="s">
        <v>420</v>
      </c>
      <c r="B8" s="935"/>
      <c r="C8" s="936"/>
      <c r="D8" s="336" t="s">
        <v>90</v>
      </c>
      <c r="E8" s="340" t="s">
        <v>91</v>
      </c>
      <c r="F8" s="340" t="s">
        <v>354</v>
      </c>
      <c r="G8" s="340" t="s">
        <v>93</v>
      </c>
      <c r="H8" s="340" t="s">
        <v>355</v>
      </c>
      <c r="I8" s="340" t="s">
        <v>421</v>
      </c>
      <c r="J8" s="340" t="s">
        <v>356</v>
      </c>
      <c r="K8" s="337" t="s">
        <v>422</v>
      </c>
      <c r="L8" s="341" t="s">
        <v>358</v>
      </c>
      <c r="M8" s="339" t="s">
        <v>423</v>
      </c>
      <c r="N8" s="933"/>
    </row>
    <row r="9" spans="1:27" x14ac:dyDescent="0.3">
      <c r="A9" s="937"/>
      <c r="B9" s="937"/>
      <c r="C9" s="938"/>
      <c r="D9" s="342">
        <v>6100</v>
      </c>
      <c r="E9" s="342">
        <v>6200</v>
      </c>
      <c r="F9" s="342">
        <v>6500</v>
      </c>
      <c r="G9" s="342">
        <v>6600</v>
      </c>
      <c r="H9" s="342">
        <v>6810</v>
      </c>
      <c r="I9" s="342">
        <v>6820</v>
      </c>
      <c r="J9" s="342">
        <v>6890</v>
      </c>
      <c r="K9" s="342" t="s">
        <v>424</v>
      </c>
      <c r="L9" s="341" t="s">
        <v>361</v>
      </c>
      <c r="M9" s="343" t="s">
        <v>425</v>
      </c>
      <c r="N9" s="934"/>
    </row>
    <row r="10" spans="1:27" ht="12.75" customHeight="1" x14ac:dyDescent="0.3">
      <c r="A10" s="344" t="s">
        <v>197</v>
      </c>
      <c r="B10" s="345"/>
      <c r="C10" s="346" t="s">
        <v>24</v>
      </c>
      <c r="D10" s="347">
        <f t="array" ref="D10">SUM(SUMIFS('Accounting data'!G2:G65538,'Accounting data'!H2:H65538,"1310-1399-C*",'Accounting data'!I2:I65538,{"1*","2*","3*","4*","5*","6*"},'Accounting data'!J2:J65538,"1*",'Accounting data'!K2:K65538,"61*"))+SUM(SUMIFS('Accounting data'!G2:G65538,'Accounting data'!H2:H65538,"1227*",'Accounting data'!I2:I65538,{"1*","2*","3*","4*","5*","6*"},'Accounting data'!J2:J65538,"1*",'Accounting data'!K2:K65538,"61*"))+SUM(SUMIFS('Accounting data'!G2:G65538,'Accounting data'!H2:H65538,"1228*",'Accounting data'!I2:I65538,{"1*","2*","3*","4*","5*","6*"},'Accounting data'!J2:J65538,"1*",'Accounting data'!K2:K65538,"61*"))</f>
        <v>0</v>
      </c>
      <c r="E10" s="347">
        <f t="array" ref="E10">SUM(SUMIFS('Accounting data'!G2:G65538,'Accounting data'!H2:H65538,"1310-1399-C*",'Accounting data'!I2:I65538,{"1*","2*","3*","4*","5*","6*"},'Accounting data'!J2:J65538,"1*",'Accounting data'!K2:K65538,"62*"))+SUM(SUMIFS('Accounting data'!G2:G65538,'Accounting data'!H2:H65538,"1227*",'Accounting data'!I2:I65538,{"1*","2*","3*","4*","5*","6*"},'Accounting data'!J2:J65538,"1*",'Accounting data'!K2:K65538,"62*"))+SUM(SUMIFS('Accounting data'!G2:G65538,'Accounting data'!H2:H65538,"1228*",'Accounting data'!I2:I65538,{"1*","2*","3*","4*","5*","6*"},'Accounting data'!J2:J65538,"1*",'Accounting data'!K2:K65538,"62*"))</f>
        <v>0</v>
      </c>
      <c r="F10" s="347">
        <f t="array" ref="F10">SUM(SUMIFS('Accounting data'!G2:G65538,'Accounting data'!H2:H65538,"1310-1399-C*",'Accounting data'!I2:I65538,{"1*","2*","3*","4*","5*","6*"},'Accounting data'!J2:J65538,"1*",'Accounting data'!K2:K65538,"63*"))+SUM(SUMIFS('Accounting data'!G2:G65538,'Accounting data'!H2:H65538,"1227*",'Accounting data'!I2:I65538,{"1*","2*","3*","4*","5*","6*"},'Accounting data'!J2:J65538,"1*",'Accounting data'!K2:K65538,"63*"))+SUM(SUMIFS('Accounting data'!G2:G65538,'Accounting data'!H2:H65538,"1228*",'Accounting data'!I2:I65538,{"1*","2*","3*","4*","5*","6*"},'Accounting data'!J2:J65538,"1*",'Accounting data'!K2:K65538,"63*"))</f>
        <v>0</v>
      </c>
      <c r="G10" s="347">
        <f t="array" ref="G10">SUM(SUMIFS('Accounting data'!G2:G65538,'Accounting data'!H2:H65538,"1310-1399-C*",'Accounting data'!I2:I65538,{"1*","2*","3*","4*","5*","6*"},'Accounting data'!J2:J65538,"1*",'Accounting data'!K2:K65538,"66*"))+SUM(SUMIFS('Accounting data'!G2:G65538,'Accounting data'!H2:H65538,"1227*",'Accounting data'!I2:I65538,{"1*","2*","3*","4*","5*","6*"},'Accounting data'!J2:J65538,"1*",'Accounting data'!K2:K65538,"66*"))+SUM(SUMIFS('Accounting data'!G2:G65538,'Accounting data'!H2:H65538,"1228*",'Accounting data'!I2:I65538,{"1*","2*","3*","4*","5*","6*"},'Accounting data'!J2:J65538,"1*",'Accounting data'!K2:K65538,"66*"))</f>
        <v>0</v>
      </c>
      <c r="H10" s="347">
        <f t="array" ref="H10">SUM(SUMIFS('Accounting data'!G2:G65538,'Accounting data'!H2:H65538,"1310-1399-C*",'Accounting data'!I2:I65538,{"1*","2*","3*","4*","5*","6*"},'Accounting data'!J2:J65538,"1*",'Accounting data'!K2:K65538,"681*"))+SUM(SUMIFS('Accounting data'!G2:G65538,'Accounting data'!H2:H65538,"1227*",'Accounting data'!I2:I65538,{"1*","2*","3*","4*","5*","6*"},'Accounting data'!J2:J65538,"1*",'Accounting data'!K2:K65538,"681*"))+SUM(SUMIFS('Accounting data'!G2:G65538,'Accounting data'!H2:H65538,"1228*",'Accounting data'!I2:I65538,{"1*","2*","3*","4*","5*","6*"},'Accounting data'!J2:J65538,"1*",'Accounting data'!K2:K65538,"681*"))</f>
        <v>0</v>
      </c>
      <c r="I10" s="348"/>
      <c r="J10" s="347">
        <f t="array" ref="J10">SUM(SUMIFS('Accounting data'!G2:G65538,'Accounting data'!H2:H65538,"1310-1399-C*",'Accounting data'!I2:I65538,{"1*","2*","3*","4*","5*","6*"},'Accounting data'!J2:J65538,"1*",'Accounting data'!K2:K65538,"689*"))+SUM(SUMIFS('Accounting data'!G2:G65538,'Accounting data'!H2:H65538,"1227*",'Accounting data'!I2:I65538,{"1*","2*","3*","4*","5*","6*"},'Accounting data'!J2:J65538,"1*",'Accounting data'!K2:K65538,"689*"))+SUM(SUMIFS('Accounting data'!G2:G65538,'Accounting data'!H2:H65538,"1228*",'Accounting data'!I2:I65538,{"1*","2*","3*","4*","5*","6*"},'Accounting data'!J2:J65538,"1*",'Accounting data'!K2:K65538,"689*"))</f>
        <v>0</v>
      </c>
      <c r="K10" s="347">
        <f t="array" ref="K10">SUM(SUMIFS('Accounting data'!G2:G65538,'Accounting data'!H2:H65538,"1310-1399-C*",'Accounting data'!I2:I65538,{"1*","2*","3*","4*","5*","6*"},'Accounting data'!J2:J65538,"1*",'Accounting data'!K2:K65538,"683*"))+SUM(SUMIFS('Accounting data'!G2:G65538,'Accounting data'!H2:H65538,"1227*",'Accounting data'!I2:I65538,{"1*","2*","3*","4*","5*","6*"},'Accounting data'!J2:J65538,"1*",'Accounting data'!K2:K65538,"683*"))+SUM(SUMIFS('Accounting data'!G2:G65538,'Accounting data'!H2:H65538,"1228*",'Accounting data'!I2:I65538,{"1*","2*","3*","4*","5*","6*"},'Accounting data'!J2:J65538,"1*",'Accounting data'!K2:K65538,"683*"))</f>
        <v>0</v>
      </c>
      <c r="L10" s="30">
        <v>0</v>
      </c>
      <c r="M10" s="347">
        <f t="array" ref="M10">SUM(SUMIFS('Accounting data'!G2:G65538,'Accounting data'!H2:H65538,"1310-1399-C*",'Accounting data'!I2:I65538,{"7*","8*","9*"},'Accounting data'!J2:J65538,"1*",'Accounting data'!K2:K65538,"6*"))-SUM(SUMIFS('Accounting data'!G2:G65538,'Accounting data'!H2:H65538,"1310-1399-C*",'Accounting data'!I2:I65538,{"7*","8*","9*"},'Accounting data'!J2:J65538,"1*",'Accounting data'!K2:K65538,"69*"))+SUM(SUMIFS('Accounting data'!G2:G65538,'Accounting data'!H2:H65538,"1227*",'Accounting data'!I2:I65538,{"7*","8*","9*"},'Accounting data'!J2:J65538,"1*",'Accounting data'!K2:K65538,"6*"))-SUM(SUMIFS('Accounting data'!G2:G65538,'Accounting data'!H2:H65538,"1227*",'Accounting data'!I2:I65538,{"7*","8*","9*"},'Accounting data'!J2:J65538,"1*",'Accounting data'!K2:K65538,"69*"))+SUM(SUMIFS('Accounting data'!G2:G65538,'Accounting data'!H2:H65538,"1228*",'Accounting data'!I2:I65538,{"7*","8*","9*"},'Accounting data'!J2:J65538,"1*",'Accounting data'!K2:K65538,"6*"))-SUM(SUMIFS('Accounting data'!G2:G65538,'Accounting data'!H2:H65538,"1228*",'Accounting data'!I2:I65538,{"7*","8*","9*"},'Accounting data'!J2:J65538,"1*",'Accounting data'!K2:K65538,"69*"))</f>
        <v>0</v>
      </c>
      <c r="N10" s="349">
        <f t="shared" ref="N10:N19" si="0">ROUND(SUM(D10:M10),0)</f>
        <v>0</v>
      </c>
      <c r="O10" s="350"/>
    </row>
    <row r="11" spans="1:27" x14ac:dyDescent="0.3">
      <c r="A11" s="351" t="s">
        <v>426</v>
      </c>
      <c r="B11" s="579"/>
      <c r="C11" s="352" t="s">
        <v>26</v>
      </c>
      <c r="D11" s="347">
        <f t="array" ref="D11">SUM(SUMIFS('Accounting data'!G2:G65538,'Accounting data'!H2:H65538,"1310-1399-C*",'Accounting data'!I2:I65538,{"1*","2*","3*","4*","5*","6*"},'Accounting data'!J2:J65538,"21*",'Accounting data'!K2:K65538,"61*"))+SUM(SUMIFS('Accounting data'!G2:G65538,'Accounting data'!H2:H65538,"1310-1399-C*",'Accounting data'!I2:I65538,{"1*","2*","3*","4*","5*","6*"},'Accounting data'!J2:J65538,"22*",'Accounting data'!K2:K65538,"61*"))+SUM(SUMIFS('Accounting data'!G2:G65538,'Accounting data'!H2:H65538,"1227*",'Accounting data'!I2:I65538,{"1*","2*","3*","4*","5*","6*"},'Accounting data'!J2:J65538,"21*",'Accounting data'!K2:K65538,"61*"))+SUM(SUMIFS('Accounting data'!G2:G65538,'Accounting data'!H2:H65538,"1227*",'Accounting data'!I2:I65538,{"1*","2*","3*","4*","5*","6*"},'Accounting data'!J2:J65538,"22*",'Accounting data'!K2:K65538,"61*"))+SUM(SUMIFS('Accounting data'!G2:G65538,'Accounting data'!H2:H65538,"1228*",'Accounting data'!I2:I65538,{"1*","2*","3*","4*","5*","6*"},'Accounting data'!J2:J65538,"21*",'Accounting data'!K2:K65538,"61*"))+SUM(SUMIFS('Accounting data'!G2:G65538,'Accounting data'!H2:H65538,"1228*",'Accounting data'!I2:I65538,{"1*","2*","3*","4*","5*","6*"},'Accounting data'!J2:J65538,"22*",'Accounting data'!K2:K65538,"61*"))</f>
        <v>0</v>
      </c>
      <c r="E11" s="347">
        <f t="array" ref="E11">SUM(SUMIFS('Accounting data'!G2:G65538,'Accounting data'!H2:H65538,"1310-1399-C*",'Accounting data'!I2:I65538,{"1*","2*","3*","4*","5*","6*"},'Accounting data'!J2:J65538,"21*",'Accounting data'!K2:K65538,"62*"))+SUM(SUMIFS('Accounting data'!G2:G65538,'Accounting data'!H2:H65538,"1310-1399-C*",'Accounting data'!I2:I65538,{"1*","2*","3*","4*","5*","6*"},'Accounting data'!J2:J65538,"22*",'Accounting data'!K2:K65538,"62*"))+SUM(SUMIFS('Accounting data'!G2:G65538,'Accounting data'!H2:H65538,"1227*",'Accounting data'!I2:I65538,{"1*","2*","3*","4*","5*","6*"},'Accounting data'!J2:J65538,"21*",'Accounting data'!K2:K65538,"62*"))+SUM(SUMIFS('Accounting data'!G2:G65538,'Accounting data'!H2:H65538,"1227*",'Accounting data'!I2:I65538,{"1*","2*","3*","4*","5*","6*"},'Accounting data'!J2:J65538,"22*",'Accounting data'!K2:K65538,"62*"))+SUM(SUMIFS('Accounting data'!G2:G65538,'Accounting data'!H2:H65538,"1228*",'Accounting data'!I2:I65538,{"1*","2*","3*","4*","5*","6*"},'Accounting data'!J2:J65538,"21*",'Accounting data'!K2:K65538,"62*"))+SUM(SUMIFS('Accounting data'!G2:G65538,'Accounting data'!H2:H65538,"1228*",'Accounting data'!I2:I65538,{"1*","2*","3*","4*","5*","6*"},'Accounting data'!J2:J65538,"22*",'Accounting data'!K2:K65538,"62*"))</f>
        <v>0</v>
      </c>
      <c r="F11" s="347">
        <f t="array" ref="F11">SUM(SUMIFS('Accounting data'!G2:G65538,'Accounting data'!H2:H65538,"1310-1399-C*",'Accounting data'!I2:I65538,{"1*","2*","3*","4*","5*","6*"},'Accounting data'!J2:J65538,"21*",'Accounting data'!K2:K65538,"63*"))+SUM(SUMIFS('Accounting data'!G2:G65538,'Accounting data'!H2:H65538,"1310-1399-C*",'Accounting data'!I2:I65538,{"1*","2*","3*","4*","5*","6*"},'Accounting data'!J2:J65538,"22*",'Accounting data'!K2:K65538,"63*"))+SUM(SUMIFS('Accounting data'!G2:G65538,'Accounting data'!H2:H65538,"1227*",'Accounting data'!I2:I65538,{"1*","2*","3*","4*","5*","6*"},'Accounting data'!J2:J65538,"21*",'Accounting data'!K2:K65538,"63*"))+SUM(SUMIFS('Accounting data'!G2:G65538,'Accounting data'!H2:H65538,"1227*",'Accounting data'!I2:I65538,{"1*","2*","3*","4*","5*","6*"},'Accounting data'!J2:J65538,"22*",'Accounting data'!K2:K65538,"63*"))+SUM(SUMIFS('Accounting data'!G2:G65538,'Accounting data'!H2:H65538,"1228*",'Accounting data'!I2:I65538,{"1*","2*","3*","4*","5*","6*"},'Accounting data'!J2:J65538,"21*",'Accounting data'!K2:K65538,"63*"))+SUM(SUMIFS('Accounting data'!G2:G65538,'Accounting data'!H2:H65538,"1228*",'Accounting data'!I2:I65538,{"1*","2*","3*","4*","5*","6*"},'Accounting data'!J2:J65538,"22*",'Accounting data'!K2:K65538,"63*"))</f>
        <v>0</v>
      </c>
      <c r="G11" s="347">
        <f t="array" ref="G11">SUM(SUMIFS('Accounting data'!G2:G65538,'Accounting data'!H2:H65538,"1310-1399-C*",'Accounting data'!I2:I65538,{"1*","2*","3*","4*","5*","6*"},'Accounting data'!J2:J65538,"21*",'Accounting data'!K2:K65538,"66*"))+SUM(SUMIFS('Accounting data'!G2:G65538,'Accounting data'!H2:H65538,"1310-1399-C*",'Accounting data'!I2:I65538,{"1*","2*","3*","4*","5*","6*"},'Accounting data'!J2:J65538,"22*",'Accounting data'!K2:K65538,"66*"))+SUM(SUMIFS('Accounting data'!G2:G65538,'Accounting data'!H2:H65538,"1227*",'Accounting data'!I2:I65538,{"1*","2*","3*","4*","5*","6*"},'Accounting data'!J2:J65538,"21*",'Accounting data'!K2:K65538,"66*"))+SUM(SUMIFS('Accounting data'!G2:G65538,'Accounting data'!H2:H65538,"1227*",'Accounting data'!I2:I65538,{"1*","2*","3*","4*","5*","6*"},'Accounting data'!J2:J65538,"22*",'Accounting data'!K2:K65538,"66*"))+SUM(SUMIFS('Accounting data'!G2:G65538,'Accounting data'!H2:H65538,"1228*",'Accounting data'!I2:I65538,{"1*","2*","3*","4*","5*","6*"},'Accounting data'!J2:J65538,"21*",'Accounting data'!K2:K65538,"66*"))+SUM(SUMIFS('Accounting data'!G2:G65538,'Accounting data'!H2:H65538,"1228*",'Accounting data'!I2:I65538,{"1*","2*","3*","4*","5*","6*"},'Accounting data'!J2:J65538,"22*",'Accounting data'!K2:K65538,"66*"))</f>
        <v>0</v>
      </c>
      <c r="H11" s="347">
        <f t="array" ref="H11">SUM(SUMIFS('Accounting data'!G2:G65538,'Accounting data'!H2:H65538,"1310-1399-C*",'Accounting data'!I2:I65538,{"1*","2*","3*","4*","5*","6*"},'Accounting data'!J2:J65538,"21*",'Accounting data'!K2:K65538,"681*"))+SUM(SUMIFS('Accounting data'!G2:G65538,'Accounting data'!H2:H65538,"1310-1399-C*",'Accounting data'!I2:I65538,{"1*","2*","3*","4*","5*","6*"},'Accounting data'!J2:J65538,"22*",'Accounting data'!K2:K65538,"681*"))+SUM(SUMIFS('Accounting data'!G2:G65538,'Accounting data'!H2:H65538,"1227*",'Accounting data'!I2:I65538,{"1*","2*","3*","4*","5*","6*"},'Accounting data'!J2:J65538,"21*",'Accounting data'!K2:K65538,"681*"))+SUM(SUMIFS('Accounting data'!G2:G65538,'Accounting data'!H2:H65538,"1227*",'Accounting data'!I2:I65538,{"1*","2*","3*","4*","5*","6*"},'Accounting data'!J2:J65538,"22*",'Accounting data'!K2:K65538,"681*"))+SUM(SUMIFS('Accounting data'!G2:G65538,'Accounting data'!H2:H65538,"1228*",'Accounting data'!I2:I65538,{"1*","2*","3*","4*","5*","6*"},'Accounting data'!J2:J65538,"21*",'Accounting data'!K2:K65538,"681*"))+SUM(SUMIFS('Accounting data'!G2:G65538,'Accounting data'!H2:H65538,"1228*",'Accounting data'!I2:I65538,{"1*","2*","3*","4*","5*","6*"},'Accounting data'!J2:J65538,"22*",'Accounting data'!K2:K65538,"681*"))</f>
        <v>0</v>
      </c>
      <c r="I11" s="348"/>
      <c r="J11" s="347">
        <f t="array" ref="J11">SUM(SUMIFS('Accounting data'!G2:G65538,'Accounting data'!H2:H65538,"1310-1399-C*",'Accounting data'!I2:I65538,{"1*","2*","3*","4*","5*","6*"},'Accounting data'!J2:J65538,"21*",'Accounting data'!K2:K65538,"689*"))+SUM(SUMIFS('Accounting data'!G2:G65538,'Accounting data'!H2:H65538,"1310-1399-C*",'Accounting data'!I2:I65538,{"1*","2*","3*","4*","5*","6*"},'Accounting data'!J2:J65538,"22*",'Accounting data'!K2:K65538,"689*"))+SUM(SUMIFS('Accounting data'!G2:G65538,'Accounting data'!H2:H65538,"1227*",'Accounting data'!I2:I65538,{"1*","2*","3*","4*","5*","6*"},'Accounting data'!J2:J65538,"21*",'Accounting data'!K2:K65538,"689*"))+SUM(SUMIFS('Accounting data'!G2:G65538,'Accounting data'!H2:H65538,"1227*",'Accounting data'!I2:I65538,{"1*","2*","3*","4*","5*","6*"},'Accounting data'!J2:J65538,"22*",'Accounting data'!K2:K65538,"689*"))+SUM(SUMIFS('Accounting data'!G2:G65538,'Accounting data'!H2:H65538,"1228*",'Accounting data'!I2:I65538,{"1*","2*","3*","4*","5*","6*"},'Accounting data'!J2:J65538,"21*",'Accounting data'!K2:K65538,"689*"))+SUM(SUMIFS('Accounting data'!G2:G65538,'Accounting data'!H2:H65538,"1228*",'Accounting data'!I2:I65538,{"1*","2*","3*","4*","5*","6*"},'Accounting data'!J2:J65538,"22*",'Accounting data'!K2:K65538,"689*"))</f>
        <v>0</v>
      </c>
      <c r="K11" s="347">
        <f t="array" ref="K11">SUM(SUMIFS('Accounting data'!G2:G65538,'Accounting data'!H2:H65538,"1310-1399-C*",'Accounting data'!I2:I65538,{"1*","2*","3*","4*","5*","6*"},'Accounting data'!J2:J65538,"21*",'Accounting data'!K2:K65538,"683*"))+SUM(SUMIFS('Accounting data'!G2:G65538,'Accounting data'!H2:H65538,"1310-1399-C*",'Accounting data'!I2:I65538,{"1*","2*","3*","4*","5*","6*"},'Accounting data'!J2:J65538,"22*",'Accounting data'!K2:K65538,"683*"))+SUM(SUMIFS('Accounting data'!G2:G65538,'Accounting data'!H2:H65538,"1227*",'Accounting data'!I2:I65538,{"1*","2*","3*","4*","5*","6*"},'Accounting data'!J2:J65538,"21*",'Accounting data'!K2:K65538,"683*"))+SUM(SUMIFS('Accounting data'!G2:G65538,'Accounting data'!H2:H65538,"1227*",'Accounting data'!I2:I65538,{"1*","2*","3*","4*","5*","6*"},'Accounting data'!J2:J65538,"22*",'Accounting data'!K2:K65538,"683*"))+SUM(SUMIFS('Accounting data'!G2:G65538,'Accounting data'!H2:H65538,"1228*",'Accounting data'!I2:I65538,{"1*","2*","3*","4*","5*","6*"},'Accounting data'!J2:J65538,"21*",'Accounting data'!K2:K65538,"683*"))+SUM(SUMIFS('Accounting data'!G2:G65538,'Accounting data'!H2:H65538,"1228*",'Accounting data'!I2:I65538,{"1*","2*","3*","4*","5*","6*"},'Accounting data'!J2:J65538,"22*",'Accounting data'!K2:K65538,"683*"))</f>
        <v>0</v>
      </c>
      <c r="L11" s="30">
        <v>0</v>
      </c>
      <c r="M11" s="347">
        <f t="array" ref="M11">(SUM(SUMIFS('Accounting data'!G2:G65538,'Accounting data'!H2:H65538,"1310-1399-C*",'Accounting data'!I2:I65538,{"7*","8*","9*"},'Accounting data'!J2:J65538,"21*",'Accounting data'!K2:K65538,"6*"))+SUM(SUMIFS('Accounting data'!G2:G65538,'Accounting data'!H2:H65538,"1310-1399-C*",'Accounting data'!I2:I65538,{"7*","8*","9*"},'Accounting data'!J2:J65538,"22*",'Accounting data'!K2:K65538,"6*")))-(SUM(SUMIFS('Accounting data'!G2:G65538,'Accounting data'!H2:H65538,"1310-1399-C*",'Accounting data'!I2:I65538,{"7*","8*","9*"},'Accounting data'!J2:J65538,"21*",'Accounting data'!K2:K65538,"69*"))+SUM(SUMIFS('Accounting data'!G2:G65538,'Accounting data'!H2:H65538,"1310-1399-C*",'Accounting data'!I2:I65538,{"7*","8*","9*"},'Accounting data'!J2:J65538,"22*",'Accounting data'!K2:K65538,"69*")))+(SUM(SUMIFS('Accounting data'!G2:G65538,'Accounting data'!H2:H65538,"1227*",'Accounting data'!I2:I65538,{"7*","8*","9*"},'Accounting data'!J2:J65538,"21*",'Accounting data'!K2:K65538,"6*"))+SUM(SUMIFS('Accounting data'!G2:G65538,'Accounting data'!H2:H65538,"1227*",'Accounting data'!I2:I65538,{"7*","8*","9*"},'Accounting data'!J2:J65538,"22*",'Accounting data'!K2:K65538,"6*")))-(SUM(SUMIFS('Accounting data'!G2:G65538,'Accounting data'!H2:H65538,"1227*",'Accounting data'!I2:I65538,{"7*","8*","9*"},'Accounting data'!J2:J65538,"21*",'Accounting data'!K2:K65538,"69*"))+SUM(SUMIFS('Accounting data'!G2:G65538,'Accounting data'!H2:H65538,"1227*",'Accounting data'!I2:I65538,{"7*","8*","9*"},'Accounting data'!J2:J65538,"22*",'Accounting data'!K2:K65538,"69*")))+(SUM(SUMIFS('Accounting data'!G2:G65538,'Accounting data'!H2:H65538,"1228*",'Accounting data'!I2:I65538,{"7*","8*","9*"},'Accounting data'!J2:J65538,"21*",'Accounting data'!K2:K65538,"6*"))+SUM(SUMIFS('Accounting data'!G2:G65538,'Accounting data'!H2:H65538,"1228*",'Accounting data'!I2:I65538,{"7*","8*","9*"},'Accounting data'!J2:J65538,"22*",'Accounting data'!K2:K65538,"6*")))-(SUM(SUMIFS('Accounting data'!G2:G65538,'Accounting data'!H2:H65538,"1228*",'Accounting data'!I2:I65538,{"7*","8*","9*"},'Accounting data'!J2:J65538,"21*",'Accounting data'!K2:K65538,"69*"))+SUM(SUMIFS('Accounting data'!G2:G65538,'Accounting data'!H2:H65538,"1228*",'Accounting data'!I2:I65538,{"7*","8*","9*"},'Accounting data'!J2:J65538,"22*",'Accounting data'!K2:K65538,"69*")))</f>
        <v>0</v>
      </c>
      <c r="N11" s="349">
        <f t="shared" si="0"/>
        <v>0</v>
      </c>
      <c r="O11" s="350"/>
    </row>
    <row r="12" spans="1:27" x14ac:dyDescent="0.3">
      <c r="A12" s="351" t="s">
        <v>427</v>
      </c>
      <c r="B12" s="579"/>
      <c r="C12" s="352" t="s">
        <v>28</v>
      </c>
      <c r="D12" s="347">
        <f t="array" ref="D12">SUM(SUMIFS('Accounting data'!G2:G65538,'Accounting data'!H2:H65538,"1310-1399-C*",'Accounting data'!I2:I65538,{"1*","2*","3*","4*","5*","6*"},'Accounting data'!J2:J65538,"23*",'Accounting data'!K2:K65538,"61*"))+SUM(SUMIFS('Accounting data'!G2:G65538,'Accounting data'!H2:H65538,"1310-1399-C*",'Accounting data'!I2:I65538,{"1*","2*","3*","4*","5*","6*"},'Accounting data'!J2:J65538,"25*",'Accounting data'!K2:K65538,"61*"))+SUM(SUMIFS('Accounting data'!G2:G65538,'Accounting data'!H2:H65538,"1310-1399-C*",'Accounting data'!I2:I65538,{"1*","2*","3*","4*","5*","6*"},'Accounting data'!J2:J65538,"29*",'Accounting data'!K2:K65538,"61*"))+SUM(SUMIFS('Accounting data'!G2:G65538,'Accounting data'!H2:H65538,"1227*",'Accounting data'!I2:I65538,{"1*","2*","3*","4*","5*","6*"},'Accounting data'!J2:J65538,"23*",'Accounting data'!K2:K65538,"61*"))+SUM(SUMIFS('Accounting data'!G2:G65538,'Accounting data'!H2:H65538,"1227*",'Accounting data'!I2:I65538,{"1*","2*","3*","4*","5*","6*"},'Accounting data'!J2:J65538,"25*",'Accounting data'!K2:K65538,"61*"))+SUM(SUMIFS('Accounting data'!G2:G65538,'Accounting data'!H2:H65538,"1227*",'Accounting data'!I2:I65538,{"1*","2*","3*","4*","5*","6*"},'Accounting data'!J2:J65538,"29*",'Accounting data'!K2:K65538,"61*"))+SUM(SUMIFS('Accounting data'!G2:G65538,'Accounting data'!H2:H65538,"1228*",'Accounting data'!I2:I65538,{"1*","2*","3*","4*","5*","6*"},'Accounting data'!J2:J65538,"23*",'Accounting data'!K2:K65538,"61*"))+SUM(SUMIFS('Accounting data'!G2:G65538,'Accounting data'!H2:H65538,"1228*",'Accounting data'!I2:I65538,{"1*","2*","3*","4*","5*","6*"},'Accounting data'!J2:J65538,"25*",'Accounting data'!K2:K65538,"61*"))+SUM(SUMIFS('Accounting data'!G2:G65538,'Accounting data'!H2:H65538,"1228*",'Accounting data'!I2:I65538,{"1*","2*","3*","4*","5*","6*"},'Accounting data'!J2:J65538,"29*",'Accounting data'!K2:K65538,"61*"))</f>
        <v>0</v>
      </c>
      <c r="E12" s="347">
        <f t="array" ref="E12">SUM(SUMIFS('Accounting data'!G2:G65538,'Accounting data'!H2:H65538,"1310-1399-C*",'Accounting data'!I2:I65538,{"1*","2*","3*","4*","5*","6*"},'Accounting data'!J2:J65538,"23*",'Accounting data'!K2:K65538,"62*"))+SUM(SUMIFS('Accounting data'!G2:G65538,'Accounting data'!H2:H65538,"1310-1399-C*",'Accounting data'!I2:I65538,{"1*","2*","3*","4*","5*","6*"},'Accounting data'!J2:J65538,"25*",'Accounting data'!K2:K65538,"62*"))+SUM(SUMIFS('Accounting data'!G2:G65538,'Accounting data'!H2:H65538,"1310-1399-C*",'Accounting data'!I2:I65538,{"1*","2*","3*","4*","5*","6*"},'Accounting data'!J2:J65538,"29*",'Accounting data'!K2:K65538,"62*"))+SUM(SUMIFS('Accounting data'!G2:G65538,'Accounting data'!H2:H65538,"1227*",'Accounting data'!I2:I65538,{"1*","2*","3*","4*","5*","6*"},'Accounting data'!J2:J65538,"23*",'Accounting data'!K2:K65538,"62*"))+SUM(SUMIFS('Accounting data'!G2:G65538,'Accounting data'!H2:H65538,"1227*",'Accounting data'!I2:I65538,{"1*","2*","3*","4*","5*","6*"},'Accounting data'!J2:J65538,"25*",'Accounting data'!K2:K65538,"62*"))+SUM(SUMIFS('Accounting data'!G2:G65538,'Accounting data'!H2:H65538,"1227*",'Accounting data'!I2:I65538,{"1*","2*","3*","4*","5*","6*"},'Accounting data'!J2:J65538,"29*",'Accounting data'!K2:K65538,"62*"))+SUM(SUMIFS('Accounting data'!G2:G65538,'Accounting data'!H2:H65538,"1228*",'Accounting data'!I2:I65538,{"1*","2*","3*","4*","5*","6*"},'Accounting data'!J2:J65538,"23*",'Accounting data'!K2:K65538,"62*"))+SUM(SUMIFS('Accounting data'!G2:G65538,'Accounting data'!H2:H65538,"1228*",'Accounting data'!I2:I65538,{"1*","2*","3*","4*","5*","6*"},'Accounting data'!J2:J65538,"25*",'Accounting data'!K2:K65538,"62*"))+SUM(SUMIFS('Accounting data'!G2:G65538,'Accounting data'!H2:H65538,"1228*",'Accounting data'!I2:I65538,{"1*","2*","3*","4*","5*","6*"},'Accounting data'!J2:J65538,"29*",'Accounting data'!K2:K65538,"62*"))</f>
        <v>0</v>
      </c>
      <c r="F12" s="347">
        <f t="array" ref="F12">SUM(SUMIFS('Accounting data'!G2:G65538,'Accounting data'!H2:H65538,"1310-1399-C*",'Accounting data'!I2:I65538,{"1*","2*","3*","4*","5*","6*"},'Accounting data'!J2:J65538,"23*",'Accounting data'!K2:K65538,"63*"))+SUM(SUMIFS('Accounting data'!G2:G65538,'Accounting data'!H2:H65538,"1310-1399-C*",'Accounting data'!I2:I65538,{"1*","2*","3*","4*","5*","6*"},'Accounting data'!J2:J65538,"25*",'Accounting data'!K2:K65538,"63*"))+SUM(SUMIFS('Accounting data'!G2:G65538,'Accounting data'!H2:H65538,"1310-1399-C*",'Accounting data'!I2:I65538,{"1*","2*","3*","4*","5*","6*"},'Accounting data'!J2:J65538,"29*",'Accounting data'!K2:K65538,"63*"))+SUM(SUMIFS('Accounting data'!G2:G65538,'Accounting data'!H2:H65538,"1227*",'Accounting data'!I2:I65538,{"1*","2*","3*","4*","5*","6*"},'Accounting data'!J2:J65538,"23*",'Accounting data'!K2:K65538,"63*"))+SUM(SUMIFS('Accounting data'!G2:G65538,'Accounting data'!H2:H65538,"1227*",'Accounting data'!I2:I65538,{"1*","2*","3*","4*","5*","6*"},'Accounting data'!J2:J65538,"25*",'Accounting data'!K2:K65538,"63*"))+SUM(SUMIFS('Accounting data'!G2:G65538,'Accounting data'!H2:H65538,"1227*",'Accounting data'!I2:I65538,{"1*","2*","3*","4*","5*","6*"},'Accounting data'!J2:J65538,"29*",'Accounting data'!K2:K65538,"63*"))+SUM(SUMIFS('Accounting data'!G2:G65538,'Accounting data'!H2:H65538,"1228*",'Accounting data'!I2:I65538,{"1*","2*","3*","4*","5*","6*"},'Accounting data'!J2:J65538,"23*",'Accounting data'!K2:K65538,"63*"))+SUM(SUMIFS('Accounting data'!G2:G65538,'Accounting data'!H2:H65538,"1228*",'Accounting data'!I2:I65538,{"1*","2*","3*","4*","5*","6*"},'Accounting data'!J2:J65538,"25*",'Accounting data'!K2:K65538,"63*"))+SUM(SUMIFS('Accounting data'!G2:G65538,'Accounting data'!H2:H65538,"1228*",'Accounting data'!I2:I65538,{"1*","2*","3*","4*","5*","6*"},'Accounting data'!J2:J65538,"29*",'Accounting data'!K2:K65538,"63*"))</f>
        <v>0</v>
      </c>
      <c r="G12" s="347">
        <f t="array" ref="G12">SUM(SUMIFS('Accounting data'!G2:G65538,'Accounting data'!H2:H65538,"1310-1399-C*",'Accounting data'!I2:I65538,{"1*","2*","3*","4*","5*","6*"},'Accounting data'!J2:J65538,"23*",'Accounting data'!K2:K65538,"66*"))+SUM(SUMIFS('Accounting data'!G2:G65538,'Accounting data'!H2:H65538,"1310-1399-C*",'Accounting data'!I2:I65538,{"1*","2*","3*","4*","5*","6*"},'Accounting data'!J2:J65538,"25*",'Accounting data'!K2:K65538,"66*"))+SUM(SUMIFS('Accounting data'!G2:G65538,'Accounting data'!H2:H65538,"1310-1399-C*",'Accounting data'!I2:I65538,{"1*","2*","3*","4*","5*","6*"},'Accounting data'!J2:J65538,"29*",'Accounting data'!K2:K65538,"66*"))+SUM(SUMIFS('Accounting data'!G2:G65538,'Accounting data'!H2:H65538,"1227*",'Accounting data'!I2:I65538,{"1*","2*","3*","4*","5*","6*"},'Accounting data'!J2:J65538,"23*",'Accounting data'!K2:K65538,"66*"))+SUM(SUMIFS('Accounting data'!G2:G65538,'Accounting data'!H2:H65538,"1227*",'Accounting data'!I2:I65538,{"1*","2*","3*","4*","5*","6*"},'Accounting data'!J2:J65538,"25*",'Accounting data'!K2:K65538,"66*"))+SUM(SUMIFS('Accounting data'!G2:G65538,'Accounting data'!H2:H65538,"1227*",'Accounting data'!I2:I65538,{"1*","2*","3*","4*","5*","6*"},'Accounting data'!J2:J65538,"29*",'Accounting data'!K2:K65538,"66*"))+SUM(SUMIFS('Accounting data'!G2:G65538,'Accounting data'!H2:H65538,"1228*",'Accounting data'!I2:I65538,{"1*","2*","3*","4*","5*","6*"},'Accounting data'!J2:J65538,"23*",'Accounting data'!K2:K65538,"66*"))+SUM(SUMIFS('Accounting data'!G2:G65538,'Accounting data'!H2:H65538,"1228*",'Accounting data'!I2:I65538,{"1*","2*","3*","4*","5*","6*"},'Accounting data'!J2:J65538,"25*",'Accounting data'!K2:K65538,"66*"))+SUM(SUMIFS('Accounting data'!G2:G65538,'Accounting data'!H2:H65538,"1228*",'Accounting data'!I2:I65538,{"1*","2*","3*","4*","5*","6*"},'Accounting data'!J2:J65538,"29*",'Accounting data'!K2:K65538,"66*"))</f>
        <v>0</v>
      </c>
      <c r="H12" s="347">
        <f t="array" ref="H12">SUM(SUMIFS('Accounting data'!G2:G65538,'Accounting data'!H2:H65538,"1310-1399-C*",'Accounting data'!I2:I65538,{"1*","2*","3*","4*","5*","6*"},'Accounting data'!J2:J65538,"23*",'Accounting data'!K2:K65538,"681*"))+SUM(SUMIFS('Accounting data'!G2:G65538,'Accounting data'!H2:H65538,"1310-1399-C*",'Accounting data'!I2:I65538,{"1*","2*","3*","4*","5*","6*"},'Accounting data'!J2:J65538,"25*",'Accounting data'!K2:K65538,"681*"))+SUM(SUMIFS('Accounting data'!G2:G65538,'Accounting data'!H2:H65538,"1310-1399-C*",'Accounting data'!I2:I65538,{"1*","2*","3*","4*","5*","6*"},'Accounting data'!J2:J65538,"29*",'Accounting data'!K2:K65538,"681*"))+SUM(SUMIFS('Accounting data'!G2:G65538,'Accounting data'!H2:H65538,"1227*",'Accounting data'!I2:I65538,{"1*","2*","3*","4*","5*","6*"},'Accounting data'!J2:J65538,"23*",'Accounting data'!K2:K65538,"681*"))+SUM(SUMIFS('Accounting data'!G2:G65538,'Accounting data'!H2:H65538,"1227*",'Accounting data'!I2:I65538,{"1*","2*","3*","4*","5*","6*"},'Accounting data'!J2:J65538,"25*",'Accounting data'!K2:K65538,"681*"))+SUM(SUMIFS('Accounting data'!G2:G65538,'Accounting data'!H2:H65538,"1227*",'Accounting data'!I2:I65538,{"1*","2*","3*","4*","5*","6*"},'Accounting data'!J2:J65538,"29*",'Accounting data'!K2:K65538,"681*"))+SUM(SUMIFS('Accounting data'!G2:G65538,'Accounting data'!H2:H65538,"1228*",'Accounting data'!I2:I65538,{"1*","2*","3*","4*","5*","6*"},'Accounting data'!J2:J65538,"23*",'Accounting data'!K2:K65538,"681*"))+SUM(SUMIFS('Accounting data'!G2:G65538,'Accounting data'!H2:H65538,"1228*",'Accounting data'!I2:I65538,{"1*","2*","3*","4*","5*","6*"},'Accounting data'!J2:J65538,"25*",'Accounting data'!K2:K65538,"681*"))+SUM(SUMIFS('Accounting data'!G2:G65538,'Accounting data'!H2:H65538,"1228*",'Accounting data'!I2:I65538,{"1*","2*","3*","4*","5*","6*"},'Accounting data'!J2:J65538,"29*",'Accounting data'!K2:K65538,"681*"))</f>
        <v>0</v>
      </c>
      <c r="I12" s="347">
        <f t="array" ref="I12">SUM(SUMIFS('Accounting data'!G2:G65538,'Accounting data'!H2:H65538,"1310-1399-C*",'Accounting data'!I2:I65538,{"1*","2*","3*","4*","5*","6*"},'Accounting data'!J2:J65538,"23*",'Accounting data'!K2:K65538,"682*"))+SUM(SUMIFS('Accounting data'!G2:G65538,'Accounting data'!H2:H65538,"1310-1399-C*",'Accounting data'!I2:I65538,{"1*","2*","3*","4*","5*","6*"},'Accounting data'!J2:J65538,"25*",'Accounting data'!K2:K65538,"682*"))+SUM(SUMIFS('Accounting data'!G2:G65538,'Accounting data'!H2:H65538,"1310-1399-C*",'Accounting data'!I2:I65538,{"1*","2*","3*","4*","5*","6*"},'Accounting data'!J2:J65538,"29*",'Accounting data'!K2:K65538,"682*"))+SUM(SUMIFS('Accounting data'!G2:G65538,'Accounting data'!H2:H65538,"1227*",'Accounting data'!I2:I65538,{"1*","2*","3*","4*","5*","6*"},'Accounting data'!J2:J65538,"23*",'Accounting data'!K2:K65538,"682*"))+SUM(SUMIFS('Accounting data'!G2:G65538,'Accounting data'!H2:H65538,"1227*",'Accounting data'!I2:I65538,{"1*","2*","3*","4*","5*","6*"},'Accounting data'!J2:J65538,"25*",'Accounting data'!K2:K65538,"682*"))+SUM(SUMIFS('Accounting data'!G2:G65538,'Accounting data'!H2:H65538,"1227*",'Accounting data'!I2:I65538,{"1*","2*","3*","4*","5*","6*"},'Accounting data'!J2:J65538,"29*",'Accounting data'!K2:K65538,"682*"))+SUM(SUMIFS('Accounting data'!G2:G65538,'Accounting data'!H2:H65538,"1228*",'Accounting data'!I2:I65538,{"1*","2*","3*","4*","5*","6*"},'Accounting data'!J2:J65538,"23*",'Accounting data'!K2:K65538,"682*"))+SUM(SUMIFS('Accounting data'!G2:G65538,'Accounting data'!H2:H65538,"1228*",'Accounting data'!I2:I65538,{"1*","2*","3*","4*","5*","6*"},'Accounting data'!J2:J65538,"25*",'Accounting data'!K2:K65538,"682*"))+SUM(SUMIFS('Accounting data'!G2:G65538,'Accounting data'!H2:H65538,"1228*",'Accounting data'!I2:I65538,{"1*","2*","3*","4*","5*","6*"},'Accounting data'!J2:J65538,"29*",'Accounting data'!K2:K65538,"682*"))</f>
        <v>0</v>
      </c>
      <c r="J12" s="347">
        <f t="array" ref="J12">SUM(SUMIFS('Accounting data'!G2:G65538,'Accounting data'!H2:H65538,"1310-1399-C*",'Accounting data'!I2:I65538,{"1*","2*","3*","4*","5*","6*"},'Accounting data'!J2:J65538,"23*",'Accounting data'!K2:K65538,"689*"))+SUM(SUMIFS('Accounting data'!G2:G65538,'Accounting data'!H2:H65538,"1310-1399-C*",'Accounting data'!I2:I65538,{"1*","2*","3*","4*","5*","6*"},'Accounting data'!J2:J65538,"25*",'Accounting data'!K2:K65538,"689*"))+SUM(SUMIFS('Accounting data'!G2:G65538,'Accounting data'!H2:H65538,"1310-1399-C*",'Accounting data'!I2:I65538,{"1*","2*","3*","4*","5*","6*"},'Accounting data'!J2:J65538,"29*",'Accounting data'!K2:K65538,"689*"))+SUM(SUMIFS('Accounting data'!G2:G65538,'Accounting data'!H2:H65538,"1227*",'Accounting data'!I2:I65538,{"1*","2*","3*","4*","5*","6*"},'Accounting data'!J2:J65538,"23*",'Accounting data'!K2:K65538,"689*"))+SUM(SUMIFS('Accounting data'!G2:G65538,'Accounting data'!H2:H65538,"1227*",'Accounting data'!I2:I65538,{"1*","2*","3*","4*","5*","6*"},'Accounting data'!J2:J65538,"25*",'Accounting data'!K2:K65538,"689*"))+SUM(SUMIFS('Accounting data'!G2:G65538,'Accounting data'!H2:H65538,"1227*",'Accounting data'!I2:I65538,{"1*","2*","3*","4*","5*","6*"},'Accounting data'!J2:J65538,"29*",'Accounting data'!K2:K65538,"689*"))+SUM(SUMIFS('Accounting data'!G2:G65538,'Accounting data'!H2:H65538,"1228*",'Accounting data'!I2:I65538,{"1*","2*","3*","4*","5*","6*"},'Accounting data'!J2:J65538,"23*",'Accounting data'!K2:K65538,"689*"))+SUM(SUMIFS('Accounting data'!G2:G65538,'Accounting data'!H2:H65538,"1228*",'Accounting data'!I2:I65538,{"1*","2*","3*","4*","5*","6*"},'Accounting data'!J2:J65538,"25*",'Accounting data'!K2:K65538,"689*"))+SUM(SUMIFS('Accounting data'!G2:G65538,'Accounting data'!H2:H65538,"1228*",'Accounting data'!I2:I65538,{"1*","2*","3*","4*","5*","6*"},'Accounting data'!J2:J65538,"29*",'Accounting data'!K2:K65538,"689*"))</f>
        <v>0</v>
      </c>
      <c r="K12" s="347">
        <f t="array" ref="K12">SUM(SUMIFS('Accounting data'!G2:G65538,'Accounting data'!H2:H65538,"1310-1399-C*",'Accounting data'!I2:I65538,{"1*","2*","3*","4*","5*","6*"},'Accounting data'!J2:J65538,"23*",'Accounting data'!K2:K65538,"683*"))+SUM(SUMIFS('Accounting data'!G2:G65538,'Accounting data'!H2:H65538,"1310-1399-C*",'Accounting data'!I2:I65538,{"1*","2*","3*","4*","5*","6*"},'Accounting data'!J2:J65538,"25*",'Accounting data'!K2:K65538,"683*"))+SUM(SUMIFS('Accounting data'!G2:G65538,'Accounting data'!H2:H65538,"1310-1399-C*",'Accounting data'!I2:I65538,{"1*","2*","3*","4*","5*","6*"},'Accounting data'!J2:J65538,"29*",'Accounting data'!K2:K65538,"683*"))+SUM(SUMIFS('Accounting data'!G2:G65538,'Accounting data'!H2:H65538,"1227*",'Accounting data'!I2:I65538,{"1*","2*","3*","4*","5*","6*"},'Accounting data'!J2:J65538,"23*",'Accounting data'!K2:K65538,"683*"))+SUM(SUMIFS('Accounting data'!G2:G65538,'Accounting data'!H2:H65538,"1227*",'Accounting data'!I2:I65538,{"1*","2*","3*","4*","5*","6*"},'Accounting data'!J2:J65538,"25*",'Accounting data'!K2:K65538,"683*"))+SUM(SUMIFS('Accounting data'!G2:G65538,'Accounting data'!H2:H65538,"1227*",'Accounting data'!I2:I65538,{"1*","2*","3*","4*","5*","6*"},'Accounting data'!J2:J65538,"29*",'Accounting data'!K2:K65538,"683*"))+SUM(SUMIFS('Accounting data'!G2:G65538,'Accounting data'!H2:H65538,"1228*",'Accounting data'!I2:I65538,{"1*","2*","3*","4*","5*","6*"},'Accounting data'!J2:J65538,"23*",'Accounting data'!K2:K65538,"683*"))+SUM(SUMIFS('Accounting data'!G2:G65538,'Accounting data'!H2:H65538,"1228*",'Accounting data'!I2:I65538,{"1*","2*","3*","4*","5*","6*"},'Accounting data'!J2:J65538,"25*",'Accounting data'!K2:K65538,"683*"))+SUM(SUMIFS('Accounting data'!G2:G65538,'Accounting data'!H2:H65538,"1228*",'Accounting data'!I2:I65538,{"1*","2*","3*","4*","5*","6*"},'Accounting data'!J2:J65538,"29*",'Accounting data'!K2:K65538,"683*"))</f>
        <v>0</v>
      </c>
      <c r="L12" s="30">
        <v>0</v>
      </c>
      <c r="M12" s="353" cm="1">
        <f t="array" ref="M12">(SUM(SUMIFS('Accounting data'!G2:G65538,'Accounting data'!H2:H65538,"1310-1399-C*",'Accounting data'!I2:I65538,{"7*","8*","9*"},'Accounting data'!J2:J65538,"23*",'Accounting data'!K2:K65538,"6*"))+SUM(SUMIFS('Accounting data'!G2:G65538,'Accounting data'!H2:H65538,"1310-1399-C*",'Accounting data'!I2:I65538,{"7*","8*","9*"},'Accounting data'!J2:J65538,"25*",'Accounting data'!K2:K65538,"6*"))+SUM(SUMIFS('Accounting data'!G2:G65538,'Accounting data'!H2:H65538,"1310-1399-C*",'Accounting data'!I2:I65538,{"7*","8*","9*"},'Accounting data'!J2:J65538,"29*",'Accounting data'!K2:K65538,"6*")))-(SUM(SUMIFS('Accounting data'!G2:G65538,'Accounting data'!H2:H65538,"1310-1399-C*",'Accounting data'!I2:I65538,{"7*","8*","9*"},'Accounting data'!J2:J65538,"23*",'Accounting data'!K2:K65538,"69*"))+SUM(SUMIFS('Accounting data'!G2:G65538,'Accounting data'!H2:H65538,"1310-1399-C*",'Accounting data'!I2:I65538,{"7*","8*","9*"},'Accounting data'!J2:J65538,"25*",'Accounting data'!K2:K65538,"69*"))+SUM(SUMIFS('Accounting data'!G2:G65538,'Accounting data'!H2:H65538,"1310-1399-C*",'Accounting data'!I2:I65538,{"7*","8*","9*"},'Accounting data'!J2:J65538,"29*",'Accounting data'!K2:K65538,"69*")))+(SUM(SUMIFS('Accounting data'!G2:G65538,'Accounting data'!H2:H65538,"1227*",'Accounting data'!I2:I65538,{"7*","8*","9*"},'Accounting data'!J2:J65538,"23*",'Accounting data'!K2:K65538,"6*"))+SUM(SUMIFS('Accounting data'!G2:G65538,'Accounting data'!H2:H65538,"1227*",'Accounting data'!I2:I65538,{"7*","8*","9*"},'Accounting data'!J2:J65538,"25*",'Accounting data'!K2:K65538,"6*"))+SUM(SUMIFS('Accounting data'!G2:G65538,'Accounting data'!H2:H65538,"1227*",'Accounting data'!I2:I65538,{"7*","8*","9*"},'Accounting data'!J2:J65538,"29*",'Accounting data'!K2:K65538,"6*")))-(SUM(SUMIFS('Accounting data'!G2:G65538,'Accounting data'!H2:H65538,"1227*",'Accounting data'!I2:I65538,{"7*","8*","9*"},'Accounting data'!J2:J65538,"23*",'Accounting data'!K2:K65538,"69*"))+SUM(SUMIFS('Accounting data'!G2:G65538,'Accounting data'!H2:H65538,"1227*",'Accounting data'!I2:I65538,{"7*","8*","9*"},'Accounting data'!J2:J65538,"25*",'Accounting data'!K2:K65538,"69*"))+SUM(SUMIFS('Accounting data'!G2:G65538,'Accounting data'!H2:H65538,"1227*",'Accounting data'!I2:I65538,{"7*","8*","9*"},'Accounting data'!J2:J65538,"29*",'Accounting data'!K2:K65538,"69*")))+AA12</f>
        <v>0</v>
      </c>
      <c r="N12" s="349">
        <f t="shared" si="0"/>
        <v>0</v>
      </c>
      <c r="O12" s="350"/>
      <c r="AA12" s="354">
        <f t="array" ref="AA12">(SUM(SUMIFS('Accounting data'!G2:G65538,'Accounting data'!H2:H65538,"1228*",'Accounting data'!I2:I65538,{"7*","8*","9*"},'Accounting data'!J2:J65538,"23*",'Accounting data'!K2:K65538,"6*"))+SUM(SUMIFS('Accounting data'!G2:G65538,'Accounting data'!H2:H65538,"1228*",'Accounting data'!I2:I65538,{"7*","8*","9*"},'Accounting data'!J2:J65538,"25*",'Accounting data'!K2:K65538,"6*"))+SUM(SUMIFS('Accounting data'!G2:G65538,'Accounting data'!H2:H65538,"1228*",'Accounting data'!I2:I65538,{"7*","8*","9*"},'Accounting data'!J2:J65538,"29*",'Accounting data'!K2:K65538,"6*")))-(SUM(SUMIFS('Accounting data'!G2:G65538,'Accounting data'!H2:H65538,"1228*",'Accounting data'!I2:I65538,{"7*","8*","9*"},'Accounting data'!J2:J65538,"23*",'Accounting data'!K2:K65538,"69*"))+SUM(SUMIFS('Accounting data'!G2:G65538,'Accounting data'!H2:H65538,"1228*",'Accounting data'!I2:I65538,{"7*","8*","9*"},'Accounting data'!J2:J65538,"25*",'Accounting data'!K2:K65538,"69*"))+SUM(SUMIFS('Accounting data'!G2:G65538,'Accounting data'!H2:H65538,"1228*",'Accounting data'!I2:I65538,{"7*","8*","9*"},'Accounting data'!J2:J65538,"29*",'Accounting data'!K2:K65538,"69*")))</f>
        <v>0</v>
      </c>
    </row>
    <row r="13" spans="1:27" x14ac:dyDescent="0.3">
      <c r="A13" s="355" t="s">
        <v>202</v>
      </c>
      <c r="B13" s="356"/>
      <c r="C13" s="357" t="s">
        <v>31</v>
      </c>
      <c r="D13" s="347">
        <f t="array" ref="D13">SUM(SUMIFS('Accounting data'!G2:G65538,'Accounting data'!H2:H65538,"1310-1399-C*",'Accounting data'!I2:I65538,{"1*","2*","3*","4*","5*","6*"},'Accounting data'!J2:J65538,"24*",'Accounting data'!K2:K65538,"61*"))+SUM(SUMIFS('Accounting data'!G2:G65538,'Accounting data'!H2:H65538,"1227*",'Accounting data'!I2:I65538,{"1*","2*","3*","4*","5*","6*"},'Accounting data'!J2:J65538,"24*",'Accounting data'!K2:K65538,"61*"))+SUM(SUMIFS('Accounting data'!G2:G65538,'Accounting data'!H2:H65538,"1228*",'Accounting data'!I2:I65538,{"1*","2*","3*","4*","5*","6*"},'Accounting data'!J2:J65538,"24*",'Accounting data'!K2:K65538,"61*"))</f>
        <v>0</v>
      </c>
      <c r="E13" s="347">
        <f t="array" ref="E13">SUM(SUMIFS('Accounting data'!G2:G65538,'Accounting data'!H2:H65538,"1310-1399-C*",'Accounting data'!I2:I65538,{"1*","2*","3*","4*","5*","6*"},'Accounting data'!J2:J65538,"24*",'Accounting data'!K2:K65538,"62*"))+SUM(SUMIFS('Accounting data'!G2:G65538,'Accounting data'!H2:H65538,"1227*",'Accounting data'!I2:I65538,{"1*","2*","3*","4*","5*","6*"},'Accounting data'!J2:J65538,"24*",'Accounting data'!K2:K65538,"62*"))+SUM(SUMIFS('Accounting data'!G2:G65538,'Accounting data'!H2:H65538,"1228*",'Accounting data'!I2:I65538,{"1*","2*","3*","4*","5*","6*"},'Accounting data'!J2:J65538,"24*",'Accounting data'!K2:K65538,"62*"))</f>
        <v>0</v>
      </c>
      <c r="F13" s="347">
        <f t="array" ref="F13">SUM(SUMIFS('Accounting data'!G2:G65538,'Accounting data'!H2:H65538,"1310-1399-C*",'Accounting data'!I2:I65538,{"1*","2*","3*","4*","5*","6*"},'Accounting data'!J2:J65538,"24*",'Accounting data'!K2:K65538,"63*"))+SUM(SUMIFS('Accounting data'!G2:G65538,'Accounting data'!H2:H65538,"1227*",'Accounting data'!I2:I65538,{"1*","2*","3*","4*","5*","6*"},'Accounting data'!J2:J65538,"24*",'Accounting data'!K2:K65538,"63*"))+SUM(SUMIFS('Accounting data'!G2:G65538,'Accounting data'!H2:H65538,"1228*",'Accounting data'!I2:I65538,{"1*","2*","3*","4*","5*","6*"},'Accounting data'!J2:J65538,"24*",'Accounting data'!K2:K65538,"63*"))</f>
        <v>0</v>
      </c>
      <c r="G13" s="347">
        <f t="array" ref="G13">SUM(SUMIFS('Accounting data'!G2:G65538,'Accounting data'!H2:H65538,"1310-1399-C*",'Accounting data'!I2:I65538,{"1*","2*","3*","4*","5*","6*"},'Accounting data'!J2:J65538,"24*",'Accounting data'!K2:K65538,"66*"))+SUM(SUMIFS('Accounting data'!G2:G65538,'Accounting data'!H2:H65538,"1227*",'Accounting data'!I2:I65538,{"1*","2*","3*","4*","5*","6*"},'Accounting data'!J2:J65538,"24*",'Accounting data'!K2:K65538,"66*"))+SUM(SUMIFS('Accounting data'!G2:G65538,'Accounting data'!H2:H65538,"1228*",'Accounting data'!I2:I65538,{"1*","2*","3*","4*","5*","6*"},'Accounting data'!J2:J65538,"24*",'Accounting data'!K2:K65538,"66*"))</f>
        <v>0</v>
      </c>
      <c r="H13" s="347">
        <f t="array" ref="H13">SUM(SUMIFS('Accounting data'!G2:G65538,'Accounting data'!H2:H65538,"1310-1399-C*",'Accounting data'!I2:I65538,{"1*","2*","3*","4*","5*","6*"},'Accounting data'!J2:J65538,"24*",'Accounting data'!K2:K65538,"681*"))+SUM(SUMIFS('Accounting data'!G2:G65538,'Accounting data'!H2:H65538,"1227*",'Accounting data'!I2:I65538,{"1*","2*","3*","4*","5*","6*"},'Accounting data'!J2:J65538,"24*",'Accounting data'!K2:K65538,"681*"))+SUM(SUMIFS('Accounting data'!G2:G65538,'Accounting data'!H2:H65538,"1228*",'Accounting data'!I2:I65538,{"1*","2*","3*","4*","5*","6*"},'Accounting data'!J2:J65538,"24*",'Accounting data'!K2:K65538,"681*"))</f>
        <v>0</v>
      </c>
      <c r="I13" s="348"/>
      <c r="J13" s="347">
        <f t="array" ref="J13">SUM(SUMIFS('Accounting data'!G2:G65538,'Accounting data'!H2:H65538,"1310-1399-C*",'Accounting data'!I2:I65538,{"1*","2*","3*","4*","5*","6*"},'Accounting data'!J2:J65538,"24*",'Accounting data'!K2:K65538,"689*"))+SUM(SUMIFS('Accounting data'!G2:G65538,'Accounting data'!H2:H65538,"1227*",'Accounting data'!I2:I65538,{"1*","2*","3*","4*","5*","6*"},'Accounting data'!J2:J65538,"24*",'Accounting data'!K2:K65538,"689*"))+SUM(SUMIFS('Accounting data'!G2:G65538,'Accounting data'!H2:H65538,"1228*",'Accounting data'!I2:I65538,{"1*","2*","3*","4*","5*","6*"},'Accounting data'!J2:J65538,"24*",'Accounting data'!K2:K65538,"689*"))</f>
        <v>0</v>
      </c>
      <c r="K13" s="347">
        <f t="array" ref="K13">SUM(SUMIFS('Accounting data'!G2:G65538,'Accounting data'!H2:H65538,"1310-1399-C*",'Accounting data'!I2:I65538,{"1*","2*","3*","4*","5*","6*"},'Accounting data'!J2:J65538,"24*",'Accounting data'!K2:K65538,"683*"))+SUM(SUMIFS('Accounting data'!G2:G65538,'Accounting data'!H2:H65538,"1227*",'Accounting data'!I2:I65538,{"1*","2*","3*","4*","5*","6*"},'Accounting data'!J2:J65538,"24*",'Accounting data'!K2:K65538,"683*"))+SUM(SUMIFS('Accounting data'!G2:G65538,'Accounting data'!H2:H65538,"1228*",'Accounting data'!I2:I65538,{"1*","2*","3*","4*","5*","6*"},'Accounting data'!J2:J65538,"24*",'Accounting data'!K2:K65538,"683*"))</f>
        <v>0</v>
      </c>
      <c r="L13" s="30">
        <v>0</v>
      </c>
      <c r="M13" s="347" cm="1">
        <f t="array" ref="M13">SUM(SUMIFS('Accounting data'!G2:G65538,'Accounting data'!H2:H65538,"1310-1399-C*",'Accounting data'!I2:I65538,{"7*","8*","9*"},'Accounting data'!J2:J65538,"24*",'Accounting data'!K2:K65538,"6*"))-SUM(SUMIFS('Accounting data'!G2:G65538,'Accounting data'!H2:H65538,"1310-1399-C*",'Accounting data'!I2:I65538,{"7*","8*","9*"},'Accounting data'!J2:J65538,"24*",'Accounting data'!K2:K65538,"69*"))+SUM(SUMIFS('Accounting data'!G2:G65538,'Accounting data'!H2:H65538,"1227*",'Accounting data'!I2:I65538,{"7*","8*","9*"},'Accounting data'!J2:J65538,"24*",'Accounting data'!K2:K65538,"6*"))-SUM(SUMIFS('Accounting data'!G2:G65538,'Accounting data'!H2:H65538,"1227*",'Accounting data'!I2:I65538,{"7*","8*","9*"},'Accounting data'!J2:J65538,"24*",'Accounting data'!K2:K65538,"69*"))+SUM(SUMIFS('Accounting data'!G2:G65538,'Accounting data'!H2:H65538,"1228*",'Accounting data'!I2:I65538,{"7*","8*","9*"},'Accounting data'!J2:J65538,"24*",'Accounting data'!K2:K65538,"6*"))-SUM(SUMIFS('Accounting data'!G2:G65538,'Accounting data'!H2:H65538,"1228*",'Accounting data'!I2:I65538,{"7*","8*","9*"},'Accounting data'!J2:J65538,"24*",'Accounting data'!K2:K65538,"69*"))+(SUM(SUMIFS('Accounting data'!G2:G65538,'Accounting data'!H2:H65538,"1227*",'Accounting data'!I2:I65538,{"7*","8*","9*"},'Accounting data'!J2:J65538,"23*",'Accounting data'!K2:K65538,"6*"))+SUM(SUMIFS('Accounting data'!G2:G65538,'Accounting data'!H2:H65538,"1227*",'Accounting data'!I2:I65538,{"7*","8*","9*"},'Accounting data'!J2:J65538,"25*",'Accounting data'!K2:K65538,"6*"))+SUM(SUMIFS('Accounting data'!G2:G65538,'Accounting data'!H2:H65538,"1227*",'Accounting data'!I2:I65538,{"7*","8*","9*"},'Accounting data'!J2:J65538,"29*",'Accounting data'!K2:K65538,"6*")))-(SUM(SUMIFS('Accounting data'!G2:G65538,'Accounting data'!H2:H65538,"1227*",'Accounting data'!I2:I65538,{"7*","8*","9*"},'Accounting data'!J2:J65538,"23*",'Accounting data'!K2:K65538,"69*"))+SUM(SUMIFS('Accounting data'!G2:G65538,'Accounting data'!H2:H65538,"1227*",'Accounting data'!I2:I65538,{"7*","8*","9*"},'Accounting data'!J2:J65538,"25*",'Accounting data'!K2:K65538,"69*"))+SUM(SUMIFS('Accounting data'!G2:G65538,'Accounting data'!H2:H65538,"1227*",'Accounting data'!I2:I65538,{"7*","8*","9*"},'Accounting data'!J2:J65538,"29*",'Accounting data'!K2:K65538,"69*")))</f>
        <v>0</v>
      </c>
      <c r="N13" s="349">
        <f t="shared" si="0"/>
        <v>0</v>
      </c>
      <c r="O13" s="358"/>
    </row>
    <row r="14" spans="1:27" x14ac:dyDescent="0.3">
      <c r="A14" s="351" t="s">
        <v>428</v>
      </c>
      <c r="B14" s="579"/>
      <c r="C14" s="357" t="s">
        <v>33</v>
      </c>
      <c r="D14" s="347">
        <f t="array" ref="D14">SUM(SUMIFS('Accounting data'!G2:G65538,'Accounting data'!H2:H65538,"1310-1399-C*",'Accounting data'!I2:I65538,{"1*","2*","3*","4*","5*","6*"},'Accounting data'!J2:J65538,"26*",'Accounting data'!K2:K65538,"61*"))+SUM(SUMIFS('Accounting data'!G2:G65538,'Accounting data'!H2:H65538,"1227*",'Accounting data'!I2:I65538,{"1*","2*","3*","4*","5*","6*"},'Accounting data'!J2:J65538,"26*",'Accounting data'!K2:K65538,"61*"))+SUM(SUMIFS('Accounting data'!G2:G65538,'Accounting data'!H2:H65538,"1228*",'Accounting data'!I2:I65538,{"1*","2*","3*","4*","5*","6*"},'Accounting data'!J2:J65538,"26*",'Accounting data'!K2:K65538,"61*"))</f>
        <v>0</v>
      </c>
      <c r="E14" s="347">
        <f t="array" ref="E14">SUM(SUMIFS('Accounting data'!G2:G65538,'Accounting data'!H2:H65538,"1310-1399-C*",'Accounting data'!I2:I65538,{"1*","2*","3*","4*","5*","6*"},'Accounting data'!J2:J65538,"26*",'Accounting data'!K2:K65538,"62*"))+SUM(SUMIFS('Accounting data'!G2:G65538,'Accounting data'!H2:H65538,"1227*",'Accounting data'!I2:I65538,{"1*","2*","3*","4*","5*","6*"},'Accounting data'!J2:J65538,"26*",'Accounting data'!K2:K65538,"62*"))+SUM(SUMIFS('Accounting data'!G2:G65538,'Accounting data'!H2:H65538,"1228*",'Accounting data'!I2:I65538,{"1*","2*","3*","4*","5*","6*"},'Accounting data'!J2:J65538,"26*",'Accounting data'!K2:K65538,"62*"))</f>
        <v>0</v>
      </c>
      <c r="F14" s="347">
        <f t="array" ref="F14">SUM(SUMIFS('Accounting data'!G2:G65538,'Accounting data'!H2:H65538,"1310-1399-C*",'Accounting data'!I2:I65538,{"1*","2*","3*","4*","5*","6*"},'Accounting data'!J2:J65538,"26*",'Accounting data'!K2:K65538,"63*"))+SUM(SUMIFS('Accounting data'!G2:G65538,'Accounting data'!H2:H65538,"1227*",'Accounting data'!I2:I65538,{"1*","2*","3*","4*","5*","6*"},'Accounting data'!J2:J65538,"26*",'Accounting data'!K2:K65538,"63*"))+SUM(SUMIFS('Accounting data'!G2:G65538,'Accounting data'!H2:H65538,"1228*",'Accounting data'!I2:I65538,{"1*","2*","3*","4*","5*","6*"},'Accounting data'!J2:J65538,"26*",'Accounting data'!K2:K65538,"63*"))</f>
        <v>0</v>
      </c>
      <c r="G14" s="347">
        <f t="array" ref="G14">SUM(SUMIFS('Accounting data'!G2:G65538,'Accounting data'!H2:H65538,"1310-1399-C*",'Accounting data'!I2:I65538,{"1*","2*","3*","4*","5*","6*"},'Accounting data'!J2:J65538,"26*",'Accounting data'!K2:K65538,"66*"))+SUM(SUMIFS('Accounting data'!G2:G65538,'Accounting data'!H2:H65538,"1227*",'Accounting data'!I2:I65538,{"1*","2*","3*","4*","5*","6*"},'Accounting data'!J2:J65538,"26*",'Accounting data'!K2:K65538,"66*"))+SUM(SUMIFS('Accounting data'!G2:G65538,'Accounting data'!H2:H65538,"1228*",'Accounting data'!I2:I65538,{"1*","2*","3*","4*","5*","6*"},'Accounting data'!J2:J65538,"26*",'Accounting data'!K2:K65538,"66*"))</f>
        <v>0</v>
      </c>
      <c r="H14" s="347">
        <f t="array" ref="H14">SUM(SUMIFS('Accounting data'!G2:G65538,'Accounting data'!H2:H65538,"1310-1399-C*",'Accounting data'!I2:I65538,{"1*","2*","3*","4*","5*","6*"},'Accounting data'!J2:J65538,"26*",'Accounting data'!K2:K65538,"681*"))+SUM(SUMIFS('Accounting data'!G2:G65538,'Accounting data'!H2:H65538,"1227*",'Accounting data'!I2:I65538,{"1*","2*","3*","4*","5*","6*"},'Accounting data'!J2:J65538,"26*",'Accounting data'!K2:K65538,"681*"))+SUM(SUMIFS('Accounting data'!G2:G65538,'Accounting data'!H2:H65538,"1228*",'Accounting data'!I2:I65538,{"1*","2*","3*","4*","5*","6*"},'Accounting data'!J2:J65538,"26*",'Accounting data'!K2:K65538,"681*"))</f>
        <v>0</v>
      </c>
      <c r="I14" s="348"/>
      <c r="J14" s="347">
        <f t="array" ref="J14">SUM(SUMIFS('Accounting data'!G2:G65538,'Accounting data'!H2:H65538,"1310-1399-C*",'Accounting data'!I2:I65538,{"1*","2*","3*","4*","5*","6*"},'Accounting data'!J2:J65538,"26*",'Accounting data'!K2:K65538,"689*"))+SUM(SUMIFS('Accounting data'!G2:G65538,'Accounting data'!H2:H65538,"1227*",'Accounting data'!I2:I65538,{"1*","2*","3*","4*","5*","6*"},'Accounting data'!J2:J65538,"26*",'Accounting data'!K2:K65538,"689*"))+SUM(SUMIFS('Accounting data'!G2:G65538,'Accounting data'!H2:H65538,"1228*",'Accounting data'!I2:I65538,{"1*","2*","3*","4*","5*","6*"},'Accounting data'!J2:J65538,"26*",'Accounting data'!K2:K65538,"689*"))</f>
        <v>0</v>
      </c>
      <c r="K14" s="347">
        <f t="array" ref="K14">SUM(SUMIFS('Accounting data'!G2:G65538,'Accounting data'!H2:H65538,"1310-1399-C*",'Accounting data'!I2:I65538,{"1*","2*","3*","4*","5*","6*"},'Accounting data'!J2:J65538,"26*",'Accounting data'!K2:K65538,"683*"))+SUM(SUMIFS('Accounting data'!G2:G65538,'Accounting data'!H2:H65538,"1227*",'Accounting data'!I2:I65538,{"1*","2*","3*","4*","5*","6*"},'Accounting data'!J2:J65538,"26*",'Accounting data'!K2:K65538,"683*"))+SUM(SUMIFS('Accounting data'!G2:G65538,'Accounting data'!H2:H65538,"1228*",'Accounting data'!I2:I65538,{"1*","2*","3*","4*","5*","6*"},'Accounting data'!J2:J65538,"26*",'Accounting data'!K2:K65538,"683*"))</f>
        <v>0</v>
      </c>
      <c r="L14" s="30">
        <v>0</v>
      </c>
      <c r="M14" s="347" cm="1">
        <f t="array" ref="M14">SUM(SUMIFS('Accounting data'!G2:G65538,'Accounting data'!H2:H65538,"1310-1399-C*",'Accounting data'!I2:I65538,{"7*","8*","9*"},'Accounting data'!J2:J65538,"26*",'Accounting data'!K2:K65538,"6*"))-SUM(SUMIFS('Accounting data'!G2:G65538,'Accounting data'!H2:H65538,"1310-1399-C*",'Accounting data'!I2:I65538,{"7*","8*","9*"},'Accounting data'!J2:J65538,"26*",'Accounting data'!K2:K65538,"69*"))+SUM(SUMIFS('Accounting data'!G2:G65538,'Accounting data'!H2:H65538,"1227*",'Accounting data'!I2:I65538,{"7*","8*","9*"},'Accounting data'!J2:J65538,"26*",'Accounting data'!K2:K65538,"6*"))-SUM(SUMIFS('Accounting data'!G2:G65538,'Accounting data'!H2:H65538,"1227*",'Accounting data'!I2:I65538,{"7*","8*","9*"},'Accounting data'!J2:J65538,"26*",'Accounting data'!K2:K65538,"69*"))+SUM(SUMIFS('Accounting data'!G2:G65538,'Accounting data'!H2:H65538,"1228*",'Accounting data'!I2:I65538,{"7*","8*","9*"},'Accounting data'!J2:J65538,"26*",'Accounting data'!K2:K65538,"6*"))-SUM(SUMIFS('Accounting data'!G2:G65538,'Accounting data'!H2:H65538,"1228*",'Accounting data'!I2:I65538,{"7*","8*","9*"},'Accounting data'!J2:J65538,"26*",'Accounting data'!K2:K65538,"69*"))</f>
        <v>0</v>
      </c>
      <c r="N14" s="349">
        <f t="shared" si="0"/>
        <v>0</v>
      </c>
      <c r="O14" s="358"/>
    </row>
    <row r="15" spans="1:27" x14ac:dyDescent="0.3">
      <c r="A15" s="359" t="s">
        <v>208</v>
      </c>
      <c r="B15" s="360"/>
      <c r="C15" s="357" t="s">
        <v>35</v>
      </c>
      <c r="D15" s="347">
        <f t="array" ref="D15">SUM(SUMIFS('Accounting data'!G2:G65538,'Accounting data'!H2:H65538,"1310-1399-C*",'Accounting data'!I2:I65538,{"1*","2*","3*","4*","5*","6*"},'Accounting data'!J2:J65538,"27*",'Accounting data'!K2:K65538,"61*"))+SUM(SUMIFS('Accounting data'!G2:G65538,'Accounting data'!H2:H65538,"1227*",'Accounting data'!I2:I65538,{"1*","2*","3*","4*","5*","6*"},'Accounting data'!J2:J65538,"27*",'Accounting data'!K2:K65538,"61*"))+SUM(SUMIFS('Accounting data'!G2:G65538,'Accounting data'!H2:H65538,"1228*",'Accounting data'!I2:I65538,{"1*","2*","3*","4*","5*","6*"},'Accounting data'!J2:J65538,"27*",'Accounting data'!K2:K65538,"61*"))</f>
        <v>0</v>
      </c>
      <c r="E15" s="347">
        <f t="array" ref="E15">SUM(SUMIFS('Accounting data'!G2:G65538,'Accounting data'!H2:H65538,"1310-1399-C*",'Accounting data'!I2:I65538,{"1*","2*","3*","4*","5*","6*"},'Accounting data'!J2:J65538,"27*",'Accounting data'!K2:K65538,"62*"))+SUM(SUMIFS('Accounting data'!G2:G65538,'Accounting data'!H2:H65538,"1227*",'Accounting data'!I2:I65538,{"1*","2*","3*","4*","5*","6*"},'Accounting data'!J2:J65538,"27*",'Accounting data'!K2:K65538,"62*"))+SUM(SUMIFS('Accounting data'!G2:G65538,'Accounting data'!H2:H65538,"1228*",'Accounting data'!I2:I65538,{"1*","2*","3*","4*","5*","6*"},'Accounting data'!J2:J65538,"27*",'Accounting data'!K2:K65538,"62*"))</f>
        <v>0</v>
      </c>
      <c r="F15" s="347">
        <f t="array" ref="F15">SUM(SUMIFS('Accounting data'!G2:G65538,'Accounting data'!H2:H65538,"1310-1399-C*",'Accounting data'!I2:I65538,{"1*","2*","3*","4*","5*","6*"},'Accounting data'!J2:J65538,"27*",'Accounting data'!K2:K65538,"63*"))+SUM(SUMIFS('Accounting data'!G2:G65538,'Accounting data'!H2:H65538,"1227*",'Accounting data'!I2:I65538,{"1*","2*","3*","4*","5*","6*"},'Accounting data'!J2:J65538,"27*",'Accounting data'!K2:K65538,"63*"))+SUM(SUMIFS('Accounting data'!G2:G65538,'Accounting data'!H2:H65538,"1228*",'Accounting data'!I2:I65538,{"1*","2*","3*","4*","5*","6*"},'Accounting data'!J2:J65538,"27*",'Accounting data'!K2:K65538,"63*"))</f>
        <v>0</v>
      </c>
      <c r="G15" s="347">
        <f t="array" ref="G15">SUM(SUMIFS('Accounting data'!G2:G65538,'Accounting data'!H2:H65538,"1310-1399-C*",'Accounting data'!I2:I65538,{"1*","2*","3*","4*","5*","6*"},'Accounting data'!J2:J65538,"27*",'Accounting data'!K2:K65538,"66*"))+SUM(SUMIFS('Accounting data'!G2:G65538,'Accounting data'!H2:H65538,"1227*",'Accounting data'!I2:I65538,{"1*","2*","3*","4*","5*","6*"},'Accounting data'!J2:J65538,"27*",'Accounting data'!K2:K65538,"66*"))+SUM(SUMIFS('Accounting data'!G2:G65538,'Accounting data'!H2:H65538,"1228*",'Accounting data'!I2:I65538,{"1*","2*","3*","4*","5*","6*"},'Accounting data'!J2:J65538,"27*",'Accounting data'!K2:K65538,"66*"))</f>
        <v>0</v>
      </c>
      <c r="H15" s="347">
        <f t="array" ref="H15">SUM(SUMIFS('Accounting data'!G2:G65538,'Accounting data'!H2:H65538,"1310-1399-C*",'Accounting data'!I2:I65538,{"1*","2*","3*","4*","5*","6*"},'Accounting data'!J2:J65538,"27*",'Accounting data'!K2:K65538,"681*"))+SUM(SUMIFS('Accounting data'!G2:G65538,'Accounting data'!H2:H65538,"1227*",'Accounting data'!I2:I65538,{"1*","2*","3*","4*","5*","6*"},'Accounting data'!J2:J65538,"27*",'Accounting data'!K2:K65538,"681*"))+SUM(SUMIFS('Accounting data'!G2:G65538,'Accounting data'!H2:H65538,"1228*",'Accounting data'!I2:I65538,{"1*","2*","3*","4*","5*","6*"},'Accounting data'!J2:J65538,"27*",'Accounting data'!K2:K65538,"681*"))</f>
        <v>0</v>
      </c>
      <c r="I15" s="348"/>
      <c r="J15" s="347">
        <f t="array" ref="J15">SUM(SUMIFS('Accounting data'!G2:G65538,'Accounting data'!H2:H65538,"1310-1399-C*",'Accounting data'!I2:I65538,{"1*","2*","3*","4*","5*","6*"},'Accounting data'!J2:J65538,"27*",'Accounting data'!K2:K65538,"689*"))+SUM(SUMIFS('Accounting data'!G2:G65538,'Accounting data'!H2:H65538,"1227*",'Accounting data'!I2:I65538,{"1*","2*","3*","4*","5*","6*"},'Accounting data'!J2:J65538,"27*",'Accounting data'!K2:K65538,"689*"))+SUM(SUMIFS('Accounting data'!G2:G65538,'Accounting data'!H2:H65538,"1228*",'Accounting data'!I2:I65538,{"1*","2*","3*","4*","5*","6*"},'Accounting data'!J2:J65538,"27*",'Accounting data'!K2:K65538,"689*"))</f>
        <v>0</v>
      </c>
      <c r="K15" s="347">
        <f t="array" ref="K15">SUM(SUMIFS('Accounting data'!G2:G65538,'Accounting data'!H2:H65538,"1310-1399-C*",'Accounting data'!I2:I65538,{"1*","2*","3*","4*","5*","6*"},'Accounting data'!J2:J65538,"27*",'Accounting data'!K2:K65538,"683*"))+SUM(SUMIFS('Accounting data'!G2:G65538,'Accounting data'!H2:H65538,"1227*",'Accounting data'!I2:I65538,{"1*","2*","3*","4*","5*","6*"},'Accounting data'!J2:J65538,"27*",'Accounting data'!K2:K65538,"683*"))+SUM(SUMIFS('Accounting data'!G2:G65538,'Accounting data'!H2:H65538,"1228*",'Accounting data'!I2:I65538,{"1*","2*","3*","4*","5*","6*"},'Accounting data'!J2:J65538,"27*",'Accounting data'!K2:K65538,"683*"))</f>
        <v>0</v>
      </c>
      <c r="L15" s="30">
        <v>0</v>
      </c>
      <c r="M15" s="347" cm="1">
        <f t="array" ref="M15">SUM(SUMIFS('Accounting data'!G2:G65538,'Accounting data'!H2:H65538,"1310-1399-C*",'Accounting data'!I2:I65538,{"7*","8*","9*"},'Accounting data'!J2:J65538,"27*",'Accounting data'!K2:K65538,"6*"))-SUM(SUMIFS('Accounting data'!G2:G65538,'Accounting data'!H2:H65538,"1310-1399-C*",'Accounting data'!I2:I65538,{"7*","8*","9*"},'Accounting data'!J2:J65538,"27*",'Accounting data'!K2:K65538,"69*"))+SUM(SUMIFS('Accounting data'!G2:G65538,'Accounting data'!H2:H65538,"1227*",'Accounting data'!I2:I65538,{"7*","8*","9*"},'Accounting data'!J2:J65538,"27*",'Accounting data'!K2:K65538,"6*"))-SUM(SUMIFS('Accounting data'!G2:G65538,'Accounting data'!H2:H65538,"1227*",'Accounting data'!I2:I65538,{"7*","8*","9*"},'Accounting data'!J2:J65538,"27*",'Accounting data'!K2:K65538,"69*"))+SUM(SUMIFS('Accounting data'!G2:G65538,'Accounting data'!H2:H65538,"1228*",'Accounting data'!I2:I65538,{"7*","8*","9*"},'Accounting data'!J2:J65538,"27*",'Accounting data'!K2:K65538,"6*"))-SUM(SUMIFS('Accounting data'!G2:G65538,'Accounting data'!H2:H65538,"1228*",'Accounting data'!I2:I65538,{"7*","8*","9*"},'Accounting data'!J2:J65538,"27*",'Accounting data'!K2:K65538,"69*"))</f>
        <v>0</v>
      </c>
      <c r="N15" s="349">
        <f t="shared" si="0"/>
        <v>0</v>
      </c>
      <c r="O15" s="358"/>
    </row>
    <row r="16" spans="1:27" x14ac:dyDescent="0.3">
      <c r="A16" s="359" t="s">
        <v>429</v>
      </c>
      <c r="B16" s="360"/>
      <c r="C16" s="357" t="s">
        <v>36</v>
      </c>
      <c r="D16" s="347">
        <f t="array" ref="D16">SUM(SUMIFS('Accounting data'!G2:G65538,'Accounting data'!H2:H65538,"1310-1399-C*",'Accounting data'!I2:I65538,{"1*","2*","3*","4*","5*","6*"},'Accounting data'!J2:J65538,"31*",'Accounting data'!K2:K65538,"61*"))+SUM(SUMIFS('Accounting data'!G2:G65538,'Accounting data'!H2:H65538,"1227*",'Accounting data'!I2:I65538,{"1*","2*","3*","4*","5*","6*"},'Accounting data'!J2:J65538,"31*",'Accounting data'!K2:K65538,"61*"))+SUM(SUMIFS('Accounting data'!G2:G65538,'Accounting data'!H2:H65538,"1228*",'Accounting data'!I2:I65538,{"1*","2*","3*","4*","5*","6*"},'Accounting data'!J2:J65538,"31*",'Accounting data'!K2:K65538,"61*"))</f>
        <v>0</v>
      </c>
      <c r="E16" s="347">
        <f t="array" ref="E16">SUM(SUMIFS('Accounting data'!G2:G65538,'Accounting data'!H2:H65538,"1310-1399-C*",'Accounting data'!I2:I65538,{"1*","2*","3*","4*","5*","6*"},'Accounting data'!J2:J65538,"31*",'Accounting data'!K2:K65538,"62*"))+SUM(SUMIFS('Accounting data'!G2:G65538,'Accounting data'!H2:H65538,"1227*",'Accounting data'!I2:I65538,{"1*","2*","3*","4*","5*","6*"},'Accounting data'!J2:J65538,"31*",'Accounting data'!K2:K65538,"62*"))+SUM(SUMIFS('Accounting data'!G2:G65538,'Accounting data'!H2:H65538,"1228*",'Accounting data'!I2:I65538,{"1*","2*","3*","4*","5*","6*"},'Accounting data'!J2:J65538,"31*",'Accounting data'!K2:K65538,"62*"))</f>
        <v>0</v>
      </c>
      <c r="F16" s="347">
        <f t="array" ref="F16">SUM(SUMIFS('Accounting data'!G2:G65538,'Accounting data'!H2:H65538,"1310-1399-C*",'Accounting data'!I2:I65538,{"1*","2*","3*","4*","5*","6*"},'Accounting data'!J2:J65538,"31*",'Accounting data'!K2:K65538,"63*"))+SUM(SUMIFS('Accounting data'!G2:G65538,'Accounting data'!H2:H65538,"1227*",'Accounting data'!I2:I65538,{"1*","2*","3*","4*","5*","6*"},'Accounting data'!J2:J65538,"31*",'Accounting data'!K2:K65538,"63*"))+SUM(SUMIFS('Accounting data'!G2:G65538,'Accounting data'!H2:H65538,"1228*",'Accounting data'!I2:I65538,{"1*","2*","3*","4*","5*","6*"},'Accounting data'!J2:J65538,"31*",'Accounting data'!K2:K65538,"63*"))</f>
        <v>0</v>
      </c>
      <c r="G16" s="347">
        <f t="array" ref="G16">SUM(SUMIFS('Accounting data'!G2:G65538,'Accounting data'!H2:H65538,"1310-1399-C*",'Accounting data'!I2:I65538,{"1*","2*","3*","4*","5*","6*"},'Accounting data'!J2:J65538,"31*",'Accounting data'!K2:K65538,"66*"))+SUM(SUMIFS('Accounting data'!G2:G65538,'Accounting data'!H2:H65538,"1227*",'Accounting data'!I2:I65538,{"1*","2*","3*","4*","5*","6*"},'Accounting data'!J2:J65538,"31*",'Accounting data'!K2:K65538,"66*"))+SUM(SUMIFS('Accounting data'!G2:G65538,'Accounting data'!H2:H65538,"1228*",'Accounting data'!I2:I65538,{"1*","2*","3*","4*","5*","6*"},'Accounting data'!J2:J65538,"31*",'Accounting data'!K2:K65538,"66*"))</f>
        <v>0</v>
      </c>
      <c r="H16" s="347">
        <f t="array" ref="H16">SUM(SUMIFS('Accounting data'!G2:G65538,'Accounting data'!H2:H65538,"1310-1399-C*",'Accounting data'!I2:I65538,{"1*","2*","3*","4*","5*","6*"},'Accounting data'!J2:J65538,"31*",'Accounting data'!K2:K65538,"681*"))+SUM(SUMIFS('Accounting data'!G2:G65538,'Accounting data'!H2:H65538,"1227*",'Accounting data'!I2:I65538,{"1*","2*","3*","4*","5*","6*"},'Accounting data'!J2:J65538,"31*",'Accounting data'!K2:K65538,"681*"))+SUM(SUMIFS('Accounting data'!G2:G65538,'Accounting data'!H2:H65538,"1228*",'Accounting data'!I2:I65538,{"1*","2*","3*","4*","5*","6*"},'Accounting data'!J2:J65538,"31*",'Accounting data'!K2:K65538,"681*"))</f>
        <v>0</v>
      </c>
      <c r="I16" s="348"/>
      <c r="J16" s="347">
        <f t="array" ref="J16">SUM(SUMIFS('Accounting data'!G2:G65538,'Accounting data'!H2:H65538,"1310-1399-C*",'Accounting data'!I2:I65538,{"1*","2*","3*","4*","5*","6*"},'Accounting data'!J2:J65538,"31*",'Accounting data'!K2:K65538,"689*"))+SUM(SUMIFS('Accounting data'!G2:G65538,'Accounting data'!H2:H65538,"1227*",'Accounting data'!I2:I65538,{"1*","2*","3*","4*","5*","6*"},'Accounting data'!J2:J65538,"31*",'Accounting data'!K2:K65538,"689*"))+SUM(SUMIFS('Accounting data'!G2:G65538,'Accounting data'!H2:H65538,"1228*",'Accounting data'!I2:I65538,{"1*","2*","3*","4*","5*","6*"},'Accounting data'!J2:J65538,"31*",'Accounting data'!K2:K65538,"689*"))</f>
        <v>0</v>
      </c>
      <c r="K16" s="347">
        <f t="array" ref="K16">SUM(SUMIFS('Accounting data'!G2:G65538,'Accounting data'!H2:H65538,"1310-1399-C*",'Accounting data'!I2:I65538,{"1*","2*","3*","4*","5*","6*"},'Accounting data'!J2:J65538,"31*",'Accounting data'!K2:K65538,"683*"))+SUM(SUMIFS('Accounting data'!G2:G65538,'Accounting data'!H2:H65538,"1227*",'Accounting data'!I2:I65538,{"1*","2*","3*","4*","5*","6*"},'Accounting data'!J2:J65538,"31*",'Accounting data'!K2:K65538,"683*"))+SUM(SUMIFS('Accounting data'!G2:G65538,'Accounting data'!H2:H65538,"1228*",'Accounting data'!I2:I65538,{"1*","2*","3*","4*","5*","6*"},'Accounting data'!J2:J65538,"31*",'Accounting data'!K2:K65538,"683*"))</f>
        <v>0</v>
      </c>
      <c r="L16" s="30">
        <v>0</v>
      </c>
      <c r="M16" s="347">
        <f t="array" ref="M16">SUM(SUMIFS('Accounting data'!G2:G65538,'Accounting data'!H2:H65538,"1310-1399-C*",'Accounting data'!I2:I65538,{"7*","8*","9*"},'Accounting data'!J2:J65538,"31*",'Accounting data'!K2:K65538,"6*"))-SUM(SUMIFS('Accounting data'!G2:G65538,'Accounting data'!H2:H65538,"1310-1399-C*",'Accounting data'!I2:I65538,{"7*","8*","9*"},'Accounting data'!J2:J65538,"31*",'Accounting data'!K2:K65538,"69*"))+SUM(SUMIFS('Accounting data'!G2:G65538,'Accounting data'!H2:H65538,"1227*",'Accounting data'!I2:I65538,{"7*","8*","9*"},'Accounting data'!J2:J65538,"31*",'Accounting data'!K2:K65538,"6*"))-SUM(SUMIFS('Accounting data'!G2:G65538,'Accounting data'!H2:H65538,"1227*",'Accounting data'!I2:I65538,{"7*","8*","9*"},'Accounting data'!J2:J65538,"31*",'Accounting data'!K2:K65538,"69*"))+SUM(SUMIFS('Accounting data'!G2:G65538,'Accounting data'!H2:H65538,"1228*",'Accounting data'!I2:I65538,{"7*","8*","9*"},'Accounting data'!J2:J65538,"31*",'Accounting data'!K2:K65538,"6*"))-SUM(SUMIFS('Accounting data'!G2:G65538,'Accounting data'!H2:H65538,"1228*",'Accounting data'!I2:I65538,{"7*","8*","9*"},'Accounting data'!J2:J65538,"31*",'Accounting data'!K2:K65538,"69*"))</f>
        <v>0</v>
      </c>
      <c r="N16" s="349">
        <f t="shared" si="0"/>
        <v>0</v>
      </c>
      <c r="O16" s="358"/>
    </row>
    <row r="17" spans="1:16" x14ac:dyDescent="0.3">
      <c r="A17" s="359" t="s">
        <v>430</v>
      </c>
      <c r="B17" s="360"/>
      <c r="C17" s="357" t="s">
        <v>38</v>
      </c>
      <c r="D17" s="347">
        <f t="array" ref="D17">SUM(SUMIFS('Accounting data'!G2:G65538,'Accounting data'!H2:H65538,"1310-1399-C*",'Accounting data'!I2:I65538,{"1*","2*","3*","4*","5*","6*"},'Accounting data'!J2:J65538,"34*",'Accounting data'!K2:K65538,"61*"))+SUM(SUMIFS('Accounting data'!G2:G65538,'Accounting data'!H2:H65538,"1227*",'Accounting data'!I2:I65538,{"1*","2*","3*","4*","5*","6*"},'Accounting data'!J2:J65538,"34*",'Accounting data'!K2:K65538,"61*"))+SUM(SUMIFS('Accounting data'!G2:G65538,'Accounting data'!H2:H65538,"1228*",'Accounting data'!I2:I65538,{"1*","2*","3*","4*","5*","6*"},'Accounting data'!J2:J65538,"34*",'Accounting data'!K2:K65538,"61*"))</f>
        <v>0</v>
      </c>
      <c r="E17" s="347">
        <f t="array" ref="E17">SUM(SUMIFS('Accounting data'!G2:G65538,'Accounting data'!H2:H65538,"1310-1399-C*",'Accounting data'!I2:I65538,{"1*","2*","3*","4*","5*","6*"},'Accounting data'!J2:J65538,"34*",'Accounting data'!K2:K65538,"62*"))+SUM(SUMIFS('Accounting data'!G2:G65538,'Accounting data'!H2:H65538,"1227*",'Accounting data'!I2:I65538,{"1*","2*","3*","4*","5*","6*"},'Accounting data'!J2:J65538,"34*",'Accounting data'!K2:K65538,"62*"))+SUM(SUMIFS('Accounting data'!G2:G65538,'Accounting data'!H2:H65538,"1228*",'Accounting data'!I2:I65538,{"1*","2*","3*","4*","5*","6*"},'Accounting data'!J2:J65538,"34*",'Accounting data'!K2:K65538,"62*"))</f>
        <v>0</v>
      </c>
      <c r="F17" s="347">
        <f t="array" ref="F17">SUM(SUMIFS('Accounting data'!G2:G65538,'Accounting data'!H2:H65538,"1310-1399-C*",'Accounting data'!I2:I65538,{"1*","2*","3*","4*","5*","6*"},'Accounting data'!J2:J65538,"34*",'Accounting data'!K2:K65538,"63*"))+SUM(SUMIFS('Accounting data'!G2:G65538,'Accounting data'!H2:H65538,"1227*",'Accounting data'!I2:I65538,{"1*","2*","3*","4*","5*","6*"},'Accounting data'!J2:J65538,"34*",'Accounting data'!K2:K65538,"63*"))+SUM(SUMIFS('Accounting data'!G2:G65538,'Accounting data'!H2:H65538,"1228*",'Accounting data'!I2:I65538,{"1*","2*","3*","4*","5*","6*"},'Accounting data'!J2:J65538,"34*",'Accounting data'!K2:K65538,"63*"))</f>
        <v>0</v>
      </c>
      <c r="G17" s="347">
        <f t="array" ref="G17">SUM(SUMIFS('Accounting data'!G2:G65538,'Accounting data'!H2:H65538,"1310-1399-C*",'Accounting data'!I2:I65538,{"1*","2*","3*","4*","5*","6*"},'Accounting data'!J2:J65538,"34*",'Accounting data'!K2:K65538,"66*"))+SUM(SUMIFS('Accounting data'!G2:G65538,'Accounting data'!H2:H65538,"1227*",'Accounting data'!I2:I65538,{"1*","2*","3*","4*","5*","6*"},'Accounting data'!J2:J65538,"34*",'Accounting data'!K2:K65538,"66*"))+SUM(SUMIFS('Accounting data'!G2:G65538,'Accounting data'!H2:H65538,"1228*",'Accounting data'!I2:I65538,{"1*","2*","3*","4*","5*","6*"},'Accounting data'!J2:J65538,"34*",'Accounting data'!K2:K65538,"66*"))</f>
        <v>0</v>
      </c>
      <c r="H17" s="347">
        <f t="array" ref="H17">SUM(SUMIFS('Accounting data'!G2:G65538,'Accounting data'!H2:H65538,"1310-1399-C*",'Accounting data'!I2:I65538,{"1*","2*","3*","4*","5*","6*"},'Accounting data'!J2:J65538,"34*",'Accounting data'!K2:K65538,"681*"))+SUM(SUMIFS('Accounting data'!G2:G65538,'Accounting data'!H2:H65538,"1227*",'Accounting data'!I2:I65538,{"1*","2*","3*","4*","5*","6*"},'Accounting data'!J2:J65538,"34*",'Accounting data'!K2:K65538,"681*"))+SUM(SUMIFS('Accounting data'!G2:G65538,'Accounting data'!H2:H65538,"1228*",'Accounting data'!I2:I65538,{"1*","2*","3*","4*","5*","6*"},'Accounting data'!J2:J65538,"34*",'Accounting data'!K2:K65538,"681*"))</f>
        <v>0</v>
      </c>
      <c r="I17" s="348"/>
      <c r="J17" s="347">
        <f t="array" ref="J17">SUM(SUMIFS('Accounting data'!G2:G65538,'Accounting data'!H2:H65538,"1310-1399-C*",'Accounting data'!I2:I65538,{"1*","2*","3*","4*","5*","6*"},'Accounting data'!J2:J65538,"34*",'Accounting data'!K2:K65538,"689*"))+SUM(SUMIFS('Accounting data'!G2:G65538,'Accounting data'!H2:H65538,"1227*",'Accounting data'!I2:I65538,{"1*","2*","3*","4*","5*","6*"},'Accounting data'!J2:J65538,"34*",'Accounting data'!K2:K65538,"689*"))+SUM(SUMIFS('Accounting data'!G2:G65538,'Accounting data'!H2:H65538,"1228*",'Accounting data'!I2:I65538,{"1*","2*","3*","4*","5*","6*"},'Accounting data'!J2:J65538,"34*",'Accounting data'!K2:K65538,"689*"))</f>
        <v>0</v>
      </c>
      <c r="K17" s="347">
        <f t="array" ref="K17">SUM(SUMIFS('Accounting data'!G2:G65538,'Accounting data'!H2:H65538,"1310-1399-C*",'Accounting data'!I2:I65538,{"1*","2*","3*","4*","5*","6*"},'Accounting data'!J2:J65538,"34*",'Accounting data'!K2:K65538,"683*"))+SUM(SUMIFS('Accounting data'!G2:G65538,'Accounting data'!H2:H65538,"1227*",'Accounting data'!I2:I65538,{"1*","2*","3*","4*","5*","6*"},'Accounting data'!J2:J65538,"34*",'Accounting data'!K2:K65538,"683*"))+SUM(SUMIFS('Accounting data'!G2:G65538,'Accounting data'!H2:H65538,"1228*",'Accounting data'!I2:I65538,{"1*","2*","3*","4*","5*","6*"},'Accounting data'!J2:J65538,"34*",'Accounting data'!K2:K65538,"683*"))</f>
        <v>0</v>
      </c>
      <c r="L17" s="30">
        <v>0</v>
      </c>
      <c r="M17" s="347">
        <f t="array" ref="M17">SUM(SUMIFS('Accounting data'!G2:G65538,'Accounting data'!H2:H65538,"1310-1399-C*",'Accounting data'!I2:I65538,{"7*","8*","9*"},'Accounting data'!J2:J65538,"34*",'Accounting data'!K2:K65538,"6*"))-SUM(SUMIFS('Accounting data'!G2:G65538,'Accounting data'!H2:H65538,"1310-1399-C*",'Accounting data'!I2:I65538,{"7*","8*","9*"},'Accounting data'!J2:J65538,"34*",'Accounting data'!K2:K65538,"69*"))+SUM(SUMIFS('Accounting data'!G2:G65538,'Accounting data'!H2:H65538,"1227*",'Accounting data'!I2:I65538,{"7*","8*","9*"},'Accounting data'!J2:J65538,"34*",'Accounting data'!K2:K65538,"6*"))-SUM(SUMIFS('Accounting data'!G2:G65538,'Accounting data'!H2:H65538,"1227*",'Accounting data'!I2:I65538,{"7*","8*","9*"},'Accounting data'!J2:J65538,"34*",'Accounting data'!K2:K65538,"69*"))+SUM(SUMIFS('Accounting data'!G2:G65538,'Accounting data'!H2:H65538,"1228*",'Accounting data'!I2:I65538,{"7*","8*","9*"},'Accounting data'!J2:J65538,"34*",'Accounting data'!K2:K65538,"6*"))-SUM(SUMIFS('Accounting data'!G2:G65538,'Accounting data'!H2:H65538,"1228*",'Accounting data'!I2:I65538,{"7*","8*","9*"},'Accounting data'!J2:J65538,"34*",'Accounting data'!K2:K65538,"69*"))</f>
        <v>0</v>
      </c>
      <c r="N17" s="349">
        <f t="shared" si="0"/>
        <v>0</v>
      </c>
      <c r="O17" s="358"/>
    </row>
    <row r="18" spans="1:16" x14ac:dyDescent="0.3">
      <c r="A18" s="361" t="s">
        <v>94</v>
      </c>
      <c r="B18" s="362"/>
      <c r="C18" s="363" t="s">
        <v>40</v>
      </c>
      <c r="D18" s="347">
        <f t="array" ref="D18">SUM(SUMIFS('Accounting data'!G2:G65538,'Accounting data'!H2:H65538,"1310-1399-C*",'Accounting data'!I2:I65538,{"1*","2*","3*","4*","5*","6*"},'Accounting data'!K2:K65538,"61*"))+SUM(SUMIFS('Accounting data'!G2:G65538,'Accounting data'!H2:H65538,"1227*",'Accounting data'!I2:I65538,{"1*","2*","3*","4*","5*","6*"},'Accounting data'!K2:K65538,"61*"))+SUM(SUMIFS('Accounting data'!G2:G65538,'Accounting data'!H2:H65538,"1228*",'Accounting data'!I2:I65538,{"1*","2*","3*","4*","5*","6*"},'Accounting data'!K2:K65538,"61*"))-SUM(D10:D17)</f>
        <v>0</v>
      </c>
      <c r="E18" s="347">
        <f t="array" ref="E18">SUM(SUMIFS('Accounting data'!G2:G65538,'Accounting data'!H2:H65538,"1310-1399-C*",'Accounting data'!I2:I65538,{"1*","2*","3*","4*","5*","6*"},'Accounting data'!K2:K65538,"62*"))+SUM(SUMIFS('Accounting data'!G2:G65538,'Accounting data'!H2:H65538,"1227*",'Accounting data'!I2:I65538,{"1*","2*","3*","4*","5*","6*"},'Accounting data'!K2:K65538,"62*"))+SUM(SUMIFS('Accounting data'!G2:G65538,'Accounting data'!H2:H65538,"1228*",'Accounting data'!I2:I65538,{"1*","2*","3*","4*","5*","6*"},'Accounting data'!K2:K65538,"62*"))-SUM(E10:E17)</f>
        <v>0</v>
      </c>
      <c r="F18" s="347">
        <f t="array" ref="F18">SUM(SUMIFS('Accounting data'!G2:G65538,'Accounting data'!H2:H65538,"1310-1399-C*",'Accounting data'!I2:I65538,{"1*","2*","3*","4*","5*","6*"},'Accounting data'!K2:K65538,"63*"))+SUM(SUMIFS('Accounting data'!G2:G65538,'Accounting data'!H2:H65538,"1227*",'Accounting data'!I2:I65538,{"1*","2*","3*","4*","5*","6*"},'Accounting data'!K2:K65538,"63*"))+SUM(SUMIFS('Accounting data'!G2:G65538,'Accounting data'!H2:H65538,"1228*",'Accounting data'!I2:I65538,{"1*","2*","3*","4*","5*","6*"},'Accounting data'!K2:K65538,"63*"))-SUM(F10:F17)</f>
        <v>0</v>
      </c>
      <c r="G18" s="347">
        <f t="array" ref="G18">SUM(SUMIFS('Accounting data'!G2:G65538,'Accounting data'!H2:H65538,"1310-1399-C*",'Accounting data'!I2:I65538,{"1*","2*","3*","4*","5*","6*"},'Accounting data'!K2:K65538,"66*"))+SUM(SUMIFS('Accounting data'!G2:G65538,'Accounting data'!H2:H65538,"1227*",'Accounting data'!I2:I65538,{"1*","2*","3*","4*","5*","6*"},'Accounting data'!K2:K65538,"66*"))+SUM(SUMIFS('Accounting data'!G2:G65538,'Accounting data'!H2:H65538,"1228*",'Accounting data'!I2:I65538,{"1*","2*","3*","4*","5*","6*"},'Accounting data'!K2:K65538,"66*"))-SUM(G10:G17)</f>
        <v>0</v>
      </c>
      <c r="H18" s="347">
        <f t="array" ref="H18">SUM(SUMIFS('Accounting data'!G2:G65538,'Accounting data'!H2:H65538,"1310-1399-C*",'Accounting data'!I2:I65538,{"1*","2*","3*","4*","5*","6*"},'Accounting data'!K2:K65538,"681*"))+SUM(SUMIFS('Accounting data'!G2:G65538,'Accounting data'!H2:H65538,"1227*",'Accounting data'!I2:I65538,{"1*","2*","3*","4*","5*","6*"},'Accounting data'!K2:K65538,"681*"))+SUM(SUMIFS('Accounting data'!G2:G65538,'Accounting data'!H2:H65538,"1228*",'Accounting data'!I2:I65538,{"1*","2*","3*","4*","5*","6*"},'Accounting data'!K2:K65538,"681*"))-SUM(H10:H17)</f>
        <v>0</v>
      </c>
      <c r="I18" s="348"/>
      <c r="J18" s="347">
        <f t="array" ref="J18">SUM(SUMIFS('Accounting data'!G2:G65538,'Accounting data'!H2:H65538,"1310-1399-C*",'Accounting data'!I2:I65538,{"1*","2*","3*","4*","5*","6*"},'Accounting data'!K2:K65538,"689*"))+SUM(SUMIFS('Accounting data'!G2:G65538,'Accounting data'!H2:H65538,"1227*",'Accounting data'!I2:I65538,{"1*","2*","3*","4*","5*","6*"},'Accounting data'!K2:K65538,"689*"))+SUM(SUMIFS('Accounting data'!G2:G65538,'Accounting data'!H2:H65538,"1228*",'Accounting data'!I2:I65538,{"1*","2*","3*","4*","5*","6*"},'Accounting data'!K2:K65538,"689*"))-SUM(J10:J17)</f>
        <v>0</v>
      </c>
      <c r="K18" s="347">
        <f t="array" ref="K18">SUM(SUMIFS('Accounting data'!G2:G65538,'Accounting data'!H2:H65538,"1310-1399-C*",'Accounting data'!I2:I65538,{"1*","2*","3*","4*","5*","6*"},'Accounting data'!K2:K65538,"683*"))+SUM(SUMIFS('Accounting data'!G2:G65538,'Accounting data'!H2:H65538,"1227*",'Accounting data'!I2:I65538,{"1*","2*","3*","4*","5*","6*"},'Accounting data'!K2:K65538,"683*"))+SUM(SUMIFS('Accounting data'!G2:G65538,'Accounting data'!H2:H65538,"1228*",'Accounting data'!I2:I65538,{"1*","2*","3*","4*","5*","6*"},'Accounting data'!K2:K65538,"683*"))-SUM(K10:K17)</f>
        <v>0</v>
      </c>
      <c r="L18" s="30">
        <v>0</v>
      </c>
      <c r="M18" s="347">
        <f t="array" ref="M18">SUM(SUMIFS('Accounting data'!G2:G65538,'Accounting data'!H2:H65538,"1310-1399-C*",'Accounting data'!I2:I65538,{"7*","8*","9*"},'Accounting data'!K2:K65538,"6*"))-SUM(SUMIFS('Accounting data'!G2:G65538,'Accounting data'!H2:H65538,"1310-1399-C*",'Accounting data'!I2:I65538,{"7*","8*","9*"},'Accounting data'!K2:K65538,"69*"))+SUM(SUMIFS('Accounting data'!G2:G65538,'Accounting data'!H2:H65538,"1227*",'Accounting data'!I2:I65538,{"7*","8*","9*"},'Accounting data'!K2:K65538,"6*"))-SUM(SUMIFS('Accounting data'!G2:G65538,'Accounting data'!H2:H65538,"1227*",'Accounting data'!I2:I65538,{"7*","8*","9*"},'Accounting data'!K2:K65538,"69*"))+SUM(SUMIFS('Accounting data'!G2:G65538,'Accounting data'!H2:H65538,"1228*",'Accounting data'!I2:I65538,{"7*","8*","9*"},'Accounting data'!K2:K65538,"6*"))-SUM(SUMIFS('Accounting data'!G2:G65538,'Accounting data'!H2:H65538,"1228*",'Accounting data'!I2:I65538,{"7*","8*","9*"},'Accounting data'!K2:K65538,"69*"))-SUM(M10:M17)</f>
        <v>0</v>
      </c>
      <c r="N18" s="349">
        <f t="shared" si="0"/>
        <v>0</v>
      </c>
      <c r="O18" s="358"/>
    </row>
    <row r="19" spans="1:16" x14ac:dyDescent="0.3">
      <c r="A19" s="364" t="s">
        <v>431</v>
      </c>
      <c r="B19" s="365"/>
      <c r="C19" s="366" t="s">
        <v>42</v>
      </c>
      <c r="D19" s="367">
        <f>SUM(D10:D18)</f>
        <v>0</v>
      </c>
      <c r="E19" s="367">
        <f t="shared" ref="E19:M19" si="1">SUM(E10:E18)</f>
        <v>0</v>
      </c>
      <c r="F19" s="367">
        <f t="shared" si="1"/>
        <v>0</v>
      </c>
      <c r="G19" s="367">
        <f t="shared" si="1"/>
        <v>0</v>
      </c>
      <c r="H19" s="367">
        <f t="shared" si="1"/>
        <v>0</v>
      </c>
      <c r="I19" s="367">
        <f t="shared" si="1"/>
        <v>0</v>
      </c>
      <c r="J19" s="367">
        <f t="shared" si="1"/>
        <v>0</v>
      </c>
      <c r="K19" s="367">
        <f t="shared" si="1"/>
        <v>0</v>
      </c>
      <c r="L19" s="367">
        <f t="shared" si="1"/>
        <v>0</v>
      </c>
      <c r="M19" s="367">
        <f t="shared" si="1"/>
        <v>0</v>
      </c>
      <c r="N19" s="349">
        <f t="shared" si="0"/>
        <v>0</v>
      </c>
      <c r="O19" s="358"/>
    </row>
    <row r="20" spans="1:16" x14ac:dyDescent="0.3">
      <c r="H20" s="318"/>
      <c r="I20" s="318"/>
      <c r="J20" s="318"/>
      <c r="K20" s="318"/>
      <c r="L20" s="368"/>
    </row>
    <row r="21" spans="1:16" ht="34.5" customHeight="1" x14ac:dyDescent="0.3">
      <c r="A21" s="912" t="s">
        <v>432</v>
      </c>
      <c r="B21" s="913"/>
      <c r="C21" s="914"/>
      <c r="D21" s="605" t="s">
        <v>433</v>
      </c>
      <c r="E21" s="31" t="s">
        <v>434</v>
      </c>
      <c r="G21" s="369" t="s">
        <v>435</v>
      </c>
      <c r="H21" s="370"/>
      <c r="I21" s="370"/>
      <c r="J21" s="371"/>
      <c r="L21" s="372" t="s">
        <v>436</v>
      </c>
      <c r="M21" s="373"/>
      <c r="N21" s="373"/>
      <c r="O21" s="374"/>
    </row>
    <row r="22" spans="1:16" x14ac:dyDescent="0.3">
      <c r="A22" s="375" t="s">
        <v>437</v>
      </c>
      <c r="B22" s="376"/>
      <c r="C22" s="377"/>
      <c r="D22" s="32">
        <v>0</v>
      </c>
      <c r="E22" s="33">
        <v>0</v>
      </c>
      <c r="G22" s="378" t="s">
        <v>438</v>
      </c>
      <c r="H22" s="379"/>
      <c r="I22" s="380"/>
      <c r="J22" s="32">
        <v>0</v>
      </c>
      <c r="L22" s="378" t="s">
        <v>439</v>
      </c>
      <c r="M22" s="379"/>
      <c r="N22" s="380"/>
      <c r="O22" s="34">
        <f>ROUND(SUM(SUMIFS('Accounting data'!G2:G65538,'Accounting data'!H2:H65538,"1310-1399-C*",'Accounting data'!K2:K65538,"69*")),0)+ROUND(SUM(SUMIFS('Accounting data'!G2:G65538,'Accounting data'!H2:H65538,"1227*",'Accounting data'!K2:K65538,"69*")),0)+ROUND(SUM(SUMIFS('Accounting data'!G2:G65538,'Accounting data'!H2:H65538,"1228*",'Accounting data'!K2:K65538,"69*")),0)</f>
        <v>0</v>
      </c>
    </row>
    <row r="23" spans="1:16" x14ac:dyDescent="0.3">
      <c r="A23" s="378" t="s">
        <v>440</v>
      </c>
      <c r="B23" s="379"/>
      <c r="C23" s="380"/>
      <c r="D23" s="32">
        <v>0</v>
      </c>
      <c r="E23" s="43">
        <v>0</v>
      </c>
      <c r="G23" s="381" t="s">
        <v>441</v>
      </c>
      <c r="H23" s="382"/>
      <c r="I23" s="380"/>
      <c r="J23" s="32">
        <v>0</v>
      </c>
    </row>
    <row r="24" spans="1:16" x14ac:dyDescent="0.3">
      <c r="A24" s="378" t="s">
        <v>442</v>
      </c>
      <c r="B24" s="379"/>
      <c r="C24" s="383"/>
      <c r="D24" s="32">
        <v>0</v>
      </c>
      <c r="E24" s="541">
        <v>0</v>
      </c>
      <c r="G24" s="577" t="s">
        <v>443</v>
      </c>
      <c r="H24" s="578"/>
      <c r="I24" s="380"/>
      <c r="J24" s="32">
        <v>0</v>
      </c>
      <c r="L24" s="369" t="s">
        <v>444</v>
      </c>
      <c r="M24" s="370"/>
      <c r="N24" s="370"/>
      <c r="O24" s="371"/>
    </row>
    <row r="25" spans="1:16" x14ac:dyDescent="0.3">
      <c r="A25" s="378" t="s">
        <v>445</v>
      </c>
      <c r="B25" s="379"/>
      <c r="C25" s="383"/>
      <c r="D25" s="32">
        <v>0</v>
      </c>
      <c r="E25" s="541">
        <v>0</v>
      </c>
      <c r="G25" s="577" t="s">
        <v>446</v>
      </c>
      <c r="H25" s="578"/>
      <c r="I25" s="380"/>
      <c r="J25" s="32">
        <v>0</v>
      </c>
      <c r="L25" s="385" t="s">
        <v>447</v>
      </c>
      <c r="M25" s="386"/>
      <c r="N25" s="383"/>
      <c r="O25" s="32">
        <v>0</v>
      </c>
    </row>
    <row r="26" spans="1:16" x14ac:dyDescent="0.3">
      <c r="A26" s="378" t="s">
        <v>448</v>
      </c>
      <c r="B26" s="379"/>
      <c r="C26" s="383"/>
      <c r="D26" s="32">
        <v>0</v>
      </c>
      <c r="E26" s="541">
        <v>0</v>
      </c>
      <c r="G26" s="577" t="s">
        <v>449</v>
      </c>
      <c r="H26" s="578"/>
      <c r="I26" s="380"/>
      <c r="J26" s="32">
        <v>0</v>
      </c>
      <c r="L26" s="385" t="s">
        <v>450</v>
      </c>
      <c r="M26" s="386"/>
      <c r="N26" s="383"/>
      <c r="O26" s="32">
        <v>0</v>
      </c>
    </row>
    <row r="27" spans="1:16" x14ac:dyDescent="0.3">
      <c r="A27" s="387" t="s">
        <v>451</v>
      </c>
      <c r="B27" s="388"/>
      <c r="C27" s="389"/>
      <c r="D27" s="32">
        <v>0</v>
      </c>
      <c r="E27" s="33">
        <v>0</v>
      </c>
      <c r="L27" s="385" t="s">
        <v>452</v>
      </c>
      <c r="M27" s="386"/>
      <c r="N27" s="383"/>
      <c r="O27" s="32">
        <v>0</v>
      </c>
    </row>
    <row r="28" spans="1:16" x14ac:dyDescent="0.3">
      <c r="A28" s="390" t="s">
        <v>453</v>
      </c>
      <c r="B28" s="391"/>
      <c r="C28" s="392"/>
      <c r="D28" s="35">
        <v>0</v>
      </c>
      <c r="E28" s="384">
        <f>D28</f>
        <v>0</v>
      </c>
      <c r="L28" s="319"/>
      <c r="M28" s="319"/>
      <c r="N28" s="319"/>
      <c r="O28" s="36"/>
    </row>
    <row r="29" spans="1:16" x14ac:dyDescent="0.3">
      <c r="A29" s="915"/>
      <c r="B29" s="915"/>
      <c r="C29" s="915"/>
      <c r="D29" s="393"/>
    </row>
    <row r="30" spans="1:16" ht="15" customHeight="1" x14ac:dyDescent="0.3">
      <c r="A30" s="328"/>
      <c r="B30" s="328"/>
      <c r="C30" s="328"/>
      <c r="D30" s="328"/>
      <c r="G30" s="369" t="s">
        <v>454</v>
      </c>
      <c r="H30" s="370"/>
      <c r="I30" s="370"/>
      <c r="J30" s="371"/>
      <c r="L30" s="939" t="str">
        <f>IF(OR(D19&lt;0,E19&lt;0,F19&lt;0,G19&lt;0,H19&lt;0,J19&lt;0,K19&lt;0,L19&lt;0,M19&lt;0,N19&lt;0),"Line 9 in the current expenses table should not contain negative amounts. Click the instruction link in cell A18 for more information.","")</f>
        <v/>
      </c>
      <c r="M30" s="939" t="str">
        <f t="shared" ref="M30:P32" si="2">IF(OR(E19&lt;0,F19&lt;0,G19&lt;0,H19&lt;0,I19&lt;0,K19&lt;0,L19&lt;0,M19&lt;0,N19&lt;0,O19&lt;0),"Table A, line 9 should not contain negative amounts. Click the the instruction link in cell A18 for more information.","")</f>
        <v/>
      </c>
      <c r="N30" s="939" t="str">
        <f t="shared" si="2"/>
        <v/>
      </c>
      <c r="O30" s="939" t="str">
        <f t="shared" si="2"/>
        <v/>
      </c>
      <c r="P30" s="939" t="str">
        <f t="shared" si="2"/>
        <v/>
      </c>
    </row>
    <row r="31" spans="1:16" ht="15" customHeight="1" x14ac:dyDescent="0.3">
      <c r="E31" s="394"/>
      <c r="G31" s="395" t="s">
        <v>455</v>
      </c>
      <c r="H31" s="379"/>
      <c r="I31" s="379"/>
      <c r="J31" s="396">
        <f>ROUND(SUMIFS('Accounting data'!G2:G65538,'Accounting data'!H2:H65538,"1310-1399-C*",'Accounting data'!K2:K65538,"685*"),0)</f>
        <v>0</v>
      </c>
      <c r="L31" s="939" t="str">
        <f>IF(OR(D20&lt;0,E20&lt;0,F20&lt;0,G20&lt;0,H20&lt;0,J20&lt;0,K20&lt;0,L20&lt;0,M20&lt;0,N20&lt;0),"Table A, line 9 should not contain negative amounts. Click the the instruction link in cell A18 for more information.","")</f>
        <v/>
      </c>
      <c r="M31" s="939" t="str">
        <f t="shared" si="2"/>
        <v/>
      </c>
      <c r="N31" s="939" t="str">
        <f t="shared" si="2"/>
        <v/>
      </c>
      <c r="O31" s="939" t="str">
        <f t="shared" si="2"/>
        <v/>
      </c>
      <c r="P31" s="939" t="str">
        <f t="shared" si="2"/>
        <v/>
      </c>
    </row>
    <row r="32" spans="1:16" ht="15" customHeight="1" x14ac:dyDescent="0.3">
      <c r="E32" s="350"/>
      <c r="G32" s="395" t="s">
        <v>456</v>
      </c>
      <c r="H32" s="379"/>
      <c r="I32" s="379"/>
      <c r="J32" s="32">
        <v>0</v>
      </c>
      <c r="L32" s="939" t="str">
        <f>IF(OR(D21&lt;0,E21&lt;0,F21&lt;0,G21&lt;0,H21&lt;0,J21&lt;0,K21&lt;0,L21&lt;0,M21&lt;0,N21&lt;0),"Table A, line 9 should not contain negative amounts. Click the the instruction link in cell A18 for more information.","")</f>
        <v/>
      </c>
      <c r="M32" s="939" t="str">
        <f t="shared" si="2"/>
        <v/>
      </c>
      <c r="N32" s="939" t="str">
        <f t="shared" si="2"/>
        <v/>
      </c>
      <c r="O32" s="939" t="str">
        <f t="shared" si="2"/>
        <v/>
      </c>
      <c r="P32" s="939" t="str">
        <f t="shared" si="2"/>
        <v/>
      </c>
    </row>
    <row r="33" spans="1:28" ht="12.75" customHeight="1" x14ac:dyDescent="0.3">
      <c r="E33" s="397"/>
      <c r="K33" s="398"/>
      <c r="L33" s="37"/>
      <c r="M33" s="37"/>
      <c r="N33" s="38"/>
      <c r="O33" s="37"/>
      <c r="AB33" s="325" t="s">
        <v>457</v>
      </c>
    </row>
    <row r="34" spans="1:28" ht="11.25" customHeight="1" x14ac:dyDescent="0.3">
      <c r="E34" s="399"/>
      <c r="G34" s="319"/>
      <c r="M34" s="400"/>
      <c r="N34" s="401"/>
      <c r="O34" s="401"/>
    </row>
    <row r="35" spans="1:28" ht="37.5" customHeight="1" x14ac:dyDescent="0.3">
      <c r="A35" s="919" t="s">
        <v>458</v>
      </c>
      <c r="B35" s="920"/>
      <c r="C35" s="921"/>
      <c r="D35" s="941" t="s">
        <v>459</v>
      </c>
      <c r="E35" s="943" t="s">
        <v>1327</v>
      </c>
      <c r="F35" s="943" t="s">
        <v>1328</v>
      </c>
      <c r="G35" s="941" t="s">
        <v>460</v>
      </c>
      <c r="J35" s="369" t="s">
        <v>461</v>
      </c>
      <c r="K35" s="55"/>
      <c r="L35" s="55"/>
      <c r="M35" s="55"/>
      <c r="N35" s="56"/>
      <c r="R35" s="318"/>
      <c r="V35" s="324"/>
    </row>
    <row r="36" spans="1:28" ht="25.5" customHeight="1" x14ac:dyDescent="0.3">
      <c r="A36" s="922"/>
      <c r="B36" s="832"/>
      <c r="C36" s="923"/>
      <c r="D36" s="942"/>
      <c r="E36" s="944"/>
      <c r="F36" s="944"/>
      <c r="G36" s="942"/>
      <c r="J36" s="924" t="s">
        <v>462</v>
      </c>
      <c r="K36" s="925"/>
      <c r="L36" s="925"/>
      <c r="M36" s="926"/>
      <c r="N36" s="406">
        <v>575100</v>
      </c>
      <c r="Q36" s="39"/>
      <c r="R36" s="40"/>
      <c r="V36" s="324"/>
    </row>
    <row r="37" spans="1:28" ht="12.75" customHeight="1" x14ac:dyDescent="0.3">
      <c r="A37" s="41" t="s">
        <v>463</v>
      </c>
      <c r="B37" s="42"/>
      <c r="C37" s="42"/>
      <c r="D37" s="43">
        <v>93613</v>
      </c>
      <c r="E37" s="43">
        <v>93613</v>
      </c>
      <c r="F37" s="348"/>
      <c r="G37" s="348"/>
      <c r="J37" s="924" t="s">
        <v>464</v>
      </c>
      <c r="K37" s="925"/>
      <c r="L37" s="925"/>
      <c r="M37" s="926"/>
      <c r="N37" s="406">
        <v>575100</v>
      </c>
      <c r="R37" s="318"/>
      <c r="V37" s="324"/>
    </row>
    <row r="38" spans="1:28" ht="12.75" customHeight="1" x14ac:dyDescent="0.3">
      <c r="A38" s="41" t="s">
        <v>465</v>
      </c>
      <c r="B38" s="42"/>
      <c r="C38" s="42"/>
      <c r="D38" s="43">
        <v>354197</v>
      </c>
      <c r="E38" s="43">
        <v>354197</v>
      </c>
      <c r="F38" s="43">
        <v>0</v>
      </c>
      <c r="G38" s="367">
        <f>ROUND(D38-E38-F38,0)</f>
        <v>0</v>
      </c>
      <c r="J38" s="924" t="s">
        <v>466</v>
      </c>
      <c r="K38" s="925"/>
      <c r="L38" s="925"/>
      <c r="M38" s="926"/>
      <c r="N38" s="406">
        <v>575100</v>
      </c>
      <c r="R38" s="318"/>
      <c r="V38" s="324"/>
    </row>
    <row r="39" spans="1:28" ht="12.75" customHeight="1" x14ac:dyDescent="0.3">
      <c r="A39" s="41" t="s">
        <v>467</v>
      </c>
      <c r="B39" s="42"/>
      <c r="C39" s="42"/>
      <c r="D39" s="43">
        <v>872298</v>
      </c>
      <c r="E39" s="43">
        <v>872298</v>
      </c>
      <c r="F39" s="43">
        <v>0</v>
      </c>
      <c r="G39" s="367">
        <f>ROUND(D39-E39-F39,0)</f>
        <v>0</v>
      </c>
      <c r="J39" s="916" t="s">
        <v>468</v>
      </c>
      <c r="K39" s="917"/>
      <c r="L39" s="917"/>
      <c r="M39" s="918"/>
      <c r="N39" s="407">
        <v>0</v>
      </c>
      <c r="R39" s="318"/>
      <c r="V39" s="324"/>
    </row>
    <row r="40" spans="1:28" ht="12.75" customHeight="1" x14ac:dyDescent="0.3">
      <c r="A40" s="41" t="s">
        <v>469</v>
      </c>
      <c r="B40" s="42"/>
      <c r="C40" s="42"/>
      <c r="D40" s="43">
        <v>0</v>
      </c>
      <c r="E40" s="43">
        <v>0</v>
      </c>
      <c r="F40" s="43">
        <v>0</v>
      </c>
      <c r="G40" s="367">
        <f>ROUND(D40-E40-F40,0)</f>
        <v>0</v>
      </c>
      <c r="J40" s="916" t="s">
        <v>470</v>
      </c>
      <c r="K40" s="917"/>
      <c r="L40" s="917"/>
      <c r="M40" s="918"/>
      <c r="N40" s="408">
        <f>ROUND(N36-N37-N39,0)</f>
        <v>0</v>
      </c>
      <c r="R40" s="318"/>
      <c r="V40" s="324"/>
    </row>
    <row r="41" spans="1:28" ht="12.75" customHeight="1" x14ac:dyDescent="0.3">
      <c r="A41" s="41" t="s">
        <v>471</v>
      </c>
      <c r="B41" s="42"/>
      <c r="C41" s="42"/>
      <c r="D41" s="43">
        <v>47550</v>
      </c>
      <c r="E41" s="43">
        <v>47550</v>
      </c>
      <c r="F41" s="43">
        <v>0</v>
      </c>
      <c r="G41" s="367">
        <f>ROUND(D41-E41-F41,0)</f>
        <v>0</v>
      </c>
    </row>
    <row r="42" spans="1:28" ht="12.75" customHeight="1" x14ac:dyDescent="0.3">
      <c r="A42" s="44" t="s">
        <v>472</v>
      </c>
      <c r="B42" s="42"/>
      <c r="C42" s="42"/>
      <c r="D42" s="43">
        <v>2120</v>
      </c>
      <c r="E42" s="43">
        <v>2120</v>
      </c>
      <c r="F42" s="43">
        <v>0</v>
      </c>
      <c r="G42" s="367">
        <f>ROUND(D42-E42-F42,0)</f>
        <v>0</v>
      </c>
    </row>
    <row r="43" spans="1:28" ht="12.75" customHeight="1" x14ac:dyDescent="0.3">
      <c r="A43" s="907" t="s">
        <v>473</v>
      </c>
      <c r="B43" s="908"/>
      <c r="C43" s="909"/>
      <c r="D43" s="402">
        <f>ROUND(SUM(D37:D42),0)</f>
        <v>1369778</v>
      </c>
      <c r="E43" s="402">
        <f>ROUND(SUM(E37:E42),0)</f>
        <v>1369778</v>
      </c>
      <c r="F43" s="402">
        <f>ROUND(SUM(F37:F42),0)</f>
        <v>0</v>
      </c>
      <c r="G43" s="402">
        <f>ROUND(SUM(G37:G42),0)</f>
        <v>0</v>
      </c>
    </row>
    <row r="44" spans="1:28" x14ac:dyDescent="0.3">
      <c r="F44" s="403"/>
    </row>
    <row r="45" spans="1:28" x14ac:dyDescent="0.3">
      <c r="E45" s="684" t="s">
        <v>1367</v>
      </c>
      <c r="F45" s="45">
        <f>ROUND(N19+O22+O25+O26+O27+J31+J32,0)</f>
        <v>0</v>
      </c>
      <c r="H45" s="910" t="str">
        <f>IF(OR(G37&lt;0,G38&lt;0,G39&lt;0,G40&lt;0,G41&lt;0,G42&lt;0,G43&lt;0),"Column G should not contain negative amounts. Click the instruction link in cell G36 for more information.","")</f>
        <v/>
      </c>
      <c r="I45" s="911"/>
      <c r="J45" s="911"/>
      <c r="K45" s="911"/>
    </row>
    <row r="46" spans="1:28" ht="12.75" customHeight="1" x14ac:dyDescent="0.3">
      <c r="A46" s="404"/>
      <c r="B46" s="404"/>
      <c r="C46" s="405"/>
      <c r="F46" s="910" t="str">
        <f>IF(F45&lt;&gt;F43,"Total in cell F43 should agree to amount in cell F45","")</f>
        <v/>
      </c>
      <c r="G46" s="910"/>
      <c r="H46" s="911"/>
      <c r="I46" s="911"/>
      <c r="J46" s="911"/>
      <c r="K46" s="911"/>
    </row>
    <row r="47" spans="1:28" ht="12.75" customHeight="1" x14ac:dyDescent="0.3">
      <c r="A47" s="404"/>
      <c r="B47" s="404"/>
      <c r="C47" s="405"/>
      <c r="F47" s="910"/>
      <c r="G47" s="910"/>
      <c r="H47" s="911"/>
      <c r="I47" s="911"/>
      <c r="J47" s="911"/>
      <c r="K47" s="911"/>
    </row>
    <row r="48" spans="1:28" ht="12.75" customHeight="1" x14ac:dyDescent="0.3">
      <c r="A48" s="405"/>
      <c r="B48" s="405"/>
      <c r="C48" s="405"/>
      <c r="F48" s="910"/>
      <c r="G48" s="910"/>
      <c r="H48" s="911"/>
      <c r="I48" s="911"/>
      <c r="J48" s="911"/>
      <c r="K48" s="911"/>
    </row>
    <row r="49" spans="1:7" ht="12.75" customHeight="1" x14ac:dyDescent="0.3">
      <c r="A49" s="405"/>
      <c r="B49" s="405"/>
      <c r="C49" s="405"/>
      <c r="F49" s="910"/>
      <c r="G49" s="910"/>
    </row>
  </sheetData>
  <sheetProtection sheet="1" objects="1" scenarios="1"/>
  <mergeCells count="22">
    <mergeCell ref="B1:E1"/>
    <mergeCell ref="H1:I1"/>
    <mergeCell ref="D35:D36"/>
    <mergeCell ref="E35:E36"/>
    <mergeCell ref="F35:F36"/>
    <mergeCell ref="G35:G36"/>
    <mergeCell ref="A5:A6"/>
    <mergeCell ref="D5:L5"/>
    <mergeCell ref="N5:N9"/>
    <mergeCell ref="A8:C9"/>
    <mergeCell ref="L30:P32"/>
    <mergeCell ref="A43:C43"/>
    <mergeCell ref="H45:K48"/>
    <mergeCell ref="F46:G49"/>
    <mergeCell ref="A21:C21"/>
    <mergeCell ref="A29:C29"/>
    <mergeCell ref="J40:M40"/>
    <mergeCell ref="A35:C36"/>
    <mergeCell ref="J36:M36"/>
    <mergeCell ref="J37:M37"/>
    <mergeCell ref="J38:M38"/>
    <mergeCell ref="J39:M39"/>
  </mergeCells>
  <conditionalFormatting sqref="B1:E1">
    <cfRule type="expression" dxfId="35" priority="42" stopIfTrue="1">
      <formula>B1=""</formula>
    </cfRule>
  </conditionalFormatting>
  <conditionalFormatting sqref="D22:D28">
    <cfRule type="expression" dxfId="34" priority="24" stopIfTrue="1">
      <formula>D22=""</formula>
    </cfRule>
  </conditionalFormatting>
  <conditionalFormatting sqref="D37:E42 F38:F42">
    <cfRule type="expression" dxfId="33" priority="5" stopIfTrue="1">
      <formula>D37=""</formula>
    </cfRule>
  </conditionalFormatting>
  <conditionalFormatting sqref="E22:E27">
    <cfRule type="expression" dxfId="32" priority="18" stopIfTrue="1">
      <formula>E22=""</formula>
    </cfRule>
  </conditionalFormatting>
  <conditionalFormatting sqref="G38:G42">
    <cfRule type="cellIs" dxfId="31" priority="8" stopIfTrue="1" operator="lessThan">
      <formula>0</formula>
    </cfRule>
  </conditionalFormatting>
  <conditionalFormatting sqref="H1:I1">
    <cfRule type="expression" dxfId="30" priority="41" stopIfTrue="1">
      <formula>H1=""</formula>
    </cfRule>
  </conditionalFormatting>
  <conditionalFormatting sqref="J22:J26">
    <cfRule type="expression" dxfId="29" priority="13" stopIfTrue="1">
      <formula>J22=""</formula>
    </cfRule>
  </conditionalFormatting>
  <conditionalFormatting sqref="J32">
    <cfRule type="expression" dxfId="28" priority="12" stopIfTrue="1">
      <formula>J32=""</formula>
    </cfRule>
  </conditionalFormatting>
  <conditionalFormatting sqref="L1">
    <cfRule type="expression" dxfId="27" priority="40" stopIfTrue="1">
      <formula>L1=""</formula>
    </cfRule>
  </conditionalFormatting>
  <conditionalFormatting sqref="L10:L18">
    <cfRule type="expression" dxfId="26" priority="31" stopIfTrue="1">
      <formula>L10=""</formula>
    </cfRule>
  </conditionalFormatting>
  <conditionalFormatting sqref="N36:N39">
    <cfRule type="expression" dxfId="25" priority="1" stopIfTrue="1">
      <formula>N36=""</formula>
    </cfRule>
  </conditionalFormatting>
  <conditionalFormatting sqref="O25:O27">
    <cfRule type="expression" dxfId="24"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dataValidation type="whole" allowBlank="1" showInputMessage="1" showErrorMessage="1" errorTitle="Input error" error="The amount entered should be rounded to the nearest dollar and should not exceed the remaining Other funds balance (column D minus columns E and F)." sqref="F4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formula1>0</formula1>
      <formula2>D39-E39-#REF!</formula2>
    </dataValidation>
  </dataValidations>
  <hyperlinks>
    <hyperlink ref="A18" location="Page10OtherLine" display="Other"/>
    <hyperlink ref="A21:C21" location="Page10TechDetail" display="Technology related expenses from COVID-19 federal relief projects"/>
    <hyperlink ref="A28" location="Page10TechDetailLine7" display="7. 6641-43 Software reported in library books, textbooks, or instructional aids "/>
    <hyperlink ref="L8:L9" location="Page10PropertyDisbursement" display="Property"/>
    <hyperlink ref="L24" location="Page10PropertyDisbursementDetail" display="Property disbursements from COVID-19 federal relief projects"/>
    <hyperlink ref="G21" location="Page10PropertyDisbursementDetail" display="Property disbursement detail for COVID-19 federal relief projects"/>
    <hyperlink ref="G30" location="Page10DebtServiceDetail" display="Debt service detail for COVID-19 federal relief projects"/>
    <hyperlink ref="A37" location="Page10ProjectsLine1" display="1. Elementary and Secondary School Emergency Relief Funds (ESSER I)"/>
    <hyperlink ref="A38" location="Page10ProjectsLine2" display="2. Elementary and Secondary School Emergency Relief Funds (ESSER II)"/>
    <hyperlink ref="A39" location="Page10ProjectsLine3" display="3. Elementary and Secondary School Emergency Relief Funds (ESSER III)"/>
    <hyperlink ref="A40" location="Page10ProjectsLine4" display="4. Governor’s Emergency Education Relief Funds (GEER) - includes Acceleration Academies Program"/>
    <hyperlink ref="A41" location="Page10ProjectsLine5" display="5. Coronavirus Relief Fund (CRF)—Enrollment Stability Grant (ESG) Program"/>
    <hyperlink ref="A42" location="Page10ProjectsLine6" display="6. Other COVID-19 Federal Relief Funds"/>
    <hyperlink ref="D35:D36" location="Page10TotalAward" display="Page10TotalAward"/>
    <hyperlink ref="E35:E36" location="Page10FY20to23Exp" display="Page10FY20to23Exp"/>
    <hyperlink ref="F35:F36" location="Page10FY24Exp" display="Page10FY24Exp"/>
    <hyperlink ref="G35:G36" location="Page10Remaining" display="Page10Remaining"/>
    <hyperlink ref="J35" location="Page10PPP" display="Paycheck Protection Program"/>
    <hyperlink ref="A35:C36" location="Page10projects" display="COVID-19 federal relief projects"/>
    <hyperlink ref="A3" location="Page10General" display="Instruction"/>
  </hyperlinks>
  <pageMargins left="0.7" right="0.7" top="0.75" bottom="0.75" header="0.3" footer="0.3"/>
  <pageSetup scale="48" orientation="landscape"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3"/>
  <sheetViews>
    <sheetView showGridLines="0" workbookViewId="0">
      <selection sqref="A1:B1"/>
    </sheetView>
  </sheetViews>
  <sheetFormatPr defaultColWidth="9.296875" defaultRowHeight="13" x14ac:dyDescent="0.3"/>
  <cols>
    <col min="1" max="1" width="2.69921875" bestFit="1" customWidth="1"/>
    <col min="2" max="2" width="21.3984375" customWidth="1"/>
    <col min="3" max="3" width="18.09765625" customWidth="1"/>
    <col min="4" max="4" width="18.296875" customWidth="1"/>
    <col min="5" max="5" width="17.19921875" customWidth="1"/>
    <col min="6" max="7" width="15.796875" customWidth="1"/>
    <col min="8" max="8" width="3.19921875" customWidth="1"/>
    <col min="9" max="9" width="3.69921875" bestFit="1" customWidth="1"/>
    <col min="10" max="10" width="12.296875" customWidth="1"/>
    <col min="11" max="11" width="10.796875" customWidth="1"/>
    <col min="12" max="12" width="11.296875" customWidth="1"/>
    <col min="13" max="13" width="15.796875" customWidth="1"/>
    <col min="14" max="14" width="3.69921875" customWidth="1"/>
    <col min="15" max="15" width="15.796875" customWidth="1"/>
    <col min="16" max="16" width="3.69921875" bestFit="1" customWidth="1"/>
    <col min="17" max="17" width="9.296875" customWidth="1"/>
  </cols>
  <sheetData>
    <row r="1" spans="1:18" x14ac:dyDescent="0.3">
      <c r="A1" s="801" t="s">
        <v>0</v>
      </c>
      <c r="B1" s="801"/>
      <c r="C1" s="809" t="str">
        <f>'Cover Page'!$D$1</f>
        <v>Mexicayotl Academy, Inc</v>
      </c>
      <c r="D1" s="809"/>
      <c r="G1" s="57" t="s">
        <v>1</v>
      </c>
      <c r="H1" s="57"/>
      <c r="I1" s="809" t="str">
        <f>'Cover Page'!$M$1</f>
        <v>Santa Cruz</v>
      </c>
      <c r="J1" s="809"/>
      <c r="K1" s="64"/>
      <c r="M1" s="950" t="s">
        <v>2</v>
      </c>
      <c r="N1" s="950"/>
      <c r="O1" s="2" t="str">
        <f>'Cover Page'!$R$1</f>
        <v>128703000</v>
      </c>
    </row>
    <row r="2" spans="1:18" ht="13" customHeight="1" x14ac:dyDescent="0.3">
      <c r="B2" s="652" t="s">
        <v>726</v>
      </c>
    </row>
    <row r="3" spans="1:18" ht="20.25" customHeight="1" x14ac:dyDescent="0.4">
      <c r="A3" s="947" t="s">
        <v>1214</v>
      </c>
      <c r="B3" s="947"/>
      <c r="C3" s="947"/>
      <c r="D3" s="947"/>
      <c r="E3" s="947"/>
      <c r="F3" s="947"/>
      <c r="G3" s="947"/>
      <c r="H3" s="947"/>
      <c r="I3" s="947"/>
      <c r="J3" s="947"/>
      <c r="K3" s="947"/>
      <c r="L3" s="947"/>
      <c r="M3" s="947"/>
      <c r="N3" s="947"/>
      <c r="O3" s="947"/>
      <c r="P3" s="947"/>
    </row>
    <row r="4" spans="1:18" ht="9" customHeight="1" x14ac:dyDescent="0.3">
      <c r="E4" t="s">
        <v>20</v>
      </c>
    </row>
    <row r="5" spans="1:18" x14ac:dyDescent="0.3">
      <c r="B5" s="609" t="s">
        <v>165</v>
      </c>
      <c r="E5" s="576" t="s">
        <v>23</v>
      </c>
      <c r="F5" s="4"/>
      <c r="J5" s="609" t="s">
        <v>89</v>
      </c>
      <c r="O5" s="576" t="s">
        <v>23</v>
      </c>
    </row>
    <row r="6" spans="1:18" x14ac:dyDescent="0.3">
      <c r="A6" s="61" t="s">
        <v>24</v>
      </c>
      <c r="B6" t="s">
        <v>194</v>
      </c>
      <c r="E6" s="100"/>
      <c r="F6" s="562" t="s">
        <v>24</v>
      </c>
      <c r="I6" s="61" t="s">
        <v>36</v>
      </c>
      <c r="J6" t="s">
        <v>1213</v>
      </c>
      <c r="N6" s="61"/>
      <c r="O6" s="100">
        <v>25327</v>
      </c>
      <c r="P6" s="86" t="s">
        <v>36</v>
      </c>
    </row>
    <row r="7" spans="1:18" x14ac:dyDescent="0.3">
      <c r="A7" s="61" t="s">
        <v>26</v>
      </c>
      <c r="B7" t="s">
        <v>1212</v>
      </c>
      <c r="E7" s="100">
        <v>1480</v>
      </c>
      <c r="F7" s="562" t="s">
        <v>26</v>
      </c>
      <c r="I7" s="61" t="s">
        <v>38</v>
      </c>
      <c r="J7" t="s">
        <v>1211</v>
      </c>
      <c r="N7" s="61"/>
      <c r="O7" s="100">
        <v>5736</v>
      </c>
      <c r="P7" s="86" t="s">
        <v>38</v>
      </c>
    </row>
    <row r="8" spans="1:18" x14ac:dyDescent="0.3">
      <c r="A8" s="61" t="s">
        <v>28</v>
      </c>
      <c r="B8" t="s">
        <v>1210</v>
      </c>
      <c r="E8" s="100"/>
      <c r="F8" s="562" t="s">
        <v>28</v>
      </c>
      <c r="I8" s="61" t="s">
        <v>40</v>
      </c>
      <c r="J8" t="s">
        <v>1209</v>
      </c>
      <c r="N8" s="61"/>
      <c r="O8" s="100">
        <v>710</v>
      </c>
      <c r="P8" s="86" t="s">
        <v>40</v>
      </c>
    </row>
    <row r="9" spans="1:18" x14ac:dyDescent="0.3">
      <c r="A9" s="61" t="s">
        <v>31</v>
      </c>
      <c r="B9" t="s">
        <v>1208</v>
      </c>
      <c r="E9" s="83"/>
      <c r="F9" s="562"/>
      <c r="I9" s="61" t="s">
        <v>42</v>
      </c>
      <c r="J9" t="s">
        <v>1207</v>
      </c>
      <c r="N9" s="61"/>
      <c r="O9" s="100"/>
      <c r="P9" s="86" t="s">
        <v>42</v>
      </c>
    </row>
    <row r="10" spans="1:18" x14ac:dyDescent="0.3">
      <c r="A10" s="61"/>
      <c r="B10" t="s">
        <v>1206</v>
      </c>
      <c r="E10" s="631">
        <v>159649</v>
      </c>
      <c r="F10" s="562" t="s">
        <v>31</v>
      </c>
      <c r="I10" s="61" t="s">
        <v>44</v>
      </c>
      <c r="J10" t="s">
        <v>1205</v>
      </c>
      <c r="N10" s="61"/>
      <c r="O10" s="100">
        <v>128901</v>
      </c>
      <c r="P10" s="86" t="s">
        <v>44</v>
      </c>
      <c r="R10" s="24"/>
    </row>
    <row r="11" spans="1:18" x14ac:dyDescent="0.3">
      <c r="A11" s="61" t="s">
        <v>33</v>
      </c>
      <c r="B11" t="s">
        <v>1204</v>
      </c>
      <c r="E11" s="657"/>
      <c r="F11" s="86" t="s">
        <v>33</v>
      </c>
      <c r="I11" s="61" t="s">
        <v>45</v>
      </c>
      <c r="J11" t="s">
        <v>1203</v>
      </c>
      <c r="N11" s="61"/>
      <c r="O11" s="100"/>
      <c r="P11" s="86" t="s">
        <v>45</v>
      </c>
    </row>
    <row r="12" spans="1:18" ht="13.5" thickBot="1" x14ac:dyDescent="0.35">
      <c r="A12" s="61" t="s">
        <v>35</v>
      </c>
      <c r="B12" t="s">
        <v>1202</v>
      </c>
      <c r="E12" s="628">
        <f>SUM(E6:E11)</f>
        <v>161129</v>
      </c>
      <c r="F12" s="86" t="s">
        <v>35</v>
      </c>
      <c r="I12" s="61" t="s">
        <v>47</v>
      </c>
      <c r="J12" t="s">
        <v>1201</v>
      </c>
      <c r="N12" s="61"/>
      <c r="O12" s="100">
        <v>114</v>
      </c>
      <c r="P12" s="86" t="s">
        <v>47</v>
      </c>
    </row>
    <row r="13" spans="1:18" ht="12.75" customHeight="1" thickTop="1" x14ac:dyDescent="0.3">
      <c r="I13" s="61" t="s">
        <v>49</v>
      </c>
      <c r="J13" t="s">
        <v>1200</v>
      </c>
      <c r="N13" s="61"/>
      <c r="O13" s="100"/>
      <c r="P13" s="86" t="s">
        <v>49</v>
      </c>
    </row>
    <row r="14" spans="1:18" x14ac:dyDescent="0.3">
      <c r="A14" s="609"/>
      <c r="B14" s="609" t="s">
        <v>1199</v>
      </c>
      <c r="C14" s="609"/>
      <c r="E14" s="630"/>
      <c r="F14" s="629"/>
      <c r="I14" s="61" t="s">
        <v>51</v>
      </c>
      <c r="J14" t="s">
        <v>1198</v>
      </c>
      <c r="N14" s="61"/>
      <c r="O14" s="100"/>
      <c r="P14" s="86" t="s">
        <v>51</v>
      </c>
    </row>
    <row r="15" spans="1:18" x14ac:dyDescent="0.3">
      <c r="E15" s="629"/>
      <c r="F15" s="629"/>
      <c r="I15" s="61" t="s">
        <v>53</v>
      </c>
      <c r="J15" t="s">
        <v>1197</v>
      </c>
      <c r="N15" s="61"/>
      <c r="O15" s="100"/>
      <c r="P15" s="86" t="s">
        <v>53</v>
      </c>
    </row>
    <row r="16" spans="1:18" ht="12.75" customHeight="1" x14ac:dyDescent="0.3">
      <c r="B16" s="232"/>
      <c r="C16" s="232"/>
      <c r="D16" s="951" t="s">
        <v>1196</v>
      </c>
      <c r="E16" s="953" t="s">
        <v>1195</v>
      </c>
      <c r="F16" s="951" t="s">
        <v>1194</v>
      </c>
      <c r="G16" s="951" t="s">
        <v>1193</v>
      </c>
      <c r="I16" s="61" t="s">
        <v>55</v>
      </c>
      <c r="J16" t="s">
        <v>1192</v>
      </c>
      <c r="N16" s="61"/>
      <c r="O16" s="100"/>
      <c r="P16" s="86" t="s">
        <v>55</v>
      </c>
    </row>
    <row r="17" spans="1:16" x14ac:dyDescent="0.3">
      <c r="A17" s="609"/>
      <c r="B17" s="609" t="s">
        <v>1191</v>
      </c>
      <c r="C17" s="609"/>
      <c r="D17" s="952"/>
      <c r="E17" s="954"/>
      <c r="F17" s="952"/>
      <c r="G17" s="952"/>
      <c r="I17" s="61" t="s">
        <v>57</v>
      </c>
      <c r="J17" t="s">
        <v>1190</v>
      </c>
      <c r="N17" s="61"/>
      <c r="O17" s="100">
        <v>945</v>
      </c>
      <c r="P17" s="86" t="s">
        <v>57</v>
      </c>
    </row>
    <row r="18" spans="1:16" x14ac:dyDescent="0.3">
      <c r="B18" s="626" t="s">
        <v>1189</v>
      </c>
      <c r="D18" s="83"/>
      <c r="E18" s="83"/>
      <c r="F18" s="83"/>
      <c r="G18" s="78"/>
      <c r="I18" s="61" t="s">
        <v>59</v>
      </c>
      <c r="J18" t="s">
        <v>1188</v>
      </c>
      <c r="N18" s="61"/>
      <c r="O18" s="100"/>
      <c r="P18" s="86" t="s">
        <v>59</v>
      </c>
    </row>
    <row r="19" spans="1:16" x14ac:dyDescent="0.3">
      <c r="B19" s="149" t="s">
        <v>1184</v>
      </c>
      <c r="D19" s="625">
        <v>9658</v>
      </c>
      <c r="E19" s="625">
        <v>28955</v>
      </c>
      <c r="F19" s="625"/>
      <c r="G19" s="625">
        <v>6749</v>
      </c>
      <c r="I19" s="61" t="s">
        <v>61</v>
      </c>
      <c r="J19" t="s">
        <v>1187</v>
      </c>
      <c r="N19" s="61"/>
      <c r="O19" s="100"/>
      <c r="P19" s="86" t="s">
        <v>61</v>
      </c>
    </row>
    <row r="20" spans="1:16" ht="12.75" customHeight="1" thickBot="1" x14ac:dyDescent="0.35">
      <c r="B20" s="149" t="s">
        <v>1182</v>
      </c>
      <c r="D20" s="625"/>
      <c r="E20" s="625"/>
      <c r="F20" s="625"/>
      <c r="G20" s="625"/>
      <c r="I20" s="61" t="s">
        <v>63</v>
      </c>
      <c r="J20" t="s">
        <v>1186</v>
      </c>
      <c r="N20" s="61"/>
      <c r="O20" s="628">
        <f>SUM(O6:O19)</f>
        <v>161733</v>
      </c>
      <c r="P20" s="86" t="s">
        <v>63</v>
      </c>
    </row>
    <row r="21" spans="1:16" ht="12.75" customHeight="1" thickTop="1" x14ac:dyDescent="0.3">
      <c r="B21" s="149" t="s">
        <v>1181</v>
      </c>
      <c r="D21" s="627"/>
      <c r="E21" s="627"/>
      <c r="F21" s="627"/>
      <c r="G21" s="627"/>
      <c r="N21" s="61"/>
    </row>
    <row r="22" spans="1:16" ht="12.75" customHeight="1" x14ac:dyDescent="0.3">
      <c r="B22" s="626" t="s">
        <v>1185</v>
      </c>
      <c r="D22" s="78"/>
      <c r="E22" s="78"/>
      <c r="F22" s="78"/>
      <c r="G22" s="78"/>
      <c r="I22" t="s">
        <v>20</v>
      </c>
      <c r="M22" s="674" t="s">
        <v>1329</v>
      </c>
      <c r="N22" s="676"/>
      <c r="O22" s="674" t="s">
        <v>1330</v>
      </c>
    </row>
    <row r="23" spans="1:16" ht="12.75" customHeight="1" x14ac:dyDescent="0.3">
      <c r="B23" s="149" t="s">
        <v>1184</v>
      </c>
      <c r="D23" s="625"/>
      <c r="E23" s="625"/>
      <c r="F23" s="625"/>
      <c r="G23" s="625"/>
      <c r="H23" s="622"/>
      <c r="J23" s="609" t="s">
        <v>1183</v>
      </c>
      <c r="K23" s="609"/>
      <c r="L23" s="7" t="s">
        <v>16</v>
      </c>
      <c r="M23" s="22"/>
      <c r="N23" s="7" t="s">
        <v>16</v>
      </c>
      <c r="O23" s="22">
        <v>-604</v>
      </c>
    </row>
    <row r="24" spans="1:16" ht="12.75" customHeight="1" x14ac:dyDescent="0.3">
      <c r="B24" s="149" t="s">
        <v>1182</v>
      </c>
      <c r="D24" s="625"/>
      <c r="E24" s="625"/>
      <c r="F24" s="625"/>
      <c r="G24" s="625"/>
      <c r="H24" s="622"/>
      <c r="L24" s="7"/>
      <c r="M24" s="24"/>
      <c r="N24" s="7"/>
      <c r="O24" s="24"/>
    </row>
    <row r="25" spans="1:16" ht="12.75" customHeight="1" x14ac:dyDescent="0.3">
      <c r="B25" s="149" t="s">
        <v>1181</v>
      </c>
      <c r="D25" s="624"/>
      <c r="E25" s="624"/>
      <c r="F25" s="624"/>
      <c r="G25" s="624"/>
      <c r="H25" s="563"/>
      <c r="N25" s="7"/>
      <c r="O25" s="622"/>
    </row>
    <row r="26" spans="1:16" ht="12.75" customHeight="1" x14ac:dyDescent="0.3">
      <c r="B26" s="623"/>
      <c r="H26" s="563"/>
      <c r="N26" s="7"/>
      <c r="O26" s="622"/>
    </row>
    <row r="27" spans="1:16" ht="12.75" customHeight="1" x14ac:dyDescent="0.3">
      <c r="B27" s="149" t="s">
        <v>1180</v>
      </c>
      <c r="H27" s="563"/>
      <c r="N27" s="7"/>
      <c r="O27" s="622"/>
    </row>
    <row r="28" spans="1:16" ht="12.75" customHeight="1" x14ac:dyDescent="0.3">
      <c r="J28" s="609" t="s">
        <v>1179</v>
      </c>
      <c r="K28" s="609"/>
      <c r="L28" s="621"/>
      <c r="M28" s="609"/>
      <c r="N28" s="609"/>
    </row>
    <row r="29" spans="1:16" ht="12.75" customHeight="1" x14ac:dyDescent="0.3">
      <c r="A29" s="609"/>
      <c r="B29" s="609" t="s">
        <v>1178</v>
      </c>
      <c r="C29" s="609"/>
      <c r="D29" s="619" t="s">
        <v>1177</v>
      </c>
      <c r="E29" s="619" t="s">
        <v>1176</v>
      </c>
      <c r="F29" s="620" t="s">
        <v>298</v>
      </c>
      <c r="G29" s="619" t="s">
        <v>1175</v>
      </c>
      <c r="H29" s="601"/>
      <c r="J29" s="618" t="s">
        <v>1174</v>
      </c>
      <c r="K29" s="155"/>
      <c r="L29" s="67"/>
      <c r="M29" s="67"/>
      <c r="N29" s="67"/>
      <c r="O29" s="615"/>
      <c r="P29" s="68"/>
    </row>
    <row r="30" spans="1:16" ht="12.75" customHeight="1" x14ac:dyDescent="0.3">
      <c r="B30" t="s">
        <v>1173</v>
      </c>
      <c r="D30" s="613">
        <v>0</v>
      </c>
      <c r="E30" s="613">
        <v>0</v>
      </c>
      <c r="F30" s="613">
        <v>0</v>
      </c>
      <c r="G30" s="617"/>
      <c r="H30" s="616"/>
      <c r="J30" s="151" t="s">
        <v>1172</v>
      </c>
      <c r="K30" s="149"/>
      <c r="O30" s="615"/>
      <c r="P30" s="73"/>
    </row>
    <row r="31" spans="1:16" ht="12.75" customHeight="1" x14ac:dyDescent="0.3">
      <c r="B31" t="s">
        <v>1171</v>
      </c>
      <c r="D31" s="613">
        <v>0</v>
      </c>
      <c r="E31" s="613">
        <v>0</v>
      </c>
      <c r="F31" s="613">
        <v>0</v>
      </c>
      <c r="G31" s="617"/>
      <c r="H31" s="612"/>
      <c r="J31" s="151" t="s">
        <v>1170</v>
      </c>
      <c r="K31" s="149"/>
      <c r="O31" s="615"/>
      <c r="P31" s="73"/>
    </row>
    <row r="32" spans="1:16" ht="12.75" customHeight="1" x14ac:dyDescent="0.3">
      <c r="B32" t="s">
        <v>1169</v>
      </c>
      <c r="D32" s="613">
        <v>0</v>
      </c>
      <c r="E32" s="613">
        <v>0</v>
      </c>
      <c r="F32" s="613">
        <v>0</v>
      </c>
      <c r="G32" s="617"/>
      <c r="H32" s="612"/>
      <c r="J32" s="151" t="s">
        <v>1168</v>
      </c>
      <c r="K32" s="149"/>
      <c r="O32" s="615"/>
      <c r="P32" s="73"/>
    </row>
    <row r="33" spans="1:16" ht="12.75" customHeight="1" x14ac:dyDescent="0.3">
      <c r="B33" t="s">
        <v>1167</v>
      </c>
      <c r="D33" s="613">
        <v>2.5</v>
      </c>
      <c r="E33" s="613">
        <v>2.5</v>
      </c>
      <c r="F33" s="613">
        <v>0</v>
      </c>
      <c r="G33" s="613">
        <v>0</v>
      </c>
      <c r="H33" s="616"/>
      <c r="J33" s="151" t="s">
        <v>1166</v>
      </c>
      <c r="K33" s="149"/>
      <c r="O33" s="614">
        <v>128901</v>
      </c>
      <c r="P33" s="73"/>
    </row>
    <row r="34" spans="1:16" ht="12.75" customHeight="1" x14ac:dyDescent="0.3">
      <c r="B34" t="s">
        <v>1165</v>
      </c>
      <c r="D34" s="613">
        <v>3.5</v>
      </c>
      <c r="E34" s="613">
        <v>3.5</v>
      </c>
      <c r="F34" s="613">
        <v>0</v>
      </c>
      <c r="G34" s="613">
        <v>0</v>
      </c>
      <c r="H34" s="612"/>
      <c r="J34" s="151" t="s">
        <v>1164</v>
      </c>
      <c r="K34" s="149"/>
      <c r="O34" s="614">
        <v>0</v>
      </c>
      <c r="P34" s="73"/>
    </row>
    <row r="35" spans="1:16" ht="12.75" customHeight="1" thickBot="1" x14ac:dyDescent="0.35">
      <c r="B35" t="s">
        <v>1163</v>
      </c>
      <c r="D35" s="613">
        <v>0</v>
      </c>
      <c r="E35" s="613">
        <v>0</v>
      </c>
      <c r="F35" s="613">
        <v>0</v>
      </c>
      <c r="G35" s="613">
        <v>0</v>
      </c>
      <c r="H35" s="612"/>
      <c r="J35" s="945" t="s">
        <v>1162</v>
      </c>
      <c r="K35" s="946"/>
      <c r="L35" s="946"/>
      <c r="M35" s="946"/>
      <c r="N35" s="611"/>
      <c r="O35" s="610">
        <f>SUM(O29:O34)</f>
        <v>128901</v>
      </c>
      <c r="P35" s="73"/>
    </row>
    <row r="36" spans="1:16" ht="12.75" customHeight="1" thickTop="1" x14ac:dyDescent="0.3">
      <c r="J36" s="948" t="s">
        <v>1161</v>
      </c>
      <c r="K36" s="949"/>
      <c r="L36" s="949"/>
      <c r="M36" s="6"/>
      <c r="N36" s="6"/>
      <c r="O36" s="6"/>
      <c r="P36" s="80"/>
    </row>
    <row r="37" spans="1:16" ht="12.75" customHeight="1" x14ac:dyDescent="0.3">
      <c r="A37" s="609"/>
      <c r="B37" s="609" t="s">
        <v>1160</v>
      </c>
      <c r="C37" s="609"/>
    </row>
    <row r="38" spans="1:16" ht="12.75" customHeight="1" x14ac:dyDescent="0.3">
      <c r="B38" t="s">
        <v>1159</v>
      </c>
      <c r="E38" s="607"/>
    </row>
    <row r="39" spans="1:16" ht="12.75" customHeight="1" x14ac:dyDescent="0.3">
      <c r="E39" s="7"/>
      <c r="F39" s="7"/>
      <c r="O39" s="24"/>
    </row>
    <row r="40" spans="1:16" ht="12.75" customHeight="1" x14ac:dyDescent="0.3">
      <c r="A40" s="609"/>
      <c r="B40" s="609" t="s">
        <v>1158</v>
      </c>
      <c r="C40" s="609"/>
      <c r="D40" s="609"/>
      <c r="E40" s="609"/>
      <c r="F40" s="7" t="s">
        <v>16</v>
      </c>
      <c r="G40" s="608">
        <v>604</v>
      </c>
      <c r="I40" s="301"/>
      <c r="N40" s="7"/>
    </row>
    <row r="41" spans="1:16" ht="12.75" customHeight="1" x14ac:dyDescent="0.3">
      <c r="B41" t="s">
        <v>1157</v>
      </c>
      <c r="C41" s="8"/>
      <c r="D41" s="8"/>
      <c r="H41" s="170"/>
    </row>
    <row r="42" spans="1:16" ht="12.75" customHeight="1" x14ac:dyDescent="0.3"/>
    <row r="43" spans="1:16" ht="12.75" customHeight="1" x14ac:dyDescent="0.3">
      <c r="B43" t="s">
        <v>1156</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3"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dataValidations>
  <hyperlinks>
    <hyperlink ref="B5" location="REVENUES" display="REVENUES"/>
    <hyperlink ref="B14:C14" location="SectionA" display="A.  Number of Operating Months"/>
    <hyperlink ref="B17:C17" location="SectionB" display="B.  Number of Meals Served"/>
    <hyperlink ref="B29" location="SectionC" display="C.  Meal Prices"/>
    <hyperlink ref="B37:C37" location="SectionD" display="D.  Special Milk Program"/>
    <hyperlink ref="B40:E40" location="SectionE" display="E.  State Equalization Assistance expended for Food Service, Function 3100"/>
    <hyperlink ref="D16:D17" location="Breakfasts" display="BREAKFASTS"/>
    <hyperlink ref="E16:E17" location="LunchesSuppers" display="LUNCHES/ SUPPERS"/>
    <hyperlink ref="F16:F17" location="ALaCarte" display="A LA CARTE*"/>
    <hyperlink ref="G16:G17" location="Snacks" display="SNACKS"/>
    <hyperlink ref="J5" location="EXPENSES" display="EXPENSES"/>
    <hyperlink ref="J23:K23" location="SectionF" display="F.  Cash Balances"/>
    <hyperlink ref="J28:N28" location="SectionG" display="G.  Detail of Food Service Management Company Expenses"/>
    <hyperlink ref="B2" location="FoodServiceGen" display="Instructions"/>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3"/>
  <sheetViews>
    <sheetView showGridLines="0" workbookViewId="0">
      <selection activeCell="K18" sqref="K18"/>
    </sheetView>
  </sheetViews>
  <sheetFormatPr defaultColWidth="9.296875" defaultRowHeight="13" x14ac:dyDescent="0.3"/>
  <cols>
    <col min="1" max="1" width="38.19921875" style="410" customWidth="1"/>
    <col min="2" max="3" width="16.296875" style="410" customWidth="1"/>
    <col min="4" max="4" width="15.19921875" style="410" customWidth="1"/>
    <col min="5" max="5" width="15.69921875" style="410" customWidth="1"/>
    <col min="6" max="6" width="15.19921875" style="410" customWidth="1"/>
    <col min="7" max="7" width="16.296875" style="410" customWidth="1"/>
    <col min="8" max="8" width="19.296875" style="410" customWidth="1"/>
    <col min="9" max="10" width="15.69921875" style="410" customWidth="1"/>
    <col min="11" max="11" width="17" style="410" customWidth="1"/>
    <col min="12" max="12" width="8.796875" style="410" customWidth="1"/>
    <col min="13" max="13" width="5.296875" style="410" customWidth="1"/>
    <col min="14" max="14" width="12.296875" style="410" customWidth="1"/>
    <col min="15" max="255" width="8.796875" style="410" customWidth="1"/>
    <col min="256" max="256" width="32.296875" style="410" bestFit="1" customWidth="1"/>
    <col min="257" max="257" width="22.19921875" style="410" customWidth="1"/>
    <col min="258" max="258" width="14.296875" style="410" customWidth="1"/>
    <col min="259" max="259" width="19" style="410" customWidth="1"/>
    <col min="260" max="260" width="8.796875" style="410" customWidth="1"/>
    <col min="261" max="261" width="11.296875" style="410" customWidth="1"/>
    <col min="262" max="262" width="8.796875" style="410" customWidth="1"/>
    <col min="263" max="263" width="6.296875" style="410" customWidth="1"/>
    <col min="264" max="264" width="14.296875" style="410" customWidth="1"/>
    <col min="265" max="268" width="8.796875" style="410" customWidth="1"/>
    <col min="269" max="269" width="17.796875" style="410" customWidth="1"/>
    <col min="270" max="511" width="8.796875" style="410" customWidth="1"/>
    <col min="512" max="512" width="32.296875" style="410" bestFit="1" customWidth="1"/>
    <col min="513" max="513" width="22.19921875" style="410" customWidth="1"/>
    <col min="514" max="514" width="14.296875" style="410" customWidth="1"/>
    <col min="515" max="515" width="19" style="410" customWidth="1"/>
    <col min="516" max="516" width="8.796875" style="410" customWidth="1"/>
    <col min="517" max="517" width="11.296875" style="410" customWidth="1"/>
    <col min="518" max="518" width="8.796875" style="410" customWidth="1"/>
    <col min="519" max="519" width="6.296875" style="410" customWidth="1"/>
    <col min="520" max="520" width="14.296875" style="410" customWidth="1"/>
    <col min="521" max="524" width="8.796875" style="410" customWidth="1"/>
    <col min="525" max="525" width="17.796875" style="410" customWidth="1"/>
    <col min="526" max="767" width="8.796875" style="410" customWidth="1"/>
    <col min="768" max="768" width="32.296875" style="410" bestFit="1" customWidth="1"/>
    <col min="769" max="769" width="22.19921875" style="410" customWidth="1"/>
    <col min="770" max="770" width="14.296875" style="410" customWidth="1"/>
    <col min="771" max="771" width="19" style="410" customWidth="1"/>
    <col min="772" max="772" width="8.796875" style="410" customWidth="1"/>
    <col min="773" max="773" width="11.296875" style="410" customWidth="1"/>
    <col min="774" max="774" width="8.796875" style="410" customWidth="1"/>
    <col min="775" max="775" width="6.296875" style="410" customWidth="1"/>
    <col min="776" max="776" width="14.296875" style="410" customWidth="1"/>
    <col min="777" max="780" width="8.796875" style="410" customWidth="1"/>
    <col min="781" max="781" width="17.796875" style="410" customWidth="1"/>
    <col min="782" max="1023" width="8.796875" style="410" customWidth="1"/>
    <col min="1024" max="1024" width="32.296875" style="410" bestFit="1" customWidth="1"/>
    <col min="1025" max="1025" width="22.19921875" style="410" customWidth="1"/>
    <col min="1026" max="1026" width="14.296875" style="410" customWidth="1"/>
    <col min="1027" max="1027" width="19" style="410" customWidth="1"/>
    <col min="1028" max="1028" width="8.796875" style="410" customWidth="1"/>
    <col min="1029" max="1029" width="11.296875" style="410" customWidth="1"/>
    <col min="1030" max="1030" width="8.796875" style="410" customWidth="1"/>
    <col min="1031" max="1031" width="6.296875" style="410" customWidth="1"/>
    <col min="1032" max="1032" width="14.296875" style="410" customWidth="1"/>
    <col min="1033" max="1036" width="8.796875" style="410" customWidth="1"/>
    <col min="1037" max="1037" width="17.796875" style="410" customWidth="1"/>
    <col min="1038" max="1279" width="8.796875" style="410" customWidth="1"/>
    <col min="1280" max="1280" width="32.296875" style="410" bestFit="1" customWidth="1"/>
    <col min="1281" max="1281" width="22.19921875" style="410" customWidth="1"/>
    <col min="1282" max="1282" width="14.296875" style="410" customWidth="1"/>
    <col min="1283" max="1283" width="19" style="410" customWidth="1"/>
    <col min="1284" max="1284" width="8.796875" style="410" customWidth="1"/>
    <col min="1285" max="1285" width="11.296875" style="410" customWidth="1"/>
    <col min="1286" max="1286" width="8.796875" style="410" customWidth="1"/>
    <col min="1287" max="1287" width="6.296875" style="410" customWidth="1"/>
    <col min="1288" max="1288" width="14.296875" style="410" customWidth="1"/>
    <col min="1289" max="1292" width="8.796875" style="410" customWidth="1"/>
    <col min="1293" max="1293" width="17.796875" style="410" customWidth="1"/>
    <col min="1294" max="1535" width="8.796875" style="410" customWidth="1"/>
    <col min="1536" max="1536" width="32.296875" style="410" bestFit="1" customWidth="1"/>
    <col min="1537" max="1537" width="22.19921875" style="410" customWidth="1"/>
    <col min="1538" max="1538" width="14.296875" style="410" customWidth="1"/>
    <col min="1539" max="1539" width="19" style="410" customWidth="1"/>
    <col min="1540" max="1540" width="8.796875" style="410" customWidth="1"/>
    <col min="1541" max="1541" width="11.296875" style="410" customWidth="1"/>
    <col min="1542" max="1542" width="8.796875" style="410" customWidth="1"/>
    <col min="1543" max="1543" width="6.296875" style="410" customWidth="1"/>
    <col min="1544" max="1544" width="14.296875" style="410" customWidth="1"/>
    <col min="1545" max="1548" width="8.796875" style="410" customWidth="1"/>
    <col min="1549" max="1549" width="17.796875" style="410" customWidth="1"/>
    <col min="1550" max="1791" width="8.796875" style="410" customWidth="1"/>
    <col min="1792" max="1792" width="32.296875" style="410" bestFit="1" customWidth="1"/>
    <col min="1793" max="1793" width="22.19921875" style="410" customWidth="1"/>
    <col min="1794" max="1794" width="14.296875" style="410" customWidth="1"/>
    <col min="1795" max="1795" width="19" style="410" customWidth="1"/>
    <col min="1796" max="1796" width="8.796875" style="410" customWidth="1"/>
    <col min="1797" max="1797" width="11.296875" style="410" customWidth="1"/>
    <col min="1798" max="1798" width="8.796875" style="410" customWidth="1"/>
    <col min="1799" max="1799" width="6.296875" style="410" customWidth="1"/>
    <col min="1800" max="1800" width="14.296875" style="410" customWidth="1"/>
    <col min="1801" max="1804" width="8.796875" style="410" customWidth="1"/>
    <col min="1805" max="1805" width="17.796875" style="410" customWidth="1"/>
    <col min="1806" max="2047" width="8.796875" style="410" customWidth="1"/>
    <col min="2048" max="2048" width="32.296875" style="410" bestFit="1" customWidth="1"/>
    <col min="2049" max="2049" width="22.19921875" style="410" customWidth="1"/>
    <col min="2050" max="2050" width="14.296875" style="410" customWidth="1"/>
    <col min="2051" max="2051" width="19" style="410" customWidth="1"/>
    <col min="2052" max="2052" width="8.796875" style="410" customWidth="1"/>
    <col min="2053" max="2053" width="11.296875" style="410" customWidth="1"/>
    <col min="2054" max="2054" width="8.796875" style="410" customWidth="1"/>
    <col min="2055" max="2055" width="6.296875" style="410" customWidth="1"/>
    <col min="2056" max="2056" width="14.296875" style="410" customWidth="1"/>
    <col min="2057" max="2060" width="8.796875" style="410" customWidth="1"/>
    <col min="2061" max="2061" width="17.796875" style="410" customWidth="1"/>
    <col min="2062" max="2303" width="8.796875" style="410" customWidth="1"/>
    <col min="2304" max="2304" width="32.296875" style="410" bestFit="1" customWidth="1"/>
    <col min="2305" max="2305" width="22.19921875" style="410" customWidth="1"/>
    <col min="2306" max="2306" width="14.296875" style="410" customWidth="1"/>
    <col min="2307" max="2307" width="19" style="410" customWidth="1"/>
    <col min="2308" max="2308" width="8.796875" style="410" customWidth="1"/>
    <col min="2309" max="2309" width="11.296875" style="410" customWidth="1"/>
    <col min="2310" max="2310" width="8.796875" style="410" customWidth="1"/>
    <col min="2311" max="2311" width="6.296875" style="410" customWidth="1"/>
    <col min="2312" max="2312" width="14.296875" style="410" customWidth="1"/>
    <col min="2313" max="2316" width="8.796875" style="410" customWidth="1"/>
    <col min="2317" max="2317" width="17.796875" style="410" customWidth="1"/>
    <col min="2318" max="2559" width="8.796875" style="410" customWidth="1"/>
    <col min="2560" max="2560" width="32.296875" style="410" bestFit="1" customWidth="1"/>
    <col min="2561" max="2561" width="22.19921875" style="410" customWidth="1"/>
    <col min="2562" max="2562" width="14.296875" style="410" customWidth="1"/>
    <col min="2563" max="2563" width="19" style="410" customWidth="1"/>
    <col min="2564" max="2564" width="8.796875" style="410" customWidth="1"/>
    <col min="2565" max="2565" width="11.296875" style="410" customWidth="1"/>
    <col min="2566" max="2566" width="8.796875" style="410" customWidth="1"/>
    <col min="2567" max="2567" width="6.296875" style="410" customWidth="1"/>
    <col min="2568" max="2568" width="14.296875" style="410" customWidth="1"/>
    <col min="2569" max="2572" width="8.796875" style="410" customWidth="1"/>
    <col min="2573" max="2573" width="17.796875" style="410" customWidth="1"/>
    <col min="2574" max="2815" width="8.796875" style="410" customWidth="1"/>
    <col min="2816" max="2816" width="32.296875" style="410" bestFit="1" customWidth="1"/>
    <col min="2817" max="2817" width="22.19921875" style="410" customWidth="1"/>
    <col min="2818" max="2818" width="14.296875" style="410" customWidth="1"/>
    <col min="2819" max="2819" width="19" style="410" customWidth="1"/>
    <col min="2820" max="2820" width="8.796875" style="410" customWidth="1"/>
    <col min="2821" max="2821" width="11.296875" style="410" customWidth="1"/>
    <col min="2822" max="2822" width="8.796875" style="410" customWidth="1"/>
    <col min="2823" max="2823" width="6.296875" style="410" customWidth="1"/>
    <col min="2824" max="2824" width="14.296875" style="410" customWidth="1"/>
    <col min="2825" max="2828" width="8.796875" style="410" customWidth="1"/>
    <col min="2829" max="2829" width="17.796875" style="410" customWidth="1"/>
    <col min="2830" max="3071" width="8.796875" style="410" customWidth="1"/>
    <col min="3072" max="3072" width="32.296875" style="410" bestFit="1" customWidth="1"/>
    <col min="3073" max="3073" width="22.19921875" style="410" customWidth="1"/>
    <col min="3074" max="3074" width="14.296875" style="410" customWidth="1"/>
    <col min="3075" max="3075" width="19" style="410" customWidth="1"/>
    <col min="3076" max="3076" width="8.796875" style="410" customWidth="1"/>
    <col min="3077" max="3077" width="11.296875" style="410" customWidth="1"/>
    <col min="3078" max="3078" width="8.796875" style="410" customWidth="1"/>
    <col min="3079" max="3079" width="6.296875" style="410" customWidth="1"/>
    <col min="3080" max="3080" width="14.296875" style="410" customWidth="1"/>
    <col min="3081" max="3084" width="8.796875" style="410" customWidth="1"/>
    <col min="3085" max="3085" width="17.796875" style="410" customWidth="1"/>
    <col min="3086" max="3327" width="8.796875" style="410" customWidth="1"/>
    <col min="3328" max="3328" width="32.296875" style="410" bestFit="1" customWidth="1"/>
    <col min="3329" max="3329" width="22.19921875" style="410" customWidth="1"/>
    <col min="3330" max="3330" width="14.296875" style="410" customWidth="1"/>
    <col min="3331" max="3331" width="19" style="410" customWidth="1"/>
    <col min="3332" max="3332" width="8.796875" style="410" customWidth="1"/>
    <col min="3333" max="3333" width="11.296875" style="410" customWidth="1"/>
    <col min="3334" max="3334" width="8.796875" style="410" customWidth="1"/>
    <col min="3335" max="3335" width="6.296875" style="410" customWidth="1"/>
    <col min="3336" max="3336" width="14.296875" style="410" customWidth="1"/>
    <col min="3337" max="3340" width="8.796875" style="410" customWidth="1"/>
    <col min="3341" max="3341" width="17.796875" style="410" customWidth="1"/>
    <col min="3342" max="3583" width="8.796875" style="410" customWidth="1"/>
    <col min="3584" max="3584" width="32.296875" style="410" bestFit="1" customWidth="1"/>
    <col min="3585" max="3585" width="22.19921875" style="410" customWidth="1"/>
    <col min="3586" max="3586" width="14.296875" style="410" customWidth="1"/>
    <col min="3587" max="3587" width="19" style="410" customWidth="1"/>
    <col min="3588" max="3588" width="8.796875" style="410" customWidth="1"/>
    <col min="3589" max="3589" width="11.296875" style="410" customWidth="1"/>
    <col min="3590" max="3590" width="8.796875" style="410" customWidth="1"/>
    <col min="3591" max="3591" width="6.296875" style="410" customWidth="1"/>
    <col min="3592" max="3592" width="14.296875" style="410" customWidth="1"/>
    <col min="3593" max="3596" width="8.796875" style="410" customWidth="1"/>
    <col min="3597" max="3597" width="17.796875" style="410" customWidth="1"/>
    <col min="3598" max="3839" width="8.796875" style="410" customWidth="1"/>
    <col min="3840" max="3840" width="32.296875" style="410" bestFit="1" customWidth="1"/>
    <col min="3841" max="3841" width="22.19921875" style="410" customWidth="1"/>
    <col min="3842" max="3842" width="14.296875" style="410" customWidth="1"/>
    <col min="3843" max="3843" width="19" style="410" customWidth="1"/>
    <col min="3844" max="3844" width="8.796875" style="410" customWidth="1"/>
    <col min="3845" max="3845" width="11.296875" style="410" customWidth="1"/>
    <col min="3846" max="3846" width="8.796875" style="410" customWidth="1"/>
    <col min="3847" max="3847" width="6.296875" style="410" customWidth="1"/>
    <col min="3848" max="3848" width="14.296875" style="410" customWidth="1"/>
    <col min="3849" max="3852" width="8.796875" style="410" customWidth="1"/>
    <col min="3853" max="3853" width="17.796875" style="410" customWidth="1"/>
    <col min="3854" max="4095" width="8.796875" style="410" customWidth="1"/>
    <col min="4096" max="4096" width="32.296875" style="410" bestFit="1" customWidth="1"/>
    <col min="4097" max="4097" width="22.19921875" style="410" customWidth="1"/>
    <col min="4098" max="4098" width="14.296875" style="410" customWidth="1"/>
    <col min="4099" max="4099" width="19" style="410" customWidth="1"/>
    <col min="4100" max="4100" width="8.796875" style="410" customWidth="1"/>
    <col min="4101" max="4101" width="11.296875" style="410" customWidth="1"/>
    <col min="4102" max="4102" width="8.796875" style="410" customWidth="1"/>
    <col min="4103" max="4103" width="6.296875" style="410" customWidth="1"/>
    <col min="4104" max="4104" width="14.296875" style="410" customWidth="1"/>
    <col min="4105" max="4108" width="8.796875" style="410" customWidth="1"/>
    <col min="4109" max="4109" width="17.796875" style="410" customWidth="1"/>
    <col min="4110" max="4351" width="8.796875" style="410" customWidth="1"/>
    <col min="4352" max="4352" width="32.296875" style="410" bestFit="1" customWidth="1"/>
    <col min="4353" max="4353" width="22.19921875" style="410" customWidth="1"/>
    <col min="4354" max="4354" width="14.296875" style="410" customWidth="1"/>
    <col min="4355" max="4355" width="19" style="410" customWidth="1"/>
    <col min="4356" max="4356" width="8.796875" style="410" customWidth="1"/>
    <col min="4357" max="4357" width="11.296875" style="410" customWidth="1"/>
    <col min="4358" max="4358" width="8.796875" style="410" customWidth="1"/>
    <col min="4359" max="4359" width="6.296875" style="410" customWidth="1"/>
    <col min="4360" max="4360" width="14.296875" style="410" customWidth="1"/>
    <col min="4361" max="4364" width="8.796875" style="410" customWidth="1"/>
    <col min="4365" max="4365" width="17.796875" style="410" customWidth="1"/>
    <col min="4366" max="4607" width="8.796875" style="410" customWidth="1"/>
    <col min="4608" max="4608" width="32.296875" style="410" bestFit="1" customWidth="1"/>
    <col min="4609" max="4609" width="22.19921875" style="410" customWidth="1"/>
    <col min="4610" max="4610" width="14.296875" style="410" customWidth="1"/>
    <col min="4611" max="4611" width="19" style="410" customWidth="1"/>
    <col min="4612" max="4612" width="8.796875" style="410" customWidth="1"/>
    <col min="4613" max="4613" width="11.296875" style="410" customWidth="1"/>
    <col min="4614" max="4614" width="8.796875" style="410" customWidth="1"/>
    <col min="4615" max="4615" width="6.296875" style="410" customWidth="1"/>
    <col min="4616" max="4616" width="14.296875" style="410" customWidth="1"/>
    <col min="4617" max="4620" width="8.796875" style="410" customWidth="1"/>
    <col min="4621" max="4621" width="17.796875" style="410" customWidth="1"/>
    <col min="4622" max="4863" width="8.796875" style="410" customWidth="1"/>
    <col min="4864" max="4864" width="32.296875" style="410" bestFit="1" customWidth="1"/>
    <col min="4865" max="4865" width="22.19921875" style="410" customWidth="1"/>
    <col min="4866" max="4866" width="14.296875" style="410" customWidth="1"/>
    <col min="4867" max="4867" width="19" style="410" customWidth="1"/>
    <col min="4868" max="4868" width="8.796875" style="410" customWidth="1"/>
    <col min="4869" max="4869" width="11.296875" style="410" customWidth="1"/>
    <col min="4870" max="4870" width="8.796875" style="410" customWidth="1"/>
    <col min="4871" max="4871" width="6.296875" style="410" customWidth="1"/>
    <col min="4872" max="4872" width="14.296875" style="410" customWidth="1"/>
    <col min="4873" max="4876" width="8.796875" style="410" customWidth="1"/>
    <col min="4877" max="4877" width="17.796875" style="410" customWidth="1"/>
    <col min="4878" max="5119" width="8.796875" style="410" customWidth="1"/>
    <col min="5120" max="5120" width="32.296875" style="410" bestFit="1" customWidth="1"/>
    <col min="5121" max="5121" width="22.19921875" style="410" customWidth="1"/>
    <col min="5122" max="5122" width="14.296875" style="410" customWidth="1"/>
    <col min="5123" max="5123" width="19" style="410" customWidth="1"/>
    <col min="5124" max="5124" width="8.796875" style="410" customWidth="1"/>
    <col min="5125" max="5125" width="11.296875" style="410" customWidth="1"/>
    <col min="5126" max="5126" width="8.796875" style="410" customWidth="1"/>
    <col min="5127" max="5127" width="6.296875" style="410" customWidth="1"/>
    <col min="5128" max="5128" width="14.296875" style="410" customWidth="1"/>
    <col min="5129" max="5132" width="8.796875" style="410" customWidth="1"/>
    <col min="5133" max="5133" width="17.796875" style="410" customWidth="1"/>
    <col min="5134" max="5375" width="8.796875" style="410" customWidth="1"/>
    <col min="5376" max="5376" width="32.296875" style="410" bestFit="1" customWidth="1"/>
    <col min="5377" max="5377" width="22.19921875" style="410" customWidth="1"/>
    <col min="5378" max="5378" width="14.296875" style="410" customWidth="1"/>
    <col min="5379" max="5379" width="19" style="410" customWidth="1"/>
    <col min="5380" max="5380" width="8.796875" style="410" customWidth="1"/>
    <col min="5381" max="5381" width="11.296875" style="410" customWidth="1"/>
    <col min="5382" max="5382" width="8.796875" style="410" customWidth="1"/>
    <col min="5383" max="5383" width="6.296875" style="410" customWidth="1"/>
    <col min="5384" max="5384" width="14.296875" style="410" customWidth="1"/>
    <col min="5385" max="5388" width="8.796875" style="410" customWidth="1"/>
    <col min="5389" max="5389" width="17.796875" style="410" customWidth="1"/>
    <col min="5390" max="5631" width="8.796875" style="410" customWidth="1"/>
    <col min="5632" max="5632" width="32.296875" style="410" bestFit="1" customWidth="1"/>
    <col min="5633" max="5633" width="22.19921875" style="410" customWidth="1"/>
    <col min="5634" max="5634" width="14.296875" style="410" customWidth="1"/>
    <col min="5635" max="5635" width="19" style="410" customWidth="1"/>
    <col min="5636" max="5636" width="8.796875" style="410" customWidth="1"/>
    <col min="5637" max="5637" width="11.296875" style="410" customWidth="1"/>
    <col min="5638" max="5638" width="8.796875" style="410" customWidth="1"/>
    <col min="5639" max="5639" width="6.296875" style="410" customWidth="1"/>
    <col min="5640" max="5640" width="14.296875" style="410" customWidth="1"/>
    <col min="5641" max="5644" width="8.796875" style="410" customWidth="1"/>
    <col min="5645" max="5645" width="17.796875" style="410" customWidth="1"/>
    <col min="5646" max="5887" width="8.796875" style="410" customWidth="1"/>
    <col min="5888" max="5888" width="32.296875" style="410" bestFit="1" customWidth="1"/>
    <col min="5889" max="5889" width="22.19921875" style="410" customWidth="1"/>
    <col min="5890" max="5890" width="14.296875" style="410" customWidth="1"/>
    <col min="5891" max="5891" width="19" style="410" customWidth="1"/>
    <col min="5892" max="5892" width="8.796875" style="410" customWidth="1"/>
    <col min="5893" max="5893" width="11.296875" style="410" customWidth="1"/>
    <col min="5894" max="5894" width="8.796875" style="410" customWidth="1"/>
    <col min="5895" max="5895" width="6.296875" style="410" customWidth="1"/>
    <col min="5896" max="5896" width="14.296875" style="410" customWidth="1"/>
    <col min="5897" max="5900" width="8.796875" style="410" customWidth="1"/>
    <col min="5901" max="5901" width="17.796875" style="410" customWidth="1"/>
    <col min="5902" max="6143" width="8.796875" style="410" customWidth="1"/>
    <col min="6144" max="6144" width="32.296875" style="410" bestFit="1" customWidth="1"/>
    <col min="6145" max="6145" width="22.19921875" style="410" customWidth="1"/>
    <col min="6146" max="6146" width="14.296875" style="410" customWidth="1"/>
    <col min="6147" max="6147" width="19" style="410" customWidth="1"/>
    <col min="6148" max="6148" width="8.796875" style="410" customWidth="1"/>
    <col min="6149" max="6149" width="11.296875" style="410" customWidth="1"/>
    <col min="6150" max="6150" width="8.796875" style="410" customWidth="1"/>
    <col min="6151" max="6151" width="6.296875" style="410" customWidth="1"/>
    <col min="6152" max="6152" width="14.296875" style="410" customWidth="1"/>
    <col min="6153" max="6156" width="8.796875" style="410" customWidth="1"/>
    <col min="6157" max="6157" width="17.796875" style="410" customWidth="1"/>
    <col min="6158" max="6399" width="8.796875" style="410" customWidth="1"/>
    <col min="6400" max="6400" width="32.296875" style="410" bestFit="1" customWidth="1"/>
    <col min="6401" max="6401" width="22.19921875" style="410" customWidth="1"/>
    <col min="6402" max="6402" width="14.296875" style="410" customWidth="1"/>
    <col min="6403" max="6403" width="19" style="410" customWidth="1"/>
    <col min="6404" max="6404" width="8.796875" style="410" customWidth="1"/>
    <col min="6405" max="6405" width="11.296875" style="410" customWidth="1"/>
    <col min="6406" max="6406" width="8.796875" style="410" customWidth="1"/>
    <col min="6407" max="6407" width="6.296875" style="410" customWidth="1"/>
    <col min="6408" max="6408" width="14.296875" style="410" customWidth="1"/>
    <col min="6409" max="6412" width="8.796875" style="410" customWidth="1"/>
    <col min="6413" max="6413" width="17.796875" style="410" customWidth="1"/>
    <col min="6414" max="6655" width="8.796875" style="410" customWidth="1"/>
    <col min="6656" max="6656" width="32.296875" style="410" bestFit="1" customWidth="1"/>
    <col min="6657" max="6657" width="22.19921875" style="410" customWidth="1"/>
    <col min="6658" max="6658" width="14.296875" style="410" customWidth="1"/>
    <col min="6659" max="6659" width="19" style="410" customWidth="1"/>
    <col min="6660" max="6660" width="8.796875" style="410" customWidth="1"/>
    <col min="6661" max="6661" width="11.296875" style="410" customWidth="1"/>
    <col min="6662" max="6662" width="8.796875" style="410" customWidth="1"/>
    <col min="6663" max="6663" width="6.296875" style="410" customWidth="1"/>
    <col min="6664" max="6664" width="14.296875" style="410" customWidth="1"/>
    <col min="6665" max="6668" width="8.796875" style="410" customWidth="1"/>
    <col min="6669" max="6669" width="17.796875" style="410" customWidth="1"/>
    <col min="6670" max="6911" width="8.796875" style="410" customWidth="1"/>
    <col min="6912" max="6912" width="32.296875" style="410" bestFit="1" customWidth="1"/>
    <col min="6913" max="6913" width="22.19921875" style="410" customWidth="1"/>
    <col min="6914" max="6914" width="14.296875" style="410" customWidth="1"/>
    <col min="6915" max="6915" width="19" style="410" customWidth="1"/>
    <col min="6916" max="6916" width="8.796875" style="410" customWidth="1"/>
    <col min="6917" max="6917" width="11.296875" style="410" customWidth="1"/>
    <col min="6918" max="6918" width="8.796875" style="410" customWidth="1"/>
    <col min="6919" max="6919" width="6.296875" style="410" customWidth="1"/>
    <col min="6920" max="6920" width="14.296875" style="410" customWidth="1"/>
    <col min="6921" max="6924" width="8.796875" style="410" customWidth="1"/>
    <col min="6925" max="6925" width="17.796875" style="410" customWidth="1"/>
    <col min="6926" max="7167" width="8.796875" style="410" customWidth="1"/>
    <col min="7168" max="7168" width="32.296875" style="410" bestFit="1" customWidth="1"/>
    <col min="7169" max="7169" width="22.19921875" style="410" customWidth="1"/>
    <col min="7170" max="7170" width="14.296875" style="410" customWidth="1"/>
    <col min="7171" max="7171" width="19" style="410" customWidth="1"/>
    <col min="7172" max="7172" width="8.796875" style="410" customWidth="1"/>
    <col min="7173" max="7173" width="11.296875" style="410" customWidth="1"/>
    <col min="7174" max="7174" width="8.796875" style="410" customWidth="1"/>
    <col min="7175" max="7175" width="6.296875" style="410" customWidth="1"/>
    <col min="7176" max="7176" width="14.296875" style="410" customWidth="1"/>
    <col min="7177" max="7180" width="8.796875" style="410" customWidth="1"/>
    <col min="7181" max="7181" width="17.796875" style="410" customWidth="1"/>
    <col min="7182" max="7423" width="8.796875" style="410" customWidth="1"/>
    <col min="7424" max="7424" width="32.296875" style="410" bestFit="1" customWidth="1"/>
    <col min="7425" max="7425" width="22.19921875" style="410" customWidth="1"/>
    <col min="7426" max="7426" width="14.296875" style="410" customWidth="1"/>
    <col min="7427" max="7427" width="19" style="410" customWidth="1"/>
    <col min="7428" max="7428" width="8.796875" style="410" customWidth="1"/>
    <col min="7429" max="7429" width="11.296875" style="410" customWidth="1"/>
    <col min="7430" max="7430" width="8.796875" style="410" customWidth="1"/>
    <col min="7431" max="7431" width="6.296875" style="410" customWidth="1"/>
    <col min="7432" max="7432" width="14.296875" style="410" customWidth="1"/>
    <col min="7433" max="7436" width="8.796875" style="410" customWidth="1"/>
    <col min="7437" max="7437" width="17.796875" style="410" customWidth="1"/>
    <col min="7438" max="7679" width="8.796875" style="410" customWidth="1"/>
    <col min="7680" max="7680" width="32.296875" style="410" bestFit="1" customWidth="1"/>
    <col min="7681" max="7681" width="22.19921875" style="410" customWidth="1"/>
    <col min="7682" max="7682" width="14.296875" style="410" customWidth="1"/>
    <col min="7683" max="7683" width="19" style="410" customWidth="1"/>
    <col min="7684" max="7684" width="8.796875" style="410" customWidth="1"/>
    <col min="7685" max="7685" width="11.296875" style="410" customWidth="1"/>
    <col min="7686" max="7686" width="8.796875" style="410" customWidth="1"/>
    <col min="7687" max="7687" width="6.296875" style="410" customWidth="1"/>
    <col min="7688" max="7688" width="14.296875" style="410" customWidth="1"/>
    <col min="7689" max="7692" width="8.796875" style="410" customWidth="1"/>
    <col min="7693" max="7693" width="17.796875" style="410" customWidth="1"/>
    <col min="7694" max="7935" width="8.796875" style="410" customWidth="1"/>
    <col min="7936" max="7936" width="32.296875" style="410" bestFit="1" customWidth="1"/>
    <col min="7937" max="7937" width="22.19921875" style="410" customWidth="1"/>
    <col min="7938" max="7938" width="14.296875" style="410" customWidth="1"/>
    <col min="7939" max="7939" width="19" style="410" customWidth="1"/>
    <col min="7940" max="7940" width="8.796875" style="410" customWidth="1"/>
    <col min="7941" max="7941" width="11.296875" style="410" customWidth="1"/>
    <col min="7942" max="7942" width="8.796875" style="410" customWidth="1"/>
    <col min="7943" max="7943" width="6.296875" style="410" customWidth="1"/>
    <col min="7944" max="7944" width="14.296875" style="410" customWidth="1"/>
    <col min="7945" max="7948" width="8.796875" style="410" customWidth="1"/>
    <col min="7949" max="7949" width="17.796875" style="410" customWidth="1"/>
    <col min="7950" max="8191" width="8.796875" style="410" customWidth="1"/>
    <col min="8192" max="8192" width="32.296875" style="410" bestFit="1" customWidth="1"/>
    <col min="8193" max="8193" width="22.19921875" style="410" customWidth="1"/>
    <col min="8194" max="8194" width="14.296875" style="410" customWidth="1"/>
    <col min="8195" max="8195" width="19" style="410" customWidth="1"/>
    <col min="8196" max="8196" width="8.796875" style="410" customWidth="1"/>
    <col min="8197" max="8197" width="11.296875" style="410" customWidth="1"/>
    <col min="8198" max="8198" width="8.796875" style="410" customWidth="1"/>
    <col min="8199" max="8199" width="6.296875" style="410" customWidth="1"/>
    <col min="8200" max="8200" width="14.296875" style="410" customWidth="1"/>
    <col min="8201" max="8204" width="8.796875" style="410" customWidth="1"/>
    <col min="8205" max="8205" width="17.796875" style="410" customWidth="1"/>
    <col min="8206" max="8447" width="8.796875" style="410" customWidth="1"/>
    <col min="8448" max="8448" width="32.296875" style="410" bestFit="1" customWidth="1"/>
    <col min="8449" max="8449" width="22.19921875" style="410" customWidth="1"/>
    <col min="8450" max="8450" width="14.296875" style="410" customWidth="1"/>
    <col min="8451" max="8451" width="19" style="410" customWidth="1"/>
    <col min="8452" max="8452" width="8.796875" style="410" customWidth="1"/>
    <col min="8453" max="8453" width="11.296875" style="410" customWidth="1"/>
    <col min="8454" max="8454" width="8.796875" style="410" customWidth="1"/>
    <col min="8455" max="8455" width="6.296875" style="410" customWidth="1"/>
    <col min="8456" max="8456" width="14.296875" style="410" customWidth="1"/>
    <col min="8457" max="8460" width="8.796875" style="410" customWidth="1"/>
    <col min="8461" max="8461" width="17.796875" style="410" customWidth="1"/>
    <col min="8462" max="8703" width="8.796875" style="410" customWidth="1"/>
    <col min="8704" max="8704" width="32.296875" style="410" bestFit="1" customWidth="1"/>
    <col min="8705" max="8705" width="22.19921875" style="410" customWidth="1"/>
    <col min="8706" max="8706" width="14.296875" style="410" customWidth="1"/>
    <col min="8707" max="8707" width="19" style="410" customWidth="1"/>
    <col min="8708" max="8708" width="8.796875" style="410" customWidth="1"/>
    <col min="8709" max="8709" width="11.296875" style="410" customWidth="1"/>
    <col min="8710" max="8710" width="8.796875" style="410" customWidth="1"/>
    <col min="8711" max="8711" width="6.296875" style="410" customWidth="1"/>
    <col min="8712" max="8712" width="14.296875" style="410" customWidth="1"/>
    <col min="8713" max="8716" width="8.796875" style="410" customWidth="1"/>
    <col min="8717" max="8717" width="17.796875" style="410" customWidth="1"/>
    <col min="8718" max="8959" width="8.796875" style="410" customWidth="1"/>
    <col min="8960" max="8960" width="32.296875" style="410" bestFit="1" customWidth="1"/>
    <col min="8961" max="8961" width="22.19921875" style="410" customWidth="1"/>
    <col min="8962" max="8962" width="14.296875" style="410" customWidth="1"/>
    <col min="8963" max="8963" width="19" style="410" customWidth="1"/>
    <col min="8964" max="8964" width="8.796875" style="410" customWidth="1"/>
    <col min="8965" max="8965" width="11.296875" style="410" customWidth="1"/>
    <col min="8966" max="8966" width="8.796875" style="410" customWidth="1"/>
    <col min="8967" max="8967" width="6.296875" style="410" customWidth="1"/>
    <col min="8968" max="8968" width="14.296875" style="410" customWidth="1"/>
    <col min="8969" max="8972" width="8.796875" style="410" customWidth="1"/>
    <col min="8973" max="8973" width="17.796875" style="410" customWidth="1"/>
    <col min="8974" max="9215" width="8.796875" style="410" customWidth="1"/>
    <col min="9216" max="9216" width="32.296875" style="410" bestFit="1" customWidth="1"/>
    <col min="9217" max="9217" width="22.19921875" style="410" customWidth="1"/>
    <col min="9218" max="9218" width="14.296875" style="410" customWidth="1"/>
    <col min="9219" max="9219" width="19" style="410" customWidth="1"/>
    <col min="9220" max="9220" width="8.796875" style="410" customWidth="1"/>
    <col min="9221" max="9221" width="11.296875" style="410" customWidth="1"/>
    <col min="9222" max="9222" width="8.796875" style="410" customWidth="1"/>
    <col min="9223" max="9223" width="6.296875" style="410" customWidth="1"/>
    <col min="9224" max="9224" width="14.296875" style="410" customWidth="1"/>
    <col min="9225" max="9228" width="8.796875" style="410" customWidth="1"/>
    <col min="9229" max="9229" width="17.796875" style="410" customWidth="1"/>
    <col min="9230" max="9471" width="8.796875" style="410" customWidth="1"/>
    <col min="9472" max="9472" width="32.296875" style="410" bestFit="1" customWidth="1"/>
    <col min="9473" max="9473" width="22.19921875" style="410" customWidth="1"/>
    <col min="9474" max="9474" width="14.296875" style="410" customWidth="1"/>
    <col min="9475" max="9475" width="19" style="410" customWidth="1"/>
    <col min="9476" max="9476" width="8.796875" style="410" customWidth="1"/>
    <col min="9477" max="9477" width="11.296875" style="410" customWidth="1"/>
    <col min="9478" max="9478" width="8.796875" style="410" customWidth="1"/>
    <col min="9479" max="9479" width="6.296875" style="410" customWidth="1"/>
    <col min="9480" max="9480" width="14.296875" style="410" customWidth="1"/>
    <col min="9481" max="9484" width="8.796875" style="410" customWidth="1"/>
    <col min="9485" max="9485" width="17.796875" style="410" customWidth="1"/>
    <col min="9486" max="9727" width="8.796875" style="410" customWidth="1"/>
    <col min="9728" max="9728" width="32.296875" style="410" bestFit="1" customWidth="1"/>
    <col min="9729" max="9729" width="22.19921875" style="410" customWidth="1"/>
    <col min="9730" max="9730" width="14.296875" style="410" customWidth="1"/>
    <col min="9731" max="9731" width="19" style="410" customWidth="1"/>
    <col min="9732" max="9732" width="8.796875" style="410" customWidth="1"/>
    <col min="9733" max="9733" width="11.296875" style="410" customWidth="1"/>
    <col min="9734" max="9734" width="8.796875" style="410" customWidth="1"/>
    <col min="9735" max="9735" width="6.296875" style="410" customWidth="1"/>
    <col min="9736" max="9736" width="14.296875" style="410" customWidth="1"/>
    <col min="9737" max="9740" width="8.796875" style="410" customWidth="1"/>
    <col min="9741" max="9741" width="17.796875" style="410" customWidth="1"/>
    <col min="9742" max="9983" width="8.796875" style="410" customWidth="1"/>
    <col min="9984" max="9984" width="32.296875" style="410" bestFit="1" customWidth="1"/>
    <col min="9985" max="9985" width="22.19921875" style="410" customWidth="1"/>
    <col min="9986" max="9986" width="14.296875" style="410" customWidth="1"/>
    <col min="9987" max="9987" width="19" style="410" customWidth="1"/>
    <col min="9988" max="9988" width="8.796875" style="410" customWidth="1"/>
    <col min="9989" max="9989" width="11.296875" style="410" customWidth="1"/>
    <col min="9990" max="9990" width="8.796875" style="410" customWidth="1"/>
    <col min="9991" max="9991" width="6.296875" style="410" customWidth="1"/>
    <col min="9992" max="9992" width="14.296875" style="410" customWidth="1"/>
    <col min="9993" max="9996" width="8.796875" style="410" customWidth="1"/>
    <col min="9997" max="9997" width="17.796875" style="410" customWidth="1"/>
    <col min="9998" max="10239" width="8.796875" style="410" customWidth="1"/>
    <col min="10240" max="10240" width="32.296875" style="410" bestFit="1" customWidth="1"/>
    <col min="10241" max="10241" width="22.19921875" style="410" customWidth="1"/>
    <col min="10242" max="10242" width="14.296875" style="410" customWidth="1"/>
    <col min="10243" max="10243" width="19" style="410" customWidth="1"/>
    <col min="10244" max="10244" width="8.796875" style="410" customWidth="1"/>
    <col min="10245" max="10245" width="11.296875" style="410" customWidth="1"/>
    <col min="10246" max="10246" width="8.796875" style="410" customWidth="1"/>
    <col min="10247" max="10247" width="6.296875" style="410" customWidth="1"/>
    <col min="10248" max="10248" width="14.296875" style="410" customWidth="1"/>
    <col min="10249" max="10252" width="8.796875" style="410" customWidth="1"/>
    <col min="10253" max="10253" width="17.796875" style="410" customWidth="1"/>
    <col min="10254" max="10495" width="8.796875" style="410" customWidth="1"/>
    <col min="10496" max="10496" width="32.296875" style="410" bestFit="1" customWidth="1"/>
    <col min="10497" max="10497" width="22.19921875" style="410" customWidth="1"/>
    <col min="10498" max="10498" width="14.296875" style="410" customWidth="1"/>
    <col min="10499" max="10499" width="19" style="410" customWidth="1"/>
    <col min="10500" max="10500" width="8.796875" style="410" customWidth="1"/>
    <col min="10501" max="10501" width="11.296875" style="410" customWidth="1"/>
    <col min="10502" max="10502" width="8.796875" style="410" customWidth="1"/>
    <col min="10503" max="10503" width="6.296875" style="410" customWidth="1"/>
    <col min="10504" max="10504" width="14.296875" style="410" customWidth="1"/>
    <col min="10505" max="10508" width="8.796875" style="410" customWidth="1"/>
    <col min="10509" max="10509" width="17.796875" style="410" customWidth="1"/>
    <col min="10510" max="10751" width="8.796875" style="410" customWidth="1"/>
    <col min="10752" max="10752" width="32.296875" style="410" bestFit="1" customWidth="1"/>
    <col min="10753" max="10753" width="22.19921875" style="410" customWidth="1"/>
    <col min="10754" max="10754" width="14.296875" style="410" customWidth="1"/>
    <col min="10755" max="10755" width="19" style="410" customWidth="1"/>
    <col min="10756" max="10756" width="8.796875" style="410" customWidth="1"/>
    <col min="10757" max="10757" width="11.296875" style="410" customWidth="1"/>
    <col min="10758" max="10758" width="8.796875" style="410" customWidth="1"/>
    <col min="10759" max="10759" width="6.296875" style="410" customWidth="1"/>
    <col min="10760" max="10760" width="14.296875" style="410" customWidth="1"/>
    <col min="10761" max="10764" width="8.796875" style="410" customWidth="1"/>
    <col min="10765" max="10765" width="17.796875" style="410" customWidth="1"/>
    <col min="10766" max="11007" width="8.796875" style="410" customWidth="1"/>
    <col min="11008" max="11008" width="32.296875" style="410" bestFit="1" customWidth="1"/>
    <col min="11009" max="11009" width="22.19921875" style="410" customWidth="1"/>
    <col min="11010" max="11010" width="14.296875" style="410" customWidth="1"/>
    <col min="11011" max="11011" width="19" style="410" customWidth="1"/>
    <col min="11012" max="11012" width="8.796875" style="410" customWidth="1"/>
    <col min="11013" max="11013" width="11.296875" style="410" customWidth="1"/>
    <col min="11014" max="11014" width="8.796875" style="410" customWidth="1"/>
    <col min="11015" max="11015" width="6.296875" style="410" customWidth="1"/>
    <col min="11016" max="11016" width="14.296875" style="410" customWidth="1"/>
    <col min="11017" max="11020" width="8.796875" style="410" customWidth="1"/>
    <col min="11021" max="11021" width="17.796875" style="410" customWidth="1"/>
    <col min="11022" max="11263" width="8.796875" style="410" customWidth="1"/>
    <col min="11264" max="11264" width="32.296875" style="410" bestFit="1" customWidth="1"/>
    <col min="11265" max="11265" width="22.19921875" style="410" customWidth="1"/>
    <col min="11266" max="11266" width="14.296875" style="410" customWidth="1"/>
    <col min="11267" max="11267" width="19" style="410" customWidth="1"/>
    <col min="11268" max="11268" width="8.796875" style="410" customWidth="1"/>
    <col min="11269" max="11269" width="11.296875" style="410" customWidth="1"/>
    <col min="11270" max="11270" width="8.796875" style="410" customWidth="1"/>
    <col min="11271" max="11271" width="6.296875" style="410" customWidth="1"/>
    <col min="11272" max="11272" width="14.296875" style="410" customWidth="1"/>
    <col min="11273" max="11276" width="8.796875" style="410" customWidth="1"/>
    <col min="11277" max="11277" width="17.796875" style="410" customWidth="1"/>
    <col min="11278" max="11519" width="8.796875" style="410" customWidth="1"/>
    <col min="11520" max="11520" width="32.296875" style="410" bestFit="1" customWidth="1"/>
    <col min="11521" max="11521" width="22.19921875" style="410" customWidth="1"/>
    <col min="11522" max="11522" width="14.296875" style="410" customWidth="1"/>
    <col min="11523" max="11523" width="19" style="410" customWidth="1"/>
    <col min="11524" max="11524" width="8.796875" style="410" customWidth="1"/>
    <col min="11525" max="11525" width="11.296875" style="410" customWidth="1"/>
    <col min="11526" max="11526" width="8.796875" style="410" customWidth="1"/>
    <col min="11527" max="11527" width="6.296875" style="410" customWidth="1"/>
    <col min="11528" max="11528" width="14.296875" style="410" customWidth="1"/>
    <col min="11529" max="11532" width="8.796875" style="410" customWidth="1"/>
    <col min="11533" max="11533" width="17.796875" style="410" customWidth="1"/>
    <col min="11534" max="11775" width="8.796875" style="410" customWidth="1"/>
    <col min="11776" max="11776" width="32.296875" style="410" bestFit="1" customWidth="1"/>
    <col min="11777" max="11777" width="22.19921875" style="410" customWidth="1"/>
    <col min="11778" max="11778" width="14.296875" style="410" customWidth="1"/>
    <col min="11779" max="11779" width="19" style="410" customWidth="1"/>
    <col min="11780" max="11780" width="8.796875" style="410" customWidth="1"/>
    <col min="11781" max="11781" width="11.296875" style="410" customWidth="1"/>
    <col min="11782" max="11782" width="8.796875" style="410" customWidth="1"/>
    <col min="11783" max="11783" width="6.296875" style="410" customWidth="1"/>
    <col min="11784" max="11784" width="14.296875" style="410" customWidth="1"/>
    <col min="11785" max="11788" width="8.796875" style="410" customWidth="1"/>
    <col min="11789" max="11789" width="17.796875" style="410" customWidth="1"/>
    <col min="11790" max="12031" width="8.796875" style="410" customWidth="1"/>
    <col min="12032" max="12032" width="32.296875" style="410" bestFit="1" customWidth="1"/>
    <col min="12033" max="12033" width="22.19921875" style="410" customWidth="1"/>
    <col min="12034" max="12034" width="14.296875" style="410" customWidth="1"/>
    <col min="12035" max="12035" width="19" style="410" customWidth="1"/>
    <col min="12036" max="12036" width="8.796875" style="410" customWidth="1"/>
    <col min="12037" max="12037" width="11.296875" style="410" customWidth="1"/>
    <col min="12038" max="12038" width="8.796875" style="410" customWidth="1"/>
    <col min="12039" max="12039" width="6.296875" style="410" customWidth="1"/>
    <col min="12040" max="12040" width="14.296875" style="410" customWidth="1"/>
    <col min="12041" max="12044" width="8.796875" style="410" customWidth="1"/>
    <col min="12045" max="12045" width="17.796875" style="410" customWidth="1"/>
    <col min="12046" max="12287" width="8.796875" style="410" customWidth="1"/>
    <col min="12288" max="12288" width="32.296875" style="410" bestFit="1" customWidth="1"/>
    <col min="12289" max="12289" width="22.19921875" style="410" customWidth="1"/>
    <col min="12290" max="12290" width="14.296875" style="410" customWidth="1"/>
    <col min="12291" max="12291" width="19" style="410" customWidth="1"/>
    <col min="12292" max="12292" width="8.796875" style="410" customWidth="1"/>
    <col min="12293" max="12293" width="11.296875" style="410" customWidth="1"/>
    <col min="12294" max="12294" width="8.796875" style="410" customWidth="1"/>
    <col min="12295" max="12295" width="6.296875" style="410" customWidth="1"/>
    <col min="12296" max="12296" width="14.296875" style="410" customWidth="1"/>
    <col min="12297" max="12300" width="8.796875" style="410" customWidth="1"/>
    <col min="12301" max="12301" width="17.796875" style="410" customWidth="1"/>
    <col min="12302" max="12543" width="8.796875" style="410" customWidth="1"/>
    <col min="12544" max="12544" width="32.296875" style="410" bestFit="1" customWidth="1"/>
    <col min="12545" max="12545" width="22.19921875" style="410" customWidth="1"/>
    <col min="12546" max="12546" width="14.296875" style="410" customWidth="1"/>
    <col min="12547" max="12547" width="19" style="410" customWidth="1"/>
    <col min="12548" max="12548" width="8.796875" style="410" customWidth="1"/>
    <col min="12549" max="12549" width="11.296875" style="410" customWidth="1"/>
    <col min="12550" max="12550" width="8.796875" style="410" customWidth="1"/>
    <col min="12551" max="12551" width="6.296875" style="410" customWidth="1"/>
    <col min="12552" max="12552" width="14.296875" style="410" customWidth="1"/>
    <col min="12553" max="12556" width="8.796875" style="410" customWidth="1"/>
    <col min="12557" max="12557" width="17.796875" style="410" customWidth="1"/>
    <col min="12558" max="12799" width="8.796875" style="410" customWidth="1"/>
    <col min="12800" max="12800" width="32.296875" style="410" bestFit="1" customWidth="1"/>
    <col min="12801" max="12801" width="22.19921875" style="410" customWidth="1"/>
    <col min="12802" max="12802" width="14.296875" style="410" customWidth="1"/>
    <col min="12803" max="12803" width="19" style="410" customWidth="1"/>
    <col min="12804" max="12804" width="8.796875" style="410" customWidth="1"/>
    <col min="12805" max="12805" width="11.296875" style="410" customWidth="1"/>
    <col min="12806" max="12806" width="8.796875" style="410" customWidth="1"/>
    <col min="12807" max="12807" width="6.296875" style="410" customWidth="1"/>
    <col min="12808" max="12808" width="14.296875" style="410" customWidth="1"/>
    <col min="12809" max="12812" width="8.796875" style="410" customWidth="1"/>
    <col min="12813" max="12813" width="17.796875" style="410" customWidth="1"/>
    <col min="12814" max="13055" width="8.796875" style="410" customWidth="1"/>
    <col min="13056" max="13056" width="32.296875" style="410" bestFit="1" customWidth="1"/>
    <col min="13057" max="13057" width="22.19921875" style="410" customWidth="1"/>
    <col min="13058" max="13058" width="14.296875" style="410" customWidth="1"/>
    <col min="13059" max="13059" width="19" style="410" customWidth="1"/>
    <col min="13060" max="13060" width="8.796875" style="410" customWidth="1"/>
    <col min="13061" max="13061" width="11.296875" style="410" customWidth="1"/>
    <col min="13062" max="13062" width="8.796875" style="410" customWidth="1"/>
    <col min="13063" max="13063" width="6.296875" style="410" customWidth="1"/>
    <col min="13064" max="13064" width="14.296875" style="410" customWidth="1"/>
    <col min="13065" max="13068" width="8.796875" style="410" customWidth="1"/>
    <col min="13069" max="13069" width="17.796875" style="410" customWidth="1"/>
    <col min="13070" max="13311" width="8.796875" style="410" customWidth="1"/>
    <col min="13312" max="13312" width="32.296875" style="410" bestFit="1" customWidth="1"/>
    <col min="13313" max="13313" width="22.19921875" style="410" customWidth="1"/>
    <col min="13314" max="13314" width="14.296875" style="410" customWidth="1"/>
    <col min="13315" max="13315" width="19" style="410" customWidth="1"/>
    <col min="13316" max="13316" width="8.796875" style="410" customWidth="1"/>
    <col min="13317" max="13317" width="11.296875" style="410" customWidth="1"/>
    <col min="13318" max="13318" width="8.796875" style="410" customWidth="1"/>
    <col min="13319" max="13319" width="6.296875" style="410" customWidth="1"/>
    <col min="13320" max="13320" width="14.296875" style="410" customWidth="1"/>
    <col min="13321" max="13324" width="8.796875" style="410" customWidth="1"/>
    <col min="13325" max="13325" width="17.796875" style="410" customWidth="1"/>
    <col min="13326" max="13567" width="8.796875" style="410" customWidth="1"/>
    <col min="13568" max="13568" width="32.296875" style="410" bestFit="1" customWidth="1"/>
    <col min="13569" max="13569" width="22.19921875" style="410" customWidth="1"/>
    <col min="13570" max="13570" width="14.296875" style="410" customWidth="1"/>
    <col min="13571" max="13571" width="19" style="410" customWidth="1"/>
    <col min="13572" max="13572" width="8.796875" style="410" customWidth="1"/>
    <col min="13573" max="13573" width="11.296875" style="410" customWidth="1"/>
    <col min="13574" max="13574" width="8.796875" style="410" customWidth="1"/>
    <col min="13575" max="13575" width="6.296875" style="410" customWidth="1"/>
    <col min="13576" max="13576" width="14.296875" style="410" customWidth="1"/>
    <col min="13577" max="13580" width="8.796875" style="410" customWidth="1"/>
    <col min="13581" max="13581" width="17.796875" style="410" customWidth="1"/>
    <col min="13582" max="13823" width="8.796875" style="410" customWidth="1"/>
    <col min="13824" max="13824" width="32.296875" style="410" bestFit="1" customWidth="1"/>
    <col min="13825" max="13825" width="22.19921875" style="410" customWidth="1"/>
    <col min="13826" max="13826" width="14.296875" style="410" customWidth="1"/>
    <col min="13827" max="13827" width="19" style="410" customWidth="1"/>
    <col min="13828" max="13828" width="8.796875" style="410" customWidth="1"/>
    <col min="13829" max="13829" width="11.296875" style="410" customWidth="1"/>
    <col min="13830" max="13830" width="8.796875" style="410" customWidth="1"/>
    <col min="13831" max="13831" width="6.296875" style="410" customWidth="1"/>
    <col min="13832" max="13832" width="14.296875" style="410" customWidth="1"/>
    <col min="13833" max="13836" width="8.796875" style="410" customWidth="1"/>
    <col min="13837" max="13837" width="17.796875" style="410" customWidth="1"/>
    <col min="13838" max="14079" width="8.796875" style="410" customWidth="1"/>
    <col min="14080" max="14080" width="32.296875" style="410" bestFit="1" customWidth="1"/>
    <col min="14081" max="14081" width="22.19921875" style="410" customWidth="1"/>
    <col min="14082" max="14082" width="14.296875" style="410" customWidth="1"/>
    <col min="14083" max="14083" width="19" style="410" customWidth="1"/>
    <col min="14084" max="14084" width="8.796875" style="410" customWidth="1"/>
    <col min="14085" max="14085" width="11.296875" style="410" customWidth="1"/>
    <col min="14086" max="14086" width="8.796875" style="410" customWidth="1"/>
    <col min="14087" max="14087" width="6.296875" style="410" customWidth="1"/>
    <col min="14088" max="14088" width="14.296875" style="410" customWidth="1"/>
    <col min="14089" max="14092" width="8.796875" style="410" customWidth="1"/>
    <col min="14093" max="14093" width="17.796875" style="410" customWidth="1"/>
    <col min="14094" max="14335" width="8.796875" style="410" customWidth="1"/>
    <col min="14336" max="14336" width="32.296875" style="410" bestFit="1" customWidth="1"/>
    <col min="14337" max="14337" width="22.19921875" style="410" customWidth="1"/>
    <col min="14338" max="14338" width="14.296875" style="410" customWidth="1"/>
    <col min="14339" max="14339" width="19" style="410" customWidth="1"/>
    <col min="14340" max="14340" width="8.796875" style="410" customWidth="1"/>
    <col min="14341" max="14341" width="11.296875" style="410" customWidth="1"/>
    <col min="14342" max="14342" width="8.796875" style="410" customWidth="1"/>
    <col min="14343" max="14343" width="6.296875" style="410" customWidth="1"/>
    <col min="14344" max="14344" width="14.296875" style="410" customWidth="1"/>
    <col min="14345" max="14348" width="8.796875" style="410" customWidth="1"/>
    <col min="14349" max="14349" width="17.796875" style="410" customWidth="1"/>
    <col min="14350" max="14591" width="8.796875" style="410" customWidth="1"/>
    <col min="14592" max="14592" width="32.296875" style="410" bestFit="1" customWidth="1"/>
    <col min="14593" max="14593" width="22.19921875" style="410" customWidth="1"/>
    <col min="14594" max="14594" width="14.296875" style="410" customWidth="1"/>
    <col min="14595" max="14595" width="19" style="410" customWidth="1"/>
    <col min="14596" max="14596" width="8.796875" style="410" customWidth="1"/>
    <col min="14597" max="14597" width="11.296875" style="410" customWidth="1"/>
    <col min="14598" max="14598" width="8.796875" style="410" customWidth="1"/>
    <col min="14599" max="14599" width="6.296875" style="410" customWidth="1"/>
    <col min="14600" max="14600" width="14.296875" style="410" customWidth="1"/>
    <col min="14601" max="14604" width="8.796875" style="410" customWidth="1"/>
    <col min="14605" max="14605" width="17.796875" style="410" customWidth="1"/>
    <col min="14606" max="14847" width="8.796875" style="410" customWidth="1"/>
    <col min="14848" max="14848" width="32.296875" style="410" bestFit="1" customWidth="1"/>
    <col min="14849" max="14849" width="22.19921875" style="410" customWidth="1"/>
    <col min="14850" max="14850" width="14.296875" style="410" customWidth="1"/>
    <col min="14851" max="14851" width="19" style="410" customWidth="1"/>
    <col min="14852" max="14852" width="8.796875" style="410" customWidth="1"/>
    <col min="14853" max="14853" width="11.296875" style="410" customWidth="1"/>
    <col min="14854" max="14854" width="8.796875" style="410" customWidth="1"/>
    <col min="14855" max="14855" width="6.296875" style="410" customWidth="1"/>
    <col min="14856" max="14856" width="14.296875" style="410" customWidth="1"/>
    <col min="14857" max="14860" width="8.796875" style="410" customWidth="1"/>
    <col min="14861" max="14861" width="17.796875" style="410" customWidth="1"/>
    <col min="14862" max="15103" width="8.796875" style="410" customWidth="1"/>
    <col min="15104" max="15104" width="32.296875" style="410" bestFit="1" customWidth="1"/>
    <col min="15105" max="15105" width="22.19921875" style="410" customWidth="1"/>
    <col min="15106" max="15106" width="14.296875" style="410" customWidth="1"/>
    <col min="15107" max="15107" width="19" style="410" customWidth="1"/>
    <col min="15108" max="15108" width="8.796875" style="410" customWidth="1"/>
    <col min="15109" max="15109" width="11.296875" style="410" customWidth="1"/>
    <col min="15110" max="15110" width="8.796875" style="410" customWidth="1"/>
    <col min="15111" max="15111" width="6.296875" style="410" customWidth="1"/>
    <col min="15112" max="15112" width="14.296875" style="410" customWidth="1"/>
    <col min="15113" max="15116" width="8.796875" style="410" customWidth="1"/>
    <col min="15117" max="15117" width="17.796875" style="410" customWidth="1"/>
    <col min="15118" max="15359" width="8.796875" style="410" customWidth="1"/>
    <col min="15360" max="15360" width="32.296875" style="410" bestFit="1" customWidth="1"/>
    <col min="15361" max="15361" width="22.19921875" style="410" customWidth="1"/>
    <col min="15362" max="15362" width="14.296875" style="410" customWidth="1"/>
    <col min="15363" max="15363" width="19" style="410" customWidth="1"/>
    <col min="15364" max="15364" width="8.796875" style="410" customWidth="1"/>
    <col min="15365" max="15365" width="11.296875" style="410" customWidth="1"/>
    <col min="15366" max="15366" width="8.796875" style="410" customWidth="1"/>
    <col min="15367" max="15367" width="6.296875" style="410" customWidth="1"/>
    <col min="15368" max="15368" width="14.296875" style="410" customWidth="1"/>
    <col min="15369" max="15372" width="8.796875" style="410" customWidth="1"/>
    <col min="15373" max="15373" width="17.796875" style="410" customWidth="1"/>
    <col min="15374" max="15615" width="8.796875" style="410" customWidth="1"/>
    <col min="15616" max="15616" width="32.296875" style="410" bestFit="1" customWidth="1"/>
    <col min="15617" max="15617" width="22.19921875" style="410" customWidth="1"/>
    <col min="15618" max="15618" width="14.296875" style="410" customWidth="1"/>
    <col min="15619" max="15619" width="19" style="410" customWidth="1"/>
    <col min="15620" max="15620" width="8.796875" style="410" customWidth="1"/>
    <col min="15621" max="15621" width="11.296875" style="410" customWidth="1"/>
    <col min="15622" max="15622" width="8.796875" style="410" customWidth="1"/>
    <col min="15623" max="15623" width="6.296875" style="410" customWidth="1"/>
    <col min="15624" max="15624" width="14.296875" style="410" customWidth="1"/>
    <col min="15625" max="15628" width="8.796875" style="410" customWidth="1"/>
    <col min="15629" max="15629" width="17.796875" style="410" customWidth="1"/>
    <col min="15630" max="15871" width="8.796875" style="410" customWidth="1"/>
    <col min="15872" max="15872" width="32.296875" style="410" bestFit="1" customWidth="1"/>
    <col min="15873" max="15873" width="22.19921875" style="410" customWidth="1"/>
    <col min="15874" max="15874" width="14.296875" style="410" customWidth="1"/>
    <col min="15875" max="15875" width="19" style="410" customWidth="1"/>
    <col min="15876" max="15876" width="8.796875" style="410" customWidth="1"/>
    <col min="15877" max="15877" width="11.296875" style="410" customWidth="1"/>
    <col min="15878" max="15878" width="8.796875" style="410" customWidth="1"/>
    <col min="15879" max="15879" width="6.296875" style="410" customWidth="1"/>
    <col min="15880" max="15880" width="14.296875" style="410" customWidth="1"/>
    <col min="15881" max="15884" width="8.796875" style="410" customWidth="1"/>
    <col min="15885" max="15885" width="17.796875" style="410" customWidth="1"/>
    <col min="15886" max="16127" width="8.796875" style="410" customWidth="1"/>
    <col min="16128" max="16128" width="32.296875" style="410" bestFit="1" customWidth="1"/>
    <col min="16129" max="16129" width="22.19921875" style="410" customWidth="1"/>
    <col min="16130" max="16130" width="14.296875" style="410" customWidth="1"/>
    <col min="16131" max="16131" width="19" style="410" customWidth="1"/>
    <col min="16132" max="16132" width="8.796875" style="410" customWidth="1"/>
    <col min="16133" max="16133" width="11.296875" style="410" customWidth="1"/>
    <col min="16134" max="16134" width="8.796875" style="410" customWidth="1"/>
    <col min="16135" max="16135" width="6.296875" style="410" customWidth="1"/>
    <col min="16136" max="16136" width="14.296875" style="410" customWidth="1"/>
    <col min="16137" max="16140" width="8.796875" style="410" customWidth="1"/>
    <col min="16141" max="16141" width="17.796875" style="410" customWidth="1"/>
    <col min="16142" max="16384" width="8.796875" style="410" customWidth="1"/>
  </cols>
  <sheetData>
    <row r="1" spans="1:14" x14ac:dyDescent="0.3">
      <c r="A1" s="409" t="s">
        <v>0</v>
      </c>
      <c r="B1" s="958" t="str">
        <f>'Cover Page'!D1</f>
        <v>Mexicayotl Academy, Inc</v>
      </c>
      <c r="C1" s="958"/>
      <c r="E1" s="409" t="s">
        <v>1</v>
      </c>
      <c r="F1" s="581" t="str">
        <f>'Cover Page'!M1</f>
        <v>Santa Cruz</v>
      </c>
      <c r="G1" s="411"/>
      <c r="H1" s="409" t="s">
        <v>2</v>
      </c>
      <c r="I1" s="538" t="str">
        <f>'Cover Page'!R1</f>
        <v>128703000</v>
      </c>
      <c r="J1" s="581"/>
      <c r="K1" s="581"/>
    </row>
    <row r="3" spans="1:14" x14ac:dyDescent="0.3">
      <c r="A3" s="653" t="s">
        <v>726</v>
      </c>
    </row>
    <row r="4" spans="1:14" x14ac:dyDescent="0.3">
      <c r="H4" s="412" t="s">
        <v>474</v>
      </c>
      <c r="I4" s="674" t="s">
        <v>1331</v>
      </c>
      <c r="J4" s="674" t="s">
        <v>1332</v>
      </c>
    </row>
    <row r="5" spans="1:14" x14ac:dyDescent="0.3">
      <c r="H5" s="7" t="s">
        <v>475</v>
      </c>
      <c r="I5" s="514">
        <v>184.26679999999999</v>
      </c>
      <c r="J5" s="514">
        <v>190.9974</v>
      </c>
    </row>
    <row r="6" spans="1:14" x14ac:dyDescent="0.3">
      <c r="A6" s="413"/>
      <c r="B6" s="414" t="s">
        <v>476</v>
      </c>
    </row>
    <row r="8" spans="1:14" ht="15" customHeight="1" x14ac:dyDescent="0.3">
      <c r="A8" s="415"/>
      <c r="B8" s="416"/>
      <c r="C8" s="417" t="s">
        <v>477</v>
      </c>
      <c r="D8" s="959" t="s">
        <v>478</v>
      </c>
      <c r="E8" s="418"/>
      <c r="F8" s="419"/>
      <c r="G8" s="955" t="s">
        <v>479</v>
      </c>
      <c r="H8" s="957" t="s">
        <v>480</v>
      </c>
      <c r="I8" s="419"/>
      <c r="J8" s="419"/>
      <c r="K8" s="420"/>
    </row>
    <row r="9" spans="1:14" x14ac:dyDescent="0.3">
      <c r="A9" s="421"/>
      <c r="B9" s="422" t="s">
        <v>184</v>
      </c>
      <c r="C9" s="423" t="s">
        <v>184</v>
      </c>
      <c r="D9" s="960"/>
      <c r="E9" s="424"/>
      <c r="F9" s="425"/>
      <c r="G9" s="956"/>
      <c r="H9" s="956"/>
      <c r="I9" s="425" t="s">
        <v>311</v>
      </c>
      <c r="J9" s="425" t="s">
        <v>481</v>
      </c>
      <c r="K9" s="426" t="s">
        <v>187</v>
      </c>
    </row>
    <row r="10" spans="1:14" x14ac:dyDescent="0.3">
      <c r="A10" s="427" t="s">
        <v>482</v>
      </c>
      <c r="B10" s="428" t="s">
        <v>483</v>
      </c>
      <c r="C10" s="429" t="s">
        <v>483</v>
      </c>
      <c r="D10" s="961"/>
      <c r="E10" s="430" t="s">
        <v>484</v>
      </c>
      <c r="F10" s="431" t="s">
        <v>313</v>
      </c>
      <c r="G10" s="956"/>
      <c r="H10" s="956"/>
      <c r="I10" s="431" t="s">
        <v>315</v>
      </c>
      <c r="J10" s="431" t="s">
        <v>485</v>
      </c>
      <c r="K10" s="432" t="s">
        <v>483</v>
      </c>
      <c r="M10" s="409" t="s">
        <v>486</v>
      </c>
    </row>
    <row r="11" spans="1:14" x14ac:dyDescent="0.3">
      <c r="A11" s="433" t="s">
        <v>487</v>
      </c>
      <c r="B11" s="434"/>
      <c r="C11" s="435"/>
      <c r="D11" s="435"/>
      <c r="E11" s="436"/>
      <c r="F11" s="437"/>
      <c r="G11" s="438">
        <f>'Page 2'!I23</f>
        <v>2034364</v>
      </c>
      <c r="H11" s="439">
        <f>'Page 2'!J23</f>
        <v>2053503</v>
      </c>
      <c r="I11" s="440"/>
      <c r="J11" s="437"/>
      <c r="K11" s="434"/>
      <c r="M11" s="409" t="s">
        <v>1145</v>
      </c>
    </row>
    <row r="12" spans="1:14" x14ac:dyDescent="0.3">
      <c r="A12" s="433" t="s">
        <v>488</v>
      </c>
      <c r="B12" s="434"/>
      <c r="C12" s="434"/>
      <c r="D12" s="434"/>
      <c r="E12" s="441"/>
      <c r="F12" s="437"/>
      <c r="G12" s="438">
        <f>'Page 2'!I37</f>
        <v>99866</v>
      </c>
      <c r="H12" s="442">
        <f>'Page 2'!J37</f>
        <v>99866</v>
      </c>
      <c r="I12" s="440"/>
      <c r="J12" s="437"/>
      <c r="K12" s="434"/>
      <c r="M12" s="443">
        <v>-1</v>
      </c>
      <c r="N12" s="410" t="str">
        <f>"The Charter "&amp;IF('Reserve balance'!F26="Yes","has","does not have")&amp;" an adopted policy establishing a reserve balance for FY 2025."</f>
        <v>The Charter does not have an adopted policy establishing a reserve balance for FY 2025.</v>
      </c>
    </row>
    <row r="13" spans="1:14" x14ac:dyDescent="0.3">
      <c r="A13" s="433" t="s">
        <v>489</v>
      </c>
      <c r="B13" s="434"/>
      <c r="C13" s="434"/>
      <c r="D13" s="434"/>
      <c r="E13" s="441"/>
      <c r="F13" s="437"/>
      <c r="G13" s="444">
        <f>'Page 2'!I38</f>
        <v>8473</v>
      </c>
      <c r="H13" s="442">
        <f>'Page 2'!J38</f>
        <v>6810</v>
      </c>
      <c r="I13" s="440"/>
      <c r="J13" s="437"/>
      <c r="K13" s="434"/>
    </row>
    <row r="14" spans="1:14" x14ac:dyDescent="0.3">
      <c r="A14" s="433" t="s">
        <v>490</v>
      </c>
      <c r="B14" s="434"/>
      <c r="C14" s="434"/>
      <c r="D14" s="434"/>
      <c r="E14" s="441"/>
      <c r="F14" s="437"/>
      <c r="G14" s="444">
        <f>'Page 2'!I39</f>
        <v>0</v>
      </c>
      <c r="H14" s="442">
        <f>'Page 2'!J39</f>
        <v>0</v>
      </c>
      <c r="I14" s="440"/>
      <c r="J14" s="437"/>
      <c r="K14" s="434"/>
      <c r="M14" s="443">
        <v>-2</v>
      </c>
      <c r="N14" s="677" t="s">
        <v>1333</v>
      </c>
    </row>
    <row r="15" spans="1:14" x14ac:dyDescent="0.3">
      <c r="A15" s="445" t="s">
        <v>491</v>
      </c>
      <c r="B15" s="446"/>
      <c r="C15" s="446"/>
      <c r="D15" s="446"/>
      <c r="E15" s="447"/>
      <c r="F15" s="437"/>
      <c r="G15" s="448">
        <f>'Page 2'!I40</f>
        <v>0</v>
      </c>
      <c r="H15" s="449">
        <f>'Page 2'!J40</f>
        <v>0</v>
      </c>
      <c r="I15" s="440"/>
      <c r="J15" s="437"/>
      <c r="K15" s="434"/>
      <c r="N15" s="450">
        <f>'Reserve balance'!D39</f>
        <v>0</v>
      </c>
    </row>
    <row r="16" spans="1:14" x14ac:dyDescent="0.3">
      <c r="A16" s="451" t="s">
        <v>492</v>
      </c>
      <c r="B16" s="446"/>
      <c r="C16" s="434"/>
      <c r="D16" s="434"/>
      <c r="E16" s="441"/>
      <c r="F16" s="452"/>
      <c r="G16" s="453">
        <f>'Page 2'!I41</f>
        <v>51883</v>
      </c>
      <c r="H16" s="454">
        <f>'Page 2'!J41</f>
        <v>19701</v>
      </c>
      <c r="I16" s="452"/>
      <c r="J16" s="437"/>
      <c r="K16" s="455"/>
    </row>
    <row r="17" spans="1:11" x14ac:dyDescent="0.3">
      <c r="A17" s="456" t="s">
        <v>493</v>
      </c>
      <c r="B17" s="599">
        <f>[2]Summary!$K$17</f>
        <v>4029</v>
      </c>
      <c r="C17" s="462"/>
      <c r="D17" s="457">
        <f>'Page 1'!H43-SUM(D18:D23)</f>
        <v>2152893</v>
      </c>
      <c r="E17" s="441"/>
      <c r="F17" s="462"/>
      <c r="G17" s="512">
        <f>SUM(G11:G16)</f>
        <v>2194586</v>
      </c>
      <c r="H17" s="513">
        <f>SUM(H11:H16)</f>
        <v>2179880</v>
      </c>
      <c r="I17" s="462">
        <f>'Page 6'!G20</f>
        <v>216328</v>
      </c>
      <c r="J17" s="462">
        <f>'Page 9'!E49</f>
        <v>0</v>
      </c>
      <c r="K17" s="458">
        <f>IF(C17="",B17,C17)+D17-E17-F17-I17-H17-J17</f>
        <v>-239286</v>
      </c>
    </row>
    <row r="18" spans="1:11" x14ac:dyDescent="0.3">
      <c r="A18" s="456" t="s">
        <v>494</v>
      </c>
      <c r="B18" s="457">
        <f>IF('Page 3'!F25="",'Page 3'!F24,'Page 3'!F25)</f>
        <v>22891</v>
      </c>
      <c r="C18" s="434"/>
      <c r="D18" s="458">
        <f>'Page 3'!F28</f>
        <v>207346</v>
      </c>
      <c r="E18" s="441"/>
      <c r="F18" s="462"/>
      <c r="G18" s="459">
        <f>'Page 3'!J13+'Page 3'!F18</f>
        <v>198423</v>
      </c>
      <c r="H18" s="596">
        <f>'Page 3'!G18+'Page 3'!K13</f>
        <v>226824</v>
      </c>
      <c r="I18" s="457">
        <f>'Page 3'!G17</f>
        <v>0</v>
      </c>
      <c r="J18" s="457">
        <f>'Page 3'!G19</f>
        <v>0</v>
      </c>
      <c r="K18" s="458">
        <f t="shared" ref="K18:K23" si="0">B18+D18-E18-F18-I18-H18-J18</f>
        <v>3413</v>
      </c>
    </row>
    <row r="19" spans="1:11" x14ac:dyDescent="0.3">
      <c r="A19" s="456" t="s">
        <v>495</v>
      </c>
      <c r="B19" s="457">
        <f>IF('Page 4'!F16="",'Page 4'!F15,'Page 4'!F16)</f>
        <v>0</v>
      </c>
      <c r="C19" s="434"/>
      <c r="D19" s="458">
        <f>'Page 4'!F17</f>
        <v>14647</v>
      </c>
      <c r="E19" s="441"/>
      <c r="F19" s="462"/>
      <c r="G19" s="511">
        <f>'Page 4'!H11</f>
        <v>15429</v>
      </c>
      <c r="H19" s="458">
        <f>'Page 4'!I11</f>
        <v>14647</v>
      </c>
      <c r="I19" s="440"/>
      <c r="J19" s="440"/>
      <c r="K19" s="458">
        <f t="shared" si="0"/>
        <v>0</v>
      </c>
    </row>
    <row r="20" spans="1:11" x14ac:dyDescent="0.3">
      <c r="A20" s="456" t="s">
        <v>496</v>
      </c>
      <c r="B20" s="457">
        <f>IF('Page 5'!G26="",'Page 5'!F26,'Page 5'!G26)</f>
        <v>0</v>
      </c>
      <c r="C20" s="434"/>
      <c r="D20" s="458">
        <f>'Page 5'!H26</f>
        <v>0</v>
      </c>
      <c r="E20" s="441"/>
      <c r="F20" s="462"/>
      <c r="G20" s="511">
        <f>'Page 5'!N26</f>
        <v>0</v>
      </c>
      <c r="H20" s="458">
        <f>'Page 5'!O26</f>
        <v>0</v>
      </c>
      <c r="I20" s="440"/>
      <c r="J20" s="440"/>
      <c r="K20" s="458">
        <f t="shared" si="0"/>
        <v>0</v>
      </c>
    </row>
    <row r="21" spans="1:11" x14ac:dyDescent="0.3">
      <c r="A21" s="456" t="s">
        <v>497</v>
      </c>
      <c r="B21" s="457">
        <f>IF('Page 5'!G48="",'Page 5'!F48,'Page 5'!G48)</f>
        <v>0</v>
      </c>
      <c r="C21" s="434"/>
      <c r="D21" s="458">
        <f>'Page 5'!H48</f>
        <v>0</v>
      </c>
      <c r="E21" s="441"/>
      <c r="F21" s="462"/>
      <c r="G21" s="511">
        <f>'Page 5'!N48</f>
        <v>0</v>
      </c>
      <c r="H21" s="458">
        <f>'Page 5'!O48</f>
        <v>0</v>
      </c>
      <c r="I21" s="440"/>
      <c r="J21" s="440"/>
      <c r="K21" s="458">
        <f t="shared" si="0"/>
        <v>0</v>
      </c>
    </row>
    <row r="22" spans="1:11" x14ac:dyDescent="0.3">
      <c r="A22" s="456" t="s">
        <v>498</v>
      </c>
      <c r="B22" s="458">
        <f>IF('Page 8'!F23="",'Page 8'!E23,'Page 8'!F23)</f>
        <v>0</v>
      </c>
      <c r="C22" s="434"/>
      <c r="D22" s="458">
        <f>'Page 8'!G23</f>
        <v>203441</v>
      </c>
      <c r="E22" s="537">
        <f>'Page 8'!H23</f>
        <v>4719</v>
      </c>
      <c r="F22" s="457">
        <f>'Page 8'!I23</f>
        <v>0</v>
      </c>
      <c r="G22" s="511">
        <f>'Page 8'!J23</f>
        <v>213181</v>
      </c>
      <c r="H22" s="458">
        <f>'Page 8'!K23</f>
        <v>198722</v>
      </c>
      <c r="I22" s="459">
        <f>'Page 8'!M23</f>
        <v>0</v>
      </c>
      <c r="J22" s="457">
        <f>'Page 8'!L23</f>
        <v>0</v>
      </c>
      <c r="K22" s="458">
        <f t="shared" si="0"/>
        <v>0</v>
      </c>
    </row>
    <row r="23" spans="1:11" x14ac:dyDescent="0.3">
      <c r="A23" s="456" t="s">
        <v>499</v>
      </c>
      <c r="B23" s="458">
        <f>IF('Page 8'!F40="",'Page 8'!E40,'Page 8'!F40)</f>
        <v>0</v>
      </c>
      <c r="C23" s="434"/>
      <c r="D23" s="458">
        <f>'Page 8'!G40</f>
        <v>41106</v>
      </c>
      <c r="E23" s="441"/>
      <c r="F23" s="457">
        <f>'Page 8'!I40</f>
        <v>0</v>
      </c>
      <c r="G23" s="461">
        <f>'Page 8'!J40</f>
        <v>23174</v>
      </c>
      <c r="H23" s="460">
        <f>'Page 8'!K40</f>
        <v>41106</v>
      </c>
      <c r="I23" s="457">
        <f>'Page 8'!M40</f>
        <v>0</v>
      </c>
      <c r="J23" s="457">
        <f>'Page 8'!L40</f>
        <v>0</v>
      </c>
      <c r="K23" s="458">
        <f t="shared" si="0"/>
        <v>0</v>
      </c>
    </row>
  </sheetData>
  <sheetProtection sheet="1" objects="1" scenarios="1"/>
  <mergeCells count="4">
    <mergeCell ref="G8:G10"/>
    <mergeCell ref="H8:H10"/>
    <mergeCell ref="B1:C1"/>
    <mergeCell ref="D8:D10"/>
  </mergeCells>
  <conditionalFormatting sqref="B17:C17">
    <cfRule type="containsBlanks" dxfId="22" priority="6">
      <formula>LEN(TRIM(B17))=0</formula>
    </cfRule>
  </conditionalFormatting>
  <conditionalFormatting sqref="F17:F21">
    <cfRule type="containsBlanks" dxfId="21" priority="5">
      <formula>LEN(TRIM(F17))=0</formula>
    </cfRule>
  </conditionalFormatting>
  <conditionalFormatting sqref="G17:J17">
    <cfRule type="containsBlanks" dxfId="20" priority="1">
      <formula>LEN(TRIM(G17))=0</formula>
    </cfRule>
  </conditionalFormatting>
  <conditionalFormatting sqref="I5">
    <cfRule type="containsBlanks" priority="11">
      <formula>LEN(TRIM(I5))=0</formula>
    </cfRule>
  </conditionalFormatting>
  <conditionalFormatting sqref="I5:J5">
    <cfRule type="containsBlanks" dxfId="19" priority="8">
      <formula>LEN(TRIM(I5))=0</formula>
    </cfRule>
  </conditionalFormatting>
  <dataValidations count="1">
    <dataValidation allowBlank="1" showInputMessage="1" showErrorMessage="1" promptTitle="Reversions" prompt="Enter as a positive amount." sqref="F17:F21"/>
  </dataValidations>
  <hyperlinks>
    <hyperlink ref="B9:B10" r:id="rId1" display="Beginning"/>
    <hyperlink ref="B10" location="BegProjectBalances" display="Project Balance"/>
    <hyperlink ref="B9" location="BegProjectBalances" display="Beginning"/>
    <hyperlink ref="C8:C10" location="AdjustedBeginningProjectBalance" display="Adjusted "/>
    <hyperlink ref="H4" location="SumADM" display="Avg. Daily Membership"/>
    <hyperlink ref="A3" location="SumGen" display="Instructions"/>
  </hyperlinks>
  <pageMargins left="0.7" right="0.7" top="0.75" bottom="0.75" header="0.3" footer="0.3"/>
  <pageSetup scale="46" orientation="landscape"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6"/>
  <sheetViews>
    <sheetView showGridLines="0" workbookViewId="0">
      <selection activeCell="C21" sqref="C21"/>
    </sheetView>
  </sheetViews>
  <sheetFormatPr defaultColWidth="8.796875" defaultRowHeight="13" x14ac:dyDescent="0.3"/>
  <cols>
    <col min="1" max="1" width="4.69921875" customWidth="1"/>
    <col min="2" max="2" width="50.19921875" customWidth="1"/>
    <col min="3" max="3" width="24" customWidth="1"/>
    <col min="4" max="4" width="24.19921875" customWidth="1"/>
    <col min="5" max="5" width="26.69921875" customWidth="1"/>
    <col min="6" max="6" width="25.796875" customWidth="1"/>
    <col min="7" max="7" width="27.69921875" customWidth="1"/>
    <col min="8" max="8" width="19.296875" customWidth="1"/>
    <col min="9" max="9" width="11.19921875" customWidth="1"/>
    <col min="10" max="10" width="8.796875" customWidth="1"/>
  </cols>
  <sheetData>
    <row r="1" spans="1:18" s="318" customFormat="1" x14ac:dyDescent="0.3">
      <c r="B1" s="317" t="s">
        <v>0</v>
      </c>
      <c r="C1" s="580" t="str">
        <f>'Cover Page'!D1</f>
        <v>Mexicayotl Academy, Inc</v>
      </c>
      <c r="D1" s="580"/>
      <c r="E1" s="580"/>
      <c r="G1" s="317" t="s">
        <v>1</v>
      </c>
      <c r="H1" s="940" t="str">
        <f>'Cover Page'!M1</f>
        <v>Santa Cruz</v>
      </c>
      <c r="I1" s="940"/>
      <c r="J1" s="319"/>
      <c r="K1" s="317" t="s">
        <v>2</v>
      </c>
      <c r="L1" s="320" t="str">
        <f>'Cover Page'!R1</f>
        <v>128703000</v>
      </c>
      <c r="M1" s="321"/>
      <c r="N1" s="321"/>
      <c r="O1" s="322"/>
      <c r="P1" s="323"/>
      <c r="R1" s="324"/>
    </row>
    <row r="2" spans="1:18" s="318" customFormat="1" x14ac:dyDescent="0.3">
      <c r="B2" s="317"/>
      <c r="C2" s="321"/>
      <c r="D2" s="321"/>
      <c r="E2" s="321"/>
      <c r="G2" s="317"/>
      <c r="H2" s="321"/>
      <c r="I2" s="321"/>
      <c r="J2" s="319"/>
      <c r="K2" s="317"/>
      <c r="L2" s="463"/>
      <c r="M2" s="321"/>
      <c r="N2" s="321"/>
      <c r="O2" s="322"/>
      <c r="P2" s="323"/>
      <c r="R2" s="324"/>
    </row>
    <row r="3" spans="1:18" s="464" customFormat="1" ht="24.75" customHeight="1" x14ac:dyDescent="0.3">
      <c r="A3" s="983" t="s">
        <v>1135</v>
      </c>
      <c r="B3" s="983"/>
      <c r="C3" s="983"/>
      <c r="D3" s="983"/>
      <c r="E3" s="983"/>
      <c r="F3" s="983"/>
      <c r="G3" s="983"/>
      <c r="H3" s="983"/>
      <c r="J3" s="465"/>
      <c r="K3" s="466"/>
      <c r="L3" s="467"/>
      <c r="Q3" s="468"/>
      <c r="R3" s="469"/>
    </row>
    <row r="4" spans="1:18" s="464" customFormat="1" ht="16.5" customHeight="1" x14ac:dyDescent="0.3">
      <c r="A4" s="470"/>
      <c r="B4" s="470"/>
      <c r="C4" s="470"/>
      <c r="D4" s="470"/>
      <c r="E4" s="470"/>
      <c r="F4" s="470"/>
      <c r="G4" s="470"/>
      <c r="H4" s="470"/>
      <c r="J4" s="465"/>
      <c r="K4" s="466"/>
      <c r="L4" s="467"/>
      <c r="Q4" s="468"/>
      <c r="R4" s="469"/>
    </row>
    <row r="5" spans="1:18" x14ac:dyDescent="0.3">
      <c r="A5" s="980" t="s">
        <v>1131</v>
      </c>
      <c r="B5" s="980"/>
    </row>
    <row r="7" spans="1:18" x14ac:dyDescent="0.3">
      <c r="C7" s="471" t="s">
        <v>500</v>
      </c>
      <c r="R7" s="46" t="s">
        <v>501</v>
      </c>
    </row>
    <row r="8" spans="1:18" x14ac:dyDescent="0.3">
      <c r="A8" s="472" t="s">
        <v>1136</v>
      </c>
      <c r="C8" s="473"/>
    </row>
    <row r="9" spans="1:18" x14ac:dyDescent="0.3">
      <c r="A9" s="474" t="s">
        <v>24</v>
      </c>
      <c r="B9" s="678" t="s">
        <v>1334</v>
      </c>
      <c r="C9" s="458">
        <f>IF(Summary!C17="",Summary!B17,Summary!C17)+SUM(Summary!B18:B23)</f>
        <v>26920</v>
      </c>
    </row>
    <row r="10" spans="1:18" x14ac:dyDescent="0.3">
      <c r="A10" s="476" t="s">
        <v>1137</v>
      </c>
      <c r="C10" s="473"/>
    </row>
    <row r="11" spans="1:18" x14ac:dyDescent="0.3">
      <c r="A11" s="474" t="s">
        <v>26</v>
      </c>
      <c r="B11" s="678" t="s">
        <v>1335</v>
      </c>
      <c r="C11" s="458">
        <f>SUM(Summary!K17:K23)</f>
        <v>-235873</v>
      </c>
    </row>
    <row r="12" spans="1:18" x14ac:dyDescent="0.3">
      <c r="A12" s="984" t="s">
        <v>1340</v>
      </c>
      <c r="B12" s="984"/>
    </row>
    <row r="13" spans="1:18" x14ac:dyDescent="0.3">
      <c r="A13" s="474" t="s">
        <v>502</v>
      </c>
      <c r="B13" s="475" t="s">
        <v>503</v>
      </c>
      <c r="C13" s="100">
        <f>C11</f>
        <v>-235873</v>
      </c>
    </row>
    <row r="14" spans="1:18" x14ac:dyDescent="0.3">
      <c r="A14" s="474" t="s">
        <v>504</v>
      </c>
      <c r="B14" s="679" t="s">
        <v>1336</v>
      </c>
      <c r="C14" s="100">
        <v>0</v>
      </c>
    </row>
    <row r="15" spans="1:18" x14ac:dyDescent="0.3">
      <c r="A15" s="474" t="s">
        <v>505</v>
      </c>
      <c r="B15" s="665" t="s">
        <v>1337</v>
      </c>
      <c r="C15" s="100">
        <v>0</v>
      </c>
    </row>
    <row r="16" spans="1:18" x14ac:dyDescent="0.3">
      <c r="A16" s="474" t="s">
        <v>506</v>
      </c>
      <c r="B16" s="665" t="s">
        <v>1338</v>
      </c>
      <c r="C16" s="100">
        <v>0</v>
      </c>
    </row>
    <row r="17" spans="1:27" x14ac:dyDescent="0.3">
      <c r="A17" s="474" t="s">
        <v>507</v>
      </c>
      <c r="B17" s="665" t="s">
        <v>1339</v>
      </c>
      <c r="C17" s="100">
        <v>0</v>
      </c>
    </row>
    <row r="18" spans="1:27" x14ac:dyDescent="0.3">
      <c r="A18" s="474" t="s">
        <v>508</v>
      </c>
      <c r="B18" t="s">
        <v>509</v>
      </c>
      <c r="C18" s="100">
        <v>0</v>
      </c>
    </row>
    <row r="19" spans="1:27" x14ac:dyDescent="0.3">
      <c r="A19" s="474" t="s">
        <v>510</v>
      </c>
      <c r="B19" s="477" t="s">
        <v>511</v>
      </c>
      <c r="C19" s="100">
        <v>0</v>
      </c>
    </row>
    <row r="20" spans="1:27" x14ac:dyDescent="0.3">
      <c r="A20" s="7" t="s">
        <v>512</v>
      </c>
      <c r="B20" s="477" t="s">
        <v>511</v>
      </c>
      <c r="C20" s="100">
        <v>0</v>
      </c>
    </row>
    <row r="21" spans="1:27" x14ac:dyDescent="0.3">
      <c r="A21" s="7" t="s">
        <v>513</v>
      </c>
      <c r="B21" t="s">
        <v>1132</v>
      </c>
      <c r="C21" s="511">
        <f>IF(ROUND(SUM(C13:C20),0)=ROUND(C11,0),SUM(C13:C20),"Must equal line 2")</f>
        <v>-235873</v>
      </c>
    </row>
    <row r="22" spans="1:27" x14ac:dyDescent="0.3">
      <c r="A22" s="478"/>
    </row>
    <row r="23" spans="1:27" x14ac:dyDescent="0.3">
      <c r="A23" s="478"/>
    </row>
    <row r="24" spans="1:27" x14ac:dyDescent="0.3">
      <c r="A24" s="563"/>
      <c r="B24" s="563"/>
      <c r="D24" s="563"/>
      <c r="E24" s="563"/>
      <c r="F24" s="563"/>
      <c r="G24" s="563"/>
      <c r="H24" s="563"/>
    </row>
    <row r="25" spans="1:27" ht="39" customHeight="1" x14ac:dyDescent="0.3">
      <c r="A25" s="986" t="s">
        <v>1125</v>
      </c>
      <c r="B25" s="986"/>
      <c r="F25" s="591"/>
      <c r="G25" s="592" t="s">
        <v>1126</v>
      </c>
      <c r="H25" s="479"/>
      <c r="AA25" s="46" t="s">
        <v>514</v>
      </c>
    </row>
    <row r="26" spans="1:27" ht="28.5" customHeight="1" x14ac:dyDescent="0.3">
      <c r="A26" s="985" t="s">
        <v>24</v>
      </c>
      <c r="B26" s="988" t="s">
        <v>1133</v>
      </c>
      <c r="C26" s="988"/>
      <c r="D26" s="988"/>
      <c r="E26" s="989"/>
      <c r="F26" s="485" t="s">
        <v>515</v>
      </c>
      <c r="G26" s="597"/>
      <c r="AA26" s="46" t="s">
        <v>515</v>
      </c>
    </row>
    <row r="27" spans="1:27" x14ac:dyDescent="0.3">
      <c r="A27" s="985"/>
      <c r="B27" s="593"/>
      <c r="C27" s="593"/>
      <c r="D27" s="593"/>
      <c r="E27" s="593"/>
      <c r="AA27" s="46" t="s">
        <v>515</v>
      </c>
    </row>
    <row r="28" spans="1:27" ht="44.25" customHeight="1" x14ac:dyDescent="0.3">
      <c r="A28" s="987" t="s">
        <v>1134</v>
      </c>
      <c r="B28" s="987"/>
      <c r="C28" s="987"/>
      <c r="D28" s="987"/>
      <c r="E28" s="987"/>
      <c r="F28" s="987"/>
    </row>
    <row r="29" spans="1:27" ht="20.25" customHeight="1" x14ac:dyDescent="0.3">
      <c r="A29" s="557" t="s">
        <v>26</v>
      </c>
      <c r="B29" s="981" t="s">
        <v>1127</v>
      </c>
      <c r="C29" s="981"/>
      <c r="D29" s="981"/>
      <c r="E29" s="982"/>
      <c r="F29" s="485" t="s">
        <v>515</v>
      </c>
      <c r="H29" s="479"/>
    </row>
    <row r="30" spans="1:27" ht="29.25" customHeight="1" x14ac:dyDescent="0.3">
      <c r="A30" s="557" t="s">
        <v>516</v>
      </c>
      <c r="B30" s="981" t="s">
        <v>1128</v>
      </c>
      <c r="C30" s="981"/>
      <c r="D30" s="981"/>
      <c r="E30" s="982"/>
      <c r="F30" s="485" t="s">
        <v>515</v>
      </c>
      <c r="G30" s="7"/>
      <c r="H30" s="598"/>
      <c r="AA30" s="46"/>
    </row>
    <row r="31" spans="1:27" ht="12" customHeight="1" x14ac:dyDescent="0.3">
      <c r="A31" s="480"/>
      <c r="B31" s="582"/>
      <c r="C31" s="582"/>
      <c r="D31" s="582"/>
      <c r="E31" s="582"/>
      <c r="F31" s="7"/>
      <c r="G31" s="7"/>
      <c r="H31" s="5"/>
      <c r="AA31" s="46"/>
    </row>
    <row r="32" spans="1:27" ht="15.75" customHeight="1" x14ac:dyDescent="0.3">
      <c r="A32" s="680" t="s">
        <v>1341</v>
      </c>
      <c r="B32" s="559"/>
      <c r="C32" s="559"/>
      <c r="D32" s="559"/>
      <c r="E32" s="559"/>
      <c r="F32" s="559"/>
      <c r="G32" s="481"/>
      <c r="H32" s="482"/>
    </row>
    <row r="33" spans="1:10" ht="11.25" customHeight="1" x14ac:dyDescent="0.3">
      <c r="A33" s="583"/>
      <c r="B33" s="542"/>
      <c r="C33" s="542"/>
      <c r="D33" s="542"/>
      <c r="E33" s="542"/>
      <c r="F33" s="542"/>
      <c r="G33" s="481"/>
      <c r="H33" s="482"/>
    </row>
    <row r="34" spans="1:10" ht="28.5" customHeight="1" x14ac:dyDescent="0.3">
      <c r="A34" s="558" t="s">
        <v>31</v>
      </c>
      <c r="B34" s="560" t="s">
        <v>517</v>
      </c>
      <c r="C34" s="560" t="s">
        <v>1342</v>
      </c>
      <c r="D34" s="560" t="s">
        <v>1343</v>
      </c>
      <c r="E34" s="971" t="s">
        <v>518</v>
      </c>
      <c r="F34" s="972"/>
      <c r="G34" s="972"/>
      <c r="H34" s="972"/>
      <c r="I34" s="972"/>
      <c r="J34" s="973"/>
    </row>
    <row r="35" spans="1:10" ht="39.75" customHeight="1" x14ac:dyDescent="0.3">
      <c r="A35" s="558"/>
      <c r="B35" s="632"/>
      <c r="C35" s="100"/>
      <c r="D35" s="100"/>
      <c r="E35" s="974"/>
      <c r="F35" s="975"/>
      <c r="G35" s="975"/>
      <c r="H35" s="975"/>
      <c r="I35" s="975"/>
      <c r="J35" s="976"/>
    </row>
    <row r="36" spans="1:10" ht="39.75" customHeight="1" x14ac:dyDescent="0.3">
      <c r="A36" s="558"/>
      <c r="B36" s="632"/>
      <c r="C36" s="100"/>
      <c r="D36" s="100"/>
      <c r="E36" s="977"/>
      <c r="F36" s="978"/>
      <c r="G36" s="978"/>
      <c r="H36" s="978"/>
      <c r="I36" s="978"/>
      <c r="J36" s="979"/>
    </row>
    <row r="37" spans="1:10" ht="39.75" customHeight="1" x14ac:dyDescent="0.3">
      <c r="A37" s="558"/>
      <c r="B37" s="632"/>
      <c r="C37" s="100"/>
      <c r="D37" s="100"/>
      <c r="E37" s="977"/>
      <c r="F37" s="978"/>
      <c r="G37" s="978"/>
      <c r="H37" s="978"/>
      <c r="I37" s="978"/>
      <c r="J37" s="979"/>
    </row>
    <row r="38" spans="1:10" ht="39.75" customHeight="1" x14ac:dyDescent="0.3">
      <c r="A38" s="558"/>
      <c r="B38" s="632"/>
      <c r="C38" s="100"/>
      <c r="D38" s="100"/>
      <c r="E38" s="977"/>
      <c r="F38" s="978"/>
      <c r="G38" s="978"/>
      <c r="H38" s="978"/>
      <c r="I38" s="978"/>
      <c r="J38" s="979"/>
    </row>
    <row r="39" spans="1:10" ht="16.5" customHeight="1" x14ac:dyDescent="0.3">
      <c r="A39" s="583"/>
      <c r="B39" s="561" t="s">
        <v>519</v>
      </c>
      <c r="C39" s="546">
        <f>SUM(C35:C38)</f>
        <v>0</v>
      </c>
      <c r="D39" s="546">
        <f>SUM(D35:D38)</f>
        <v>0</v>
      </c>
      <c r="E39" s="483"/>
      <c r="F39" s="475"/>
      <c r="G39" s="475"/>
      <c r="H39" s="475"/>
      <c r="I39" s="475"/>
    </row>
    <row r="40" spans="1:10" ht="16.5" customHeight="1" x14ac:dyDescent="0.3">
      <c r="A40" s="583"/>
      <c r="B40" s="582"/>
      <c r="C40" s="582"/>
      <c r="D40" s="483"/>
      <c r="E40" s="483"/>
      <c r="F40" s="475"/>
      <c r="G40" s="475"/>
      <c r="H40" s="475"/>
      <c r="I40" s="475"/>
    </row>
    <row r="41" spans="1:10" ht="19.5" customHeight="1" x14ac:dyDescent="0.3">
      <c r="A41" s="558" t="s">
        <v>33</v>
      </c>
      <c r="B41" s="681" t="s">
        <v>1344</v>
      </c>
      <c r="C41" s="171"/>
      <c r="D41" s="171"/>
      <c r="E41" s="171"/>
      <c r="F41" s="171"/>
      <c r="G41" s="171"/>
      <c r="H41" s="171"/>
      <c r="I41" s="171"/>
    </row>
    <row r="42" spans="1:10" x14ac:dyDescent="0.3">
      <c r="A42" s="484"/>
      <c r="B42" s="962"/>
      <c r="C42" s="963"/>
      <c r="D42" s="963"/>
      <c r="E42" s="963"/>
      <c r="F42" s="963"/>
      <c r="G42" s="963"/>
      <c r="H42" s="963"/>
      <c r="I42" s="964"/>
    </row>
    <row r="43" spans="1:10" x14ac:dyDescent="0.3">
      <c r="A43" s="4"/>
      <c r="B43" s="965"/>
      <c r="C43" s="966"/>
      <c r="D43" s="966"/>
      <c r="E43" s="966"/>
      <c r="F43" s="966"/>
      <c r="G43" s="966"/>
      <c r="H43" s="966"/>
      <c r="I43" s="967"/>
    </row>
    <row r="44" spans="1:10" ht="12.75" customHeight="1" x14ac:dyDescent="0.3">
      <c r="A44" s="4"/>
      <c r="B44" s="965"/>
      <c r="C44" s="966"/>
      <c r="D44" s="966"/>
      <c r="E44" s="966"/>
      <c r="F44" s="966"/>
      <c r="G44" s="966"/>
      <c r="H44" s="966"/>
      <c r="I44" s="967"/>
    </row>
    <row r="45" spans="1:10" x14ac:dyDescent="0.3">
      <c r="A45" s="4"/>
      <c r="B45" s="965"/>
      <c r="C45" s="966"/>
      <c r="D45" s="966"/>
      <c r="E45" s="966"/>
      <c r="F45" s="966"/>
      <c r="G45" s="966"/>
      <c r="H45" s="966"/>
      <c r="I45" s="967"/>
    </row>
    <row r="46" spans="1:10" x14ac:dyDescent="0.3">
      <c r="A46" s="4"/>
      <c r="B46" s="968"/>
      <c r="C46" s="969"/>
      <c r="D46" s="969"/>
      <c r="E46" s="969"/>
      <c r="F46" s="969"/>
      <c r="G46" s="969"/>
      <c r="H46" s="969"/>
      <c r="I46" s="970"/>
    </row>
  </sheetData>
  <sheetProtection sheet="1" objects="1" scenarios="1"/>
  <mergeCells count="16">
    <mergeCell ref="H1:I1"/>
    <mergeCell ref="A5:B5"/>
    <mergeCell ref="B30:E30"/>
    <mergeCell ref="A3:H3"/>
    <mergeCell ref="A12:B12"/>
    <mergeCell ref="A26:A27"/>
    <mergeCell ref="A25:B25"/>
    <mergeCell ref="A28:F28"/>
    <mergeCell ref="B29:E29"/>
    <mergeCell ref="B26:E26"/>
    <mergeCell ref="B42:I46"/>
    <mergeCell ref="E34:J34"/>
    <mergeCell ref="E35:J35"/>
    <mergeCell ref="E36:J36"/>
    <mergeCell ref="E37:J37"/>
    <mergeCell ref="E38:J38"/>
  </mergeCells>
  <conditionalFormatting sqref="B35:B38">
    <cfRule type="expression" dxfId="18" priority="9">
      <formula>$F$30="No"</formula>
    </cfRule>
  </conditionalFormatting>
  <conditionalFormatting sqref="B42">
    <cfRule type="expression" dxfId="17" priority="5">
      <formula>$F$30="No"</formula>
    </cfRule>
    <cfRule type="containsBlanks" dxfId="16" priority="6">
      <formula>LEN(TRIM(B42))=0</formula>
    </cfRule>
  </conditionalFormatting>
  <conditionalFormatting sqref="B35:E38">
    <cfRule type="containsBlanks" dxfId="15" priority="8">
      <formula>LEN(TRIM(B35))=0</formula>
    </cfRule>
  </conditionalFormatting>
  <conditionalFormatting sqref="C13:C20 F26:G26">
    <cfRule type="containsBlanks" dxfId="14" priority="34">
      <formula>LEN(TRIM(C13))=0</formula>
    </cfRule>
  </conditionalFormatting>
  <conditionalFormatting sqref="C39:D39">
    <cfRule type="containsBlanks" dxfId="13" priority="3">
      <formula>LEN(TRIM(C39))=0</formula>
    </cfRule>
  </conditionalFormatting>
  <conditionalFormatting sqref="E35:E38">
    <cfRule type="expression" dxfId="12" priority="7">
      <formula>$F$30="No"</formula>
    </cfRule>
  </conditionalFormatting>
  <conditionalFormatting sqref="F29:F30">
    <cfRule type="containsBlanks" dxfId="11" priority="1">
      <formula>LEN(TRIM(F29))=0</formula>
    </cfRule>
  </conditionalFormatting>
  <dataValidations count="5">
    <dataValidation type="list" allowBlank="1" showInputMessage="1" showErrorMessage="1" sqref="F31">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formula1>9</formula1>
    </dataValidation>
    <dataValidation type="list" allowBlank="1" showInputMessage="1" showErrorMessage="1" sqref="F26 F29:F30">
      <formula1>$AA$25:$AA$26</formula1>
    </dataValidation>
  </dataValidations>
  <hyperlinks>
    <hyperlink ref="A12" location="ReserveBalSecAl3" display="FY 2023 ending reserve details:"/>
    <hyperlink ref="A18" location="ReserveBalSecAl3f" display="3.f"/>
    <hyperlink ref="A19" location="ReserveBalSecAl3g" display="3.g"/>
    <hyperlink ref="A13" location="ReserveBalSecAl3a" display="3.a"/>
    <hyperlink ref="A16" location="ReserveBalSecAl3d" display="3.d"/>
    <hyperlink ref="A15" location="ReserveBalSecAl3c" display="3.c"/>
    <hyperlink ref="A14" location="ReserveBalSecAl3b" display="3.b"/>
    <hyperlink ref="A11" location="ReserveBalSecAl2" display="2."/>
    <hyperlink ref="A9" location="ReserveBalSecAl1" display="1."/>
    <hyperlink ref="A5" location="ReserveBalSecA" display="A. FY 2023 change in reserve amounts and planned allocations"/>
    <hyperlink ref="A17" location="ReserveBalSecAl3e" display="3.e"/>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9"/>
  <sheetViews>
    <sheetView showGridLines="0" workbookViewId="0"/>
  </sheetViews>
  <sheetFormatPr defaultColWidth="9.69921875" defaultRowHeight="14" x14ac:dyDescent="0.3"/>
  <cols>
    <col min="1" max="1" width="25.69921875" style="491" customWidth="1"/>
    <col min="2" max="2" width="76.69921875" style="491" customWidth="1"/>
    <col min="3" max="4" width="23.69921875" style="491" customWidth="1"/>
    <col min="5" max="6" width="26.796875" style="491" customWidth="1"/>
    <col min="7" max="7" width="45.796875" style="491" customWidth="1"/>
    <col min="8" max="11" width="9.69921875" style="491" customWidth="1"/>
    <col min="12" max="12" width="8.796875" style="491" hidden="1" customWidth="1"/>
    <col min="13" max="16" width="9.69921875" style="491" customWidth="1"/>
    <col min="17" max="16384" width="9.69921875" style="491"/>
  </cols>
  <sheetData>
    <row r="1" spans="1:12" x14ac:dyDescent="0.3">
      <c r="A1" s="489" t="s">
        <v>4</v>
      </c>
      <c r="B1" s="490" t="str">
        <f>'Cover Page'!D1</f>
        <v>Mexicayotl Academy, Inc</v>
      </c>
      <c r="D1" s="993" t="s">
        <v>726</v>
      </c>
      <c r="E1" s="993"/>
    </row>
    <row r="2" spans="1:12" x14ac:dyDescent="0.3">
      <c r="A2" s="492" t="s">
        <v>2</v>
      </c>
      <c r="B2" s="493" t="str">
        <f>'Cover Page'!R1</f>
        <v>128703000</v>
      </c>
      <c r="D2" s="637"/>
    </row>
    <row r="3" spans="1:12" x14ac:dyDescent="0.3">
      <c r="A3" s="492" t="s">
        <v>1</v>
      </c>
      <c r="B3" s="490" t="str">
        <f>'Cover Page'!M1</f>
        <v>Santa Cruz</v>
      </c>
    </row>
    <row r="4" spans="1:12" x14ac:dyDescent="0.3">
      <c r="D4" s="990" t="s">
        <v>530</v>
      </c>
      <c r="E4" s="991"/>
      <c r="F4" s="991"/>
      <c r="G4" s="992"/>
    </row>
    <row r="6" spans="1:12" ht="28" x14ac:dyDescent="0.3">
      <c r="A6" s="494" t="s">
        <v>531</v>
      </c>
      <c r="B6" s="495" t="s">
        <v>532</v>
      </c>
      <c r="C6" s="494" t="s">
        <v>533</v>
      </c>
      <c r="D6" s="496" t="s">
        <v>534</v>
      </c>
      <c r="E6" s="494" t="s">
        <v>535</v>
      </c>
      <c r="F6" s="494" t="s">
        <v>536</v>
      </c>
      <c r="G6" s="494" t="s">
        <v>537</v>
      </c>
    </row>
    <row r="7" spans="1:12" x14ac:dyDescent="0.3">
      <c r="A7" s="497" t="s">
        <v>538</v>
      </c>
      <c r="B7" s="498" t="s">
        <v>538</v>
      </c>
      <c r="C7" s="499" t="str">
        <f>B2</f>
        <v>128703000</v>
      </c>
      <c r="D7" s="691"/>
      <c r="E7" s="9"/>
      <c r="F7" s="11"/>
      <c r="G7" s="12"/>
      <c r="L7" s="491" t="s">
        <v>539</v>
      </c>
    </row>
    <row r="8" spans="1:12" ht="13.5" customHeight="1" x14ac:dyDescent="0.3">
      <c r="A8" s="503" t="s">
        <v>540</v>
      </c>
      <c r="B8" s="504"/>
      <c r="C8" s="504"/>
      <c r="D8" s="504"/>
      <c r="E8" s="9"/>
      <c r="F8" s="11"/>
      <c r="G8" s="9"/>
      <c r="L8" s="491" t="s">
        <v>541</v>
      </c>
    </row>
    <row r="9" spans="1:12" x14ac:dyDescent="0.3">
      <c r="A9" s="497" t="s">
        <v>542</v>
      </c>
      <c r="B9" s="504"/>
      <c r="C9" s="504"/>
      <c r="D9" s="504"/>
      <c r="E9" s="504"/>
      <c r="F9" s="11"/>
      <c r="G9" s="504"/>
      <c r="L9" s="491" t="s">
        <v>543</v>
      </c>
    </row>
    <row r="10" spans="1:12" x14ac:dyDescent="0.3">
      <c r="A10" s="497" t="s">
        <v>544</v>
      </c>
      <c r="B10" s="9" t="s">
        <v>1396</v>
      </c>
      <c r="C10" s="10" t="s">
        <v>1398</v>
      </c>
      <c r="D10" s="691">
        <v>156.40700000000001</v>
      </c>
      <c r="E10" s="9">
        <v>100</v>
      </c>
      <c r="F10" s="11">
        <v>100</v>
      </c>
      <c r="G10" s="12"/>
      <c r="L10" s="491" t="s">
        <v>545</v>
      </c>
    </row>
    <row r="11" spans="1:12" x14ac:dyDescent="0.3">
      <c r="A11" s="497" t="s">
        <v>546</v>
      </c>
      <c r="B11" s="9" t="s">
        <v>1397</v>
      </c>
      <c r="C11" s="10" t="s">
        <v>1399</v>
      </c>
      <c r="D11" s="691">
        <v>34.590000000000003</v>
      </c>
      <c r="E11" s="9">
        <v>200</v>
      </c>
      <c r="F11" s="11">
        <v>200</v>
      </c>
      <c r="G11" s="12"/>
      <c r="L11" s="491" t="s">
        <v>547</v>
      </c>
    </row>
    <row r="12" spans="1:12" x14ac:dyDescent="0.3">
      <c r="A12" s="497" t="s">
        <v>548</v>
      </c>
      <c r="B12" s="9"/>
      <c r="C12" s="10"/>
      <c r="D12" s="691"/>
      <c r="E12" s="9"/>
      <c r="F12" s="11"/>
      <c r="G12" s="12"/>
      <c r="L12" s="491" t="s">
        <v>549</v>
      </c>
    </row>
    <row r="13" spans="1:12" x14ac:dyDescent="0.3">
      <c r="A13" s="497" t="s">
        <v>550</v>
      </c>
      <c r="B13" s="9"/>
      <c r="C13" s="10"/>
      <c r="D13" s="691"/>
      <c r="E13" s="9"/>
      <c r="F13" s="11"/>
      <c r="G13" s="12"/>
      <c r="L13" s="491" t="s">
        <v>551</v>
      </c>
    </row>
    <row r="14" spans="1:12" x14ac:dyDescent="0.3">
      <c r="A14" s="497" t="s">
        <v>552</v>
      </c>
      <c r="B14" s="9"/>
      <c r="C14" s="10"/>
      <c r="D14" s="691"/>
      <c r="E14" s="9"/>
      <c r="F14" s="11"/>
      <c r="G14" s="12"/>
      <c r="L14" s="491" t="s">
        <v>553</v>
      </c>
    </row>
    <row r="15" spans="1:12" x14ac:dyDescent="0.3">
      <c r="A15" s="497" t="s">
        <v>554</v>
      </c>
      <c r="B15" s="9"/>
      <c r="C15" s="10"/>
      <c r="D15" s="691"/>
      <c r="E15" s="9"/>
      <c r="F15" s="11"/>
      <c r="G15" s="12"/>
      <c r="L15" s="491" t="s">
        <v>555</v>
      </c>
    </row>
    <row r="16" spans="1:12" x14ac:dyDescent="0.3">
      <c r="A16" s="497" t="s">
        <v>556</v>
      </c>
      <c r="B16" s="9"/>
      <c r="C16" s="10"/>
      <c r="D16" s="691"/>
      <c r="E16" s="9"/>
      <c r="F16" s="11"/>
      <c r="G16" s="12"/>
      <c r="L16" s="491" t="s">
        <v>557</v>
      </c>
    </row>
    <row r="17" spans="1:12" x14ac:dyDescent="0.3">
      <c r="A17" s="497" t="s">
        <v>558</v>
      </c>
      <c r="B17" s="9"/>
      <c r="C17" s="10"/>
      <c r="D17" s="691"/>
      <c r="E17" s="9"/>
      <c r="F17" s="11"/>
      <c r="G17" s="12"/>
      <c r="L17" s="491" t="s">
        <v>559</v>
      </c>
    </row>
    <row r="18" spans="1:12" x14ac:dyDescent="0.3">
      <c r="A18" s="497" t="s">
        <v>560</v>
      </c>
      <c r="B18" s="9"/>
      <c r="C18" s="10"/>
      <c r="D18" s="691"/>
      <c r="E18" s="9"/>
      <c r="F18" s="11"/>
      <c r="G18" s="12"/>
      <c r="L18" s="491" t="s">
        <v>561</v>
      </c>
    </row>
    <row r="19" spans="1:12" x14ac:dyDescent="0.3">
      <c r="A19" s="497" t="s">
        <v>562</v>
      </c>
      <c r="B19" s="9"/>
      <c r="C19" s="10"/>
      <c r="D19" s="691"/>
      <c r="E19" s="9"/>
      <c r="F19" s="11"/>
      <c r="G19" s="12"/>
      <c r="L19" s="491" t="s">
        <v>563</v>
      </c>
    </row>
    <row r="20" spans="1:12" x14ac:dyDescent="0.3">
      <c r="A20" s="497" t="s">
        <v>564</v>
      </c>
      <c r="B20" s="9"/>
      <c r="C20" s="10"/>
      <c r="D20" s="691"/>
      <c r="E20" s="9"/>
      <c r="F20" s="11"/>
      <c r="G20" s="12"/>
      <c r="L20" s="491" t="s">
        <v>565</v>
      </c>
    </row>
    <row r="21" spans="1:12" x14ac:dyDescent="0.3">
      <c r="A21" s="497" t="s">
        <v>566</v>
      </c>
      <c r="B21" s="9"/>
      <c r="C21" s="10"/>
      <c r="D21" s="691"/>
      <c r="E21" s="9"/>
      <c r="F21" s="11"/>
      <c r="G21" s="12"/>
      <c r="L21" s="491" t="s">
        <v>567</v>
      </c>
    </row>
    <row r="22" spans="1:12" x14ac:dyDescent="0.3">
      <c r="A22" s="497" t="s">
        <v>568</v>
      </c>
      <c r="B22" s="9"/>
      <c r="C22" s="10"/>
      <c r="D22" s="691"/>
      <c r="E22" s="9"/>
      <c r="F22" s="11"/>
      <c r="G22" s="12"/>
      <c r="L22" s="491" t="s">
        <v>569</v>
      </c>
    </row>
    <row r="23" spans="1:12" x14ac:dyDescent="0.3">
      <c r="A23" s="497" t="s">
        <v>570</v>
      </c>
      <c r="B23" s="9"/>
      <c r="C23" s="10"/>
      <c r="D23" s="691"/>
      <c r="E23" s="9"/>
      <c r="F23" s="11"/>
      <c r="G23" s="12"/>
      <c r="L23" s="491" t="s">
        <v>571</v>
      </c>
    </row>
    <row r="24" spans="1:12" x14ac:dyDescent="0.3">
      <c r="A24" s="497" t="s">
        <v>572</v>
      </c>
      <c r="B24" s="9"/>
      <c r="C24" s="10"/>
      <c r="D24" s="691"/>
      <c r="E24" s="9"/>
      <c r="F24" s="11"/>
      <c r="G24" s="12"/>
      <c r="L24" s="491" t="s">
        <v>573</v>
      </c>
    </row>
    <row r="25" spans="1:12" x14ac:dyDescent="0.3">
      <c r="A25" s="497" t="s">
        <v>574</v>
      </c>
      <c r="B25" s="9"/>
      <c r="C25" s="10"/>
      <c r="D25" s="691"/>
      <c r="E25" s="9"/>
      <c r="F25" s="11"/>
      <c r="G25" s="12"/>
      <c r="L25" s="491" t="s">
        <v>575</v>
      </c>
    </row>
    <row r="26" spans="1:12" x14ac:dyDescent="0.3">
      <c r="A26" s="497" t="s">
        <v>576</v>
      </c>
      <c r="B26" s="9"/>
      <c r="C26" s="10"/>
      <c r="D26" s="691"/>
      <c r="E26" s="9"/>
      <c r="F26" s="11"/>
      <c r="G26" s="12"/>
      <c r="L26" s="491" t="s">
        <v>577</v>
      </c>
    </row>
    <row r="27" spans="1:12" x14ac:dyDescent="0.3">
      <c r="A27" s="497" t="s">
        <v>578</v>
      </c>
      <c r="B27" s="9"/>
      <c r="C27" s="10"/>
      <c r="D27" s="691"/>
      <c r="E27" s="9"/>
      <c r="F27" s="11"/>
      <c r="G27" s="12"/>
      <c r="L27" s="491" t="s">
        <v>579</v>
      </c>
    </row>
    <row r="28" spans="1:12" x14ac:dyDescent="0.3">
      <c r="A28" s="497" t="s">
        <v>580</v>
      </c>
      <c r="B28" s="9"/>
      <c r="C28" s="10"/>
      <c r="D28" s="691"/>
      <c r="E28" s="9"/>
      <c r="F28" s="11"/>
      <c r="G28" s="12"/>
      <c r="L28" s="491" t="s">
        <v>581</v>
      </c>
    </row>
    <row r="29" spans="1:12" x14ac:dyDescent="0.3">
      <c r="A29" s="497" t="s">
        <v>582</v>
      </c>
      <c r="B29" s="9"/>
      <c r="C29" s="10"/>
      <c r="D29" s="691"/>
      <c r="E29" s="9"/>
      <c r="F29" s="11"/>
      <c r="G29" s="12"/>
      <c r="L29" s="491" t="s">
        <v>583</v>
      </c>
    </row>
    <row r="30" spans="1:12" x14ac:dyDescent="0.3">
      <c r="A30" s="497" t="s">
        <v>584</v>
      </c>
      <c r="B30" s="9"/>
      <c r="C30" s="10"/>
      <c r="D30" s="691"/>
      <c r="E30" s="9"/>
      <c r="F30" s="11"/>
      <c r="G30" s="12"/>
      <c r="L30" s="491" t="s">
        <v>585</v>
      </c>
    </row>
    <row r="31" spans="1:12" x14ac:dyDescent="0.3">
      <c r="A31" s="497" t="s">
        <v>586</v>
      </c>
      <c r="B31" s="9"/>
      <c r="C31" s="10"/>
      <c r="D31" s="691"/>
      <c r="E31" s="9"/>
      <c r="F31" s="11"/>
      <c r="G31" s="12"/>
      <c r="L31" s="491" t="s">
        <v>587</v>
      </c>
    </row>
    <row r="32" spans="1:12" x14ac:dyDescent="0.3">
      <c r="A32" s="497" t="s">
        <v>588</v>
      </c>
      <c r="B32" s="9"/>
      <c r="C32" s="10"/>
      <c r="D32" s="691"/>
      <c r="E32" s="9"/>
      <c r="F32" s="11"/>
      <c r="G32" s="12"/>
      <c r="L32" s="491" t="s">
        <v>589</v>
      </c>
    </row>
    <row r="33" spans="1:12" x14ac:dyDescent="0.3">
      <c r="A33" s="497" t="s">
        <v>590</v>
      </c>
      <c r="B33" s="9"/>
      <c r="C33" s="10"/>
      <c r="D33" s="691"/>
      <c r="E33" s="9"/>
      <c r="F33" s="11"/>
      <c r="G33" s="12"/>
      <c r="L33" s="491" t="s">
        <v>591</v>
      </c>
    </row>
    <row r="34" spans="1:12" x14ac:dyDescent="0.3">
      <c r="A34" s="497" t="s">
        <v>592</v>
      </c>
      <c r="B34" s="9"/>
      <c r="C34" s="10"/>
      <c r="D34" s="691"/>
      <c r="E34" s="9"/>
      <c r="F34" s="11"/>
      <c r="G34" s="12"/>
      <c r="L34" s="491" t="s">
        <v>593</v>
      </c>
    </row>
    <row r="35" spans="1:12" hidden="1" x14ac:dyDescent="0.3">
      <c r="A35" s="497" t="s">
        <v>594</v>
      </c>
      <c r="B35" s="497"/>
      <c r="C35" s="499"/>
      <c r="D35" s="500"/>
      <c r="E35" s="497"/>
      <c r="F35" s="501"/>
      <c r="G35" s="502"/>
      <c r="L35" s="491" t="s">
        <v>595</v>
      </c>
    </row>
    <row r="36" spans="1:12" hidden="1" x14ac:dyDescent="0.3">
      <c r="A36" s="497" t="s">
        <v>596</v>
      </c>
      <c r="B36" s="497"/>
      <c r="C36" s="499"/>
      <c r="D36" s="500"/>
      <c r="E36" s="497"/>
      <c r="F36" s="501"/>
      <c r="G36" s="502"/>
      <c r="L36" s="491" t="s">
        <v>597</v>
      </c>
    </row>
    <row r="37" spans="1:12" hidden="1" x14ac:dyDescent="0.3">
      <c r="A37" s="497" t="s">
        <v>598</v>
      </c>
      <c r="B37" s="497"/>
      <c r="C37" s="499"/>
      <c r="D37" s="500"/>
      <c r="E37" s="497"/>
      <c r="F37" s="501"/>
      <c r="G37" s="502"/>
      <c r="L37" s="491" t="s">
        <v>599</v>
      </c>
    </row>
    <row r="38" spans="1:12" hidden="1" x14ac:dyDescent="0.3">
      <c r="A38" s="497" t="s">
        <v>600</v>
      </c>
      <c r="B38" s="497"/>
      <c r="C38" s="499"/>
      <c r="D38" s="500"/>
      <c r="E38" s="497"/>
      <c r="F38" s="501"/>
      <c r="G38" s="502"/>
      <c r="L38" s="491" t="s">
        <v>601</v>
      </c>
    </row>
    <row r="39" spans="1:12" hidden="1" x14ac:dyDescent="0.3">
      <c r="A39" s="497" t="s">
        <v>602</v>
      </c>
      <c r="B39" s="497"/>
      <c r="C39" s="499"/>
      <c r="D39" s="500"/>
      <c r="E39" s="497"/>
      <c r="F39" s="501"/>
      <c r="G39" s="502"/>
      <c r="L39" s="491" t="s">
        <v>603</v>
      </c>
    </row>
    <row r="40" spans="1:12" hidden="1" x14ac:dyDescent="0.3">
      <c r="A40" s="497" t="s">
        <v>604</v>
      </c>
      <c r="B40" s="497"/>
      <c r="C40" s="499"/>
      <c r="D40" s="500"/>
      <c r="E40" s="497"/>
      <c r="F40" s="501"/>
      <c r="G40" s="502"/>
      <c r="L40" s="491" t="s">
        <v>605</v>
      </c>
    </row>
    <row r="41" spans="1:12" hidden="1" x14ac:dyDescent="0.3">
      <c r="A41" s="497" t="s">
        <v>606</v>
      </c>
      <c r="B41" s="497"/>
      <c r="C41" s="499"/>
      <c r="D41" s="500"/>
      <c r="E41" s="497"/>
      <c r="F41" s="501"/>
      <c r="G41" s="502"/>
      <c r="L41" s="491" t="s">
        <v>607</v>
      </c>
    </row>
    <row r="42" spans="1:12" hidden="1" x14ac:dyDescent="0.3">
      <c r="A42" s="497" t="s">
        <v>608</v>
      </c>
      <c r="B42" s="497"/>
      <c r="C42" s="499"/>
      <c r="D42" s="500"/>
      <c r="E42" s="497"/>
      <c r="F42" s="501"/>
      <c r="G42" s="502"/>
      <c r="L42" s="491" t="s">
        <v>609</v>
      </c>
    </row>
    <row r="43" spans="1:12" hidden="1" x14ac:dyDescent="0.3">
      <c r="A43" s="497" t="s">
        <v>610</v>
      </c>
      <c r="B43" s="497"/>
      <c r="C43" s="499"/>
      <c r="D43" s="500"/>
      <c r="E43" s="497"/>
      <c r="F43" s="501"/>
      <c r="G43" s="502"/>
      <c r="L43" s="491" t="s">
        <v>611</v>
      </c>
    </row>
    <row r="44" spans="1:12" hidden="1" x14ac:dyDescent="0.3">
      <c r="A44" s="497" t="s">
        <v>612</v>
      </c>
      <c r="B44" s="497"/>
      <c r="C44" s="499"/>
      <c r="D44" s="500"/>
      <c r="E44" s="497"/>
      <c r="F44" s="501"/>
      <c r="G44" s="502"/>
      <c r="L44" s="491" t="s">
        <v>613</v>
      </c>
    </row>
    <row r="45" spans="1:12" hidden="1" x14ac:dyDescent="0.3">
      <c r="A45" s="497" t="s">
        <v>614</v>
      </c>
      <c r="B45" s="497"/>
      <c r="C45" s="499"/>
      <c r="D45" s="500"/>
      <c r="E45" s="497"/>
      <c r="F45" s="501"/>
      <c r="G45" s="502"/>
      <c r="L45" s="491" t="s">
        <v>615</v>
      </c>
    </row>
    <row r="46" spans="1:12" hidden="1" x14ac:dyDescent="0.3">
      <c r="A46" s="497" t="s">
        <v>616</v>
      </c>
      <c r="B46" s="497"/>
      <c r="C46" s="499"/>
      <c r="D46" s="500"/>
      <c r="E46" s="497"/>
      <c r="F46" s="501"/>
      <c r="G46" s="502"/>
      <c r="L46" s="491" t="s">
        <v>617</v>
      </c>
    </row>
    <row r="47" spans="1:12" hidden="1" x14ac:dyDescent="0.3">
      <c r="A47" s="497" t="s">
        <v>618</v>
      </c>
      <c r="B47" s="497"/>
      <c r="C47" s="499"/>
      <c r="D47" s="500"/>
      <c r="E47" s="497"/>
      <c r="F47" s="501"/>
      <c r="G47" s="502"/>
      <c r="L47" s="491" t="s">
        <v>619</v>
      </c>
    </row>
    <row r="48" spans="1:12" hidden="1" x14ac:dyDescent="0.3">
      <c r="A48" s="497" t="s">
        <v>620</v>
      </c>
      <c r="B48" s="497"/>
      <c r="C48" s="499"/>
      <c r="D48" s="500"/>
      <c r="E48" s="497"/>
      <c r="F48" s="501"/>
      <c r="G48" s="502"/>
      <c r="L48" s="491" t="s">
        <v>621</v>
      </c>
    </row>
    <row r="49" spans="1:12" hidden="1" x14ac:dyDescent="0.3">
      <c r="A49" s="497" t="s">
        <v>622</v>
      </c>
      <c r="B49" s="497"/>
      <c r="C49" s="499"/>
      <c r="D49" s="500"/>
      <c r="E49" s="497"/>
      <c r="F49" s="501"/>
      <c r="G49" s="502"/>
      <c r="L49" s="491" t="s">
        <v>623</v>
      </c>
    </row>
    <row r="50" spans="1:12" hidden="1" x14ac:dyDescent="0.3">
      <c r="A50" s="497" t="s">
        <v>624</v>
      </c>
      <c r="B50" s="497"/>
      <c r="C50" s="499"/>
      <c r="D50" s="500"/>
      <c r="E50" s="497"/>
      <c r="F50" s="501"/>
      <c r="G50" s="502"/>
      <c r="L50" s="491" t="s">
        <v>625</v>
      </c>
    </row>
    <row r="51" spans="1:12" hidden="1" x14ac:dyDescent="0.3">
      <c r="A51" s="497" t="s">
        <v>626</v>
      </c>
      <c r="B51" s="497"/>
      <c r="C51" s="499"/>
      <c r="D51" s="500"/>
      <c r="E51" s="497"/>
      <c r="F51" s="501"/>
      <c r="G51" s="502"/>
      <c r="L51" s="491" t="s">
        <v>627</v>
      </c>
    </row>
    <row r="52" spans="1:12" hidden="1" x14ac:dyDescent="0.3">
      <c r="A52" s="497" t="s">
        <v>628</v>
      </c>
      <c r="B52" s="497"/>
      <c r="C52" s="499"/>
      <c r="D52" s="500"/>
      <c r="E52" s="497"/>
      <c r="F52" s="501"/>
      <c r="G52" s="502"/>
      <c r="L52" s="491" t="s">
        <v>629</v>
      </c>
    </row>
    <row r="53" spans="1:12" hidden="1" x14ac:dyDescent="0.3">
      <c r="A53" s="497" t="s">
        <v>630</v>
      </c>
      <c r="B53" s="497"/>
      <c r="C53" s="499"/>
      <c r="D53" s="500"/>
      <c r="E53" s="497"/>
      <c r="F53" s="501"/>
      <c r="G53" s="502"/>
      <c r="L53" s="491" t="s">
        <v>631</v>
      </c>
    </row>
    <row r="54" spans="1:12" hidden="1" x14ac:dyDescent="0.3">
      <c r="A54" s="497" t="s">
        <v>632</v>
      </c>
      <c r="B54" s="497"/>
      <c r="C54" s="499"/>
      <c r="D54" s="500"/>
      <c r="E54" s="497"/>
      <c r="F54" s="501"/>
      <c r="G54" s="502"/>
      <c r="L54" s="491" t="s">
        <v>633</v>
      </c>
    </row>
    <row r="55" spans="1:12" hidden="1" x14ac:dyDescent="0.3">
      <c r="A55" s="497" t="s">
        <v>634</v>
      </c>
      <c r="B55" s="497"/>
      <c r="C55" s="499"/>
      <c r="D55" s="500"/>
      <c r="E55" s="497"/>
      <c r="F55" s="501"/>
      <c r="G55" s="502"/>
      <c r="L55" s="491" t="s">
        <v>635</v>
      </c>
    </row>
    <row r="56" spans="1:12" hidden="1" x14ac:dyDescent="0.3">
      <c r="A56" s="497" t="s">
        <v>636</v>
      </c>
      <c r="B56" s="497"/>
      <c r="C56" s="499"/>
      <c r="D56" s="500"/>
      <c r="E56" s="497"/>
      <c r="F56" s="501"/>
      <c r="G56" s="502"/>
      <c r="L56" s="491" t="s">
        <v>637</v>
      </c>
    </row>
    <row r="57" spans="1:12" hidden="1" x14ac:dyDescent="0.3">
      <c r="A57" s="497" t="s">
        <v>638</v>
      </c>
      <c r="B57" s="497"/>
      <c r="C57" s="499"/>
      <c r="D57" s="500"/>
      <c r="E57" s="497"/>
      <c r="F57" s="501"/>
      <c r="G57" s="502"/>
      <c r="L57" s="491" t="s">
        <v>639</v>
      </c>
    </row>
    <row r="58" spans="1:12" hidden="1" x14ac:dyDescent="0.3">
      <c r="A58" s="497" t="s">
        <v>640</v>
      </c>
      <c r="B58" s="497"/>
      <c r="C58" s="499"/>
      <c r="D58" s="500"/>
      <c r="E58" s="497"/>
      <c r="F58" s="501"/>
      <c r="G58" s="502"/>
      <c r="L58" s="491" t="s">
        <v>641</v>
      </c>
    </row>
    <row r="59" spans="1:12" hidden="1" x14ac:dyDescent="0.3">
      <c r="A59" s="497" t="s">
        <v>642</v>
      </c>
      <c r="B59" s="497"/>
      <c r="C59" s="499"/>
      <c r="D59" s="500"/>
      <c r="E59" s="497"/>
      <c r="F59" s="501"/>
      <c r="G59" s="502"/>
      <c r="L59" s="491" t="s">
        <v>643</v>
      </c>
    </row>
    <row r="60" spans="1:12" hidden="1" x14ac:dyDescent="0.3">
      <c r="A60" s="497" t="s">
        <v>644</v>
      </c>
      <c r="B60" s="497"/>
      <c r="C60" s="499"/>
      <c r="D60" s="500"/>
      <c r="E60" s="497"/>
      <c r="F60" s="501"/>
      <c r="G60" s="502"/>
      <c r="L60" s="491" t="s">
        <v>645</v>
      </c>
    </row>
    <row r="61" spans="1:12" hidden="1" x14ac:dyDescent="0.3">
      <c r="A61" s="497" t="s">
        <v>646</v>
      </c>
      <c r="B61" s="497"/>
      <c r="C61" s="499"/>
      <c r="D61" s="500"/>
      <c r="E61" s="497"/>
      <c r="F61" s="501"/>
      <c r="G61" s="502"/>
      <c r="L61" s="491" t="s">
        <v>647</v>
      </c>
    </row>
    <row r="62" spans="1:12" hidden="1" x14ac:dyDescent="0.3">
      <c r="A62" s="497" t="s">
        <v>648</v>
      </c>
      <c r="B62" s="497"/>
      <c r="C62" s="499"/>
      <c r="D62" s="500"/>
      <c r="E62" s="497"/>
      <c r="F62" s="501"/>
      <c r="G62" s="502"/>
      <c r="L62" s="491" t="s">
        <v>649</v>
      </c>
    </row>
    <row r="63" spans="1:12" hidden="1" x14ac:dyDescent="0.3">
      <c r="A63" s="497" t="s">
        <v>650</v>
      </c>
      <c r="B63" s="497"/>
      <c r="C63" s="499"/>
      <c r="D63" s="500"/>
      <c r="E63" s="497"/>
      <c r="F63" s="501"/>
      <c r="G63" s="502"/>
      <c r="L63" s="491" t="s">
        <v>651</v>
      </c>
    </row>
    <row r="64" spans="1:12" hidden="1" x14ac:dyDescent="0.3">
      <c r="A64" s="497" t="s">
        <v>652</v>
      </c>
      <c r="B64" s="497"/>
      <c r="C64" s="499"/>
      <c r="D64" s="500"/>
      <c r="E64" s="497"/>
      <c r="F64" s="501"/>
      <c r="G64" s="502"/>
      <c r="L64" s="491" t="s">
        <v>653</v>
      </c>
    </row>
    <row r="65" spans="1:12" hidden="1" x14ac:dyDescent="0.3">
      <c r="A65" s="497" t="s">
        <v>654</v>
      </c>
      <c r="B65" s="497"/>
      <c r="C65" s="499"/>
      <c r="D65" s="500"/>
      <c r="E65" s="497"/>
      <c r="F65" s="501"/>
      <c r="G65" s="502"/>
      <c r="L65" s="491" t="s">
        <v>655</v>
      </c>
    </row>
    <row r="66" spans="1:12" hidden="1" x14ac:dyDescent="0.3">
      <c r="A66" s="497" t="s">
        <v>656</v>
      </c>
      <c r="B66" s="497"/>
      <c r="C66" s="499"/>
      <c r="D66" s="500"/>
      <c r="E66" s="497"/>
      <c r="F66" s="501"/>
      <c r="G66" s="502"/>
      <c r="L66" s="491" t="s">
        <v>657</v>
      </c>
    </row>
    <row r="67" spans="1:12" hidden="1" x14ac:dyDescent="0.3">
      <c r="A67" s="497" t="s">
        <v>658</v>
      </c>
      <c r="B67" s="497"/>
      <c r="C67" s="499"/>
      <c r="D67" s="500"/>
      <c r="E67" s="497"/>
      <c r="F67" s="501"/>
      <c r="G67" s="502"/>
      <c r="L67" s="491" t="s">
        <v>659</v>
      </c>
    </row>
    <row r="68" spans="1:12" hidden="1" x14ac:dyDescent="0.3">
      <c r="A68" s="497" t="s">
        <v>660</v>
      </c>
      <c r="B68" s="497"/>
      <c r="C68" s="499"/>
      <c r="D68" s="500"/>
      <c r="E68" s="497"/>
      <c r="F68" s="501"/>
      <c r="G68" s="502"/>
      <c r="L68" s="491" t="s">
        <v>661</v>
      </c>
    </row>
    <row r="69" spans="1:12" hidden="1" x14ac:dyDescent="0.3">
      <c r="A69" s="497" t="s">
        <v>662</v>
      </c>
      <c r="B69" s="497"/>
      <c r="C69" s="499"/>
      <c r="D69" s="500"/>
      <c r="E69" s="497"/>
      <c r="F69" s="501"/>
      <c r="G69" s="502"/>
      <c r="L69" s="491" t="s">
        <v>663</v>
      </c>
    </row>
    <row r="70" spans="1:12" hidden="1" x14ac:dyDescent="0.3">
      <c r="A70" s="497" t="s">
        <v>664</v>
      </c>
      <c r="B70" s="497"/>
      <c r="C70" s="499"/>
      <c r="D70" s="500"/>
      <c r="E70" s="497"/>
      <c r="F70" s="501"/>
      <c r="G70" s="502"/>
      <c r="L70" s="491" t="s">
        <v>665</v>
      </c>
    </row>
    <row r="71" spans="1:12" hidden="1" x14ac:dyDescent="0.3">
      <c r="A71" s="497" t="s">
        <v>666</v>
      </c>
      <c r="B71" s="497"/>
      <c r="C71" s="499"/>
      <c r="D71" s="500"/>
      <c r="E71" s="497"/>
      <c r="F71" s="501"/>
      <c r="G71" s="502"/>
      <c r="L71" s="491" t="s">
        <v>667</v>
      </c>
    </row>
    <row r="72" spans="1:12" hidden="1" x14ac:dyDescent="0.3">
      <c r="A72" s="497" t="s">
        <v>668</v>
      </c>
      <c r="B72" s="497"/>
      <c r="C72" s="499"/>
      <c r="D72" s="500"/>
      <c r="E72" s="497"/>
      <c r="F72" s="501"/>
      <c r="G72" s="502"/>
      <c r="L72" s="491" t="s">
        <v>669</v>
      </c>
    </row>
    <row r="73" spans="1:12" hidden="1" x14ac:dyDescent="0.3">
      <c r="A73" s="497" t="s">
        <v>670</v>
      </c>
      <c r="B73" s="497"/>
      <c r="C73" s="499"/>
      <c r="D73" s="500"/>
      <c r="E73" s="497"/>
      <c r="F73" s="501"/>
      <c r="G73" s="502"/>
      <c r="L73" s="491" t="s">
        <v>671</v>
      </c>
    </row>
    <row r="74" spans="1:12" hidden="1" x14ac:dyDescent="0.3">
      <c r="A74" s="497" t="s">
        <v>672</v>
      </c>
      <c r="B74" s="497"/>
      <c r="C74" s="499"/>
      <c r="D74" s="500"/>
      <c r="E74" s="497"/>
      <c r="F74" s="501"/>
      <c r="G74" s="502"/>
      <c r="L74" s="491" t="s">
        <v>673</v>
      </c>
    </row>
    <row r="75" spans="1:12" hidden="1" x14ac:dyDescent="0.3">
      <c r="A75" s="497" t="s">
        <v>674</v>
      </c>
      <c r="B75" s="497"/>
      <c r="C75" s="499"/>
      <c r="D75" s="500"/>
      <c r="E75" s="497"/>
      <c r="F75" s="501"/>
      <c r="G75" s="502"/>
      <c r="L75" s="491" t="s">
        <v>675</v>
      </c>
    </row>
    <row r="76" spans="1:12" hidden="1" x14ac:dyDescent="0.3">
      <c r="A76" s="497" t="s">
        <v>676</v>
      </c>
      <c r="B76" s="497"/>
      <c r="C76" s="499"/>
      <c r="D76" s="500"/>
      <c r="E76" s="497"/>
      <c r="F76" s="501"/>
      <c r="G76" s="502"/>
      <c r="L76" s="491" t="s">
        <v>677</v>
      </c>
    </row>
    <row r="77" spans="1:12" hidden="1" x14ac:dyDescent="0.3">
      <c r="A77" s="497" t="s">
        <v>678</v>
      </c>
      <c r="B77" s="497"/>
      <c r="C77" s="499"/>
      <c r="D77" s="500"/>
      <c r="E77" s="497"/>
      <c r="F77" s="501"/>
      <c r="G77" s="502"/>
      <c r="L77" s="491" t="s">
        <v>679</v>
      </c>
    </row>
    <row r="78" spans="1:12" hidden="1" x14ac:dyDescent="0.3">
      <c r="A78" s="497" t="s">
        <v>680</v>
      </c>
      <c r="B78" s="497"/>
      <c r="C78" s="499"/>
      <c r="D78" s="500"/>
      <c r="E78" s="497"/>
      <c r="F78" s="501"/>
      <c r="G78" s="502"/>
      <c r="L78" s="491" t="s">
        <v>681</v>
      </c>
    </row>
    <row r="79" spans="1:12" hidden="1" x14ac:dyDescent="0.3">
      <c r="A79" s="497" t="s">
        <v>682</v>
      </c>
      <c r="B79" s="497"/>
      <c r="C79" s="499"/>
      <c r="D79" s="500"/>
      <c r="E79" s="497"/>
      <c r="F79" s="501"/>
      <c r="G79" s="502"/>
      <c r="L79" s="491" t="s">
        <v>683</v>
      </c>
    </row>
    <row r="80" spans="1:12" hidden="1" x14ac:dyDescent="0.3">
      <c r="A80" s="497" t="s">
        <v>684</v>
      </c>
      <c r="B80" s="497"/>
      <c r="C80" s="499"/>
      <c r="D80" s="500"/>
      <c r="E80" s="497"/>
      <c r="F80" s="501"/>
      <c r="G80" s="502"/>
      <c r="L80" s="491" t="s">
        <v>685</v>
      </c>
    </row>
    <row r="81" spans="1:12" hidden="1" x14ac:dyDescent="0.3">
      <c r="A81" s="497" t="s">
        <v>686</v>
      </c>
      <c r="B81" s="497"/>
      <c r="C81" s="499"/>
      <c r="D81" s="500"/>
      <c r="E81" s="497"/>
      <c r="F81" s="501"/>
      <c r="G81" s="502"/>
      <c r="L81" s="491" t="s">
        <v>687</v>
      </c>
    </row>
    <row r="82" spans="1:12" hidden="1" x14ac:dyDescent="0.3">
      <c r="A82" s="497" t="s">
        <v>688</v>
      </c>
      <c r="B82" s="497"/>
      <c r="C82" s="499"/>
      <c r="D82" s="500"/>
      <c r="E82" s="497"/>
      <c r="F82" s="501"/>
      <c r="G82" s="502"/>
      <c r="L82" s="491" t="s">
        <v>689</v>
      </c>
    </row>
    <row r="83" spans="1:12" hidden="1" x14ac:dyDescent="0.3">
      <c r="A83" s="497" t="s">
        <v>690</v>
      </c>
      <c r="B83" s="497"/>
      <c r="C83" s="499"/>
      <c r="D83" s="500"/>
      <c r="E83" s="497"/>
      <c r="F83" s="501"/>
      <c r="G83" s="502"/>
      <c r="L83" s="491" t="s">
        <v>691</v>
      </c>
    </row>
    <row r="84" spans="1:12" hidden="1" x14ac:dyDescent="0.3">
      <c r="A84" s="497" t="s">
        <v>692</v>
      </c>
      <c r="B84" s="497"/>
      <c r="C84" s="499"/>
      <c r="D84" s="500"/>
      <c r="E84" s="497"/>
      <c r="F84" s="501"/>
      <c r="G84" s="502"/>
      <c r="L84" s="491" t="s">
        <v>693</v>
      </c>
    </row>
    <row r="85" spans="1:12" hidden="1" x14ac:dyDescent="0.3">
      <c r="A85" s="497" t="s">
        <v>694</v>
      </c>
      <c r="B85" s="497"/>
      <c r="C85" s="499"/>
      <c r="D85" s="500"/>
      <c r="E85" s="497"/>
      <c r="F85" s="501"/>
      <c r="G85" s="502"/>
      <c r="L85" s="491" t="s">
        <v>695</v>
      </c>
    </row>
    <row r="86" spans="1:12" hidden="1" x14ac:dyDescent="0.3">
      <c r="A86" s="497" t="s">
        <v>696</v>
      </c>
      <c r="B86" s="497"/>
      <c r="C86" s="499"/>
      <c r="D86" s="500"/>
      <c r="E86" s="497"/>
      <c r="F86" s="501"/>
      <c r="G86" s="502"/>
      <c r="L86" s="491" t="s">
        <v>697</v>
      </c>
    </row>
    <row r="87" spans="1:12" hidden="1" x14ac:dyDescent="0.3">
      <c r="A87" s="497" t="s">
        <v>698</v>
      </c>
      <c r="B87" s="497"/>
      <c r="C87" s="499"/>
      <c r="D87" s="500"/>
      <c r="E87" s="497"/>
      <c r="F87" s="501"/>
      <c r="G87" s="502"/>
      <c r="L87" s="491" t="s">
        <v>699</v>
      </c>
    </row>
    <row r="88" spans="1:12" hidden="1" x14ac:dyDescent="0.3">
      <c r="A88" s="497" t="s">
        <v>700</v>
      </c>
      <c r="B88" s="497"/>
      <c r="C88" s="499"/>
      <c r="D88" s="500"/>
      <c r="E88" s="497"/>
      <c r="F88" s="501"/>
      <c r="G88" s="502"/>
      <c r="L88" s="491" t="s">
        <v>701</v>
      </c>
    </row>
    <row r="89" spans="1:12" hidden="1" x14ac:dyDescent="0.3">
      <c r="A89" s="497" t="s">
        <v>702</v>
      </c>
      <c r="B89" s="497"/>
      <c r="C89" s="499"/>
      <c r="D89" s="500"/>
      <c r="E89" s="497"/>
      <c r="F89" s="501"/>
      <c r="G89" s="502"/>
      <c r="L89" s="491" t="s">
        <v>703</v>
      </c>
    </row>
    <row r="90" spans="1:12" hidden="1" x14ac:dyDescent="0.3">
      <c r="A90" s="497" t="s">
        <v>704</v>
      </c>
      <c r="B90" s="497"/>
      <c r="C90" s="499"/>
      <c r="D90" s="500"/>
      <c r="E90" s="497"/>
      <c r="F90" s="501"/>
      <c r="G90" s="502"/>
      <c r="L90" s="491" t="s">
        <v>705</v>
      </c>
    </row>
    <row r="91" spans="1:12" hidden="1" x14ac:dyDescent="0.3">
      <c r="A91" s="497" t="s">
        <v>706</v>
      </c>
      <c r="B91" s="497"/>
      <c r="C91" s="499"/>
      <c r="D91" s="500"/>
      <c r="E91" s="497"/>
      <c r="F91" s="501"/>
      <c r="G91" s="502"/>
      <c r="L91" s="491" t="s">
        <v>707</v>
      </c>
    </row>
    <row r="92" spans="1:12" hidden="1" x14ac:dyDescent="0.3">
      <c r="A92" s="497" t="s">
        <v>708</v>
      </c>
      <c r="B92" s="497"/>
      <c r="C92" s="499"/>
      <c r="D92" s="500"/>
      <c r="E92" s="497"/>
      <c r="F92" s="501"/>
      <c r="G92" s="502"/>
      <c r="L92" s="491" t="s">
        <v>709</v>
      </c>
    </row>
    <row r="93" spans="1:12" hidden="1" x14ac:dyDescent="0.3">
      <c r="A93" s="497" t="s">
        <v>710</v>
      </c>
      <c r="B93" s="497"/>
      <c r="C93" s="499"/>
      <c r="D93" s="500"/>
      <c r="E93" s="497"/>
      <c r="F93" s="501"/>
      <c r="G93" s="502"/>
      <c r="L93" s="491" t="s">
        <v>711</v>
      </c>
    </row>
    <row r="94" spans="1:12" hidden="1" x14ac:dyDescent="0.3">
      <c r="A94" s="497" t="s">
        <v>712</v>
      </c>
      <c r="B94" s="497"/>
      <c r="C94" s="499"/>
      <c r="D94" s="500"/>
      <c r="E94" s="497"/>
      <c r="F94" s="501"/>
      <c r="G94" s="502"/>
      <c r="L94" s="491" t="s">
        <v>713</v>
      </c>
    </row>
    <row r="95" spans="1:12" hidden="1" x14ac:dyDescent="0.3">
      <c r="A95" s="497" t="s">
        <v>714</v>
      </c>
      <c r="B95" s="497"/>
      <c r="C95" s="499"/>
      <c r="D95" s="500"/>
      <c r="E95" s="497"/>
      <c r="F95" s="501"/>
      <c r="G95" s="502"/>
      <c r="L95" s="491" t="s">
        <v>715</v>
      </c>
    </row>
    <row r="96" spans="1:12" hidden="1" x14ac:dyDescent="0.3">
      <c r="A96" s="497" t="s">
        <v>716</v>
      </c>
      <c r="B96" s="497"/>
      <c r="C96" s="499"/>
      <c r="D96" s="500"/>
      <c r="E96" s="497"/>
      <c r="F96" s="501"/>
      <c r="G96" s="502"/>
      <c r="L96" s="491" t="s">
        <v>717</v>
      </c>
    </row>
    <row r="97" spans="1:12" hidden="1" x14ac:dyDescent="0.3">
      <c r="A97" s="497" t="s">
        <v>718</v>
      </c>
      <c r="B97" s="497"/>
      <c r="C97" s="499"/>
      <c r="D97" s="500"/>
      <c r="E97" s="497"/>
      <c r="F97" s="501"/>
      <c r="G97" s="502"/>
      <c r="L97" s="491" t="s">
        <v>719</v>
      </c>
    </row>
    <row r="98" spans="1:12" hidden="1" x14ac:dyDescent="0.3">
      <c r="A98" s="497" t="s">
        <v>720</v>
      </c>
      <c r="B98" s="497"/>
      <c r="C98" s="499"/>
      <c r="D98" s="500"/>
      <c r="E98" s="497"/>
      <c r="F98" s="501"/>
      <c r="G98" s="502"/>
      <c r="L98" s="491" t="s">
        <v>721</v>
      </c>
    </row>
    <row r="99" spans="1:12" hidden="1" x14ac:dyDescent="0.3">
      <c r="A99" s="497" t="s">
        <v>722</v>
      </c>
      <c r="B99" s="497"/>
      <c r="C99" s="499"/>
      <c r="D99" s="500"/>
      <c r="E99" s="497"/>
      <c r="F99" s="501"/>
      <c r="G99" s="502"/>
      <c r="L99" s="491" t="s">
        <v>723</v>
      </c>
    </row>
  </sheetData>
  <sheetProtection sheet="1" objects="1" scenarios="1"/>
  <mergeCells count="2">
    <mergeCell ref="D4:G4"/>
    <mergeCell ref="D1:E1"/>
  </mergeCells>
  <conditionalFormatting sqref="F10:F24">
    <cfRule type="expression" dxfId="10"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dataValidation allowBlank="1" showInputMessage="1" showErrorMessage="1" prompt="Click on this line for detailed instructions." sqref="A1"/>
    <dataValidation allowBlank="1" showInputMessage="1" showErrorMessage="1" prompt="Enter the 100th (or 200th) day student count." sqref="D10:D99"/>
    <dataValidation type="textLength" operator="equal" allowBlank="1" showInputMessage="1" showErrorMessage="1" error="This cell will only accept entries equal to 9 digits." prompt="This cell will only accept entries equal to 9 digits. This number should not contain any slashes, dashes, etc." sqref="C10:C99">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dataValidation operator="equal" allowBlank="1" showInputMessage="1" showErrorMessage="1" error="This cell will only accept entries equal to 9 digits." sqref="B2 C7"/>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formula1>100</formula1>
      <formula2>999</formula2>
    </dataValidation>
  </dataValidations>
  <hyperlinks>
    <hyperlink ref="A1" location="School_Listing_Tab" display="Charter name"/>
    <hyperlink ref="D1" location="School_Listing_Tab" display="Instructions"/>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showGridLines="0" workbookViewId="0">
      <selection activeCell="I6" sqref="I6"/>
    </sheetView>
  </sheetViews>
  <sheetFormatPr defaultColWidth="9.296875" defaultRowHeight="63" customHeight="1" x14ac:dyDescent="0.3"/>
  <cols>
    <col min="1" max="1" width="132" customWidth="1"/>
    <col min="2" max="2" width="18.3984375" customWidth="1"/>
    <col min="3" max="3" width="71" hidden="1" customWidth="1"/>
  </cols>
  <sheetData>
    <row r="1" spans="1:3" ht="30" customHeight="1" x14ac:dyDescent="0.3">
      <c r="A1" s="486"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3">
      <c r="A2" s="582"/>
      <c r="B2" s="582"/>
      <c r="C2" s="481"/>
    </row>
    <row r="3" spans="1:3" s="8" customFormat="1" ht="112.5" customHeight="1" x14ac:dyDescent="0.3">
      <c r="A3" s="582" t="str">
        <f>IF('Page 2'!J48=0,"",IF(SUM('Page 3'!F26)+SUM('Page 4'!F17)+SUM('Page 5'!H8)+SUM('Page 5'!H30)&gt;'Page 1'!H30,C3,""))</f>
        <v/>
      </c>
      <c r="B3" s="582" t="str">
        <f>IF(A3="","","Restricted revenues-3200 on page 1 are not complete.")</f>
        <v/>
      </c>
      <c r="C3" s="487" t="s">
        <v>1146</v>
      </c>
    </row>
    <row r="4" spans="1:3" s="8" customFormat="1" ht="63" customHeight="1" x14ac:dyDescent="0.3">
      <c r="A4" s="582" t="str">
        <f>IF('Page 2'!J48=0,"",IF('Page 3'!F28&lt;=0,C4,""))</f>
        <v/>
      </c>
      <c r="B4" s="582" t="str">
        <f>IF(A4="","","Classroom Site Project revenue information on page 3 is not complete.")</f>
        <v/>
      </c>
      <c r="C4" s="487" t="s">
        <v>520</v>
      </c>
    </row>
    <row r="5" spans="1:3" s="8" customFormat="1" ht="78.75" customHeight="1" x14ac:dyDescent="0.3">
      <c r="A5" s="582" t="str">
        <f>IF('Page 2'!J48=0,"",IF('Page 4'!F17&lt;=0,C5,""))</f>
        <v/>
      </c>
      <c r="B5" s="582" t="str">
        <f>IF(A5="","","Instructional Improvement Project revenue on page 4 is not complete.")</f>
        <v/>
      </c>
      <c r="C5" s="487" t="s">
        <v>521</v>
      </c>
    </row>
    <row r="6" spans="1:3" s="8" customFormat="1" ht="55.5" customHeight="1" x14ac:dyDescent="0.3">
      <c r="A6" s="582" t="str">
        <f>IF('Page 2'!J48=0,"",IF(OR('Page 6'!G15="",'Page 6'!G16="",'Page 6'!G17="",'Page 6'!G18="",'Page 6'!G19=""),C6,""))</f>
        <v/>
      </c>
      <c r="B6" s="582" t="str">
        <f>IF(A6="","","Capital acquisition information on page 6, section C is not complete.")</f>
        <v/>
      </c>
      <c r="C6" s="487" t="s">
        <v>1147</v>
      </c>
    </row>
    <row r="7" spans="1:3" s="8" customFormat="1" ht="48.75" customHeight="1" x14ac:dyDescent="0.3">
      <c r="A7" s="582" t="str">
        <f>IF('Page 2'!J48=0,"",IF(OR('Page 6'!G33&lt;=0,'Page 6'!G35&lt;=0,'Page 6'!G34&lt;=0,'Page 6'!G38&lt;=0),C7,""))</f>
        <v/>
      </c>
      <c r="B7" s="582" t="str">
        <f>IF(A7="","","Current expenses on page 6, section E are not complete.")</f>
        <v/>
      </c>
      <c r="C7" s="487" t="s">
        <v>1148</v>
      </c>
    </row>
    <row r="8" spans="1:3" s="8" customFormat="1" ht="70.5" customHeight="1" x14ac:dyDescent="0.3">
      <c r="A8" s="582" t="str">
        <f>IF('Page 2'!J48=0,"",IF((SUM('Page 2'!J11,'Page 2'!J12,'Page 2'!J13,'Page 2'!J15,'Page 2'!J29,'Page 2'!J30,'Page 2'!J31,'Page 2'!J33))&gt;('Page 6'!G35),C8,""))</f>
        <v/>
      </c>
      <c r="B8" s="582" t="str">
        <f>IF(A8="","","Current administration expense on page 6, section E is not complete.")</f>
        <v/>
      </c>
      <c r="C8" s="487" t="s">
        <v>522</v>
      </c>
    </row>
    <row r="9" spans="1:3" s="8" customFormat="1" ht="39.75" customHeight="1" x14ac:dyDescent="0.3">
      <c r="A9" s="582" t="str">
        <f>IF('Page 2'!J48=0,"",IF(SUM('Page 6'!T6:T8)&lt;=0,C9,""))</f>
        <v/>
      </c>
      <c r="B9" s="582" t="str">
        <f>IF(A9="","","Page 6, section F, lines 1-3 are not complete.")</f>
        <v/>
      </c>
      <c r="C9" s="487" t="s">
        <v>523</v>
      </c>
    </row>
    <row r="10" spans="1:3" s="8" customFormat="1" ht="55.5" customHeight="1" x14ac:dyDescent="0.3">
      <c r="A10" s="582" t="str">
        <f>IF('Page 2'!J48=0,"",IF(SUM('Page 6'!M19:T23)&lt;=0,C10,""))</f>
        <v/>
      </c>
      <c r="B10" s="582" t="str">
        <f>IF(A10="","","Teacher salary information on page 6, section G is not complete.")</f>
        <v/>
      </c>
      <c r="C10" s="487" t="s">
        <v>524</v>
      </c>
    </row>
    <row r="11" spans="1:3" s="8" customFormat="1" ht="50.25" customHeight="1" x14ac:dyDescent="0.3">
      <c r="A11" s="582" t="str">
        <f>IF(SUM('Page 6'!T6:T8)=0,"",IF(AND(((SUM('Page 6'!M19:Q24,'Page 6'!T19:T24)/SUM('Page 6'!T6:T8))&gt;10000),(SUM('Page 6'!M19:Q24,'Page 6'!T19:T24)/SUM('Page 6'!T6:T8))&lt;80000),"",C11))</f>
        <v/>
      </c>
      <c r="B11" s="582" t="str">
        <f>IF(A11="","","Teacher FTE and salary information on page 6, sections F and G is not appropriate.")</f>
        <v/>
      </c>
      <c r="C11" s="487" t="s">
        <v>525</v>
      </c>
    </row>
    <row r="12" spans="1:3" s="8" customFormat="1" ht="57" customHeight="1" x14ac:dyDescent="0.3">
      <c r="A12" s="582" t="str">
        <f>IF('Page 2'!J48=0,"",IF(OR('Page 6'!T29="",'Page 6'!T29&lt;10000),C12,""))</f>
        <v/>
      </c>
      <c r="B12" s="582" t="str">
        <f>IF(A12="","","Average teacher salary information on page 6, section H is not complete.")</f>
        <v/>
      </c>
      <c r="C12" s="686" t="s">
        <v>1379</v>
      </c>
    </row>
    <row r="13" spans="1:3" s="8" customFormat="1" ht="84.75" customHeight="1" x14ac:dyDescent="0.3">
      <c r="A13" s="582" t="str">
        <f>IF('Page 2'!J48=0,"",IF(AND('Page 2'!J37&gt;0,'Page 7'!T23&lt;'Page 2'!J37),C13,""))</f>
        <v/>
      </c>
      <c r="B13" s="582" t="str">
        <f>IF(A13="","","Special education program information on page 7 is not complete.")</f>
        <v/>
      </c>
      <c r="C13" s="487" t="s">
        <v>526</v>
      </c>
    </row>
    <row r="14" spans="1:3" s="8" customFormat="1" ht="84.75" customHeight="1" x14ac:dyDescent="0.3">
      <c r="A14" s="582" t="str">
        <f>IF('Page 2'!J48=0,"",IF(OR('Page 9'!E41="",'Page 9'!E42="",'Page 9'!E43="",'Page 9'!E44="",('Page 9'!K23+'Page 9'!K26+SUM('Page 9'!E33:E36))&lt;&gt;(SUM('Page 9'!E41:E44))),C14,""))</f>
        <v/>
      </c>
      <c r="B14" s="582" t="str">
        <f>IF(A14="","","Property disbursement information on page 9 is not complete.")</f>
        <v/>
      </c>
      <c r="C14" s="487" t="s">
        <v>527</v>
      </c>
    </row>
    <row r="15" spans="1:3" s="8" customFormat="1" ht="90" customHeight="1" x14ac:dyDescent="0.3">
      <c r="A15" s="582" t="str">
        <f>IF('Page 2'!J48=0,"",IF((SUM('Page 2'!J48))&gt;(SUM('Page 9'!D23:J23)+SUM('Page 9'!D26:J26)+SUM('Page 9'!D33:D36)+'Page 9'!E48+'Page 9'!E50),C15,""))</f>
        <v/>
      </c>
      <c r="B15" s="582" t="str">
        <f>IF(A15="","","NPEFS information on page 9 is not complete.")</f>
        <v/>
      </c>
      <c r="C15" s="487" t="s">
        <v>528</v>
      </c>
    </row>
    <row r="16" spans="1:3" s="8" customFormat="1" ht="41.25" customHeight="1" x14ac:dyDescent="0.3">
      <c r="A16" s="582" t="str">
        <f>IF('Page 2'!J48=0,"",IF(OR('Page 8'!G25="",'Page 8'!H25="",'Page 8'!I25="",'Page 8'!K25="",'Page 8'!M25=""),C16,""))</f>
        <v/>
      </c>
      <c r="B16" s="582" t="str">
        <f>IF(A16="","","COVID-19 information on page 8, line 19 is not complete.")</f>
        <v/>
      </c>
      <c r="C16" s="487" t="s">
        <v>529</v>
      </c>
    </row>
    <row r="17" spans="1:1" ht="43.5" customHeight="1" x14ac:dyDescent="0.3">
      <c r="A17" s="488"/>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28"/>
  <sheetViews>
    <sheetView showGridLines="0" zoomScaleNormal="100" workbookViewId="0">
      <selection activeCell="H11" sqref="H11"/>
    </sheetView>
  </sheetViews>
  <sheetFormatPr defaultColWidth="9.69921875" defaultRowHeight="14.5" x14ac:dyDescent="0.35"/>
  <cols>
    <col min="1" max="5" width="15.09765625" style="14" bestFit="1" customWidth="1"/>
    <col min="6" max="6" width="16.3984375" style="14" customWidth="1"/>
    <col min="7" max="7" width="22.8984375" style="775" bestFit="1" customWidth="1"/>
    <col min="8" max="8" width="52.8984375" style="14" bestFit="1" customWidth="1"/>
    <col min="9" max="9" width="24.19921875" style="14" bestFit="1" customWidth="1"/>
    <col min="10" max="10" width="25.19921875" style="14" customWidth="1"/>
    <col min="11" max="11" width="28.796875" style="14" customWidth="1"/>
    <col min="12" max="12" width="7.296875" style="772" bestFit="1" customWidth="1"/>
    <col min="13" max="13" width="54.59765625" style="14" bestFit="1" customWidth="1"/>
    <col min="14" max="14" width="54.19921875" style="14" bestFit="1" customWidth="1"/>
    <col min="15" max="15" width="43.8984375" style="14" bestFit="1" customWidth="1"/>
    <col min="16" max="16" width="87.3984375" style="14" bestFit="1" customWidth="1"/>
    <col min="17" max="24" width="9.69921875" style="14" customWidth="1"/>
    <col min="25" max="25" width="30.19921875" style="14" bestFit="1" customWidth="1"/>
    <col min="26" max="29" width="9.69921875" style="14" customWidth="1"/>
    <col min="30" max="16384" width="9.69921875" style="14"/>
  </cols>
  <sheetData>
    <row r="1" spans="1:25" ht="48" customHeight="1" x14ac:dyDescent="0.35">
      <c r="A1" s="13" t="s">
        <v>859</v>
      </c>
      <c r="B1" s="13" t="s">
        <v>860</v>
      </c>
      <c r="C1" s="13" t="s">
        <v>861</v>
      </c>
      <c r="D1" s="13" t="s">
        <v>862</v>
      </c>
      <c r="E1" s="13" t="s">
        <v>863</v>
      </c>
      <c r="F1" s="13" t="s">
        <v>864</v>
      </c>
      <c r="G1" s="16" t="s">
        <v>865</v>
      </c>
      <c r="H1" s="13" t="s">
        <v>866</v>
      </c>
      <c r="I1" s="13" t="s">
        <v>867</v>
      </c>
      <c r="J1" s="13" t="s">
        <v>868</v>
      </c>
      <c r="K1" s="13" t="s">
        <v>869</v>
      </c>
      <c r="L1" s="771" t="s">
        <v>870</v>
      </c>
      <c r="M1" s="17" t="s">
        <v>871</v>
      </c>
      <c r="N1" s="17" t="s">
        <v>872</v>
      </c>
      <c r="O1" s="17" t="s">
        <v>873</v>
      </c>
      <c r="P1" s="17" t="s">
        <v>874</v>
      </c>
    </row>
    <row r="2" spans="1:25" ht="14.25" customHeight="1" x14ac:dyDescent="0.35">
      <c r="A2" s="14">
        <v>1000</v>
      </c>
      <c r="B2" s="14">
        <v>100</v>
      </c>
      <c r="C2" s="14">
        <v>0</v>
      </c>
      <c r="D2" s="14">
        <v>1410</v>
      </c>
      <c r="G2" s="775">
        <v>-317.85000000000002</v>
      </c>
      <c r="H2" s="14" t="s">
        <v>876</v>
      </c>
      <c r="I2" s="14" t="s">
        <v>880</v>
      </c>
      <c r="J2" s="14" t="s">
        <v>21</v>
      </c>
      <c r="K2" s="14" t="s">
        <v>930</v>
      </c>
      <c r="L2" s="772">
        <v>200</v>
      </c>
      <c r="M2" s="19" t="s">
        <v>876</v>
      </c>
      <c r="N2" s="18" t="s">
        <v>875</v>
      </c>
      <c r="O2" s="18" t="s">
        <v>875</v>
      </c>
      <c r="P2" s="18" t="s">
        <v>875</v>
      </c>
      <c r="Y2" s="14" t="s">
        <v>21</v>
      </c>
    </row>
    <row r="3" spans="1:25" ht="14.25" customHeight="1" x14ac:dyDescent="0.35">
      <c r="A3" s="14">
        <v>1000</v>
      </c>
      <c r="B3" s="14">
        <v>400</v>
      </c>
      <c r="C3" s="14">
        <v>0</v>
      </c>
      <c r="D3" s="14">
        <v>1410</v>
      </c>
      <c r="G3" s="775">
        <v>-356.7</v>
      </c>
      <c r="H3" s="14" t="s">
        <v>876</v>
      </c>
      <c r="I3" s="14" t="s">
        <v>900</v>
      </c>
      <c r="J3" s="14" t="s">
        <v>21</v>
      </c>
      <c r="K3" s="14" t="s">
        <v>930</v>
      </c>
      <c r="L3" s="772">
        <v>200</v>
      </c>
      <c r="M3" s="774"/>
      <c r="Y3" s="14" t="s">
        <v>875</v>
      </c>
    </row>
    <row r="4" spans="1:25" ht="14.25" customHeight="1" x14ac:dyDescent="0.35">
      <c r="A4" s="14">
        <v>1000</v>
      </c>
      <c r="B4" s="14">
        <v>400</v>
      </c>
      <c r="C4" s="14">
        <v>0</v>
      </c>
      <c r="D4" s="14">
        <v>1410</v>
      </c>
      <c r="G4" s="775">
        <v>-140</v>
      </c>
      <c r="H4" s="14" t="s">
        <v>876</v>
      </c>
      <c r="I4" s="14" t="s">
        <v>900</v>
      </c>
      <c r="J4" s="14" t="s">
        <v>21</v>
      </c>
      <c r="K4" s="14" t="s">
        <v>930</v>
      </c>
      <c r="L4" s="772">
        <v>100</v>
      </c>
      <c r="M4" s="18" t="s">
        <v>877</v>
      </c>
      <c r="N4" s="18" t="s">
        <v>21</v>
      </c>
      <c r="O4" s="18" t="s">
        <v>21</v>
      </c>
      <c r="P4" s="18" t="s">
        <v>878</v>
      </c>
      <c r="Y4" s="14">
        <f>'School listing'!F7</f>
        <v>0</v>
      </c>
    </row>
    <row r="5" spans="1:25" ht="14.25" customHeight="1" x14ac:dyDescent="0.35">
      <c r="A5" s="766">
        <v>1000</v>
      </c>
      <c r="B5" s="763">
        <v>100</v>
      </c>
      <c r="C5" s="763">
        <v>0</v>
      </c>
      <c r="D5" s="763">
        <v>1510</v>
      </c>
      <c r="E5" s="763"/>
      <c r="F5" s="764"/>
      <c r="G5" s="776">
        <v>-6945.94</v>
      </c>
      <c r="H5" s="15" t="s">
        <v>876</v>
      </c>
      <c r="I5" s="15" t="s">
        <v>880</v>
      </c>
      <c r="J5" s="15" t="s">
        <v>21</v>
      </c>
      <c r="K5" s="15" t="s">
        <v>938</v>
      </c>
      <c r="L5" s="15">
        <v>100</v>
      </c>
      <c r="M5" s="18" t="s">
        <v>879</v>
      </c>
      <c r="N5" s="18" t="s">
        <v>880</v>
      </c>
      <c r="O5" s="18" t="s">
        <v>881</v>
      </c>
      <c r="P5" s="18" t="s">
        <v>882</v>
      </c>
      <c r="Y5" s="14">
        <f>'School listing'!F8</f>
        <v>0</v>
      </c>
    </row>
    <row r="6" spans="1:25" ht="14.25" customHeight="1" x14ac:dyDescent="0.35">
      <c r="A6" s="763">
        <v>1000</v>
      </c>
      <c r="B6" s="763">
        <v>100</v>
      </c>
      <c r="C6" s="763">
        <v>0</v>
      </c>
      <c r="D6" s="763">
        <v>1530</v>
      </c>
      <c r="E6" s="763"/>
      <c r="F6" s="764"/>
      <c r="G6" s="776">
        <v>525.37</v>
      </c>
      <c r="H6" s="15" t="s">
        <v>876</v>
      </c>
      <c r="I6" s="15" t="s">
        <v>880</v>
      </c>
      <c r="J6" s="15" t="s">
        <v>21</v>
      </c>
      <c r="K6" s="15" t="s">
        <v>938</v>
      </c>
      <c r="L6" s="15">
        <v>100</v>
      </c>
      <c r="M6" s="18" t="s">
        <v>883</v>
      </c>
      <c r="N6" s="18" t="s">
        <v>884</v>
      </c>
      <c r="O6" s="18" t="s">
        <v>885</v>
      </c>
      <c r="P6" s="18" t="s">
        <v>886</v>
      </c>
      <c r="Y6" s="14">
        <f>'School listing'!F9</f>
        <v>0</v>
      </c>
    </row>
    <row r="7" spans="1:25" ht="14.25" customHeight="1" x14ac:dyDescent="0.35">
      <c r="A7" s="14">
        <v>1510</v>
      </c>
      <c r="B7" s="14">
        <v>100</v>
      </c>
      <c r="C7" s="14">
        <v>0</v>
      </c>
      <c r="D7" s="14">
        <v>1610</v>
      </c>
      <c r="G7" s="775">
        <v>-1322.75</v>
      </c>
      <c r="H7" s="14" t="s">
        <v>983</v>
      </c>
      <c r="I7" s="14" t="s">
        <v>880</v>
      </c>
      <c r="J7" s="14" t="s">
        <v>21</v>
      </c>
      <c r="K7" s="14" t="s">
        <v>942</v>
      </c>
      <c r="L7" s="772">
        <v>100</v>
      </c>
      <c r="M7" s="18" t="s">
        <v>887</v>
      </c>
      <c r="N7" s="19" t="s">
        <v>888</v>
      </c>
      <c r="O7" s="18" t="s">
        <v>889</v>
      </c>
      <c r="P7" s="18" t="s">
        <v>890</v>
      </c>
      <c r="Y7" s="14">
        <f>'School listing'!F10</f>
        <v>100</v>
      </c>
    </row>
    <row r="8" spans="1:25" ht="14.25" customHeight="1" x14ac:dyDescent="0.35">
      <c r="A8" s="14">
        <v>1510</v>
      </c>
      <c r="B8" s="14">
        <v>100</v>
      </c>
      <c r="C8" s="14">
        <v>0</v>
      </c>
      <c r="D8" s="14">
        <v>1610</v>
      </c>
      <c r="G8" s="775">
        <v>-157.5</v>
      </c>
      <c r="H8" s="14" t="s">
        <v>983</v>
      </c>
      <c r="I8" s="14" t="s">
        <v>880</v>
      </c>
      <c r="J8" s="14" t="s">
        <v>21</v>
      </c>
      <c r="K8" s="14" t="s">
        <v>942</v>
      </c>
      <c r="L8" s="772">
        <v>200</v>
      </c>
      <c r="M8" s="18" t="s">
        <v>891</v>
      </c>
      <c r="N8" s="19" t="s">
        <v>892</v>
      </c>
      <c r="O8" s="18" t="s">
        <v>893</v>
      </c>
      <c r="P8" s="18" t="s">
        <v>894</v>
      </c>
      <c r="Y8" s="14">
        <f>'School listing'!F11</f>
        <v>200</v>
      </c>
    </row>
    <row r="9" spans="1:25" ht="14.25" customHeight="1" x14ac:dyDescent="0.35">
      <c r="A9" s="14">
        <v>1000</v>
      </c>
      <c r="B9" s="14">
        <v>100</v>
      </c>
      <c r="C9" s="14">
        <v>0</v>
      </c>
      <c r="D9" s="14">
        <v>1720</v>
      </c>
      <c r="G9" s="775">
        <v>-283.27999999999997</v>
      </c>
      <c r="H9" s="14" t="s">
        <v>876</v>
      </c>
      <c r="I9" s="14" t="s">
        <v>880</v>
      </c>
      <c r="J9" s="14" t="s">
        <v>21</v>
      </c>
      <c r="K9" s="14" t="s">
        <v>946</v>
      </c>
      <c r="L9" s="772">
        <v>200</v>
      </c>
      <c r="M9" s="18" t="s">
        <v>895</v>
      </c>
      <c r="N9" s="19" t="s">
        <v>896</v>
      </c>
      <c r="O9" s="18" t="s">
        <v>897</v>
      </c>
      <c r="P9" s="18" t="s">
        <v>898</v>
      </c>
      <c r="Y9" s="14">
        <f>'School listing'!F12</f>
        <v>0</v>
      </c>
    </row>
    <row r="10" spans="1:25" x14ac:dyDescent="0.35">
      <c r="A10" s="14">
        <v>1534</v>
      </c>
      <c r="B10" s="14">
        <v>100</v>
      </c>
      <c r="C10" s="14">
        <v>0</v>
      </c>
      <c r="D10" s="14">
        <v>1720</v>
      </c>
      <c r="G10" s="775">
        <v>-1902.5</v>
      </c>
      <c r="H10" s="14" t="s">
        <v>983</v>
      </c>
      <c r="I10" s="14" t="s">
        <v>880</v>
      </c>
      <c r="J10" s="14" t="s">
        <v>21</v>
      </c>
      <c r="K10" s="14" t="s">
        <v>946</v>
      </c>
      <c r="L10" s="772">
        <v>100</v>
      </c>
      <c r="M10" s="18" t="s">
        <v>899</v>
      </c>
      <c r="N10" s="18" t="s">
        <v>900</v>
      </c>
      <c r="O10" s="18" t="s">
        <v>901</v>
      </c>
      <c r="P10" s="18" t="s">
        <v>902</v>
      </c>
      <c r="Y10" s="14">
        <f>'School listing'!F13</f>
        <v>0</v>
      </c>
    </row>
    <row r="11" spans="1:25" x14ac:dyDescent="0.35">
      <c r="A11" s="14">
        <v>1534</v>
      </c>
      <c r="B11" s="14">
        <v>100</v>
      </c>
      <c r="C11" s="14">
        <v>0</v>
      </c>
      <c r="D11" s="14">
        <v>1720</v>
      </c>
      <c r="G11" s="775">
        <v>-922.4</v>
      </c>
      <c r="H11" s="14" t="s">
        <v>983</v>
      </c>
      <c r="I11" s="14" t="s">
        <v>880</v>
      </c>
      <c r="J11" s="14" t="s">
        <v>21</v>
      </c>
      <c r="K11" s="14" t="s">
        <v>946</v>
      </c>
      <c r="L11" s="772">
        <v>200</v>
      </c>
      <c r="M11" s="18" t="s">
        <v>903</v>
      </c>
      <c r="N11" s="19" t="s">
        <v>904</v>
      </c>
      <c r="O11" s="18" t="s">
        <v>905</v>
      </c>
      <c r="P11" s="18" t="s">
        <v>906</v>
      </c>
      <c r="Y11" s="14">
        <f>'School listing'!F14</f>
        <v>0</v>
      </c>
    </row>
    <row r="12" spans="1:25" x14ac:dyDescent="0.35">
      <c r="A12" s="14">
        <v>1000</v>
      </c>
      <c r="B12" s="14">
        <v>100</v>
      </c>
      <c r="C12" s="14">
        <v>0</v>
      </c>
      <c r="D12" s="14">
        <v>1730</v>
      </c>
      <c r="G12" s="775">
        <v>-217.38</v>
      </c>
      <c r="H12" s="14" t="s">
        <v>876</v>
      </c>
      <c r="I12" s="14" t="s">
        <v>880</v>
      </c>
      <c r="J12" s="14" t="s">
        <v>21</v>
      </c>
      <c r="K12" s="14" t="s">
        <v>946</v>
      </c>
      <c r="L12" s="772">
        <v>200</v>
      </c>
      <c r="M12" s="18" t="s">
        <v>907</v>
      </c>
      <c r="N12" s="19" t="s">
        <v>908</v>
      </c>
      <c r="O12" s="18" t="s">
        <v>909</v>
      </c>
      <c r="P12" s="18" t="s">
        <v>910</v>
      </c>
      <c r="Y12" s="14">
        <f>'School listing'!F15</f>
        <v>0</v>
      </c>
    </row>
    <row r="13" spans="1:25" x14ac:dyDescent="0.35">
      <c r="A13" s="14">
        <v>1536</v>
      </c>
      <c r="B13" s="14">
        <v>100</v>
      </c>
      <c r="C13" s="14">
        <v>0</v>
      </c>
      <c r="D13" s="14">
        <v>1730</v>
      </c>
      <c r="G13" s="775">
        <v>-2526.37</v>
      </c>
      <c r="H13" s="14" t="s">
        <v>983</v>
      </c>
      <c r="I13" s="14" t="s">
        <v>880</v>
      </c>
      <c r="J13" s="14" t="s">
        <v>21</v>
      </c>
      <c r="K13" s="14" t="s">
        <v>946</v>
      </c>
      <c r="L13" s="772">
        <v>100</v>
      </c>
      <c r="M13" s="18" t="s">
        <v>911</v>
      </c>
      <c r="N13" s="18" t="s">
        <v>912</v>
      </c>
      <c r="O13" s="18" t="s">
        <v>913</v>
      </c>
      <c r="P13" s="18" t="s">
        <v>914</v>
      </c>
      <c r="Y13" s="14">
        <f>'School listing'!F16</f>
        <v>0</v>
      </c>
    </row>
    <row r="14" spans="1:25" x14ac:dyDescent="0.35">
      <c r="A14" s="14">
        <v>1536</v>
      </c>
      <c r="B14" s="14">
        <v>100</v>
      </c>
      <c r="C14" s="14">
        <v>0</v>
      </c>
      <c r="D14" s="14">
        <v>1730</v>
      </c>
      <c r="G14" s="775">
        <v>-1031.3399999999999</v>
      </c>
      <c r="H14" s="14" t="s">
        <v>983</v>
      </c>
      <c r="I14" s="14" t="s">
        <v>880</v>
      </c>
      <c r="J14" s="14" t="s">
        <v>21</v>
      </c>
      <c r="K14" s="14" t="s">
        <v>946</v>
      </c>
      <c r="L14" s="772">
        <v>200</v>
      </c>
      <c r="M14" s="18" t="s">
        <v>915</v>
      </c>
      <c r="N14" s="18" t="s">
        <v>916</v>
      </c>
      <c r="O14" s="18" t="s">
        <v>917</v>
      </c>
      <c r="P14" s="18" t="s">
        <v>918</v>
      </c>
      <c r="Y14" s="14">
        <f>'School listing'!F17</f>
        <v>0</v>
      </c>
    </row>
    <row r="15" spans="1:25" x14ac:dyDescent="0.35">
      <c r="A15" s="14">
        <v>1538</v>
      </c>
      <c r="B15" s="14">
        <v>100</v>
      </c>
      <c r="C15" s="14">
        <v>0</v>
      </c>
      <c r="D15" s="14">
        <v>1780</v>
      </c>
      <c r="G15" s="775">
        <v>-730</v>
      </c>
      <c r="H15" s="14" t="s">
        <v>983</v>
      </c>
      <c r="I15" s="14" t="s">
        <v>880</v>
      </c>
      <c r="J15" s="14" t="s">
        <v>21</v>
      </c>
      <c r="K15" s="14" t="s">
        <v>946</v>
      </c>
      <c r="L15" s="772">
        <v>100</v>
      </c>
      <c r="M15" s="18" t="s">
        <v>919</v>
      </c>
      <c r="N15" s="18" t="s">
        <v>920</v>
      </c>
      <c r="O15" s="18" t="s">
        <v>921</v>
      </c>
      <c r="P15" s="20" t="s">
        <v>922</v>
      </c>
      <c r="Y15" s="14">
        <f>'School listing'!F18</f>
        <v>0</v>
      </c>
    </row>
    <row r="16" spans="1:25" x14ac:dyDescent="0.35">
      <c r="A16" s="14">
        <v>1526</v>
      </c>
      <c r="B16" s="14">
        <v>100</v>
      </c>
      <c r="C16" s="14">
        <v>0</v>
      </c>
      <c r="D16" s="14">
        <v>1790</v>
      </c>
      <c r="G16" s="775">
        <v>-3000</v>
      </c>
      <c r="H16" s="14" t="s">
        <v>983</v>
      </c>
      <c r="I16" s="14" t="s">
        <v>880</v>
      </c>
      <c r="J16" s="14" t="s">
        <v>21</v>
      </c>
      <c r="K16" s="14" t="s">
        <v>950</v>
      </c>
      <c r="L16" s="772">
        <v>100</v>
      </c>
      <c r="M16" s="18" t="s">
        <v>923</v>
      </c>
      <c r="N16" s="18" t="s">
        <v>924</v>
      </c>
      <c r="O16" s="18" t="s">
        <v>925</v>
      </c>
      <c r="P16" s="20" t="s">
        <v>926</v>
      </c>
      <c r="Y16" s="14">
        <f>'School listing'!F19</f>
        <v>0</v>
      </c>
    </row>
    <row r="17" spans="1:25" x14ac:dyDescent="0.35">
      <c r="A17" s="14">
        <v>1000</v>
      </c>
      <c r="B17" s="14">
        <v>100</v>
      </c>
      <c r="C17" s="14">
        <v>0</v>
      </c>
      <c r="D17" s="14">
        <v>1910</v>
      </c>
      <c r="G17" s="775">
        <v>-4744</v>
      </c>
      <c r="H17" s="14" t="s">
        <v>876</v>
      </c>
      <c r="I17" s="14" t="s">
        <v>880</v>
      </c>
      <c r="J17" s="14" t="s">
        <v>21</v>
      </c>
      <c r="K17" s="14" t="s">
        <v>1386</v>
      </c>
      <c r="L17" s="772">
        <v>100</v>
      </c>
      <c r="M17" s="18" t="s">
        <v>927</v>
      </c>
      <c r="N17" s="18" t="s">
        <v>928</v>
      </c>
      <c r="O17" s="18" t="s">
        <v>929</v>
      </c>
      <c r="P17" s="20" t="s">
        <v>930</v>
      </c>
      <c r="Y17" s="14">
        <f>'School listing'!F20</f>
        <v>0</v>
      </c>
    </row>
    <row r="18" spans="1:25" x14ac:dyDescent="0.35">
      <c r="A18" s="763">
        <v>1000</v>
      </c>
      <c r="B18" s="763">
        <v>100</v>
      </c>
      <c r="C18" s="763">
        <v>0</v>
      </c>
      <c r="D18" s="763">
        <v>1920</v>
      </c>
      <c r="E18" s="763"/>
      <c r="F18" s="764"/>
      <c r="G18" s="776">
        <v>-2000</v>
      </c>
      <c r="H18" s="15" t="s">
        <v>876</v>
      </c>
      <c r="I18" s="15" t="s">
        <v>880</v>
      </c>
      <c r="J18" s="15" t="s">
        <v>21</v>
      </c>
      <c r="K18" s="15" t="s">
        <v>955</v>
      </c>
      <c r="L18" s="15">
        <v>100</v>
      </c>
      <c r="M18" s="18" t="s">
        <v>931</v>
      </c>
      <c r="N18" s="18" t="s">
        <v>932</v>
      </c>
      <c r="O18" s="18" t="s">
        <v>933</v>
      </c>
      <c r="P18" s="20" t="s">
        <v>934</v>
      </c>
      <c r="Y18" s="14">
        <f>'School listing'!F21</f>
        <v>0</v>
      </c>
    </row>
    <row r="19" spans="1:25" x14ac:dyDescent="0.35">
      <c r="A19" s="14">
        <v>1537</v>
      </c>
      <c r="B19" s="14">
        <v>100</v>
      </c>
      <c r="C19" s="14">
        <v>0</v>
      </c>
      <c r="D19" s="14">
        <v>1920</v>
      </c>
      <c r="G19" s="775">
        <v>-1092.52</v>
      </c>
      <c r="H19" s="14" t="s">
        <v>983</v>
      </c>
      <c r="I19" s="14" t="s">
        <v>880</v>
      </c>
      <c r="J19" s="14" t="s">
        <v>21</v>
      </c>
      <c r="K19" s="14" t="s">
        <v>955</v>
      </c>
      <c r="L19" s="772">
        <v>100</v>
      </c>
      <c r="M19" s="18" t="s">
        <v>935</v>
      </c>
      <c r="N19" s="18" t="s">
        <v>936</v>
      </c>
      <c r="O19" s="18" t="s">
        <v>937</v>
      </c>
      <c r="P19" s="20" t="s">
        <v>938</v>
      </c>
      <c r="Y19" s="14">
        <f>'School listing'!F22</f>
        <v>0</v>
      </c>
    </row>
    <row r="20" spans="1:25" x14ac:dyDescent="0.35">
      <c r="A20" s="14">
        <v>1000</v>
      </c>
      <c r="B20" s="14">
        <v>100</v>
      </c>
      <c r="C20" s="14">
        <v>0</v>
      </c>
      <c r="D20" s="14">
        <v>1921</v>
      </c>
      <c r="G20" s="775">
        <v>-18581.59</v>
      </c>
      <c r="H20" s="14" t="s">
        <v>876</v>
      </c>
      <c r="I20" s="14" t="s">
        <v>880</v>
      </c>
      <c r="J20" s="14" t="s">
        <v>21</v>
      </c>
      <c r="K20" s="14" t="s">
        <v>1386</v>
      </c>
      <c r="L20" s="772">
        <v>100</v>
      </c>
      <c r="M20" s="18" t="s">
        <v>939</v>
      </c>
      <c r="N20" s="18" t="s">
        <v>940</v>
      </c>
      <c r="O20" s="18" t="s">
        <v>941</v>
      </c>
      <c r="P20" s="20" t="s">
        <v>942</v>
      </c>
      <c r="Y20" s="14">
        <f>'School listing'!F23</f>
        <v>0</v>
      </c>
    </row>
    <row r="21" spans="1:25" x14ac:dyDescent="0.35">
      <c r="A21" s="14">
        <v>1000</v>
      </c>
      <c r="B21" s="14">
        <v>100</v>
      </c>
      <c r="C21" s="14">
        <v>0</v>
      </c>
      <c r="D21" s="14">
        <v>1921</v>
      </c>
      <c r="G21" s="775">
        <v>-300</v>
      </c>
      <c r="H21" s="14" t="s">
        <v>876</v>
      </c>
      <c r="I21" s="14" t="s">
        <v>880</v>
      </c>
      <c r="J21" s="14" t="s">
        <v>21</v>
      </c>
      <c r="K21" s="14" t="s">
        <v>1386</v>
      </c>
      <c r="L21" s="772">
        <v>200</v>
      </c>
      <c r="M21" s="18" t="s">
        <v>943</v>
      </c>
      <c r="N21" s="18" t="s">
        <v>944</v>
      </c>
      <c r="O21" s="18" t="s">
        <v>945</v>
      </c>
      <c r="P21" s="20" t="s">
        <v>946</v>
      </c>
      <c r="Y21" s="14">
        <f>'School listing'!F24</f>
        <v>0</v>
      </c>
    </row>
    <row r="22" spans="1:25" x14ac:dyDescent="0.35">
      <c r="A22" s="767">
        <v>1000</v>
      </c>
      <c r="B22" s="767">
        <v>100</v>
      </c>
      <c r="C22" s="767">
        <v>0</v>
      </c>
      <c r="D22" s="767">
        <v>1990</v>
      </c>
      <c r="E22" s="767"/>
      <c r="F22" s="767"/>
      <c r="G22" s="776">
        <v>-25383.53</v>
      </c>
      <c r="H22" s="21" t="s">
        <v>876</v>
      </c>
      <c r="I22" s="21" t="s">
        <v>880</v>
      </c>
      <c r="J22" s="21" t="s">
        <v>21</v>
      </c>
      <c r="K22" s="15" t="s">
        <v>1386</v>
      </c>
      <c r="L22" s="773">
        <v>100</v>
      </c>
      <c r="M22" s="18" t="s">
        <v>947</v>
      </c>
      <c r="P22" s="20" t="s">
        <v>948</v>
      </c>
    </row>
    <row r="23" spans="1:25" x14ac:dyDescent="0.35">
      <c r="A23" s="14">
        <v>1000</v>
      </c>
      <c r="B23" s="14">
        <v>100</v>
      </c>
      <c r="C23" s="14">
        <v>0</v>
      </c>
      <c r="D23" s="14">
        <v>1990</v>
      </c>
      <c r="G23" s="775">
        <v>-6269.85</v>
      </c>
      <c r="H23" s="14" t="s">
        <v>876</v>
      </c>
      <c r="I23" s="14" t="s">
        <v>880</v>
      </c>
      <c r="J23" s="14" t="s">
        <v>21</v>
      </c>
      <c r="K23" s="14" t="s">
        <v>1386</v>
      </c>
      <c r="L23" s="772">
        <v>200</v>
      </c>
      <c r="M23" s="18" t="s">
        <v>949</v>
      </c>
      <c r="P23" s="20" t="s">
        <v>950</v>
      </c>
    </row>
    <row r="24" spans="1:25" x14ac:dyDescent="0.35">
      <c r="A24" s="14">
        <v>1537</v>
      </c>
      <c r="B24" s="14">
        <v>100</v>
      </c>
      <c r="C24" s="14">
        <v>0</v>
      </c>
      <c r="D24" s="14">
        <v>1990</v>
      </c>
      <c r="G24" s="775">
        <v>-2502.7800000000002</v>
      </c>
      <c r="H24" s="14" t="s">
        <v>983</v>
      </c>
      <c r="I24" s="14" t="s">
        <v>880</v>
      </c>
      <c r="J24" s="14" t="s">
        <v>21</v>
      </c>
      <c r="K24" s="14" t="s">
        <v>1386</v>
      </c>
      <c r="L24" s="772">
        <v>100</v>
      </c>
      <c r="M24" s="18" t="s">
        <v>951</v>
      </c>
      <c r="P24" s="20" t="s">
        <v>952</v>
      </c>
    </row>
    <row r="25" spans="1:25" x14ac:dyDescent="0.35">
      <c r="A25" s="763">
        <v>1000</v>
      </c>
      <c r="B25" s="763">
        <v>100</v>
      </c>
      <c r="C25" s="763">
        <v>0</v>
      </c>
      <c r="D25" s="763">
        <v>3110</v>
      </c>
      <c r="E25" s="763"/>
      <c r="F25" s="764"/>
      <c r="G25" s="776">
        <v>-1518364.5</v>
      </c>
      <c r="H25" s="15" t="s">
        <v>876</v>
      </c>
      <c r="I25" s="15" t="s">
        <v>880</v>
      </c>
      <c r="J25" s="15" t="s">
        <v>21</v>
      </c>
      <c r="K25" s="15" t="s">
        <v>965</v>
      </c>
      <c r="L25" s="15">
        <v>100</v>
      </c>
      <c r="M25" s="18" t="s">
        <v>953</v>
      </c>
      <c r="P25" s="664" t="s">
        <v>1292</v>
      </c>
    </row>
    <row r="26" spans="1:25" x14ac:dyDescent="0.35">
      <c r="A26" s="14">
        <v>1000</v>
      </c>
      <c r="B26" s="14">
        <v>100</v>
      </c>
      <c r="C26" s="14">
        <v>0</v>
      </c>
      <c r="D26" s="14">
        <v>3110</v>
      </c>
      <c r="G26" s="775">
        <v>-379797.58</v>
      </c>
      <c r="H26" s="14" t="s">
        <v>876</v>
      </c>
      <c r="I26" s="14" t="s">
        <v>880</v>
      </c>
      <c r="J26" s="14" t="s">
        <v>21</v>
      </c>
      <c r="K26" s="14" t="s">
        <v>965</v>
      </c>
      <c r="L26" s="772">
        <v>200</v>
      </c>
      <c r="M26" s="18" t="s">
        <v>954</v>
      </c>
      <c r="P26" s="654" t="s">
        <v>1283</v>
      </c>
    </row>
    <row r="27" spans="1:25" x14ac:dyDescent="0.35">
      <c r="A27" s="14">
        <v>1015</v>
      </c>
      <c r="B27" s="14">
        <v>100</v>
      </c>
      <c r="C27" s="14">
        <v>0</v>
      </c>
      <c r="D27" s="14">
        <v>3115</v>
      </c>
      <c r="G27" s="775">
        <v>-11902.81</v>
      </c>
      <c r="H27" s="14" t="s">
        <v>876</v>
      </c>
      <c r="I27" s="14" t="s">
        <v>880</v>
      </c>
      <c r="J27" s="14" t="s">
        <v>21</v>
      </c>
      <c r="K27" s="14" t="s">
        <v>967</v>
      </c>
      <c r="L27" s="772">
        <v>100</v>
      </c>
      <c r="M27" s="18" t="s">
        <v>956</v>
      </c>
      <c r="P27" s="20" t="s">
        <v>955</v>
      </c>
    </row>
    <row r="28" spans="1:25" x14ac:dyDescent="0.35">
      <c r="A28" s="14">
        <v>1015</v>
      </c>
      <c r="B28" s="14">
        <v>100</v>
      </c>
      <c r="C28" s="14">
        <v>0</v>
      </c>
      <c r="D28" s="14">
        <v>3115</v>
      </c>
      <c r="G28" s="775">
        <v>-2975.71</v>
      </c>
      <c r="H28" s="14" t="s">
        <v>876</v>
      </c>
      <c r="I28" s="14" t="s">
        <v>880</v>
      </c>
      <c r="J28" s="14" t="s">
        <v>21</v>
      </c>
      <c r="K28" s="14" t="s">
        <v>967</v>
      </c>
      <c r="L28" s="772">
        <v>200</v>
      </c>
      <c r="M28" s="18" t="s">
        <v>958</v>
      </c>
      <c r="P28" s="654" t="s">
        <v>1284</v>
      </c>
    </row>
    <row r="29" spans="1:25" x14ac:dyDescent="0.35">
      <c r="A29" s="14">
        <v>1010</v>
      </c>
      <c r="B29" s="14">
        <v>100</v>
      </c>
      <c r="C29" s="14">
        <v>0</v>
      </c>
      <c r="D29" s="14">
        <v>3200</v>
      </c>
      <c r="G29" s="775">
        <v>-165876.57</v>
      </c>
      <c r="H29" s="14" t="s">
        <v>877</v>
      </c>
      <c r="I29" s="14" t="s">
        <v>880</v>
      </c>
      <c r="J29" s="14" t="s">
        <v>21</v>
      </c>
      <c r="K29" s="14" t="s">
        <v>969</v>
      </c>
      <c r="L29" s="772">
        <v>100</v>
      </c>
      <c r="M29" s="18" t="s">
        <v>960</v>
      </c>
      <c r="P29" s="654" t="s">
        <v>1285</v>
      </c>
    </row>
    <row r="30" spans="1:25" x14ac:dyDescent="0.35">
      <c r="A30" s="14">
        <v>1010</v>
      </c>
      <c r="B30" s="14">
        <v>100</v>
      </c>
      <c r="C30" s="14">
        <v>0</v>
      </c>
      <c r="D30" s="14">
        <v>3200</v>
      </c>
      <c r="G30" s="775">
        <v>-41469.129999999997</v>
      </c>
      <c r="H30" s="14" t="s">
        <v>877</v>
      </c>
      <c r="I30" s="14" t="s">
        <v>880</v>
      </c>
      <c r="J30" s="14" t="s">
        <v>21</v>
      </c>
      <c r="K30" s="14" t="s">
        <v>969</v>
      </c>
      <c r="L30" s="772">
        <v>200</v>
      </c>
      <c r="M30" s="18" t="s">
        <v>962</v>
      </c>
      <c r="P30" s="20" t="s">
        <v>957</v>
      </c>
    </row>
    <row r="31" spans="1:25" x14ac:dyDescent="0.35">
      <c r="A31" s="14">
        <v>1020</v>
      </c>
      <c r="B31" s="14">
        <v>100</v>
      </c>
      <c r="C31" s="14">
        <v>0</v>
      </c>
      <c r="D31" s="14">
        <v>3200</v>
      </c>
      <c r="G31" s="775">
        <v>-11717.92</v>
      </c>
      <c r="H31" s="14" t="s">
        <v>879</v>
      </c>
      <c r="I31" s="14" t="s">
        <v>880</v>
      </c>
      <c r="J31" s="14" t="s">
        <v>21</v>
      </c>
      <c r="K31" s="14" t="s">
        <v>969</v>
      </c>
      <c r="L31" s="772">
        <v>100</v>
      </c>
      <c r="M31" s="18" t="s">
        <v>964</v>
      </c>
      <c r="P31" s="20" t="s">
        <v>959</v>
      </c>
    </row>
    <row r="32" spans="1:25" x14ac:dyDescent="0.35">
      <c r="A32" s="14">
        <v>1020</v>
      </c>
      <c r="B32" s="14">
        <v>100</v>
      </c>
      <c r="C32" s="14">
        <v>0</v>
      </c>
      <c r="D32" s="14">
        <v>3200</v>
      </c>
      <c r="G32" s="775">
        <v>-2929.48</v>
      </c>
      <c r="H32" s="14" t="s">
        <v>879</v>
      </c>
      <c r="I32" s="14" t="s">
        <v>880</v>
      </c>
      <c r="J32" s="14" t="s">
        <v>21</v>
      </c>
      <c r="K32" s="14" t="s">
        <v>969</v>
      </c>
      <c r="L32" s="772">
        <v>200</v>
      </c>
      <c r="M32" s="18" t="s">
        <v>966</v>
      </c>
      <c r="P32" s="20" t="s">
        <v>961</v>
      </c>
    </row>
    <row r="33" spans="1:16" x14ac:dyDescent="0.35">
      <c r="A33" s="14">
        <v>1491</v>
      </c>
      <c r="B33" s="14">
        <v>100</v>
      </c>
      <c r="C33" s="14">
        <v>0</v>
      </c>
      <c r="D33" s="14">
        <v>3200</v>
      </c>
      <c r="G33" s="775">
        <v>-18543.900000000001</v>
      </c>
      <c r="H33" s="14" t="s">
        <v>981</v>
      </c>
      <c r="I33" s="14" t="s">
        <v>880</v>
      </c>
      <c r="J33" s="14" t="s">
        <v>21</v>
      </c>
      <c r="K33" s="14" t="s">
        <v>969</v>
      </c>
      <c r="L33" s="772">
        <v>100</v>
      </c>
      <c r="M33" s="18" t="s">
        <v>968</v>
      </c>
      <c r="P33" s="20" t="s">
        <v>963</v>
      </c>
    </row>
    <row r="34" spans="1:16" x14ac:dyDescent="0.35">
      <c r="A34" s="14">
        <v>1491</v>
      </c>
      <c r="B34" s="14">
        <v>100</v>
      </c>
      <c r="C34" s="14">
        <v>0</v>
      </c>
      <c r="D34" s="14">
        <v>3200</v>
      </c>
      <c r="G34" s="775">
        <v>-4635.9799999999996</v>
      </c>
      <c r="H34" s="14" t="s">
        <v>981</v>
      </c>
      <c r="I34" s="14" t="s">
        <v>880</v>
      </c>
      <c r="J34" s="14" t="s">
        <v>21</v>
      </c>
      <c r="K34" s="14" t="s">
        <v>969</v>
      </c>
      <c r="L34" s="772">
        <v>200</v>
      </c>
      <c r="M34" s="18" t="s">
        <v>970</v>
      </c>
      <c r="P34" s="20" t="s">
        <v>965</v>
      </c>
    </row>
    <row r="35" spans="1:16" x14ac:dyDescent="0.35">
      <c r="A35" s="14">
        <v>1110</v>
      </c>
      <c r="B35" s="14">
        <v>100</v>
      </c>
      <c r="C35" s="14">
        <v>0</v>
      </c>
      <c r="D35" s="14">
        <v>4500</v>
      </c>
      <c r="G35" s="775">
        <v>-79539.62</v>
      </c>
      <c r="H35" s="14" t="s">
        <v>891</v>
      </c>
      <c r="I35" s="14" t="s">
        <v>880</v>
      </c>
      <c r="J35" s="14" t="s">
        <v>21</v>
      </c>
      <c r="K35" s="14" t="s">
        <v>976</v>
      </c>
      <c r="L35" s="772">
        <v>100</v>
      </c>
      <c r="M35" s="18" t="s">
        <v>972</v>
      </c>
      <c r="P35" s="20" t="s">
        <v>967</v>
      </c>
    </row>
    <row r="36" spans="1:16" x14ac:dyDescent="0.35">
      <c r="A36" s="14">
        <v>1110</v>
      </c>
      <c r="B36" s="14">
        <v>100</v>
      </c>
      <c r="C36" s="14">
        <v>0</v>
      </c>
      <c r="D36" s="14">
        <v>4500</v>
      </c>
      <c r="G36" s="775">
        <v>-19884.91</v>
      </c>
      <c r="H36" s="14" t="s">
        <v>891</v>
      </c>
      <c r="I36" s="14" t="s">
        <v>880</v>
      </c>
      <c r="J36" s="14" t="s">
        <v>21</v>
      </c>
      <c r="K36" s="14" t="s">
        <v>976</v>
      </c>
      <c r="L36" s="772">
        <v>200</v>
      </c>
      <c r="M36" s="18" t="s">
        <v>975</v>
      </c>
      <c r="P36" s="20" t="s">
        <v>969</v>
      </c>
    </row>
    <row r="37" spans="1:16" x14ac:dyDescent="0.35">
      <c r="A37" s="14">
        <v>1140</v>
      </c>
      <c r="B37" s="14">
        <v>100</v>
      </c>
      <c r="C37" s="14">
        <v>0</v>
      </c>
      <c r="D37" s="14">
        <v>4500</v>
      </c>
      <c r="G37" s="775">
        <v>-10351.26</v>
      </c>
      <c r="H37" s="14" t="s">
        <v>895</v>
      </c>
      <c r="I37" s="14" t="s">
        <v>880</v>
      </c>
      <c r="J37" s="14" t="s">
        <v>21</v>
      </c>
      <c r="K37" s="14" t="s">
        <v>976</v>
      </c>
      <c r="L37" s="772">
        <v>100</v>
      </c>
      <c r="M37" s="18" t="s">
        <v>977</v>
      </c>
      <c r="P37" s="20" t="s">
        <v>971</v>
      </c>
    </row>
    <row r="38" spans="1:16" x14ac:dyDescent="0.35">
      <c r="A38" s="14">
        <v>1140</v>
      </c>
      <c r="B38" s="14">
        <v>100</v>
      </c>
      <c r="C38" s="14">
        <v>0</v>
      </c>
      <c r="D38" s="14">
        <v>4500</v>
      </c>
      <c r="G38" s="775">
        <v>-2587.8200000000002</v>
      </c>
      <c r="H38" s="14" t="s">
        <v>895</v>
      </c>
      <c r="I38" s="14" t="s">
        <v>880</v>
      </c>
      <c r="J38" s="14" t="s">
        <v>21</v>
      </c>
      <c r="K38" s="14" t="s">
        <v>976</v>
      </c>
      <c r="L38" s="772">
        <v>200</v>
      </c>
      <c r="M38" s="18" t="s">
        <v>979</v>
      </c>
      <c r="P38" s="20" t="s">
        <v>973</v>
      </c>
    </row>
    <row r="39" spans="1:16" x14ac:dyDescent="0.35">
      <c r="A39" s="14">
        <v>1161</v>
      </c>
      <c r="B39" s="14">
        <v>100</v>
      </c>
      <c r="C39" s="14">
        <v>0</v>
      </c>
      <c r="D39" s="14">
        <v>4500</v>
      </c>
      <c r="G39" s="775">
        <v>-8504.25</v>
      </c>
      <c r="H39" s="14" t="s">
        <v>899</v>
      </c>
      <c r="I39" s="14" t="s">
        <v>880</v>
      </c>
      <c r="J39" s="14" t="s">
        <v>21</v>
      </c>
      <c r="K39" s="14" t="s">
        <v>976</v>
      </c>
      <c r="L39" s="772">
        <v>100</v>
      </c>
      <c r="M39" s="18" t="s">
        <v>981</v>
      </c>
      <c r="P39" s="20" t="s">
        <v>974</v>
      </c>
    </row>
    <row r="40" spans="1:16" x14ac:dyDescent="0.35">
      <c r="A40" s="14">
        <v>1161</v>
      </c>
      <c r="B40" s="14">
        <v>100</v>
      </c>
      <c r="C40" s="14">
        <v>0</v>
      </c>
      <c r="D40" s="14">
        <v>4500</v>
      </c>
      <c r="G40" s="775">
        <v>-1560.75</v>
      </c>
      <c r="H40" s="14" t="s">
        <v>899</v>
      </c>
      <c r="I40" s="14" t="s">
        <v>880</v>
      </c>
      <c r="J40" s="14" t="s">
        <v>21</v>
      </c>
      <c r="K40" s="14" t="s">
        <v>976</v>
      </c>
      <c r="L40" s="772">
        <v>200</v>
      </c>
      <c r="M40" s="18" t="s">
        <v>983</v>
      </c>
      <c r="P40" s="20" t="s">
        <v>976</v>
      </c>
    </row>
    <row r="41" spans="1:16" x14ac:dyDescent="0.35">
      <c r="A41" s="14">
        <v>1190</v>
      </c>
      <c r="B41" s="14">
        <v>100</v>
      </c>
      <c r="C41" s="14">
        <v>0</v>
      </c>
      <c r="D41" s="14">
        <v>4500</v>
      </c>
      <c r="G41" s="775">
        <v>-14385.62</v>
      </c>
      <c r="H41" s="14" t="s">
        <v>907</v>
      </c>
      <c r="I41" s="14" t="s">
        <v>880</v>
      </c>
      <c r="J41" s="14" t="s">
        <v>21</v>
      </c>
      <c r="K41" s="14" t="s">
        <v>976</v>
      </c>
      <c r="L41" s="772">
        <v>100</v>
      </c>
      <c r="M41" s="18" t="s">
        <v>985</v>
      </c>
      <c r="P41" s="20" t="s">
        <v>978</v>
      </c>
    </row>
    <row r="42" spans="1:16" x14ac:dyDescent="0.35">
      <c r="A42" s="14">
        <v>1190</v>
      </c>
      <c r="B42" s="14">
        <v>100</v>
      </c>
      <c r="C42" s="14">
        <v>0</v>
      </c>
      <c r="D42" s="14">
        <v>4500</v>
      </c>
      <c r="G42" s="775">
        <v>-3596.41</v>
      </c>
      <c r="H42" s="14" t="s">
        <v>907</v>
      </c>
      <c r="I42" s="14" t="s">
        <v>880</v>
      </c>
      <c r="J42" s="14" t="s">
        <v>21</v>
      </c>
      <c r="K42" s="14" t="s">
        <v>976</v>
      </c>
      <c r="L42" s="772">
        <v>200</v>
      </c>
      <c r="P42" s="20" t="s">
        <v>980</v>
      </c>
    </row>
    <row r="43" spans="1:16" x14ac:dyDescent="0.35">
      <c r="A43" s="14">
        <v>1190</v>
      </c>
      <c r="B43" s="14">
        <v>100</v>
      </c>
      <c r="C43" s="14">
        <v>0</v>
      </c>
      <c r="D43" s="14">
        <v>4500</v>
      </c>
      <c r="G43" s="775">
        <v>-173.95</v>
      </c>
      <c r="H43" s="14" t="s">
        <v>907</v>
      </c>
      <c r="I43" s="14" t="s">
        <v>880</v>
      </c>
      <c r="J43" s="14" t="s">
        <v>21</v>
      </c>
      <c r="K43" s="14" t="s">
        <v>976</v>
      </c>
      <c r="L43" s="772">
        <v>100</v>
      </c>
      <c r="P43" s="20" t="s">
        <v>982</v>
      </c>
    </row>
    <row r="44" spans="1:16" x14ac:dyDescent="0.35">
      <c r="A44" s="14">
        <v>1190</v>
      </c>
      <c r="B44" s="14">
        <v>100</v>
      </c>
      <c r="C44" s="14">
        <v>0</v>
      </c>
      <c r="D44" s="14">
        <v>4500</v>
      </c>
      <c r="G44" s="775">
        <v>-43.49</v>
      </c>
      <c r="H44" s="14" t="s">
        <v>907</v>
      </c>
      <c r="I44" s="14" t="s">
        <v>880</v>
      </c>
      <c r="J44" s="14" t="s">
        <v>21</v>
      </c>
      <c r="K44" s="14" t="s">
        <v>976</v>
      </c>
      <c r="L44" s="772">
        <v>200</v>
      </c>
      <c r="P44" s="20" t="s">
        <v>984</v>
      </c>
    </row>
    <row r="45" spans="1:16" x14ac:dyDescent="0.35">
      <c r="A45" s="14">
        <v>1220</v>
      </c>
      <c r="B45" s="14">
        <v>200</v>
      </c>
      <c r="C45" s="14">
        <v>0</v>
      </c>
      <c r="D45" s="14">
        <v>4500</v>
      </c>
      <c r="G45" s="775">
        <v>-26017.87</v>
      </c>
      <c r="H45" s="14" t="s">
        <v>919</v>
      </c>
      <c r="I45" s="14" t="s">
        <v>884</v>
      </c>
      <c r="J45" s="14" t="s">
        <v>21</v>
      </c>
      <c r="K45" s="14" t="s">
        <v>976</v>
      </c>
      <c r="L45" s="772">
        <v>100</v>
      </c>
    </row>
    <row r="46" spans="1:16" x14ac:dyDescent="0.35">
      <c r="A46" s="14">
        <v>1220</v>
      </c>
      <c r="B46" s="14">
        <v>200</v>
      </c>
      <c r="C46" s="14">
        <v>0</v>
      </c>
      <c r="D46" s="14">
        <v>4500</v>
      </c>
      <c r="G46" s="775">
        <v>-6504.44</v>
      </c>
      <c r="H46" s="14" t="s">
        <v>919</v>
      </c>
      <c r="I46" s="14" t="s">
        <v>884</v>
      </c>
      <c r="J46" s="14" t="s">
        <v>21</v>
      </c>
      <c r="K46" s="14" t="s">
        <v>976</v>
      </c>
      <c r="L46" s="772">
        <v>200</v>
      </c>
    </row>
    <row r="47" spans="1:16" x14ac:dyDescent="0.35">
      <c r="A47" s="14">
        <v>1222</v>
      </c>
      <c r="B47" s="14">
        <v>200</v>
      </c>
      <c r="C47" s="14">
        <v>0</v>
      </c>
      <c r="D47" s="14">
        <v>4500</v>
      </c>
      <c r="G47" s="775">
        <v>-411.79</v>
      </c>
      <c r="H47" s="14" t="s">
        <v>919</v>
      </c>
      <c r="I47" s="14" t="s">
        <v>884</v>
      </c>
      <c r="J47" s="14" t="s">
        <v>21</v>
      </c>
      <c r="K47" s="14" t="s">
        <v>976</v>
      </c>
      <c r="L47" s="772">
        <v>100</v>
      </c>
    </row>
    <row r="48" spans="1:16" x14ac:dyDescent="0.35">
      <c r="A48" s="14">
        <v>1222</v>
      </c>
      <c r="B48" s="14">
        <v>200</v>
      </c>
      <c r="C48" s="14">
        <v>0</v>
      </c>
      <c r="D48" s="14">
        <v>4500</v>
      </c>
      <c r="G48" s="775">
        <v>-102.95</v>
      </c>
      <c r="H48" s="14" t="s">
        <v>919</v>
      </c>
      <c r="I48" s="14" t="s">
        <v>884</v>
      </c>
      <c r="J48" s="14" t="s">
        <v>21</v>
      </c>
      <c r="K48" s="14" t="s">
        <v>976</v>
      </c>
      <c r="L48" s="772">
        <v>200</v>
      </c>
    </row>
    <row r="49" spans="1:12" x14ac:dyDescent="0.35">
      <c r="A49" s="14">
        <v>1471</v>
      </c>
      <c r="B49" s="14">
        <v>100</v>
      </c>
      <c r="C49" s="14">
        <v>0</v>
      </c>
      <c r="D49" s="14">
        <v>4500</v>
      </c>
      <c r="G49" s="775">
        <v>-17926</v>
      </c>
      <c r="H49" s="14" t="s">
        <v>981</v>
      </c>
      <c r="I49" s="14" t="s">
        <v>880</v>
      </c>
      <c r="J49" s="14" t="s">
        <v>21</v>
      </c>
      <c r="K49" s="14" t="s">
        <v>976</v>
      </c>
      <c r="L49" s="772">
        <v>100</v>
      </c>
    </row>
    <row r="50" spans="1:12" x14ac:dyDescent="0.35">
      <c r="A50" s="14">
        <v>1510</v>
      </c>
      <c r="B50" s="14">
        <v>100</v>
      </c>
      <c r="C50" s="14">
        <v>0</v>
      </c>
      <c r="D50" s="14">
        <v>4500</v>
      </c>
      <c r="G50" s="775">
        <v>-127720.81</v>
      </c>
      <c r="H50" s="14" t="s">
        <v>983</v>
      </c>
      <c r="I50" s="14" t="s">
        <v>880</v>
      </c>
      <c r="J50" s="14" t="s">
        <v>21</v>
      </c>
      <c r="K50" s="14" t="s">
        <v>976</v>
      </c>
      <c r="L50" s="772">
        <v>100</v>
      </c>
    </row>
    <row r="51" spans="1:12" x14ac:dyDescent="0.35">
      <c r="A51" s="14">
        <v>1510</v>
      </c>
      <c r="B51" s="14">
        <v>100</v>
      </c>
      <c r="C51" s="14">
        <v>0</v>
      </c>
      <c r="D51" s="14">
        <v>4500</v>
      </c>
      <c r="G51" s="775">
        <v>-31928.1</v>
      </c>
      <c r="H51" s="14" t="s">
        <v>983</v>
      </c>
      <c r="I51" s="14" t="s">
        <v>880</v>
      </c>
      <c r="J51" s="14" t="s">
        <v>21</v>
      </c>
      <c r="K51" s="14" t="s">
        <v>976</v>
      </c>
      <c r="L51" s="772">
        <v>200</v>
      </c>
    </row>
    <row r="52" spans="1:12" x14ac:dyDescent="0.35">
      <c r="A52" s="14">
        <v>1310</v>
      </c>
      <c r="B52" s="14">
        <v>100</v>
      </c>
      <c r="C52" s="14">
        <v>0</v>
      </c>
      <c r="D52" s="14">
        <v>4910</v>
      </c>
      <c r="G52" s="775">
        <v>-16104.24</v>
      </c>
      <c r="H52" s="14" t="s">
        <v>956</v>
      </c>
      <c r="I52" s="14" t="s">
        <v>880</v>
      </c>
      <c r="J52" s="14" t="s">
        <v>21</v>
      </c>
      <c r="K52" s="14" t="s">
        <v>982</v>
      </c>
      <c r="L52" s="772">
        <v>100</v>
      </c>
    </row>
    <row r="53" spans="1:12" x14ac:dyDescent="0.35">
      <c r="A53" s="14">
        <v>1310</v>
      </c>
      <c r="B53" s="14">
        <v>100</v>
      </c>
      <c r="C53" s="14">
        <v>0</v>
      </c>
      <c r="D53" s="14">
        <v>4910</v>
      </c>
      <c r="G53" s="775">
        <v>-13671.63</v>
      </c>
      <c r="H53" s="14" t="s">
        <v>956</v>
      </c>
      <c r="I53" s="14" t="s">
        <v>880</v>
      </c>
      <c r="J53" s="14" t="s">
        <v>21</v>
      </c>
      <c r="K53" s="14" t="s">
        <v>982</v>
      </c>
      <c r="L53" s="772">
        <v>200</v>
      </c>
    </row>
    <row r="54" spans="1:12" x14ac:dyDescent="0.35">
      <c r="A54" s="765">
        <v>1000</v>
      </c>
      <c r="B54" s="765">
        <v>100</v>
      </c>
      <c r="C54" s="765">
        <v>2100</v>
      </c>
      <c r="D54" s="765">
        <v>6114</v>
      </c>
      <c r="E54" s="765"/>
      <c r="F54" s="765"/>
      <c r="G54" s="776">
        <v>3500</v>
      </c>
      <c r="H54" s="15" t="s">
        <v>876</v>
      </c>
      <c r="I54" s="15" t="s">
        <v>880</v>
      </c>
      <c r="J54" s="15" t="s">
        <v>889</v>
      </c>
      <c r="K54" s="15" t="s">
        <v>878</v>
      </c>
      <c r="L54" s="15">
        <v>100</v>
      </c>
    </row>
    <row r="55" spans="1:12" x14ac:dyDescent="0.35">
      <c r="A55" s="14">
        <v>1000</v>
      </c>
      <c r="B55" s="14">
        <v>100</v>
      </c>
      <c r="C55" s="14">
        <v>2400</v>
      </c>
      <c r="D55" s="14">
        <v>6111</v>
      </c>
      <c r="G55" s="775">
        <v>75600</v>
      </c>
      <c r="H55" s="14" t="s">
        <v>876</v>
      </c>
      <c r="I55" s="14" t="s">
        <v>880</v>
      </c>
      <c r="J55" s="14" t="s">
        <v>909</v>
      </c>
      <c r="K55" s="14" t="s">
        <v>878</v>
      </c>
      <c r="L55" s="772">
        <v>200</v>
      </c>
    </row>
    <row r="56" spans="1:12" x14ac:dyDescent="0.35">
      <c r="A56" s="14">
        <v>1000</v>
      </c>
      <c r="B56" s="14">
        <v>100</v>
      </c>
      <c r="C56" s="14">
        <v>2400</v>
      </c>
      <c r="D56" s="14">
        <v>6151</v>
      </c>
      <c r="G56" s="775">
        <v>3000</v>
      </c>
      <c r="H56" s="14" t="s">
        <v>876</v>
      </c>
      <c r="I56" s="14" t="s">
        <v>880</v>
      </c>
      <c r="J56" s="14" t="s">
        <v>909</v>
      </c>
      <c r="K56" s="14" t="s">
        <v>878</v>
      </c>
      <c r="L56" s="772">
        <v>100</v>
      </c>
    </row>
    <row r="57" spans="1:12" x14ac:dyDescent="0.35">
      <c r="A57" s="14">
        <v>1000</v>
      </c>
      <c r="B57" s="14">
        <v>100</v>
      </c>
      <c r="C57" s="14">
        <v>1000</v>
      </c>
      <c r="D57" s="14">
        <v>6112</v>
      </c>
      <c r="G57" s="775">
        <v>22717.919999999998</v>
      </c>
      <c r="H57" s="14" t="s">
        <v>876</v>
      </c>
      <c r="I57" s="14" t="s">
        <v>880</v>
      </c>
      <c r="J57" s="14" t="s">
        <v>881</v>
      </c>
      <c r="K57" s="14" t="s">
        <v>878</v>
      </c>
      <c r="L57" s="772">
        <v>100</v>
      </c>
    </row>
    <row r="58" spans="1:12" x14ac:dyDescent="0.35">
      <c r="A58" s="763">
        <v>1000</v>
      </c>
      <c r="B58" s="763">
        <v>100</v>
      </c>
      <c r="C58" s="763">
        <v>1000</v>
      </c>
      <c r="D58" s="763">
        <v>6152</v>
      </c>
      <c r="E58" s="763"/>
      <c r="F58" s="764"/>
      <c r="G58" s="776">
        <v>6000</v>
      </c>
      <c r="H58" s="15" t="s">
        <v>876</v>
      </c>
      <c r="I58" s="15" t="s">
        <v>880</v>
      </c>
      <c r="J58" s="15" t="s">
        <v>881</v>
      </c>
      <c r="K58" s="15" t="s">
        <v>878</v>
      </c>
      <c r="L58" s="15">
        <v>100</v>
      </c>
    </row>
    <row r="59" spans="1:12" x14ac:dyDescent="0.35">
      <c r="A59" s="763">
        <v>1000</v>
      </c>
      <c r="B59" s="763">
        <v>100</v>
      </c>
      <c r="C59" s="768">
        <v>1000</v>
      </c>
      <c r="D59" s="763">
        <v>6152</v>
      </c>
      <c r="E59" s="763"/>
      <c r="F59" s="764"/>
      <c r="G59" s="776">
        <v>252157.48</v>
      </c>
      <c r="H59" s="15" t="s">
        <v>876</v>
      </c>
      <c r="I59" s="15" t="s">
        <v>880</v>
      </c>
      <c r="J59" s="15" t="s">
        <v>881</v>
      </c>
      <c r="K59" s="15" t="s">
        <v>878</v>
      </c>
      <c r="L59" s="15">
        <v>100</v>
      </c>
    </row>
    <row r="60" spans="1:12" x14ac:dyDescent="0.35">
      <c r="A60" s="14">
        <v>1000</v>
      </c>
      <c r="B60" s="14">
        <v>100</v>
      </c>
      <c r="C60" s="14">
        <v>2100</v>
      </c>
      <c r="D60" s="14">
        <v>6114</v>
      </c>
      <c r="G60" s="775">
        <v>666.68</v>
      </c>
      <c r="H60" s="14" t="s">
        <v>876</v>
      </c>
      <c r="I60" s="14" t="s">
        <v>880</v>
      </c>
      <c r="J60" s="14" t="s">
        <v>889</v>
      </c>
      <c r="K60" s="14" t="s">
        <v>878</v>
      </c>
      <c r="L60" s="772">
        <v>200</v>
      </c>
    </row>
    <row r="61" spans="1:12" x14ac:dyDescent="0.35">
      <c r="A61" s="765">
        <v>1000</v>
      </c>
      <c r="B61" s="765">
        <v>100</v>
      </c>
      <c r="C61" s="765">
        <v>2100</v>
      </c>
      <c r="D61" s="765">
        <v>6151</v>
      </c>
      <c r="E61" s="765"/>
      <c r="F61" s="765"/>
      <c r="G61" s="776">
        <v>2000</v>
      </c>
      <c r="H61" s="15" t="s">
        <v>876</v>
      </c>
      <c r="I61" s="15" t="s">
        <v>880</v>
      </c>
      <c r="J61" s="15" t="s">
        <v>889</v>
      </c>
      <c r="K61" s="15" t="s">
        <v>878</v>
      </c>
      <c r="L61" s="15">
        <v>100</v>
      </c>
    </row>
    <row r="62" spans="1:12" x14ac:dyDescent="0.35">
      <c r="A62" s="765">
        <v>1000</v>
      </c>
      <c r="B62" s="765">
        <v>100</v>
      </c>
      <c r="C62" s="765">
        <v>2100</v>
      </c>
      <c r="D62" s="765">
        <v>6151</v>
      </c>
      <c r="E62" s="765"/>
      <c r="F62" s="765"/>
      <c r="G62" s="776">
        <v>8958.34</v>
      </c>
      <c r="H62" s="15" t="s">
        <v>876</v>
      </c>
      <c r="I62" s="15" t="s">
        <v>880</v>
      </c>
      <c r="J62" s="15" t="s">
        <v>889</v>
      </c>
      <c r="K62" s="15" t="s">
        <v>878</v>
      </c>
      <c r="L62" s="15">
        <v>100</v>
      </c>
    </row>
    <row r="63" spans="1:12" x14ac:dyDescent="0.35">
      <c r="A63" s="14">
        <v>1000</v>
      </c>
      <c r="B63" s="14">
        <v>100</v>
      </c>
      <c r="C63" s="14">
        <v>2100</v>
      </c>
      <c r="D63" s="14">
        <v>6151</v>
      </c>
      <c r="G63" s="775">
        <v>1000</v>
      </c>
      <c r="H63" s="14" t="s">
        <v>876</v>
      </c>
      <c r="I63" s="14" t="s">
        <v>880</v>
      </c>
      <c r="J63" s="14" t="s">
        <v>889</v>
      </c>
      <c r="K63" s="14" t="s">
        <v>878</v>
      </c>
      <c r="L63" s="772">
        <v>200</v>
      </c>
    </row>
    <row r="64" spans="1:12" x14ac:dyDescent="0.35">
      <c r="A64" s="765">
        <v>1000</v>
      </c>
      <c r="B64" s="765">
        <v>100</v>
      </c>
      <c r="C64" s="765">
        <v>2100</v>
      </c>
      <c r="D64" s="765">
        <v>6154</v>
      </c>
      <c r="E64" s="765"/>
      <c r="F64" s="765"/>
      <c r="G64" s="776">
        <v>2000</v>
      </c>
      <c r="H64" s="15" t="s">
        <v>876</v>
      </c>
      <c r="I64" s="15" t="s">
        <v>880</v>
      </c>
      <c r="J64" s="15" t="s">
        <v>889</v>
      </c>
      <c r="K64" s="15" t="s">
        <v>878</v>
      </c>
      <c r="L64" s="15">
        <v>100</v>
      </c>
    </row>
    <row r="65" spans="1:12" x14ac:dyDescent="0.35">
      <c r="A65" s="765">
        <v>1000</v>
      </c>
      <c r="B65" s="765">
        <v>100</v>
      </c>
      <c r="C65" s="765">
        <v>2100</v>
      </c>
      <c r="D65" s="765">
        <v>6154</v>
      </c>
      <c r="E65" s="765"/>
      <c r="F65" s="765"/>
      <c r="G65" s="776">
        <v>15039.32</v>
      </c>
      <c r="H65" s="15" t="s">
        <v>876</v>
      </c>
      <c r="I65" s="15" t="s">
        <v>880</v>
      </c>
      <c r="J65" s="15" t="s">
        <v>889</v>
      </c>
      <c r="K65" s="15" t="s">
        <v>878</v>
      </c>
      <c r="L65" s="15">
        <v>100</v>
      </c>
    </row>
    <row r="66" spans="1:12" x14ac:dyDescent="0.35">
      <c r="A66" s="765">
        <v>1000</v>
      </c>
      <c r="B66" s="765">
        <v>100</v>
      </c>
      <c r="C66" s="765">
        <v>2100</v>
      </c>
      <c r="D66" s="765">
        <v>6155</v>
      </c>
      <c r="E66" s="765"/>
      <c r="F66" s="765"/>
      <c r="G66" s="776">
        <v>29754.34</v>
      </c>
      <c r="H66" s="15" t="s">
        <v>876</v>
      </c>
      <c r="I66" s="15" t="s">
        <v>880</v>
      </c>
      <c r="J66" s="15" t="s">
        <v>889</v>
      </c>
      <c r="K66" s="15" t="s">
        <v>878</v>
      </c>
      <c r="L66" s="15">
        <v>100</v>
      </c>
    </row>
    <row r="67" spans="1:12" x14ac:dyDescent="0.35">
      <c r="A67" s="14">
        <v>1000</v>
      </c>
      <c r="B67" s="14">
        <v>100</v>
      </c>
      <c r="C67" s="14">
        <v>2200</v>
      </c>
      <c r="D67" s="14">
        <v>6151</v>
      </c>
      <c r="G67" s="775">
        <v>1577.99</v>
      </c>
      <c r="H67" s="14" t="s">
        <v>876</v>
      </c>
      <c r="I67" s="14" t="s">
        <v>880</v>
      </c>
      <c r="J67" s="14" t="s">
        <v>893</v>
      </c>
      <c r="K67" s="14" t="s">
        <v>878</v>
      </c>
      <c r="L67" s="772">
        <v>100</v>
      </c>
    </row>
    <row r="68" spans="1:12" x14ac:dyDescent="0.35">
      <c r="A68" s="14">
        <v>1000</v>
      </c>
      <c r="B68" s="14">
        <v>100</v>
      </c>
      <c r="C68" s="14">
        <v>2220</v>
      </c>
      <c r="D68" s="14">
        <v>6151</v>
      </c>
      <c r="G68" s="775">
        <v>3008.16</v>
      </c>
      <c r="H68" s="14" t="s">
        <v>876</v>
      </c>
      <c r="I68" s="14" t="s">
        <v>880</v>
      </c>
      <c r="J68" s="14" t="s">
        <v>897</v>
      </c>
      <c r="K68" s="14" t="s">
        <v>878</v>
      </c>
      <c r="L68" s="772">
        <v>200</v>
      </c>
    </row>
    <row r="69" spans="1:12" x14ac:dyDescent="0.35">
      <c r="A69" s="14">
        <v>1000</v>
      </c>
      <c r="B69" s="14">
        <v>100</v>
      </c>
      <c r="C69" s="14">
        <v>2400</v>
      </c>
      <c r="D69" s="14">
        <v>6151</v>
      </c>
      <c r="G69" s="775">
        <v>79891.960000000006</v>
      </c>
      <c r="H69" s="14" t="s">
        <v>876</v>
      </c>
      <c r="I69" s="14" t="s">
        <v>880</v>
      </c>
      <c r="J69" s="14" t="s">
        <v>909</v>
      </c>
      <c r="K69" s="14" t="s">
        <v>878</v>
      </c>
      <c r="L69" s="772">
        <v>100</v>
      </c>
    </row>
    <row r="70" spans="1:12" x14ac:dyDescent="0.35">
      <c r="A70" s="14">
        <v>1000</v>
      </c>
      <c r="B70" s="14">
        <v>100</v>
      </c>
      <c r="C70" s="14">
        <v>2400</v>
      </c>
      <c r="D70" s="14">
        <v>6151</v>
      </c>
      <c r="G70" s="775">
        <v>33960.54</v>
      </c>
      <c r="H70" s="14" t="s">
        <v>876</v>
      </c>
      <c r="I70" s="14" t="s">
        <v>880</v>
      </c>
      <c r="J70" s="14" t="s">
        <v>909</v>
      </c>
      <c r="K70" s="14" t="s">
        <v>878</v>
      </c>
      <c r="L70" s="772">
        <v>200</v>
      </c>
    </row>
    <row r="71" spans="1:12" x14ac:dyDescent="0.35">
      <c r="A71" s="14">
        <v>1000</v>
      </c>
      <c r="B71" s="14">
        <v>100</v>
      </c>
      <c r="C71" s="14">
        <v>2400</v>
      </c>
      <c r="D71" s="14">
        <v>6154</v>
      </c>
      <c r="G71" s="775">
        <v>32506.959999999999</v>
      </c>
      <c r="H71" s="14" t="s">
        <v>876</v>
      </c>
      <c r="I71" s="14" t="s">
        <v>880</v>
      </c>
      <c r="J71" s="14" t="s">
        <v>909</v>
      </c>
      <c r="K71" s="14" t="s">
        <v>878</v>
      </c>
      <c r="L71" s="772">
        <v>100</v>
      </c>
    </row>
    <row r="72" spans="1:12" x14ac:dyDescent="0.35">
      <c r="A72" s="14">
        <v>1529</v>
      </c>
      <c r="B72" s="14">
        <v>100</v>
      </c>
      <c r="C72" s="14">
        <v>2400</v>
      </c>
      <c r="D72" s="14">
        <v>6154</v>
      </c>
      <c r="G72" s="775">
        <v>49999.92</v>
      </c>
      <c r="H72" s="14" t="s">
        <v>983</v>
      </c>
      <c r="I72" s="14" t="s">
        <v>880</v>
      </c>
      <c r="J72" s="14" t="s">
        <v>909</v>
      </c>
      <c r="K72" s="14" t="s">
        <v>878</v>
      </c>
      <c r="L72" s="772">
        <v>100</v>
      </c>
    </row>
    <row r="73" spans="1:12" x14ac:dyDescent="0.35">
      <c r="A73" s="14">
        <v>1000</v>
      </c>
      <c r="B73" s="14">
        <v>100</v>
      </c>
      <c r="C73" s="14">
        <v>2500</v>
      </c>
      <c r="D73" s="14">
        <v>6151</v>
      </c>
      <c r="G73" s="775">
        <v>38412.03</v>
      </c>
      <c r="H73" s="14" t="s">
        <v>876</v>
      </c>
      <c r="I73" s="14" t="s">
        <v>880</v>
      </c>
      <c r="J73" s="14" t="s">
        <v>913</v>
      </c>
      <c r="K73" s="14" t="s">
        <v>878</v>
      </c>
      <c r="L73" s="772">
        <v>100</v>
      </c>
    </row>
    <row r="74" spans="1:12" x14ac:dyDescent="0.35">
      <c r="A74" s="14">
        <v>1000</v>
      </c>
      <c r="B74" s="14">
        <v>100</v>
      </c>
      <c r="C74" s="14">
        <v>2500</v>
      </c>
      <c r="D74" s="14">
        <v>6210</v>
      </c>
      <c r="G74" s="775">
        <v>4109.54</v>
      </c>
      <c r="H74" s="14" t="s">
        <v>876</v>
      </c>
      <c r="I74" s="14" t="s">
        <v>880</v>
      </c>
      <c r="J74" s="14" t="s">
        <v>913</v>
      </c>
      <c r="K74" s="14" t="s">
        <v>882</v>
      </c>
      <c r="L74" s="772">
        <v>100</v>
      </c>
    </row>
    <row r="75" spans="1:12" x14ac:dyDescent="0.35">
      <c r="A75" s="14">
        <v>1000</v>
      </c>
      <c r="B75" s="14">
        <v>100</v>
      </c>
      <c r="C75" s="14">
        <v>2200</v>
      </c>
      <c r="D75" s="14">
        <v>6210</v>
      </c>
      <c r="G75" s="775">
        <v>1646.37</v>
      </c>
      <c r="H75" s="14" t="s">
        <v>876</v>
      </c>
      <c r="I75" s="14" t="s">
        <v>880</v>
      </c>
      <c r="J75" s="14" t="s">
        <v>893</v>
      </c>
      <c r="K75" s="14" t="s">
        <v>882</v>
      </c>
      <c r="L75" s="772">
        <v>100</v>
      </c>
    </row>
    <row r="76" spans="1:12" x14ac:dyDescent="0.35">
      <c r="A76" s="14">
        <v>1000</v>
      </c>
      <c r="B76" s="14">
        <v>100</v>
      </c>
      <c r="C76" s="14">
        <v>2200</v>
      </c>
      <c r="D76" s="14">
        <v>6221</v>
      </c>
      <c r="G76" s="775">
        <v>186</v>
      </c>
      <c r="H76" s="14" t="s">
        <v>876</v>
      </c>
      <c r="I76" s="14" t="s">
        <v>880</v>
      </c>
      <c r="J76" s="14" t="s">
        <v>893</v>
      </c>
      <c r="K76" s="14" t="s">
        <v>882</v>
      </c>
      <c r="L76" s="772">
        <v>100</v>
      </c>
    </row>
    <row r="77" spans="1:12" x14ac:dyDescent="0.35">
      <c r="A77" s="14">
        <v>1000</v>
      </c>
      <c r="B77" s="14">
        <v>100</v>
      </c>
      <c r="C77" s="14">
        <v>2100</v>
      </c>
      <c r="D77" s="14">
        <v>6155</v>
      </c>
      <c r="G77" s="775">
        <v>15921.51</v>
      </c>
      <c r="H77" s="14" t="s">
        <v>876</v>
      </c>
      <c r="I77" s="14" t="s">
        <v>880</v>
      </c>
      <c r="J77" s="14" t="s">
        <v>889</v>
      </c>
      <c r="K77" s="14" t="s">
        <v>878</v>
      </c>
      <c r="L77" s="772">
        <v>200</v>
      </c>
    </row>
    <row r="78" spans="1:12" x14ac:dyDescent="0.35">
      <c r="A78" s="765">
        <v>1000</v>
      </c>
      <c r="B78" s="765">
        <v>100</v>
      </c>
      <c r="C78" s="765">
        <v>2100</v>
      </c>
      <c r="D78" s="765">
        <v>6210</v>
      </c>
      <c r="E78" s="765"/>
      <c r="F78" s="765"/>
      <c r="G78" s="776">
        <v>5327.16</v>
      </c>
      <c r="H78" s="15" t="s">
        <v>876</v>
      </c>
      <c r="I78" s="15" t="s">
        <v>880</v>
      </c>
      <c r="J78" s="15" t="s">
        <v>889</v>
      </c>
      <c r="K78" s="15" t="s">
        <v>882</v>
      </c>
      <c r="L78" s="15">
        <v>100</v>
      </c>
    </row>
    <row r="79" spans="1:12" x14ac:dyDescent="0.35">
      <c r="A79" s="14">
        <v>1000</v>
      </c>
      <c r="B79" s="14">
        <v>100</v>
      </c>
      <c r="C79" s="14">
        <v>2100</v>
      </c>
      <c r="D79" s="14">
        <v>6210</v>
      </c>
      <c r="G79" s="775">
        <v>2289.58</v>
      </c>
      <c r="H79" s="14" t="s">
        <v>876</v>
      </c>
      <c r="I79" s="14" t="s">
        <v>880</v>
      </c>
      <c r="J79" s="14" t="s">
        <v>889</v>
      </c>
      <c r="K79" s="14" t="s">
        <v>882</v>
      </c>
      <c r="L79" s="772">
        <v>200</v>
      </c>
    </row>
    <row r="80" spans="1:12" x14ac:dyDescent="0.35">
      <c r="A80" s="14">
        <v>1510</v>
      </c>
      <c r="B80" s="14">
        <v>100</v>
      </c>
      <c r="C80" s="14">
        <v>3100</v>
      </c>
      <c r="D80" s="14">
        <v>6151</v>
      </c>
      <c r="G80" s="775">
        <v>3980.45</v>
      </c>
      <c r="H80" s="14" t="s">
        <v>983</v>
      </c>
      <c r="I80" s="14" t="s">
        <v>880</v>
      </c>
      <c r="J80" s="14" t="s">
        <v>929</v>
      </c>
      <c r="K80" s="14" t="s">
        <v>878</v>
      </c>
      <c r="L80" s="772">
        <v>200</v>
      </c>
    </row>
    <row r="81" spans="1:12" x14ac:dyDescent="0.35">
      <c r="A81" s="14">
        <v>1000</v>
      </c>
      <c r="B81" s="14">
        <v>100</v>
      </c>
      <c r="C81" s="14">
        <v>1000</v>
      </c>
      <c r="D81" s="14">
        <v>6152</v>
      </c>
      <c r="G81" s="775">
        <v>12188.64</v>
      </c>
      <c r="H81" s="14" t="s">
        <v>876</v>
      </c>
      <c r="I81" s="14" t="s">
        <v>880</v>
      </c>
      <c r="J81" s="14" t="s">
        <v>881</v>
      </c>
      <c r="K81" s="14" t="s">
        <v>878</v>
      </c>
      <c r="L81" s="772">
        <v>200</v>
      </c>
    </row>
    <row r="82" spans="1:12" x14ac:dyDescent="0.35">
      <c r="A82" s="14">
        <v>1000</v>
      </c>
      <c r="B82" s="14">
        <v>551</v>
      </c>
      <c r="C82" s="14">
        <v>1000</v>
      </c>
      <c r="D82" s="14">
        <v>6152</v>
      </c>
      <c r="G82" s="775">
        <v>26862.11</v>
      </c>
      <c r="H82" s="14" t="s">
        <v>876</v>
      </c>
      <c r="I82" s="14" t="s">
        <v>880</v>
      </c>
      <c r="J82" s="14" t="s">
        <v>881</v>
      </c>
      <c r="K82" s="14" t="s">
        <v>878</v>
      </c>
      <c r="L82" s="772">
        <v>100</v>
      </c>
    </row>
    <row r="83" spans="1:12" x14ac:dyDescent="0.35">
      <c r="A83" s="765">
        <v>1000</v>
      </c>
      <c r="B83" s="765">
        <v>100</v>
      </c>
      <c r="C83" s="765">
        <v>1000</v>
      </c>
      <c r="D83" s="765">
        <v>6153</v>
      </c>
      <c r="E83" s="765"/>
      <c r="F83" s="769"/>
      <c r="G83" s="776">
        <v>9180.77</v>
      </c>
      <c r="H83" s="15" t="s">
        <v>876</v>
      </c>
      <c r="I83" s="15" t="s">
        <v>880</v>
      </c>
      <c r="J83" s="15" t="s">
        <v>881</v>
      </c>
      <c r="K83" s="15" t="s">
        <v>878</v>
      </c>
      <c r="L83" s="15">
        <v>100</v>
      </c>
    </row>
    <row r="84" spans="1:12" x14ac:dyDescent="0.35">
      <c r="A84" s="14">
        <v>1000</v>
      </c>
      <c r="B84" s="14">
        <v>100</v>
      </c>
      <c r="C84" s="14">
        <v>1000</v>
      </c>
      <c r="D84" s="14">
        <v>6153</v>
      </c>
      <c r="G84" s="775">
        <v>32891.300000000003</v>
      </c>
      <c r="H84" s="14" t="s">
        <v>876</v>
      </c>
      <c r="I84" s="14" t="s">
        <v>880</v>
      </c>
      <c r="J84" s="14" t="s">
        <v>881</v>
      </c>
      <c r="K84" s="14" t="s">
        <v>878</v>
      </c>
      <c r="L84" s="772">
        <v>200</v>
      </c>
    </row>
    <row r="85" spans="1:12" x14ac:dyDescent="0.35">
      <c r="A85" s="14">
        <v>1000</v>
      </c>
      <c r="B85" s="14">
        <v>100</v>
      </c>
      <c r="C85" s="14">
        <v>1000</v>
      </c>
      <c r="D85" s="14">
        <v>6210</v>
      </c>
      <c r="G85" s="775">
        <v>4644.4799999999996</v>
      </c>
      <c r="H85" s="14" t="s">
        <v>876</v>
      </c>
      <c r="I85" s="14" t="s">
        <v>880</v>
      </c>
      <c r="J85" s="14" t="s">
        <v>881</v>
      </c>
      <c r="K85" s="14" t="s">
        <v>882</v>
      </c>
      <c r="L85" s="772">
        <v>200</v>
      </c>
    </row>
    <row r="86" spans="1:12" x14ac:dyDescent="0.35">
      <c r="A86" s="765">
        <v>1000</v>
      </c>
      <c r="B86" s="765">
        <v>100</v>
      </c>
      <c r="C86" s="765">
        <v>1000</v>
      </c>
      <c r="D86" s="765">
        <v>6210</v>
      </c>
      <c r="E86" s="765"/>
      <c r="F86" s="765"/>
      <c r="G86" s="776">
        <v>1003.2</v>
      </c>
      <c r="H86" s="15" t="s">
        <v>876</v>
      </c>
      <c r="I86" s="15" t="s">
        <v>880</v>
      </c>
      <c r="J86" s="15" t="s">
        <v>881</v>
      </c>
      <c r="K86" s="15" t="s">
        <v>882</v>
      </c>
      <c r="L86" s="15">
        <v>100</v>
      </c>
    </row>
    <row r="87" spans="1:12" x14ac:dyDescent="0.35">
      <c r="A87" s="765">
        <v>1000</v>
      </c>
      <c r="B87" s="765">
        <v>100</v>
      </c>
      <c r="C87" s="765">
        <v>1000</v>
      </c>
      <c r="D87" s="765">
        <v>6221</v>
      </c>
      <c r="E87" s="765"/>
      <c r="F87" s="765"/>
      <c r="G87" s="776">
        <v>13869.13</v>
      </c>
      <c r="H87" s="15" t="s">
        <v>876</v>
      </c>
      <c r="I87" s="15" t="s">
        <v>880</v>
      </c>
      <c r="J87" s="15" t="s">
        <v>881</v>
      </c>
      <c r="K87" s="15" t="s">
        <v>882</v>
      </c>
      <c r="L87" s="15">
        <v>100</v>
      </c>
    </row>
    <row r="88" spans="1:12" x14ac:dyDescent="0.35">
      <c r="A88" s="14">
        <v>1000</v>
      </c>
      <c r="B88" s="14">
        <v>100</v>
      </c>
      <c r="C88" s="14">
        <v>1000</v>
      </c>
      <c r="D88" s="14">
        <v>6221</v>
      </c>
      <c r="G88" s="775">
        <v>5526.18</v>
      </c>
      <c r="H88" s="14" t="s">
        <v>876</v>
      </c>
      <c r="I88" s="14" t="s">
        <v>880</v>
      </c>
      <c r="J88" s="14" t="s">
        <v>881</v>
      </c>
      <c r="K88" s="14" t="s">
        <v>882</v>
      </c>
      <c r="L88" s="772">
        <v>200</v>
      </c>
    </row>
    <row r="89" spans="1:12" x14ac:dyDescent="0.35">
      <c r="A89" s="14">
        <v>1000</v>
      </c>
      <c r="B89" s="14">
        <v>551</v>
      </c>
      <c r="C89" s="14">
        <v>1000</v>
      </c>
      <c r="D89" s="14">
        <v>6221</v>
      </c>
      <c r="G89" s="775">
        <v>1593.64</v>
      </c>
      <c r="H89" s="14" t="s">
        <v>876</v>
      </c>
      <c r="I89" s="14" t="s">
        <v>880</v>
      </c>
      <c r="J89" s="14" t="s">
        <v>881</v>
      </c>
      <c r="K89" s="14" t="s">
        <v>882</v>
      </c>
      <c r="L89" s="772">
        <v>100</v>
      </c>
    </row>
    <row r="90" spans="1:12" x14ac:dyDescent="0.35">
      <c r="A90" s="765">
        <v>1000</v>
      </c>
      <c r="B90" s="765">
        <v>100</v>
      </c>
      <c r="C90" s="765">
        <v>1000</v>
      </c>
      <c r="D90" s="765">
        <v>6222</v>
      </c>
      <c r="E90" s="765"/>
      <c r="F90" s="765"/>
      <c r="G90" s="776">
        <v>3235.68</v>
      </c>
      <c r="H90" s="15" t="s">
        <v>876</v>
      </c>
      <c r="I90" s="15" t="s">
        <v>880</v>
      </c>
      <c r="J90" s="15" t="s">
        <v>881</v>
      </c>
      <c r="K90" s="15" t="s">
        <v>882</v>
      </c>
      <c r="L90" s="15">
        <v>100</v>
      </c>
    </row>
    <row r="91" spans="1:12" x14ac:dyDescent="0.35">
      <c r="A91" s="14">
        <v>1000</v>
      </c>
      <c r="B91" s="14">
        <v>100</v>
      </c>
      <c r="C91" s="14">
        <v>1000</v>
      </c>
      <c r="D91" s="14">
        <v>6222</v>
      </c>
      <c r="G91" s="775">
        <v>1292.47</v>
      </c>
      <c r="H91" s="14" t="s">
        <v>876</v>
      </c>
      <c r="I91" s="14" t="s">
        <v>880</v>
      </c>
      <c r="J91" s="14" t="s">
        <v>881</v>
      </c>
      <c r="K91" s="14" t="s">
        <v>882</v>
      </c>
      <c r="L91" s="772">
        <v>200</v>
      </c>
    </row>
    <row r="92" spans="1:12" x14ac:dyDescent="0.35">
      <c r="A92" s="14">
        <v>1000</v>
      </c>
      <c r="B92" s="14">
        <v>551</v>
      </c>
      <c r="C92" s="14">
        <v>1000</v>
      </c>
      <c r="D92" s="14">
        <v>6222</v>
      </c>
      <c r="G92" s="775">
        <v>372.73</v>
      </c>
      <c r="H92" s="14" t="s">
        <v>876</v>
      </c>
      <c r="I92" s="14" t="s">
        <v>880</v>
      </c>
      <c r="J92" s="14" t="s">
        <v>881</v>
      </c>
      <c r="K92" s="14" t="s">
        <v>882</v>
      </c>
      <c r="L92" s="772">
        <v>100</v>
      </c>
    </row>
    <row r="93" spans="1:12" x14ac:dyDescent="0.35">
      <c r="A93" s="765">
        <v>1000</v>
      </c>
      <c r="B93" s="765">
        <v>100</v>
      </c>
      <c r="C93" s="765">
        <v>1000</v>
      </c>
      <c r="D93" s="765">
        <v>6230</v>
      </c>
      <c r="E93" s="765"/>
      <c r="F93" s="765"/>
      <c r="G93" s="776">
        <v>17704.07</v>
      </c>
      <c r="H93" s="15" t="s">
        <v>876</v>
      </c>
      <c r="I93" s="15" t="s">
        <v>880</v>
      </c>
      <c r="J93" s="15" t="s">
        <v>881</v>
      </c>
      <c r="K93" s="15" t="s">
        <v>882</v>
      </c>
      <c r="L93" s="15">
        <v>100</v>
      </c>
    </row>
    <row r="94" spans="1:12" x14ac:dyDescent="0.35">
      <c r="A94" s="14">
        <v>1000</v>
      </c>
      <c r="B94" s="14">
        <v>100</v>
      </c>
      <c r="C94" s="14">
        <v>1000</v>
      </c>
      <c r="D94" s="14">
        <v>6230</v>
      </c>
      <c r="G94" s="775">
        <v>11000.8</v>
      </c>
      <c r="H94" s="14" t="s">
        <v>876</v>
      </c>
      <c r="I94" s="14" t="s">
        <v>880</v>
      </c>
      <c r="J94" s="14" t="s">
        <v>881</v>
      </c>
      <c r="K94" s="14" t="s">
        <v>882</v>
      </c>
      <c r="L94" s="772">
        <v>200</v>
      </c>
    </row>
    <row r="95" spans="1:12" x14ac:dyDescent="0.35">
      <c r="A95" s="14">
        <v>1000</v>
      </c>
      <c r="B95" s="14">
        <v>551</v>
      </c>
      <c r="C95" s="14">
        <v>1000</v>
      </c>
      <c r="D95" s="14">
        <v>6230</v>
      </c>
      <c r="G95" s="775">
        <v>710.85</v>
      </c>
      <c r="H95" s="14" t="s">
        <v>876</v>
      </c>
      <c r="I95" s="14" t="s">
        <v>880</v>
      </c>
      <c r="J95" s="14" t="s">
        <v>881</v>
      </c>
      <c r="K95" s="14" t="s">
        <v>882</v>
      </c>
      <c r="L95" s="772">
        <v>100</v>
      </c>
    </row>
    <row r="96" spans="1:12" x14ac:dyDescent="0.35">
      <c r="A96" s="765">
        <v>1000</v>
      </c>
      <c r="B96" s="765">
        <v>100</v>
      </c>
      <c r="C96" s="765">
        <v>1000</v>
      </c>
      <c r="D96" s="765">
        <v>6235</v>
      </c>
      <c r="E96" s="765"/>
      <c r="F96" s="765"/>
      <c r="G96" s="776">
        <v>218.87</v>
      </c>
      <c r="H96" s="15" t="s">
        <v>876</v>
      </c>
      <c r="I96" s="15" t="s">
        <v>880</v>
      </c>
      <c r="J96" s="15" t="s">
        <v>881</v>
      </c>
      <c r="K96" s="15" t="s">
        <v>882</v>
      </c>
      <c r="L96" s="15">
        <v>100</v>
      </c>
    </row>
    <row r="97" spans="1:12" x14ac:dyDescent="0.35">
      <c r="A97" s="14">
        <v>1000</v>
      </c>
      <c r="B97" s="14">
        <v>100</v>
      </c>
      <c r="C97" s="14">
        <v>1000</v>
      </c>
      <c r="D97" s="14">
        <v>6235</v>
      </c>
      <c r="G97" s="775">
        <v>135.97999999999999</v>
      </c>
      <c r="H97" s="14" t="s">
        <v>876</v>
      </c>
      <c r="I97" s="14" t="s">
        <v>880</v>
      </c>
      <c r="J97" s="14" t="s">
        <v>881</v>
      </c>
      <c r="K97" s="14" t="s">
        <v>882</v>
      </c>
      <c r="L97" s="772">
        <v>200</v>
      </c>
    </row>
    <row r="98" spans="1:12" x14ac:dyDescent="0.35">
      <c r="A98" s="14">
        <v>1000</v>
      </c>
      <c r="B98" s="14">
        <v>551</v>
      </c>
      <c r="C98" s="14">
        <v>1000</v>
      </c>
      <c r="D98" s="14">
        <v>6235</v>
      </c>
      <c r="G98" s="775">
        <v>8.76</v>
      </c>
      <c r="H98" s="14" t="s">
        <v>876</v>
      </c>
      <c r="I98" s="14" t="s">
        <v>880</v>
      </c>
      <c r="J98" s="14" t="s">
        <v>881</v>
      </c>
      <c r="K98" s="14" t="s">
        <v>882</v>
      </c>
      <c r="L98" s="772">
        <v>100</v>
      </c>
    </row>
    <row r="99" spans="1:12" x14ac:dyDescent="0.35">
      <c r="A99" s="765">
        <v>1000</v>
      </c>
      <c r="B99" s="770">
        <v>100</v>
      </c>
      <c r="C99" s="765">
        <v>1000</v>
      </c>
      <c r="D99" s="765">
        <v>6250</v>
      </c>
      <c r="E99" s="765"/>
      <c r="F99" s="765"/>
      <c r="G99" s="776">
        <v>37.479999999999997</v>
      </c>
      <c r="H99" s="15" t="s">
        <v>876</v>
      </c>
      <c r="I99" s="15" t="s">
        <v>880</v>
      </c>
      <c r="J99" s="15" t="s">
        <v>881</v>
      </c>
      <c r="K99" s="15" t="s">
        <v>882</v>
      </c>
      <c r="L99" s="15">
        <v>100</v>
      </c>
    </row>
    <row r="100" spans="1:12" x14ac:dyDescent="0.35">
      <c r="A100" s="765">
        <v>1000</v>
      </c>
      <c r="B100" s="765">
        <v>100</v>
      </c>
      <c r="C100" s="765">
        <v>2100</v>
      </c>
      <c r="D100" s="765">
        <v>6221</v>
      </c>
      <c r="E100" s="765"/>
      <c r="F100" s="765"/>
      <c r="G100" s="776">
        <v>3702.3</v>
      </c>
      <c r="H100" s="15" t="s">
        <v>876</v>
      </c>
      <c r="I100" s="15" t="s">
        <v>880</v>
      </c>
      <c r="J100" s="15" t="s">
        <v>889</v>
      </c>
      <c r="K100" s="15" t="s">
        <v>882</v>
      </c>
      <c r="L100" s="15">
        <v>100</v>
      </c>
    </row>
    <row r="101" spans="1:12" x14ac:dyDescent="0.35">
      <c r="A101" s="14">
        <v>1000</v>
      </c>
      <c r="B101" s="14">
        <v>100</v>
      </c>
      <c r="C101" s="14">
        <v>2100</v>
      </c>
      <c r="D101" s="14">
        <v>6221</v>
      </c>
      <c r="G101" s="775">
        <v>1160.8</v>
      </c>
      <c r="H101" s="14" t="s">
        <v>876</v>
      </c>
      <c r="I101" s="14" t="s">
        <v>880</v>
      </c>
      <c r="J101" s="14" t="s">
        <v>889</v>
      </c>
      <c r="K101" s="14" t="s">
        <v>882</v>
      </c>
      <c r="L101" s="772">
        <v>200</v>
      </c>
    </row>
    <row r="102" spans="1:12" x14ac:dyDescent="0.35">
      <c r="A102" s="14">
        <v>1000</v>
      </c>
      <c r="B102" s="14">
        <v>200</v>
      </c>
      <c r="C102" s="14">
        <v>2400</v>
      </c>
      <c r="D102" s="14">
        <v>6111</v>
      </c>
      <c r="G102" s="775">
        <v>33453.24</v>
      </c>
      <c r="H102" s="14" t="s">
        <v>876</v>
      </c>
      <c r="I102" s="14" t="s">
        <v>884</v>
      </c>
      <c r="J102" s="14" t="s">
        <v>909</v>
      </c>
      <c r="K102" s="14" t="s">
        <v>878</v>
      </c>
      <c r="L102" s="772">
        <v>100</v>
      </c>
    </row>
    <row r="103" spans="1:12" x14ac:dyDescent="0.35">
      <c r="A103" s="14">
        <v>1000</v>
      </c>
      <c r="B103" s="14">
        <v>100</v>
      </c>
      <c r="C103" s="14">
        <v>2600</v>
      </c>
      <c r="D103" s="14">
        <v>6154</v>
      </c>
      <c r="G103" s="775">
        <v>1189.5999999999999</v>
      </c>
      <c r="H103" s="14" t="s">
        <v>876</v>
      </c>
      <c r="I103" s="14" t="s">
        <v>880</v>
      </c>
      <c r="J103" s="14" t="s">
        <v>917</v>
      </c>
      <c r="K103" s="14" t="s">
        <v>878</v>
      </c>
      <c r="L103" s="772">
        <v>100</v>
      </c>
    </row>
    <row r="104" spans="1:12" x14ac:dyDescent="0.35">
      <c r="A104" s="14">
        <v>1000</v>
      </c>
      <c r="B104" s="14">
        <v>100</v>
      </c>
      <c r="C104" s="14">
        <v>2600</v>
      </c>
      <c r="D104" s="14">
        <v>6154</v>
      </c>
      <c r="G104" s="775">
        <v>65500</v>
      </c>
      <c r="H104" s="14" t="s">
        <v>876</v>
      </c>
      <c r="I104" s="14" t="s">
        <v>880</v>
      </c>
      <c r="J104" s="14" t="s">
        <v>917</v>
      </c>
      <c r="K104" s="14" t="s">
        <v>878</v>
      </c>
      <c r="L104" s="772">
        <v>100</v>
      </c>
    </row>
    <row r="105" spans="1:12" x14ac:dyDescent="0.35">
      <c r="A105" s="14">
        <v>1000</v>
      </c>
      <c r="B105" s="14">
        <v>100</v>
      </c>
      <c r="C105" s="14">
        <v>2600</v>
      </c>
      <c r="D105" s="14">
        <v>6154</v>
      </c>
      <c r="G105" s="775">
        <v>13818.5</v>
      </c>
      <c r="H105" s="14" t="s">
        <v>876</v>
      </c>
      <c r="I105" s="14" t="s">
        <v>880</v>
      </c>
      <c r="J105" s="14" t="s">
        <v>917</v>
      </c>
      <c r="K105" s="14" t="s">
        <v>878</v>
      </c>
      <c r="L105" s="772">
        <v>200</v>
      </c>
    </row>
    <row r="106" spans="1:12" x14ac:dyDescent="0.35">
      <c r="A106" s="14">
        <v>1000</v>
      </c>
      <c r="B106" s="14">
        <v>400</v>
      </c>
      <c r="C106" s="14">
        <v>2700</v>
      </c>
      <c r="D106" s="14">
        <v>6154</v>
      </c>
      <c r="G106" s="775">
        <v>2628.79</v>
      </c>
      <c r="H106" s="14" t="s">
        <v>876</v>
      </c>
      <c r="I106" s="14" t="s">
        <v>900</v>
      </c>
      <c r="J106" s="14" t="s">
        <v>921</v>
      </c>
      <c r="K106" s="14" t="s">
        <v>878</v>
      </c>
      <c r="L106" s="772">
        <v>200</v>
      </c>
    </row>
    <row r="107" spans="1:12" x14ac:dyDescent="0.35">
      <c r="A107" s="14">
        <v>1000</v>
      </c>
      <c r="B107" s="14">
        <v>100</v>
      </c>
      <c r="C107" s="14">
        <v>1000</v>
      </c>
      <c r="D107" s="14">
        <v>6250</v>
      </c>
      <c r="G107" s="775">
        <v>9.27</v>
      </c>
      <c r="H107" s="14" t="s">
        <v>876</v>
      </c>
      <c r="I107" s="14" t="s">
        <v>880</v>
      </c>
      <c r="J107" s="14" t="s">
        <v>881</v>
      </c>
      <c r="K107" s="14" t="s">
        <v>882</v>
      </c>
      <c r="L107" s="772">
        <v>200</v>
      </c>
    </row>
    <row r="108" spans="1:12" x14ac:dyDescent="0.35">
      <c r="A108" s="14">
        <v>1000</v>
      </c>
      <c r="B108" s="14">
        <v>551</v>
      </c>
      <c r="C108" s="14">
        <v>1000</v>
      </c>
      <c r="D108" s="14">
        <v>6250</v>
      </c>
      <c r="G108" s="775">
        <v>3.55</v>
      </c>
      <c r="H108" s="14" t="s">
        <v>876</v>
      </c>
      <c r="I108" s="14" t="s">
        <v>880</v>
      </c>
      <c r="J108" s="14" t="s">
        <v>881</v>
      </c>
      <c r="K108" s="14" t="s">
        <v>882</v>
      </c>
      <c r="L108" s="772">
        <v>100</v>
      </c>
    </row>
    <row r="109" spans="1:12" x14ac:dyDescent="0.35">
      <c r="A109" s="14">
        <v>1000</v>
      </c>
      <c r="B109" s="14">
        <v>100</v>
      </c>
      <c r="C109" s="14">
        <v>1000</v>
      </c>
      <c r="D109" s="14">
        <v>6325</v>
      </c>
      <c r="G109" s="775">
        <v>17331.599999999999</v>
      </c>
      <c r="H109" s="14" t="s">
        <v>876</v>
      </c>
      <c r="I109" s="14" t="s">
        <v>880</v>
      </c>
      <c r="J109" s="14" t="s">
        <v>881</v>
      </c>
      <c r="K109" s="14" t="s">
        <v>886</v>
      </c>
      <c r="L109" s="772">
        <v>200</v>
      </c>
    </row>
    <row r="110" spans="1:12" x14ac:dyDescent="0.35">
      <c r="A110" s="765">
        <v>1000</v>
      </c>
      <c r="B110" s="770">
        <v>100</v>
      </c>
      <c r="C110" s="765">
        <v>1000</v>
      </c>
      <c r="D110" s="765">
        <v>6325</v>
      </c>
      <c r="E110" s="765"/>
      <c r="F110" s="765"/>
      <c r="G110" s="776">
        <v>2959.61</v>
      </c>
      <c r="H110" s="15" t="s">
        <v>876</v>
      </c>
      <c r="I110" s="15" t="s">
        <v>880</v>
      </c>
      <c r="J110" s="15" t="s">
        <v>881</v>
      </c>
      <c r="K110" s="15" t="s">
        <v>886</v>
      </c>
      <c r="L110" s="15">
        <v>100</v>
      </c>
    </row>
    <row r="111" spans="1:12" x14ac:dyDescent="0.35">
      <c r="A111" s="14">
        <v>1000</v>
      </c>
      <c r="B111" s="14">
        <v>100</v>
      </c>
      <c r="C111" s="14">
        <v>2200</v>
      </c>
      <c r="D111" s="14">
        <v>6222</v>
      </c>
      <c r="G111" s="775">
        <v>43.5</v>
      </c>
      <c r="H111" s="14" t="s">
        <v>876</v>
      </c>
      <c r="I111" s="14" t="s">
        <v>880</v>
      </c>
      <c r="J111" s="14" t="s">
        <v>893</v>
      </c>
      <c r="K111" s="14" t="s">
        <v>882</v>
      </c>
      <c r="L111" s="772">
        <v>100</v>
      </c>
    </row>
    <row r="112" spans="1:12" x14ac:dyDescent="0.35">
      <c r="A112" s="765">
        <v>1000</v>
      </c>
      <c r="B112" s="765">
        <v>100</v>
      </c>
      <c r="C112" s="765">
        <v>2100</v>
      </c>
      <c r="D112" s="765">
        <v>6222</v>
      </c>
      <c r="E112" s="765"/>
      <c r="F112" s="765"/>
      <c r="G112" s="776">
        <v>865.31</v>
      </c>
      <c r="H112" s="15" t="s">
        <v>876</v>
      </c>
      <c r="I112" s="15" t="s">
        <v>880</v>
      </c>
      <c r="J112" s="15" t="s">
        <v>889</v>
      </c>
      <c r="K112" s="15" t="s">
        <v>882</v>
      </c>
      <c r="L112" s="15">
        <v>100</v>
      </c>
    </row>
    <row r="113" spans="1:12" x14ac:dyDescent="0.35">
      <c r="A113" s="14">
        <v>1000</v>
      </c>
      <c r="B113" s="14">
        <v>100</v>
      </c>
      <c r="C113" s="14">
        <v>2100</v>
      </c>
      <c r="D113" s="14">
        <v>6222</v>
      </c>
      <c r="G113" s="775">
        <v>269.07</v>
      </c>
      <c r="H113" s="14" t="s">
        <v>876</v>
      </c>
      <c r="I113" s="14" t="s">
        <v>880</v>
      </c>
      <c r="J113" s="14" t="s">
        <v>889</v>
      </c>
      <c r="K113" s="14" t="s">
        <v>882</v>
      </c>
      <c r="L113" s="772">
        <v>200</v>
      </c>
    </row>
    <row r="114" spans="1:12" x14ac:dyDescent="0.35">
      <c r="A114" s="14">
        <v>1510</v>
      </c>
      <c r="B114" s="14">
        <v>100</v>
      </c>
      <c r="C114" s="14">
        <v>3100</v>
      </c>
      <c r="D114" s="14">
        <v>6154</v>
      </c>
      <c r="G114" s="775">
        <v>21346.34</v>
      </c>
      <c r="H114" s="14" t="s">
        <v>983</v>
      </c>
      <c r="I114" s="14" t="s">
        <v>880</v>
      </c>
      <c r="J114" s="14" t="s">
        <v>929</v>
      </c>
      <c r="K114" s="14" t="s">
        <v>878</v>
      </c>
      <c r="L114" s="772">
        <v>100</v>
      </c>
    </row>
    <row r="115" spans="1:12" x14ac:dyDescent="0.35">
      <c r="A115" s="14">
        <v>1000</v>
      </c>
      <c r="B115" s="14">
        <v>400</v>
      </c>
      <c r="C115" s="14">
        <v>2700</v>
      </c>
      <c r="D115" s="14">
        <v>6221</v>
      </c>
      <c r="G115" s="775">
        <v>155.88</v>
      </c>
      <c r="H115" s="14" t="s">
        <v>876</v>
      </c>
      <c r="I115" s="14" t="s">
        <v>900</v>
      </c>
      <c r="J115" s="14" t="s">
        <v>921</v>
      </c>
      <c r="K115" s="14" t="s">
        <v>882</v>
      </c>
      <c r="L115" s="772">
        <v>200</v>
      </c>
    </row>
    <row r="116" spans="1:12" x14ac:dyDescent="0.35">
      <c r="A116" s="14">
        <v>1000</v>
      </c>
      <c r="B116" s="14">
        <v>200</v>
      </c>
      <c r="C116" s="14">
        <v>2400</v>
      </c>
      <c r="D116" s="14">
        <v>6151</v>
      </c>
      <c r="G116" s="775">
        <v>15000</v>
      </c>
      <c r="H116" s="14" t="s">
        <v>876</v>
      </c>
      <c r="I116" s="14" t="s">
        <v>884</v>
      </c>
      <c r="J116" s="14" t="s">
        <v>909</v>
      </c>
      <c r="K116" s="14" t="s">
        <v>878</v>
      </c>
      <c r="L116" s="772">
        <v>100</v>
      </c>
    </row>
    <row r="117" spans="1:12" x14ac:dyDescent="0.35">
      <c r="A117" s="14">
        <v>1000</v>
      </c>
      <c r="B117" s="14">
        <v>100</v>
      </c>
      <c r="C117" s="14">
        <v>2600</v>
      </c>
      <c r="D117" s="14">
        <v>6157</v>
      </c>
      <c r="G117" s="775">
        <v>38374.57</v>
      </c>
      <c r="H117" s="14" t="s">
        <v>876</v>
      </c>
      <c r="I117" s="14" t="s">
        <v>880</v>
      </c>
      <c r="J117" s="14" t="s">
        <v>917</v>
      </c>
      <c r="K117" s="14" t="s">
        <v>878</v>
      </c>
      <c r="L117" s="772">
        <v>100</v>
      </c>
    </row>
    <row r="118" spans="1:12" x14ac:dyDescent="0.35">
      <c r="A118" s="765">
        <v>1000</v>
      </c>
      <c r="B118" s="765">
        <v>100</v>
      </c>
      <c r="C118" s="765">
        <v>2100</v>
      </c>
      <c r="D118" s="765">
        <v>6230</v>
      </c>
      <c r="E118" s="765"/>
      <c r="F118" s="765"/>
      <c r="G118" s="776">
        <v>5758.95</v>
      </c>
      <c r="H118" s="15" t="s">
        <v>876</v>
      </c>
      <c r="I118" s="15" t="s">
        <v>880</v>
      </c>
      <c r="J118" s="15" t="s">
        <v>889</v>
      </c>
      <c r="K118" s="15" t="s">
        <v>882</v>
      </c>
      <c r="L118" s="15">
        <v>100</v>
      </c>
    </row>
    <row r="119" spans="1:12" x14ac:dyDescent="0.35">
      <c r="A119" s="14">
        <v>1000</v>
      </c>
      <c r="B119" s="14">
        <v>100</v>
      </c>
      <c r="C119" s="14">
        <v>2100</v>
      </c>
      <c r="D119" s="14">
        <v>6230</v>
      </c>
      <c r="G119" s="775">
        <v>2560.27</v>
      </c>
      <c r="H119" s="14" t="s">
        <v>876</v>
      </c>
      <c r="I119" s="14" t="s">
        <v>880</v>
      </c>
      <c r="J119" s="14" t="s">
        <v>889</v>
      </c>
      <c r="K119" s="14" t="s">
        <v>882</v>
      </c>
      <c r="L119" s="772">
        <v>200</v>
      </c>
    </row>
    <row r="120" spans="1:12" x14ac:dyDescent="0.35">
      <c r="A120" s="765">
        <v>1000</v>
      </c>
      <c r="B120" s="765">
        <v>100</v>
      </c>
      <c r="C120" s="765">
        <v>2100</v>
      </c>
      <c r="D120" s="765">
        <v>6235</v>
      </c>
      <c r="E120" s="765"/>
      <c r="F120" s="765"/>
      <c r="G120" s="776">
        <v>70.819999999999993</v>
      </c>
      <c r="H120" s="15" t="s">
        <v>876</v>
      </c>
      <c r="I120" s="15" t="s">
        <v>880</v>
      </c>
      <c r="J120" s="15" t="s">
        <v>889</v>
      </c>
      <c r="K120" s="15" t="s">
        <v>882</v>
      </c>
      <c r="L120" s="15">
        <v>100</v>
      </c>
    </row>
    <row r="121" spans="1:12" x14ac:dyDescent="0.35">
      <c r="A121" s="14">
        <v>1000</v>
      </c>
      <c r="B121" s="14">
        <v>100</v>
      </c>
      <c r="C121" s="14">
        <v>2100</v>
      </c>
      <c r="D121" s="14">
        <v>6235</v>
      </c>
      <c r="G121" s="775">
        <v>28.8</v>
      </c>
      <c r="H121" s="14" t="s">
        <v>876</v>
      </c>
      <c r="I121" s="14" t="s">
        <v>880</v>
      </c>
      <c r="J121" s="14" t="s">
        <v>889</v>
      </c>
      <c r="K121" s="14" t="s">
        <v>882</v>
      </c>
      <c r="L121" s="772">
        <v>200</v>
      </c>
    </row>
    <row r="122" spans="1:12" x14ac:dyDescent="0.35">
      <c r="A122" s="14">
        <v>1000</v>
      </c>
      <c r="B122" s="14">
        <v>100</v>
      </c>
      <c r="C122" s="14">
        <v>2600</v>
      </c>
      <c r="D122" s="14">
        <v>6221</v>
      </c>
      <c r="G122" s="775">
        <v>2452.9299999999998</v>
      </c>
      <c r="H122" s="14" t="s">
        <v>876</v>
      </c>
      <c r="I122" s="14" t="s">
        <v>880</v>
      </c>
      <c r="J122" s="14" t="s">
        <v>917</v>
      </c>
      <c r="K122" s="14" t="s">
        <v>882</v>
      </c>
      <c r="L122" s="772">
        <v>100</v>
      </c>
    </row>
    <row r="123" spans="1:12" x14ac:dyDescent="0.35">
      <c r="A123" s="765">
        <v>1000</v>
      </c>
      <c r="B123" s="770">
        <v>100</v>
      </c>
      <c r="C123" s="765">
        <v>1000</v>
      </c>
      <c r="D123" s="765">
        <v>6580</v>
      </c>
      <c r="E123" s="765"/>
      <c r="F123" s="765"/>
      <c r="G123" s="776">
        <v>80</v>
      </c>
      <c r="H123" s="15" t="s">
        <v>876</v>
      </c>
      <c r="I123" s="15" t="s">
        <v>880</v>
      </c>
      <c r="J123" s="15" t="s">
        <v>881</v>
      </c>
      <c r="K123" s="15" t="s">
        <v>886</v>
      </c>
      <c r="L123" s="15">
        <v>100</v>
      </c>
    </row>
    <row r="124" spans="1:12" x14ac:dyDescent="0.35">
      <c r="A124" s="14">
        <v>1000</v>
      </c>
      <c r="B124" s="14">
        <v>100</v>
      </c>
      <c r="C124" s="14">
        <v>1000</v>
      </c>
      <c r="D124" s="14">
        <v>6610</v>
      </c>
      <c r="G124" s="775">
        <v>904.38</v>
      </c>
      <c r="H124" s="14" t="s">
        <v>876</v>
      </c>
      <c r="I124" s="14" t="s">
        <v>880</v>
      </c>
      <c r="J124" s="14" t="s">
        <v>881</v>
      </c>
      <c r="K124" s="14" t="s">
        <v>890</v>
      </c>
      <c r="L124" s="772">
        <v>200</v>
      </c>
    </row>
    <row r="125" spans="1:12" x14ac:dyDescent="0.35">
      <c r="A125" s="14">
        <v>1000</v>
      </c>
      <c r="B125" s="14">
        <v>100</v>
      </c>
      <c r="C125" s="14">
        <v>1000</v>
      </c>
      <c r="D125" s="14">
        <v>6610</v>
      </c>
      <c r="G125" s="775">
        <v>527.16</v>
      </c>
      <c r="H125" s="14" t="s">
        <v>876</v>
      </c>
      <c r="I125" s="14" t="s">
        <v>880</v>
      </c>
      <c r="J125" s="14" t="s">
        <v>881</v>
      </c>
      <c r="K125" s="14" t="s">
        <v>890</v>
      </c>
      <c r="L125" s="772">
        <v>100</v>
      </c>
    </row>
    <row r="126" spans="1:12" x14ac:dyDescent="0.35">
      <c r="A126" s="14">
        <v>1000</v>
      </c>
      <c r="B126" s="14">
        <v>100</v>
      </c>
      <c r="C126" s="14">
        <v>2100</v>
      </c>
      <c r="D126" s="14">
        <v>6250</v>
      </c>
      <c r="G126" s="775">
        <v>10.56</v>
      </c>
      <c r="H126" s="14" t="s">
        <v>876</v>
      </c>
      <c r="I126" s="14" t="s">
        <v>880</v>
      </c>
      <c r="J126" s="14" t="s">
        <v>889</v>
      </c>
      <c r="K126" s="14" t="s">
        <v>882</v>
      </c>
      <c r="L126" s="772">
        <v>100</v>
      </c>
    </row>
    <row r="127" spans="1:12" x14ac:dyDescent="0.35">
      <c r="A127" s="14">
        <v>1000</v>
      </c>
      <c r="B127" s="14">
        <v>200</v>
      </c>
      <c r="C127" s="14">
        <v>2100</v>
      </c>
      <c r="D127" s="14">
        <v>6111</v>
      </c>
      <c r="G127" s="775">
        <v>8500.08</v>
      </c>
      <c r="H127" s="14" t="s">
        <v>876</v>
      </c>
      <c r="I127" s="14" t="s">
        <v>884</v>
      </c>
      <c r="J127" s="14" t="s">
        <v>889</v>
      </c>
      <c r="K127" s="14" t="s">
        <v>878</v>
      </c>
      <c r="L127" s="772">
        <v>100</v>
      </c>
    </row>
    <row r="128" spans="1:12" x14ac:dyDescent="0.35">
      <c r="A128" s="14">
        <v>1000</v>
      </c>
      <c r="B128" s="14">
        <v>200</v>
      </c>
      <c r="C128" s="14">
        <v>2100</v>
      </c>
      <c r="D128" s="14">
        <v>6155</v>
      </c>
      <c r="G128" s="775">
        <v>11941.08</v>
      </c>
      <c r="H128" s="14" t="s">
        <v>876</v>
      </c>
      <c r="I128" s="14" t="s">
        <v>884</v>
      </c>
      <c r="J128" s="14" t="s">
        <v>889</v>
      </c>
      <c r="K128" s="14" t="s">
        <v>878</v>
      </c>
      <c r="L128" s="772">
        <v>100</v>
      </c>
    </row>
    <row r="129" spans="1:12" x14ac:dyDescent="0.35">
      <c r="A129" s="14">
        <v>1000</v>
      </c>
      <c r="B129" s="14">
        <v>200</v>
      </c>
      <c r="C129" s="14">
        <v>2100</v>
      </c>
      <c r="D129" s="14">
        <v>6210</v>
      </c>
      <c r="G129" s="775">
        <v>0.78</v>
      </c>
      <c r="H129" s="14" t="s">
        <v>876</v>
      </c>
      <c r="I129" s="14" t="s">
        <v>884</v>
      </c>
      <c r="J129" s="14" t="s">
        <v>889</v>
      </c>
      <c r="K129" s="14" t="s">
        <v>882</v>
      </c>
      <c r="L129" s="772">
        <v>100</v>
      </c>
    </row>
    <row r="130" spans="1:12" x14ac:dyDescent="0.35">
      <c r="A130" s="14">
        <v>1000</v>
      </c>
      <c r="B130" s="14">
        <v>100</v>
      </c>
      <c r="C130" s="14">
        <v>2200</v>
      </c>
      <c r="D130" s="14">
        <v>6230</v>
      </c>
      <c r="G130" s="775">
        <v>529.53</v>
      </c>
      <c r="H130" s="14" t="s">
        <v>876</v>
      </c>
      <c r="I130" s="14" t="s">
        <v>880</v>
      </c>
      <c r="J130" s="14" t="s">
        <v>893</v>
      </c>
      <c r="K130" s="14" t="s">
        <v>882</v>
      </c>
      <c r="L130" s="772">
        <v>100</v>
      </c>
    </row>
    <row r="131" spans="1:12" x14ac:dyDescent="0.35">
      <c r="A131" s="14">
        <v>1000</v>
      </c>
      <c r="B131" s="14">
        <v>100</v>
      </c>
      <c r="C131" s="14">
        <v>2220</v>
      </c>
      <c r="D131" s="14">
        <v>6210</v>
      </c>
      <c r="G131" s="775">
        <v>309.60000000000002</v>
      </c>
      <c r="H131" s="14" t="s">
        <v>876</v>
      </c>
      <c r="I131" s="14" t="s">
        <v>880</v>
      </c>
      <c r="J131" s="14" t="s">
        <v>897</v>
      </c>
      <c r="K131" s="14" t="s">
        <v>882</v>
      </c>
      <c r="L131" s="772">
        <v>200</v>
      </c>
    </row>
    <row r="132" spans="1:12" x14ac:dyDescent="0.35">
      <c r="A132" s="14">
        <v>1000</v>
      </c>
      <c r="B132" s="14">
        <v>100</v>
      </c>
      <c r="C132" s="14">
        <v>2400</v>
      </c>
      <c r="D132" s="14">
        <v>6210</v>
      </c>
      <c r="G132" s="775">
        <v>9234.5400000000009</v>
      </c>
      <c r="H132" s="14" t="s">
        <v>876</v>
      </c>
      <c r="I132" s="14" t="s">
        <v>880</v>
      </c>
      <c r="J132" s="14" t="s">
        <v>909</v>
      </c>
      <c r="K132" s="14" t="s">
        <v>882</v>
      </c>
      <c r="L132" s="772">
        <v>100</v>
      </c>
    </row>
    <row r="133" spans="1:12" x14ac:dyDescent="0.35">
      <c r="A133" s="14">
        <v>1000</v>
      </c>
      <c r="B133" s="14">
        <v>100</v>
      </c>
      <c r="C133" s="14">
        <v>2400</v>
      </c>
      <c r="D133" s="14">
        <v>6210</v>
      </c>
      <c r="G133" s="775">
        <v>6881.63</v>
      </c>
      <c r="H133" s="14" t="s">
        <v>876</v>
      </c>
      <c r="I133" s="14" t="s">
        <v>880</v>
      </c>
      <c r="J133" s="14" t="s">
        <v>909</v>
      </c>
      <c r="K133" s="14" t="s">
        <v>882</v>
      </c>
      <c r="L133" s="772">
        <v>200</v>
      </c>
    </row>
    <row r="134" spans="1:12" x14ac:dyDescent="0.35">
      <c r="A134" s="14">
        <v>1000</v>
      </c>
      <c r="B134" s="14">
        <v>200</v>
      </c>
      <c r="C134" s="14">
        <v>2400</v>
      </c>
      <c r="D134" s="14">
        <v>6210</v>
      </c>
      <c r="G134" s="775">
        <v>2081.12</v>
      </c>
      <c r="H134" s="14" t="s">
        <v>876</v>
      </c>
      <c r="I134" s="14" t="s">
        <v>884</v>
      </c>
      <c r="J134" s="14" t="s">
        <v>909</v>
      </c>
      <c r="K134" s="14" t="s">
        <v>882</v>
      </c>
      <c r="L134" s="772">
        <v>100</v>
      </c>
    </row>
    <row r="135" spans="1:12" x14ac:dyDescent="0.35">
      <c r="A135" s="14">
        <v>1000</v>
      </c>
      <c r="B135" s="14">
        <v>100</v>
      </c>
      <c r="C135" s="14">
        <v>2500</v>
      </c>
      <c r="D135" s="14">
        <v>6210</v>
      </c>
      <c r="G135" s="775">
        <v>2289.27</v>
      </c>
      <c r="H135" s="14" t="s">
        <v>876</v>
      </c>
      <c r="I135" s="14" t="s">
        <v>880</v>
      </c>
      <c r="J135" s="14" t="s">
        <v>913</v>
      </c>
      <c r="K135" s="14" t="s">
        <v>882</v>
      </c>
      <c r="L135" s="772">
        <v>100</v>
      </c>
    </row>
    <row r="136" spans="1:12" x14ac:dyDescent="0.35">
      <c r="A136" s="14">
        <v>1000</v>
      </c>
      <c r="B136" s="14">
        <v>100</v>
      </c>
      <c r="C136" s="14">
        <v>2200</v>
      </c>
      <c r="D136" s="14">
        <v>6235</v>
      </c>
      <c r="G136" s="775">
        <v>3</v>
      </c>
      <c r="H136" s="14" t="s">
        <v>876</v>
      </c>
      <c r="I136" s="14" t="s">
        <v>880</v>
      </c>
      <c r="J136" s="14" t="s">
        <v>893</v>
      </c>
      <c r="K136" s="14" t="s">
        <v>882</v>
      </c>
      <c r="L136" s="772">
        <v>100</v>
      </c>
    </row>
    <row r="137" spans="1:12" x14ac:dyDescent="0.35">
      <c r="A137" s="14">
        <v>1510</v>
      </c>
      <c r="B137" s="14">
        <v>100</v>
      </c>
      <c r="C137" s="14">
        <v>3100</v>
      </c>
      <c r="D137" s="14">
        <v>6210</v>
      </c>
      <c r="G137" s="775">
        <v>711.85</v>
      </c>
      <c r="H137" s="14" t="s">
        <v>983</v>
      </c>
      <c r="I137" s="14" t="s">
        <v>880</v>
      </c>
      <c r="J137" s="14" t="s">
        <v>929</v>
      </c>
      <c r="K137" s="14" t="s">
        <v>882</v>
      </c>
      <c r="L137" s="772">
        <v>100</v>
      </c>
    </row>
    <row r="138" spans="1:12" x14ac:dyDescent="0.35">
      <c r="A138" s="765">
        <v>1000</v>
      </c>
      <c r="B138" s="765">
        <v>100</v>
      </c>
      <c r="C138" s="765">
        <v>1000</v>
      </c>
      <c r="D138" s="765">
        <v>6610</v>
      </c>
      <c r="E138" s="765"/>
      <c r="F138" s="765"/>
      <c r="G138" s="776">
        <v>2359.42</v>
      </c>
      <c r="H138" s="15" t="s">
        <v>876</v>
      </c>
      <c r="I138" s="15" t="s">
        <v>880</v>
      </c>
      <c r="J138" s="15" t="s">
        <v>881</v>
      </c>
      <c r="K138" s="15" t="s">
        <v>890</v>
      </c>
      <c r="L138" s="15">
        <v>100</v>
      </c>
    </row>
    <row r="139" spans="1:12" x14ac:dyDescent="0.35">
      <c r="A139" s="765">
        <v>1000</v>
      </c>
      <c r="B139" s="765">
        <v>100</v>
      </c>
      <c r="C139" s="765">
        <v>1000</v>
      </c>
      <c r="D139" s="765">
        <v>6642</v>
      </c>
      <c r="E139" s="765"/>
      <c r="F139" s="765"/>
      <c r="G139" s="776">
        <v>3400.15</v>
      </c>
      <c r="H139" s="15" t="s">
        <v>876</v>
      </c>
      <c r="I139" s="15" t="s">
        <v>880</v>
      </c>
      <c r="J139" s="15" t="s">
        <v>881</v>
      </c>
      <c r="K139" s="15" t="s">
        <v>890</v>
      </c>
      <c r="L139" s="15">
        <v>100</v>
      </c>
    </row>
    <row r="140" spans="1:12" x14ac:dyDescent="0.35">
      <c r="A140" s="14">
        <v>1000</v>
      </c>
      <c r="B140" s="14">
        <v>100</v>
      </c>
      <c r="C140" s="14">
        <v>1000</v>
      </c>
      <c r="D140" s="14">
        <v>6642</v>
      </c>
      <c r="G140" s="775">
        <v>492.48</v>
      </c>
      <c r="H140" s="14" t="s">
        <v>876</v>
      </c>
      <c r="I140" s="14" t="s">
        <v>880</v>
      </c>
      <c r="J140" s="14" t="s">
        <v>881</v>
      </c>
      <c r="K140" s="14" t="s">
        <v>890</v>
      </c>
      <c r="L140" s="772">
        <v>200</v>
      </c>
    </row>
    <row r="141" spans="1:12" x14ac:dyDescent="0.35">
      <c r="A141" s="765">
        <v>1000</v>
      </c>
      <c r="B141" s="765">
        <v>100</v>
      </c>
      <c r="C141" s="765">
        <v>1000</v>
      </c>
      <c r="D141" s="765">
        <v>6643</v>
      </c>
      <c r="E141" s="765"/>
      <c r="F141" s="765"/>
      <c r="G141" s="776">
        <v>7772.88</v>
      </c>
      <c r="H141" s="15" t="s">
        <v>876</v>
      </c>
      <c r="I141" s="15" t="s">
        <v>880</v>
      </c>
      <c r="J141" s="15" t="s">
        <v>881</v>
      </c>
      <c r="K141" s="15" t="s">
        <v>890</v>
      </c>
      <c r="L141" s="15">
        <v>100</v>
      </c>
    </row>
    <row r="142" spans="1:12" x14ac:dyDescent="0.35">
      <c r="A142" s="14">
        <v>1000</v>
      </c>
      <c r="B142" s="14">
        <v>100</v>
      </c>
      <c r="C142" s="14">
        <v>1000</v>
      </c>
      <c r="D142" s="14">
        <v>6643</v>
      </c>
      <c r="G142" s="775">
        <v>5484.79</v>
      </c>
      <c r="H142" s="14" t="s">
        <v>876</v>
      </c>
      <c r="I142" s="14" t="s">
        <v>880</v>
      </c>
      <c r="J142" s="14" t="s">
        <v>881</v>
      </c>
      <c r="K142" s="14" t="s">
        <v>890</v>
      </c>
      <c r="L142" s="772">
        <v>200</v>
      </c>
    </row>
    <row r="143" spans="1:12" x14ac:dyDescent="0.35">
      <c r="A143" s="765">
        <v>1000</v>
      </c>
      <c r="B143" s="765">
        <v>100</v>
      </c>
      <c r="C143" s="765">
        <v>1000</v>
      </c>
      <c r="D143" s="765">
        <v>6644</v>
      </c>
      <c r="E143" s="765"/>
      <c r="F143" s="765"/>
      <c r="G143" s="776">
        <v>119.82</v>
      </c>
      <c r="H143" s="15" t="s">
        <v>876</v>
      </c>
      <c r="I143" s="15" t="s">
        <v>880</v>
      </c>
      <c r="J143" s="15" t="s">
        <v>881</v>
      </c>
      <c r="K143" s="15" t="s">
        <v>890</v>
      </c>
      <c r="L143" s="15">
        <v>100</v>
      </c>
    </row>
    <row r="144" spans="1:12" x14ac:dyDescent="0.35">
      <c r="A144" s="14">
        <v>1000</v>
      </c>
      <c r="B144" s="14">
        <v>200</v>
      </c>
      <c r="C144" s="14">
        <v>2100</v>
      </c>
      <c r="D144" s="14">
        <v>6210</v>
      </c>
      <c r="G144" s="775">
        <v>4241.1099999999997</v>
      </c>
      <c r="H144" s="14" t="s">
        <v>876</v>
      </c>
      <c r="I144" s="14" t="s">
        <v>884</v>
      </c>
      <c r="J144" s="14" t="s">
        <v>889</v>
      </c>
      <c r="K144" s="14" t="s">
        <v>882</v>
      </c>
      <c r="L144" s="772">
        <v>100</v>
      </c>
    </row>
    <row r="145" spans="1:12" x14ac:dyDescent="0.35">
      <c r="A145" s="14">
        <v>1000</v>
      </c>
      <c r="B145" s="14">
        <v>200</v>
      </c>
      <c r="C145" s="14">
        <v>2100</v>
      </c>
      <c r="D145" s="14">
        <v>6221</v>
      </c>
      <c r="G145" s="775">
        <v>568.28</v>
      </c>
      <c r="H145" s="14" t="s">
        <v>876</v>
      </c>
      <c r="I145" s="14" t="s">
        <v>884</v>
      </c>
      <c r="J145" s="14" t="s">
        <v>889</v>
      </c>
      <c r="K145" s="14" t="s">
        <v>882</v>
      </c>
      <c r="L145" s="772">
        <v>100</v>
      </c>
    </row>
    <row r="146" spans="1:12" x14ac:dyDescent="0.35">
      <c r="A146" s="14">
        <v>1000</v>
      </c>
      <c r="B146" s="14">
        <v>200</v>
      </c>
      <c r="C146" s="14">
        <v>2100</v>
      </c>
      <c r="D146" s="14">
        <v>6221</v>
      </c>
      <c r="G146" s="775">
        <v>733.42</v>
      </c>
      <c r="H146" s="14" t="s">
        <v>876</v>
      </c>
      <c r="I146" s="14" t="s">
        <v>884</v>
      </c>
      <c r="J146" s="14" t="s">
        <v>889</v>
      </c>
      <c r="K146" s="14" t="s">
        <v>882</v>
      </c>
      <c r="L146" s="772">
        <v>100</v>
      </c>
    </row>
    <row r="147" spans="1:12" x14ac:dyDescent="0.35">
      <c r="A147" s="14">
        <v>1000</v>
      </c>
      <c r="B147" s="14">
        <v>200</v>
      </c>
      <c r="C147" s="14">
        <v>2100</v>
      </c>
      <c r="D147" s="14">
        <v>6222</v>
      </c>
      <c r="G147" s="775">
        <v>133.04</v>
      </c>
      <c r="H147" s="14" t="s">
        <v>876</v>
      </c>
      <c r="I147" s="14" t="s">
        <v>884</v>
      </c>
      <c r="J147" s="14" t="s">
        <v>889</v>
      </c>
      <c r="K147" s="14" t="s">
        <v>882</v>
      </c>
      <c r="L147" s="772">
        <v>100</v>
      </c>
    </row>
    <row r="148" spans="1:12" x14ac:dyDescent="0.35">
      <c r="A148" s="14">
        <v>1000</v>
      </c>
      <c r="B148" s="14">
        <v>100</v>
      </c>
      <c r="C148" s="14">
        <v>2200</v>
      </c>
      <c r="D148" s="14">
        <v>6250</v>
      </c>
      <c r="G148" s="775">
        <v>0.56999999999999995</v>
      </c>
      <c r="H148" s="14" t="s">
        <v>876</v>
      </c>
      <c r="I148" s="14" t="s">
        <v>880</v>
      </c>
      <c r="J148" s="14" t="s">
        <v>893</v>
      </c>
      <c r="K148" s="14" t="s">
        <v>882</v>
      </c>
      <c r="L148" s="772">
        <v>100</v>
      </c>
    </row>
    <row r="149" spans="1:12" x14ac:dyDescent="0.35">
      <c r="A149" s="14">
        <v>1000</v>
      </c>
      <c r="B149" s="14">
        <v>100</v>
      </c>
      <c r="C149" s="14">
        <v>2220</v>
      </c>
      <c r="D149" s="14">
        <v>6221</v>
      </c>
      <c r="G149" s="775">
        <v>176.88</v>
      </c>
      <c r="H149" s="14" t="s">
        <v>876</v>
      </c>
      <c r="I149" s="14" t="s">
        <v>880</v>
      </c>
      <c r="J149" s="14" t="s">
        <v>897</v>
      </c>
      <c r="K149" s="14" t="s">
        <v>882</v>
      </c>
      <c r="L149" s="772">
        <v>200</v>
      </c>
    </row>
    <row r="150" spans="1:12" x14ac:dyDescent="0.35">
      <c r="A150" s="14">
        <v>1000</v>
      </c>
      <c r="B150" s="14">
        <v>100</v>
      </c>
      <c r="C150" s="14">
        <v>2400</v>
      </c>
      <c r="D150" s="14">
        <v>6221</v>
      </c>
      <c r="G150" s="775">
        <v>6626.35</v>
      </c>
      <c r="H150" s="14" t="s">
        <v>876</v>
      </c>
      <c r="I150" s="14" t="s">
        <v>880</v>
      </c>
      <c r="J150" s="14" t="s">
        <v>909</v>
      </c>
      <c r="K150" s="14" t="s">
        <v>882</v>
      </c>
      <c r="L150" s="772">
        <v>100</v>
      </c>
    </row>
    <row r="151" spans="1:12" x14ac:dyDescent="0.35">
      <c r="A151" s="14">
        <v>1000</v>
      </c>
      <c r="B151" s="14">
        <v>100</v>
      </c>
      <c r="C151" s="14">
        <v>2400</v>
      </c>
      <c r="D151" s="14">
        <v>6221</v>
      </c>
      <c r="G151" s="775">
        <v>6705.15</v>
      </c>
      <c r="H151" s="14" t="s">
        <v>876</v>
      </c>
      <c r="I151" s="14" t="s">
        <v>880</v>
      </c>
      <c r="J151" s="14" t="s">
        <v>909</v>
      </c>
      <c r="K151" s="14" t="s">
        <v>882</v>
      </c>
      <c r="L151" s="772">
        <v>200</v>
      </c>
    </row>
    <row r="152" spans="1:12" x14ac:dyDescent="0.35">
      <c r="A152" s="14">
        <v>1000</v>
      </c>
      <c r="B152" s="14">
        <v>200</v>
      </c>
      <c r="C152" s="14">
        <v>2400</v>
      </c>
      <c r="D152" s="14">
        <v>6221</v>
      </c>
      <c r="G152" s="775">
        <v>3235.64</v>
      </c>
      <c r="H152" s="14" t="s">
        <v>876</v>
      </c>
      <c r="I152" s="14" t="s">
        <v>884</v>
      </c>
      <c r="J152" s="14" t="s">
        <v>909</v>
      </c>
      <c r="K152" s="14" t="s">
        <v>882</v>
      </c>
      <c r="L152" s="772">
        <v>100</v>
      </c>
    </row>
    <row r="153" spans="1:12" x14ac:dyDescent="0.35">
      <c r="A153" s="14">
        <v>1000</v>
      </c>
      <c r="B153" s="14">
        <v>100</v>
      </c>
      <c r="C153" s="14">
        <v>2500</v>
      </c>
      <c r="D153" s="14">
        <v>6221</v>
      </c>
      <c r="G153" s="775">
        <v>535.13</v>
      </c>
      <c r="H153" s="14" t="s">
        <v>876</v>
      </c>
      <c r="I153" s="14" t="s">
        <v>880</v>
      </c>
      <c r="J153" s="14" t="s">
        <v>913</v>
      </c>
      <c r="K153" s="14" t="s">
        <v>882</v>
      </c>
      <c r="L153" s="772">
        <v>100</v>
      </c>
    </row>
    <row r="154" spans="1:12" x14ac:dyDescent="0.35">
      <c r="A154" s="14">
        <v>1000</v>
      </c>
      <c r="B154" s="14">
        <v>100</v>
      </c>
      <c r="C154" s="14">
        <v>2600</v>
      </c>
      <c r="D154" s="14">
        <v>6221</v>
      </c>
      <c r="G154" s="775">
        <v>4061</v>
      </c>
      <c r="H154" s="14" t="s">
        <v>876</v>
      </c>
      <c r="I154" s="14" t="s">
        <v>880</v>
      </c>
      <c r="J154" s="14" t="s">
        <v>917</v>
      </c>
      <c r="K154" s="14" t="s">
        <v>882</v>
      </c>
      <c r="L154" s="772">
        <v>100</v>
      </c>
    </row>
    <row r="155" spans="1:12" x14ac:dyDescent="0.35">
      <c r="A155" s="14">
        <v>1000</v>
      </c>
      <c r="B155" s="14">
        <v>100</v>
      </c>
      <c r="C155" s="14">
        <v>2600</v>
      </c>
      <c r="D155" s="14">
        <v>6221</v>
      </c>
      <c r="G155" s="775">
        <v>635.36</v>
      </c>
      <c r="H155" s="14" t="s">
        <v>876</v>
      </c>
      <c r="I155" s="14" t="s">
        <v>880</v>
      </c>
      <c r="J155" s="14" t="s">
        <v>917</v>
      </c>
      <c r="K155" s="14" t="s">
        <v>882</v>
      </c>
      <c r="L155" s="772">
        <v>200</v>
      </c>
    </row>
    <row r="156" spans="1:12" x14ac:dyDescent="0.35">
      <c r="A156" s="14">
        <v>1000</v>
      </c>
      <c r="B156" s="14">
        <v>100</v>
      </c>
      <c r="C156" s="14">
        <v>2600</v>
      </c>
      <c r="D156" s="14">
        <v>6222</v>
      </c>
      <c r="G156" s="775">
        <v>573.77</v>
      </c>
      <c r="H156" s="14" t="s">
        <v>876</v>
      </c>
      <c r="I156" s="14" t="s">
        <v>880</v>
      </c>
      <c r="J156" s="14" t="s">
        <v>917</v>
      </c>
      <c r="K156" s="14" t="s">
        <v>882</v>
      </c>
      <c r="L156" s="772">
        <v>100</v>
      </c>
    </row>
    <row r="157" spans="1:12" x14ac:dyDescent="0.35">
      <c r="A157" s="14">
        <v>1000</v>
      </c>
      <c r="B157" s="14">
        <v>400</v>
      </c>
      <c r="C157" s="14">
        <v>2700</v>
      </c>
      <c r="D157" s="14">
        <v>6222</v>
      </c>
      <c r="G157" s="775">
        <v>36.47</v>
      </c>
      <c r="H157" s="14" t="s">
        <v>876</v>
      </c>
      <c r="I157" s="14" t="s">
        <v>900</v>
      </c>
      <c r="J157" s="14" t="s">
        <v>921</v>
      </c>
      <c r="K157" s="14" t="s">
        <v>882</v>
      </c>
      <c r="L157" s="772">
        <v>200</v>
      </c>
    </row>
    <row r="158" spans="1:12" x14ac:dyDescent="0.35">
      <c r="A158" s="14">
        <v>1000</v>
      </c>
      <c r="B158" s="14">
        <v>100</v>
      </c>
      <c r="C158" s="14">
        <v>1000</v>
      </c>
      <c r="D158" s="14">
        <v>6644</v>
      </c>
      <c r="G158" s="775">
        <v>159.83000000000001</v>
      </c>
      <c r="H158" s="14" t="s">
        <v>876</v>
      </c>
      <c r="I158" s="14" t="s">
        <v>880</v>
      </c>
      <c r="J158" s="14" t="s">
        <v>881</v>
      </c>
      <c r="K158" s="14" t="s">
        <v>890</v>
      </c>
      <c r="L158" s="772">
        <v>200</v>
      </c>
    </row>
    <row r="159" spans="1:12" x14ac:dyDescent="0.35">
      <c r="A159" s="765">
        <v>1000</v>
      </c>
      <c r="B159" s="765">
        <v>100</v>
      </c>
      <c r="C159" s="765">
        <v>1000</v>
      </c>
      <c r="D159" s="765">
        <v>6810</v>
      </c>
      <c r="E159" s="765"/>
      <c r="F159" s="765"/>
      <c r="G159" s="776">
        <v>185</v>
      </c>
      <c r="H159" s="15" t="s">
        <v>876</v>
      </c>
      <c r="I159" s="15" t="s">
        <v>880</v>
      </c>
      <c r="J159" s="15" t="s">
        <v>881</v>
      </c>
      <c r="K159" s="15" t="s">
        <v>898</v>
      </c>
      <c r="L159" s="15">
        <v>100</v>
      </c>
    </row>
    <row r="160" spans="1:12" x14ac:dyDescent="0.35">
      <c r="A160" s="14">
        <v>1000</v>
      </c>
      <c r="B160" s="14">
        <v>100</v>
      </c>
      <c r="C160" s="14">
        <v>1000</v>
      </c>
      <c r="D160" s="14">
        <v>6810</v>
      </c>
      <c r="G160" s="775">
        <v>85</v>
      </c>
      <c r="H160" s="14" t="s">
        <v>876</v>
      </c>
      <c r="I160" s="14" t="s">
        <v>880</v>
      </c>
      <c r="J160" s="14" t="s">
        <v>881</v>
      </c>
      <c r="K160" s="14" t="s">
        <v>898</v>
      </c>
      <c r="L160" s="772">
        <v>200</v>
      </c>
    </row>
    <row r="161" spans="1:12" x14ac:dyDescent="0.35">
      <c r="A161" s="14">
        <v>1000</v>
      </c>
      <c r="B161" s="14">
        <v>100</v>
      </c>
      <c r="C161" s="14">
        <v>1000</v>
      </c>
      <c r="D161" s="14">
        <v>6830</v>
      </c>
      <c r="G161" s="775">
        <v>5</v>
      </c>
      <c r="H161" s="14" t="s">
        <v>876</v>
      </c>
      <c r="I161" s="14" t="s">
        <v>880</v>
      </c>
      <c r="J161" s="14" t="s">
        <v>881</v>
      </c>
      <c r="K161" s="14" t="s">
        <v>914</v>
      </c>
      <c r="L161" s="772">
        <v>200</v>
      </c>
    </row>
    <row r="162" spans="1:12" x14ac:dyDescent="0.35">
      <c r="A162" s="765">
        <v>1000</v>
      </c>
      <c r="B162" s="765">
        <v>100</v>
      </c>
      <c r="C162" s="765">
        <v>1000</v>
      </c>
      <c r="D162" s="765">
        <v>6890</v>
      </c>
      <c r="E162" s="765"/>
      <c r="F162" s="765"/>
      <c r="G162" s="776">
        <v>204.86</v>
      </c>
      <c r="H162" s="15" t="s">
        <v>876</v>
      </c>
      <c r="I162" s="15" t="s">
        <v>880</v>
      </c>
      <c r="J162" s="15" t="s">
        <v>881</v>
      </c>
      <c r="K162" s="15" t="s">
        <v>910</v>
      </c>
      <c r="L162" s="15">
        <v>100</v>
      </c>
    </row>
    <row r="163" spans="1:12" x14ac:dyDescent="0.35">
      <c r="A163" s="14">
        <v>1000</v>
      </c>
      <c r="B163" s="14">
        <v>200</v>
      </c>
      <c r="C163" s="14">
        <v>2100</v>
      </c>
      <c r="D163" s="14">
        <v>6222</v>
      </c>
      <c r="G163" s="775">
        <v>171.41</v>
      </c>
      <c r="H163" s="14" t="s">
        <v>876</v>
      </c>
      <c r="I163" s="14" t="s">
        <v>884</v>
      </c>
      <c r="J163" s="14" t="s">
        <v>889</v>
      </c>
      <c r="K163" s="14" t="s">
        <v>882</v>
      </c>
      <c r="L163" s="772">
        <v>100</v>
      </c>
    </row>
    <row r="164" spans="1:12" x14ac:dyDescent="0.35">
      <c r="A164" s="14">
        <v>1010</v>
      </c>
      <c r="B164" s="14">
        <v>100</v>
      </c>
      <c r="C164" s="14">
        <v>2200</v>
      </c>
      <c r="D164" s="14">
        <v>6151</v>
      </c>
      <c r="G164" s="775">
        <v>2625</v>
      </c>
      <c r="H164" s="14" t="s">
        <v>877</v>
      </c>
      <c r="I164" s="14" t="s">
        <v>880</v>
      </c>
      <c r="J164" s="14" t="s">
        <v>893</v>
      </c>
      <c r="K164" s="14" t="s">
        <v>878</v>
      </c>
      <c r="L164" s="772">
        <v>100</v>
      </c>
    </row>
    <row r="165" spans="1:12" x14ac:dyDescent="0.35">
      <c r="A165" s="14">
        <v>1010</v>
      </c>
      <c r="B165" s="14">
        <v>100</v>
      </c>
      <c r="C165" s="14">
        <v>1000</v>
      </c>
      <c r="D165" s="14">
        <v>6111</v>
      </c>
      <c r="G165" s="775">
        <v>2687.5</v>
      </c>
      <c r="H165" s="14" t="s">
        <v>877</v>
      </c>
      <c r="I165" s="14" t="s">
        <v>880</v>
      </c>
      <c r="J165" s="14" t="s">
        <v>881</v>
      </c>
      <c r="K165" s="14" t="s">
        <v>878</v>
      </c>
      <c r="L165" s="772">
        <v>200</v>
      </c>
    </row>
    <row r="166" spans="1:12" x14ac:dyDescent="0.35">
      <c r="A166" s="14">
        <v>1010</v>
      </c>
      <c r="B166" s="14">
        <v>100</v>
      </c>
      <c r="C166" s="14">
        <v>1000</v>
      </c>
      <c r="D166" s="14">
        <v>6112</v>
      </c>
      <c r="G166" s="775">
        <v>1125</v>
      </c>
      <c r="H166" s="14" t="s">
        <v>877</v>
      </c>
      <c r="I166" s="14" t="s">
        <v>880</v>
      </c>
      <c r="J166" s="14" t="s">
        <v>881</v>
      </c>
      <c r="K166" s="14" t="s">
        <v>878</v>
      </c>
      <c r="L166" s="772">
        <v>200</v>
      </c>
    </row>
    <row r="167" spans="1:12" x14ac:dyDescent="0.35">
      <c r="A167" s="14">
        <v>1010</v>
      </c>
      <c r="B167" s="14">
        <v>100</v>
      </c>
      <c r="C167" s="14">
        <v>1000</v>
      </c>
      <c r="D167" s="14">
        <v>6152</v>
      </c>
      <c r="G167" s="775">
        <v>33275.31</v>
      </c>
      <c r="H167" s="14" t="s">
        <v>877</v>
      </c>
      <c r="I167" s="14" t="s">
        <v>880</v>
      </c>
      <c r="J167" s="14" t="s">
        <v>881</v>
      </c>
      <c r="K167" s="14" t="s">
        <v>878</v>
      </c>
      <c r="L167" s="772">
        <v>100</v>
      </c>
    </row>
    <row r="168" spans="1:12" x14ac:dyDescent="0.35">
      <c r="A168" s="14">
        <v>1010</v>
      </c>
      <c r="B168" s="14">
        <v>100</v>
      </c>
      <c r="C168" s="14">
        <v>1000</v>
      </c>
      <c r="D168" s="14">
        <v>6152</v>
      </c>
      <c r="G168" s="775">
        <v>93394.52</v>
      </c>
      <c r="H168" s="14" t="s">
        <v>877</v>
      </c>
      <c r="I168" s="14" t="s">
        <v>880</v>
      </c>
      <c r="J168" s="14" t="s">
        <v>881</v>
      </c>
      <c r="K168" s="14" t="s">
        <v>878</v>
      </c>
      <c r="L168" s="772">
        <v>100</v>
      </c>
    </row>
    <row r="169" spans="1:12" x14ac:dyDescent="0.35">
      <c r="A169" s="14">
        <v>1000</v>
      </c>
      <c r="B169" s="14">
        <v>200</v>
      </c>
      <c r="C169" s="14">
        <v>2100</v>
      </c>
      <c r="D169" s="14">
        <v>6230</v>
      </c>
      <c r="G169" s="775">
        <v>866.16</v>
      </c>
      <c r="H169" s="14" t="s">
        <v>876</v>
      </c>
      <c r="I169" s="14" t="s">
        <v>884</v>
      </c>
      <c r="J169" s="14" t="s">
        <v>889</v>
      </c>
      <c r="K169" s="14" t="s">
        <v>882</v>
      </c>
      <c r="L169" s="772">
        <v>100</v>
      </c>
    </row>
    <row r="170" spans="1:12" x14ac:dyDescent="0.35">
      <c r="A170" s="14">
        <v>1000</v>
      </c>
      <c r="B170" s="14">
        <v>200</v>
      </c>
      <c r="C170" s="14">
        <v>2100</v>
      </c>
      <c r="D170" s="14">
        <v>6230</v>
      </c>
      <c r="G170" s="775">
        <v>1447.19</v>
      </c>
      <c r="H170" s="14" t="s">
        <v>876</v>
      </c>
      <c r="I170" s="14" t="s">
        <v>884</v>
      </c>
      <c r="J170" s="14" t="s">
        <v>889</v>
      </c>
      <c r="K170" s="14" t="s">
        <v>882</v>
      </c>
      <c r="L170" s="772">
        <v>100</v>
      </c>
    </row>
    <row r="171" spans="1:12" x14ac:dyDescent="0.35">
      <c r="A171" s="14">
        <v>1010</v>
      </c>
      <c r="B171" s="14">
        <v>100</v>
      </c>
      <c r="C171" s="14">
        <v>1000</v>
      </c>
      <c r="D171" s="14">
        <v>6152</v>
      </c>
      <c r="G171" s="775">
        <v>1215.6300000000001</v>
      </c>
      <c r="H171" s="14" t="s">
        <v>877</v>
      </c>
      <c r="I171" s="14" t="s">
        <v>880</v>
      </c>
      <c r="J171" s="14" t="s">
        <v>881</v>
      </c>
      <c r="K171" s="14" t="s">
        <v>878</v>
      </c>
      <c r="L171" s="772">
        <v>200</v>
      </c>
    </row>
    <row r="172" spans="1:12" x14ac:dyDescent="0.35">
      <c r="A172" s="14">
        <v>1010</v>
      </c>
      <c r="B172" s="14">
        <v>100</v>
      </c>
      <c r="C172" s="14">
        <v>1000</v>
      </c>
      <c r="D172" s="14">
        <v>6152</v>
      </c>
      <c r="G172" s="775">
        <v>3970.72</v>
      </c>
      <c r="H172" s="14" t="s">
        <v>877</v>
      </c>
      <c r="I172" s="14" t="s">
        <v>880</v>
      </c>
      <c r="J172" s="14" t="s">
        <v>881</v>
      </c>
      <c r="K172" s="14" t="s">
        <v>878</v>
      </c>
      <c r="L172" s="772">
        <v>200</v>
      </c>
    </row>
    <row r="173" spans="1:12" x14ac:dyDescent="0.35">
      <c r="A173" s="14">
        <v>1000</v>
      </c>
      <c r="B173" s="14">
        <v>200</v>
      </c>
      <c r="C173" s="14">
        <v>2100</v>
      </c>
      <c r="D173" s="14">
        <v>6235</v>
      </c>
      <c r="G173" s="775">
        <v>17.88</v>
      </c>
      <c r="H173" s="14" t="s">
        <v>876</v>
      </c>
      <c r="I173" s="14" t="s">
        <v>884</v>
      </c>
      <c r="J173" s="14" t="s">
        <v>889</v>
      </c>
      <c r="K173" s="14" t="s">
        <v>882</v>
      </c>
      <c r="L173" s="772">
        <v>100</v>
      </c>
    </row>
    <row r="174" spans="1:12" x14ac:dyDescent="0.35">
      <c r="A174" s="14">
        <v>1000</v>
      </c>
      <c r="B174" s="14">
        <v>200</v>
      </c>
      <c r="C174" s="14">
        <v>2100</v>
      </c>
      <c r="D174" s="14">
        <v>6250</v>
      </c>
      <c r="G174" s="775">
        <v>0.66</v>
      </c>
      <c r="H174" s="14" t="s">
        <v>876</v>
      </c>
      <c r="I174" s="14" t="s">
        <v>884</v>
      </c>
      <c r="J174" s="14" t="s">
        <v>889</v>
      </c>
      <c r="K174" s="14" t="s">
        <v>882</v>
      </c>
      <c r="L174" s="772">
        <v>100</v>
      </c>
    </row>
    <row r="175" spans="1:12" x14ac:dyDescent="0.35">
      <c r="A175" s="14">
        <v>1000</v>
      </c>
      <c r="B175" s="14">
        <v>200</v>
      </c>
      <c r="C175" s="14">
        <v>2100</v>
      </c>
      <c r="D175" s="14">
        <v>6250</v>
      </c>
      <c r="G175" s="775">
        <v>1</v>
      </c>
      <c r="H175" s="14" t="s">
        <v>876</v>
      </c>
      <c r="I175" s="14" t="s">
        <v>884</v>
      </c>
      <c r="J175" s="14" t="s">
        <v>889</v>
      </c>
      <c r="K175" s="14" t="s">
        <v>882</v>
      </c>
      <c r="L175" s="772">
        <v>100</v>
      </c>
    </row>
    <row r="176" spans="1:12" x14ac:dyDescent="0.35">
      <c r="A176" s="14">
        <v>1510</v>
      </c>
      <c r="B176" s="14">
        <v>100</v>
      </c>
      <c r="C176" s="14">
        <v>3100</v>
      </c>
      <c r="D176" s="14">
        <v>6221</v>
      </c>
      <c r="G176" s="775">
        <v>1306.77</v>
      </c>
      <c r="H176" s="14" t="s">
        <v>983</v>
      </c>
      <c r="I176" s="14" t="s">
        <v>880</v>
      </c>
      <c r="J176" s="14" t="s">
        <v>929</v>
      </c>
      <c r="K176" s="14" t="s">
        <v>882</v>
      </c>
      <c r="L176" s="772">
        <v>100</v>
      </c>
    </row>
    <row r="177" spans="1:12" x14ac:dyDescent="0.35">
      <c r="A177" s="14">
        <v>1510</v>
      </c>
      <c r="B177" s="14">
        <v>100</v>
      </c>
      <c r="C177" s="14">
        <v>3100</v>
      </c>
      <c r="D177" s="14">
        <v>6221</v>
      </c>
      <c r="G177" s="775">
        <v>244.42</v>
      </c>
      <c r="H177" s="14" t="s">
        <v>983</v>
      </c>
      <c r="I177" s="14" t="s">
        <v>880</v>
      </c>
      <c r="J177" s="14" t="s">
        <v>929</v>
      </c>
      <c r="K177" s="14" t="s">
        <v>882</v>
      </c>
      <c r="L177" s="772">
        <v>200</v>
      </c>
    </row>
    <row r="178" spans="1:12" x14ac:dyDescent="0.35">
      <c r="A178" s="14">
        <v>1000</v>
      </c>
      <c r="B178" s="14">
        <v>400</v>
      </c>
      <c r="C178" s="14">
        <v>2700</v>
      </c>
      <c r="D178" s="14">
        <v>6230</v>
      </c>
      <c r="G178" s="775">
        <v>318.58</v>
      </c>
      <c r="H178" s="14" t="s">
        <v>876</v>
      </c>
      <c r="I178" s="14" t="s">
        <v>900</v>
      </c>
      <c r="J178" s="14" t="s">
        <v>921</v>
      </c>
      <c r="K178" s="14" t="s">
        <v>882</v>
      </c>
      <c r="L178" s="772">
        <v>200</v>
      </c>
    </row>
    <row r="179" spans="1:12" x14ac:dyDescent="0.35">
      <c r="A179" s="14">
        <v>1529</v>
      </c>
      <c r="B179" s="14">
        <v>100</v>
      </c>
      <c r="C179" s="14">
        <v>2400</v>
      </c>
      <c r="D179" s="14">
        <v>6221</v>
      </c>
      <c r="G179" s="775">
        <v>3100.08</v>
      </c>
      <c r="H179" s="14" t="s">
        <v>983</v>
      </c>
      <c r="I179" s="14" t="s">
        <v>880</v>
      </c>
      <c r="J179" s="14" t="s">
        <v>909</v>
      </c>
      <c r="K179" s="14" t="s">
        <v>882</v>
      </c>
      <c r="L179" s="772">
        <v>100</v>
      </c>
    </row>
    <row r="180" spans="1:12" x14ac:dyDescent="0.35">
      <c r="A180" s="14">
        <v>1000</v>
      </c>
      <c r="B180" s="14">
        <v>100</v>
      </c>
      <c r="C180" s="14">
        <v>2600</v>
      </c>
      <c r="D180" s="14">
        <v>6222</v>
      </c>
      <c r="G180" s="775">
        <v>949.75</v>
      </c>
      <c r="H180" s="14" t="s">
        <v>876</v>
      </c>
      <c r="I180" s="14" t="s">
        <v>880</v>
      </c>
      <c r="J180" s="14" t="s">
        <v>917</v>
      </c>
      <c r="K180" s="14" t="s">
        <v>882</v>
      </c>
      <c r="L180" s="772">
        <v>100</v>
      </c>
    </row>
    <row r="181" spans="1:12" x14ac:dyDescent="0.35">
      <c r="A181" s="14">
        <v>1010</v>
      </c>
      <c r="B181" s="14">
        <v>100</v>
      </c>
      <c r="C181" s="14">
        <v>1000</v>
      </c>
      <c r="D181" s="14">
        <v>6221</v>
      </c>
      <c r="G181" s="775">
        <v>1558.87</v>
      </c>
      <c r="H181" s="14" t="s">
        <v>877</v>
      </c>
      <c r="I181" s="14" t="s">
        <v>880</v>
      </c>
      <c r="J181" s="14" t="s">
        <v>881</v>
      </c>
      <c r="K181" s="14" t="s">
        <v>882</v>
      </c>
      <c r="L181" s="772">
        <v>100</v>
      </c>
    </row>
    <row r="182" spans="1:12" x14ac:dyDescent="0.35">
      <c r="A182" s="14">
        <v>1010</v>
      </c>
      <c r="B182" s="14">
        <v>100</v>
      </c>
      <c r="C182" s="14">
        <v>1000</v>
      </c>
      <c r="D182" s="14">
        <v>6221</v>
      </c>
      <c r="G182" s="775">
        <v>3894.04</v>
      </c>
      <c r="H182" s="14" t="s">
        <v>877</v>
      </c>
      <c r="I182" s="14" t="s">
        <v>880</v>
      </c>
      <c r="J182" s="14" t="s">
        <v>881</v>
      </c>
      <c r="K182" s="14" t="s">
        <v>882</v>
      </c>
      <c r="L182" s="772">
        <v>100</v>
      </c>
    </row>
    <row r="183" spans="1:12" x14ac:dyDescent="0.35">
      <c r="A183" s="14">
        <v>1010</v>
      </c>
      <c r="B183" s="14">
        <v>100</v>
      </c>
      <c r="C183" s="14">
        <v>1000</v>
      </c>
      <c r="D183" s="14">
        <v>6221</v>
      </c>
      <c r="G183" s="775">
        <v>557.92999999999995</v>
      </c>
      <c r="H183" s="14" t="s">
        <v>877</v>
      </c>
      <c r="I183" s="14" t="s">
        <v>880</v>
      </c>
      <c r="J183" s="14" t="s">
        <v>881</v>
      </c>
      <c r="K183" s="14" t="s">
        <v>882</v>
      </c>
      <c r="L183" s="772">
        <v>200</v>
      </c>
    </row>
    <row r="184" spans="1:12" x14ac:dyDescent="0.35">
      <c r="A184" s="14">
        <v>1010</v>
      </c>
      <c r="B184" s="14">
        <v>100</v>
      </c>
      <c r="C184" s="14">
        <v>1000</v>
      </c>
      <c r="D184" s="14">
        <v>6222</v>
      </c>
      <c r="G184" s="775">
        <v>364.58</v>
      </c>
      <c r="H184" s="14" t="s">
        <v>877</v>
      </c>
      <c r="I184" s="14" t="s">
        <v>880</v>
      </c>
      <c r="J184" s="14" t="s">
        <v>881</v>
      </c>
      <c r="K184" s="14" t="s">
        <v>882</v>
      </c>
      <c r="L184" s="772">
        <v>100</v>
      </c>
    </row>
    <row r="185" spans="1:12" x14ac:dyDescent="0.35">
      <c r="A185" s="14">
        <v>1010</v>
      </c>
      <c r="B185" s="14">
        <v>100</v>
      </c>
      <c r="C185" s="14">
        <v>1000</v>
      </c>
      <c r="D185" s="14">
        <v>6222</v>
      </c>
      <c r="G185" s="775">
        <v>910.2</v>
      </c>
      <c r="H185" s="14" t="s">
        <v>877</v>
      </c>
      <c r="I185" s="14" t="s">
        <v>880</v>
      </c>
      <c r="J185" s="14" t="s">
        <v>881</v>
      </c>
      <c r="K185" s="14" t="s">
        <v>882</v>
      </c>
      <c r="L185" s="772">
        <v>100</v>
      </c>
    </row>
    <row r="186" spans="1:12" x14ac:dyDescent="0.35">
      <c r="A186" s="14">
        <v>1010</v>
      </c>
      <c r="B186" s="14">
        <v>100</v>
      </c>
      <c r="C186" s="14">
        <v>1000</v>
      </c>
      <c r="D186" s="14">
        <v>6222</v>
      </c>
      <c r="G186" s="775">
        <v>130.47999999999999</v>
      </c>
      <c r="H186" s="14" t="s">
        <v>877</v>
      </c>
      <c r="I186" s="14" t="s">
        <v>880</v>
      </c>
      <c r="J186" s="14" t="s">
        <v>881</v>
      </c>
      <c r="K186" s="14" t="s">
        <v>882</v>
      </c>
      <c r="L186" s="772">
        <v>200</v>
      </c>
    </row>
    <row r="187" spans="1:12" x14ac:dyDescent="0.35">
      <c r="A187" s="14">
        <v>1010</v>
      </c>
      <c r="B187" s="14">
        <v>100</v>
      </c>
      <c r="C187" s="14">
        <v>2100</v>
      </c>
      <c r="D187" s="14">
        <v>6155</v>
      </c>
      <c r="G187" s="775">
        <v>9717.5</v>
      </c>
      <c r="H187" s="14" t="s">
        <v>877</v>
      </c>
      <c r="I187" s="14" t="s">
        <v>880</v>
      </c>
      <c r="J187" s="14" t="s">
        <v>889</v>
      </c>
      <c r="K187" s="14" t="s">
        <v>878</v>
      </c>
      <c r="L187" s="772">
        <v>100</v>
      </c>
    </row>
    <row r="188" spans="1:12" x14ac:dyDescent="0.35">
      <c r="A188" s="14">
        <v>1010</v>
      </c>
      <c r="B188" s="14">
        <v>100</v>
      </c>
      <c r="C188" s="14">
        <v>2100</v>
      </c>
      <c r="D188" s="14">
        <v>6221</v>
      </c>
      <c r="G188" s="775">
        <v>602.6</v>
      </c>
      <c r="H188" s="14" t="s">
        <v>877</v>
      </c>
      <c r="I188" s="14" t="s">
        <v>880</v>
      </c>
      <c r="J188" s="14" t="s">
        <v>889</v>
      </c>
      <c r="K188" s="14" t="s">
        <v>882</v>
      </c>
      <c r="L188" s="772">
        <v>100</v>
      </c>
    </row>
    <row r="189" spans="1:12" x14ac:dyDescent="0.35">
      <c r="A189" s="14">
        <v>1010</v>
      </c>
      <c r="B189" s="14">
        <v>100</v>
      </c>
      <c r="C189" s="14">
        <v>2100</v>
      </c>
      <c r="D189" s="14">
        <v>6222</v>
      </c>
      <c r="G189" s="775">
        <v>140.99</v>
      </c>
      <c r="H189" s="14" t="s">
        <v>877</v>
      </c>
      <c r="I189" s="14" t="s">
        <v>880</v>
      </c>
      <c r="J189" s="14" t="s">
        <v>889</v>
      </c>
      <c r="K189" s="14" t="s">
        <v>882</v>
      </c>
      <c r="L189" s="772">
        <v>100</v>
      </c>
    </row>
    <row r="190" spans="1:12" x14ac:dyDescent="0.35">
      <c r="A190" s="14">
        <v>1010</v>
      </c>
      <c r="B190" s="14">
        <v>100</v>
      </c>
      <c r="C190" s="14">
        <v>2100</v>
      </c>
      <c r="D190" s="14">
        <v>6230</v>
      </c>
      <c r="G190" s="775">
        <v>1177.5999999999999</v>
      </c>
      <c r="H190" s="14" t="s">
        <v>877</v>
      </c>
      <c r="I190" s="14" t="s">
        <v>880</v>
      </c>
      <c r="J190" s="14" t="s">
        <v>889</v>
      </c>
      <c r="K190" s="14" t="s">
        <v>882</v>
      </c>
      <c r="L190" s="772">
        <v>100</v>
      </c>
    </row>
    <row r="191" spans="1:12" x14ac:dyDescent="0.35">
      <c r="A191" s="14">
        <v>1010</v>
      </c>
      <c r="B191" s="14">
        <v>100</v>
      </c>
      <c r="C191" s="14">
        <v>2200</v>
      </c>
      <c r="D191" s="14">
        <v>6151</v>
      </c>
      <c r="G191" s="775">
        <v>30531.63</v>
      </c>
      <c r="H191" s="14" t="s">
        <v>877</v>
      </c>
      <c r="I191" s="14" t="s">
        <v>880</v>
      </c>
      <c r="J191" s="14" t="s">
        <v>893</v>
      </c>
      <c r="K191" s="14" t="s">
        <v>878</v>
      </c>
      <c r="L191" s="772">
        <v>100</v>
      </c>
    </row>
    <row r="192" spans="1:12" x14ac:dyDescent="0.35">
      <c r="A192" s="14">
        <v>1000</v>
      </c>
      <c r="B192" s="14">
        <v>100</v>
      </c>
      <c r="C192" s="14">
        <v>2220</v>
      </c>
      <c r="D192" s="14">
        <v>6222</v>
      </c>
      <c r="G192" s="775">
        <v>41.28</v>
      </c>
      <c r="H192" s="14" t="s">
        <v>876</v>
      </c>
      <c r="I192" s="14" t="s">
        <v>880</v>
      </c>
      <c r="J192" s="14" t="s">
        <v>897</v>
      </c>
      <c r="K192" s="14" t="s">
        <v>882</v>
      </c>
      <c r="L192" s="772">
        <v>200</v>
      </c>
    </row>
    <row r="193" spans="1:12" x14ac:dyDescent="0.35">
      <c r="A193" s="14">
        <v>1000</v>
      </c>
      <c r="B193" s="14">
        <v>100</v>
      </c>
      <c r="C193" s="14">
        <v>2400</v>
      </c>
      <c r="D193" s="14">
        <v>6222</v>
      </c>
      <c r="G193" s="775">
        <v>1581.05</v>
      </c>
      <c r="H193" s="14" t="s">
        <v>876</v>
      </c>
      <c r="I193" s="14" t="s">
        <v>880</v>
      </c>
      <c r="J193" s="14" t="s">
        <v>909</v>
      </c>
      <c r="K193" s="14" t="s">
        <v>882</v>
      </c>
      <c r="L193" s="772">
        <v>100</v>
      </c>
    </row>
    <row r="194" spans="1:12" x14ac:dyDescent="0.35">
      <c r="A194" s="14">
        <v>1000</v>
      </c>
      <c r="B194" s="14">
        <v>100</v>
      </c>
      <c r="C194" s="14">
        <v>2400</v>
      </c>
      <c r="D194" s="14">
        <v>6222</v>
      </c>
      <c r="G194" s="775">
        <v>1568.27</v>
      </c>
      <c r="H194" s="14" t="s">
        <v>876</v>
      </c>
      <c r="I194" s="14" t="s">
        <v>880</v>
      </c>
      <c r="J194" s="14" t="s">
        <v>909</v>
      </c>
      <c r="K194" s="14" t="s">
        <v>882</v>
      </c>
      <c r="L194" s="772">
        <v>200</v>
      </c>
    </row>
    <row r="195" spans="1:12" x14ac:dyDescent="0.35">
      <c r="A195" s="14">
        <v>1000</v>
      </c>
      <c r="B195" s="14">
        <v>200</v>
      </c>
      <c r="C195" s="14">
        <v>2400</v>
      </c>
      <c r="D195" s="14">
        <v>6222</v>
      </c>
      <c r="G195" s="775">
        <v>722.8</v>
      </c>
      <c r="H195" s="14" t="s">
        <v>876</v>
      </c>
      <c r="I195" s="14" t="s">
        <v>884</v>
      </c>
      <c r="J195" s="14" t="s">
        <v>909</v>
      </c>
      <c r="K195" s="14" t="s">
        <v>882</v>
      </c>
      <c r="L195" s="772">
        <v>100</v>
      </c>
    </row>
    <row r="196" spans="1:12" x14ac:dyDescent="0.35">
      <c r="A196" s="14">
        <v>1000</v>
      </c>
      <c r="B196" s="14">
        <v>100</v>
      </c>
      <c r="C196" s="14">
        <v>2500</v>
      </c>
      <c r="D196" s="14">
        <v>6222</v>
      </c>
      <c r="G196" s="775">
        <v>4655.34</v>
      </c>
      <c r="H196" s="14" t="s">
        <v>876</v>
      </c>
      <c r="I196" s="14" t="s">
        <v>880</v>
      </c>
      <c r="J196" s="14" t="s">
        <v>913</v>
      </c>
      <c r="K196" s="14" t="s">
        <v>882</v>
      </c>
      <c r="L196" s="772">
        <v>100</v>
      </c>
    </row>
    <row r="197" spans="1:12" x14ac:dyDescent="0.35">
      <c r="A197" s="14">
        <v>1000</v>
      </c>
      <c r="B197" s="14">
        <v>100</v>
      </c>
      <c r="C197" s="14">
        <v>2600</v>
      </c>
      <c r="D197" s="14">
        <v>6222</v>
      </c>
      <c r="G197" s="775">
        <v>148.41</v>
      </c>
      <c r="H197" s="14" t="s">
        <v>876</v>
      </c>
      <c r="I197" s="14" t="s">
        <v>880</v>
      </c>
      <c r="J197" s="14" t="s">
        <v>917</v>
      </c>
      <c r="K197" s="14" t="s">
        <v>882</v>
      </c>
      <c r="L197" s="772">
        <v>200</v>
      </c>
    </row>
    <row r="198" spans="1:12" x14ac:dyDescent="0.35">
      <c r="A198" s="14">
        <v>1000</v>
      </c>
      <c r="B198" s="14">
        <v>100</v>
      </c>
      <c r="C198" s="14">
        <v>2600</v>
      </c>
      <c r="D198" s="14">
        <v>6230</v>
      </c>
      <c r="G198" s="775">
        <v>3494.94</v>
      </c>
      <c r="H198" s="14" t="s">
        <v>876</v>
      </c>
      <c r="I198" s="14" t="s">
        <v>880</v>
      </c>
      <c r="J198" s="14" t="s">
        <v>917</v>
      </c>
      <c r="K198" s="14" t="s">
        <v>882</v>
      </c>
      <c r="L198" s="772">
        <v>100</v>
      </c>
    </row>
    <row r="199" spans="1:12" x14ac:dyDescent="0.35">
      <c r="A199" s="14">
        <v>1000</v>
      </c>
      <c r="B199" s="14">
        <v>100</v>
      </c>
      <c r="C199" s="14">
        <v>2600</v>
      </c>
      <c r="D199" s="14">
        <v>6230</v>
      </c>
      <c r="G199" s="775">
        <v>7933.41</v>
      </c>
      <c r="H199" s="14" t="s">
        <v>876</v>
      </c>
      <c r="I199" s="14" t="s">
        <v>880</v>
      </c>
      <c r="J199" s="14" t="s">
        <v>917</v>
      </c>
      <c r="K199" s="14" t="s">
        <v>882</v>
      </c>
      <c r="L199" s="772">
        <v>100</v>
      </c>
    </row>
    <row r="200" spans="1:12" x14ac:dyDescent="0.35">
      <c r="A200" s="14">
        <v>1000</v>
      </c>
      <c r="B200" s="14">
        <v>400</v>
      </c>
      <c r="C200" s="14">
        <v>2700</v>
      </c>
      <c r="D200" s="14">
        <v>6235</v>
      </c>
      <c r="G200" s="775">
        <v>3.94</v>
      </c>
      <c r="H200" s="14" t="s">
        <v>876</v>
      </c>
      <c r="I200" s="14" t="s">
        <v>900</v>
      </c>
      <c r="J200" s="14" t="s">
        <v>921</v>
      </c>
      <c r="K200" s="14" t="s">
        <v>882</v>
      </c>
      <c r="L200" s="772">
        <v>200</v>
      </c>
    </row>
    <row r="201" spans="1:12" x14ac:dyDescent="0.35">
      <c r="A201" s="14">
        <v>1010</v>
      </c>
      <c r="B201" s="14">
        <v>100</v>
      </c>
      <c r="C201" s="14">
        <v>1000</v>
      </c>
      <c r="D201" s="14">
        <v>6230</v>
      </c>
      <c r="G201" s="775">
        <v>1491.66</v>
      </c>
      <c r="H201" s="14" t="s">
        <v>877</v>
      </c>
      <c r="I201" s="14" t="s">
        <v>880</v>
      </c>
      <c r="J201" s="14" t="s">
        <v>881</v>
      </c>
      <c r="K201" s="14" t="s">
        <v>882</v>
      </c>
      <c r="L201" s="772">
        <v>100</v>
      </c>
    </row>
    <row r="202" spans="1:12" x14ac:dyDescent="0.35">
      <c r="A202" s="14">
        <v>1010</v>
      </c>
      <c r="B202" s="14">
        <v>100</v>
      </c>
      <c r="C202" s="14">
        <v>1000</v>
      </c>
      <c r="D202" s="14">
        <v>6230</v>
      </c>
      <c r="G202" s="775">
        <v>3245.67</v>
      </c>
      <c r="H202" s="14" t="s">
        <v>877</v>
      </c>
      <c r="I202" s="14" t="s">
        <v>880</v>
      </c>
      <c r="J202" s="14" t="s">
        <v>881</v>
      </c>
      <c r="K202" s="14" t="s">
        <v>882</v>
      </c>
      <c r="L202" s="772">
        <v>100</v>
      </c>
    </row>
    <row r="203" spans="1:12" x14ac:dyDescent="0.35">
      <c r="A203" s="14">
        <v>1010</v>
      </c>
      <c r="B203" s="14">
        <v>100</v>
      </c>
      <c r="C203" s="14">
        <v>1000</v>
      </c>
      <c r="D203" s="14">
        <v>6230</v>
      </c>
      <c r="G203" s="775">
        <v>1090.6500000000001</v>
      </c>
      <c r="H203" s="14" t="s">
        <v>877</v>
      </c>
      <c r="I203" s="14" t="s">
        <v>880</v>
      </c>
      <c r="J203" s="14" t="s">
        <v>881</v>
      </c>
      <c r="K203" s="14" t="s">
        <v>882</v>
      </c>
      <c r="L203" s="772">
        <v>200</v>
      </c>
    </row>
    <row r="204" spans="1:12" x14ac:dyDescent="0.35">
      <c r="A204" s="14">
        <v>1010</v>
      </c>
      <c r="B204" s="14">
        <v>100</v>
      </c>
      <c r="C204" s="14">
        <v>1000</v>
      </c>
      <c r="D204" s="14">
        <v>6235</v>
      </c>
      <c r="G204" s="775">
        <v>18.43</v>
      </c>
      <c r="H204" s="14" t="s">
        <v>877</v>
      </c>
      <c r="I204" s="14" t="s">
        <v>880</v>
      </c>
      <c r="J204" s="14" t="s">
        <v>881</v>
      </c>
      <c r="K204" s="14" t="s">
        <v>882</v>
      </c>
      <c r="L204" s="772">
        <v>100</v>
      </c>
    </row>
    <row r="205" spans="1:12" x14ac:dyDescent="0.35">
      <c r="A205" s="14">
        <v>1010</v>
      </c>
      <c r="B205" s="14">
        <v>100</v>
      </c>
      <c r="C205" s="14">
        <v>1000</v>
      </c>
      <c r="D205" s="14">
        <v>6235</v>
      </c>
      <c r="G205" s="775">
        <v>40.07</v>
      </c>
      <c r="H205" s="14" t="s">
        <v>877</v>
      </c>
      <c r="I205" s="14" t="s">
        <v>880</v>
      </c>
      <c r="J205" s="14" t="s">
        <v>881</v>
      </c>
      <c r="K205" s="14" t="s">
        <v>882</v>
      </c>
      <c r="L205" s="772">
        <v>100</v>
      </c>
    </row>
    <row r="206" spans="1:12" x14ac:dyDescent="0.35">
      <c r="A206" s="14">
        <v>1010</v>
      </c>
      <c r="B206" s="14">
        <v>100</v>
      </c>
      <c r="C206" s="14">
        <v>2100</v>
      </c>
      <c r="D206" s="14">
        <v>6235</v>
      </c>
      <c r="G206" s="775">
        <v>14.49</v>
      </c>
      <c r="H206" s="14" t="s">
        <v>877</v>
      </c>
      <c r="I206" s="14" t="s">
        <v>880</v>
      </c>
      <c r="J206" s="14" t="s">
        <v>889</v>
      </c>
      <c r="K206" s="14" t="s">
        <v>882</v>
      </c>
      <c r="L206" s="772">
        <v>100</v>
      </c>
    </row>
    <row r="207" spans="1:12" x14ac:dyDescent="0.35">
      <c r="A207" s="14">
        <v>1010</v>
      </c>
      <c r="B207" s="14">
        <v>100</v>
      </c>
      <c r="C207" s="14">
        <v>2200</v>
      </c>
      <c r="D207" s="14">
        <v>6210</v>
      </c>
      <c r="G207" s="775">
        <v>5559.76</v>
      </c>
      <c r="H207" s="14" t="s">
        <v>877</v>
      </c>
      <c r="I207" s="14" t="s">
        <v>880</v>
      </c>
      <c r="J207" s="14" t="s">
        <v>893</v>
      </c>
      <c r="K207" s="14" t="s">
        <v>882</v>
      </c>
      <c r="L207" s="772">
        <v>100</v>
      </c>
    </row>
    <row r="208" spans="1:12" x14ac:dyDescent="0.35">
      <c r="A208" s="14">
        <v>1010</v>
      </c>
      <c r="B208" s="14">
        <v>100</v>
      </c>
      <c r="C208" s="14">
        <v>1000</v>
      </c>
      <c r="D208" s="14">
        <v>6235</v>
      </c>
      <c r="G208" s="775">
        <v>13.47</v>
      </c>
      <c r="H208" s="14" t="s">
        <v>877</v>
      </c>
      <c r="I208" s="14" t="s">
        <v>880</v>
      </c>
      <c r="J208" s="14" t="s">
        <v>881</v>
      </c>
      <c r="K208" s="14" t="s">
        <v>882</v>
      </c>
      <c r="L208" s="772">
        <v>200</v>
      </c>
    </row>
    <row r="209" spans="1:12" x14ac:dyDescent="0.35">
      <c r="A209" s="14">
        <v>1010</v>
      </c>
      <c r="B209" s="14">
        <v>100</v>
      </c>
      <c r="C209" s="14">
        <v>1000</v>
      </c>
      <c r="D209" s="14">
        <v>6250</v>
      </c>
      <c r="G209" s="775">
        <v>2.71</v>
      </c>
      <c r="H209" s="14" t="s">
        <v>877</v>
      </c>
      <c r="I209" s="14" t="s">
        <v>880</v>
      </c>
      <c r="J209" s="14" t="s">
        <v>881</v>
      </c>
      <c r="K209" s="14" t="s">
        <v>882</v>
      </c>
      <c r="L209" s="772">
        <v>100</v>
      </c>
    </row>
    <row r="210" spans="1:12" x14ac:dyDescent="0.35">
      <c r="A210" s="14">
        <v>1010</v>
      </c>
      <c r="B210" s="14">
        <v>100</v>
      </c>
      <c r="C210" s="14">
        <v>1000</v>
      </c>
      <c r="D210" s="14">
        <v>6325</v>
      </c>
      <c r="G210" s="775">
        <v>8236.9</v>
      </c>
      <c r="H210" s="14" t="s">
        <v>877</v>
      </c>
      <c r="I210" s="14" t="s">
        <v>880</v>
      </c>
      <c r="J210" s="14" t="s">
        <v>881</v>
      </c>
      <c r="K210" s="14" t="s">
        <v>886</v>
      </c>
      <c r="L210" s="772">
        <v>100</v>
      </c>
    </row>
    <row r="211" spans="1:12" x14ac:dyDescent="0.35">
      <c r="A211" s="14">
        <v>1020</v>
      </c>
      <c r="B211" s="14">
        <v>100</v>
      </c>
      <c r="C211" s="14">
        <v>1000</v>
      </c>
      <c r="D211" s="14">
        <v>6152</v>
      </c>
      <c r="G211" s="775">
        <v>6000</v>
      </c>
      <c r="H211" s="14" t="s">
        <v>879</v>
      </c>
      <c r="I211" s="14" t="s">
        <v>880</v>
      </c>
      <c r="J211" s="14" t="s">
        <v>881</v>
      </c>
      <c r="K211" s="14" t="s">
        <v>878</v>
      </c>
      <c r="L211" s="772">
        <v>100</v>
      </c>
    </row>
    <row r="212" spans="1:12" x14ac:dyDescent="0.35">
      <c r="A212" s="14">
        <v>1010</v>
      </c>
      <c r="B212" s="14">
        <v>100</v>
      </c>
      <c r="C212" s="14">
        <v>2100</v>
      </c>
      <c r="D212" s="14">
        <v>6250</v>
      </c>
      <c r="G212" s="775">
        <v>1</v>
      </c>
      <c r="H212" s="14" t="s">
        <v>877</v>
      </c>
      <c r="I212" s="14" t="s">
        <v>880</v>
      </c>
      <c r="J212" s="14" t="s">
        <v>889</v>
      </c>
      <c r="K212" s="14" t="s">
        <v>882</v>
      </c>
      <c r="L212" s="772">
        <v>100</v>
      </c>
    </row>
    <row r="213" spans="1:12" x14ac:dyDescent="0.35">
      <c r="A213" s="14">
        <v>1110</v>
      </c>
      <c r="B213" s="14">
        <v>100</v>
      </c>
      <c r="C213" s="14">
        <v>2100</v>
      </c>
      <c r="D213" s="14">
        <v>6114</v>
      </c>
      <c r="G213" s="775">
        <v>17500</v>
      </c>
      <c r="H213" s="14" t="s">
        <v>891</v>
      </c>
      <c r="I213" s="14" t="s">
        <v>880</v>
      </c>
      <c r="J213" s="14" t="s">
        <v>889</v>
      </c>
      <c r="K213" s="14" t="s">
        <v>878</v>
      </c>
      <c r="L213" s="772">
        <v>100</v>
      </c>
    </row>
    <row r="214" spans="1:12" x14ac:dyDescent="0.35">
      <c r="A214" s="14">
        <v>1020</v>
      </c>
      <c r="B214" s="14">
        <v>100</v>
      </c>
      <c r="C214" s="14">
        <v>1000</v>
      </c>
      <c r="D214" s="14">
        <v>6221</v>
      </c>
      <c r="G214" s="775">
        <v>372</v>
      </c>
      <c r="H214" s="14" t="s">
        <v>879</v>
      </c>
      <c r="I214" s="14" t="s">
        <v>880</v>
      </c>
      <c r="J214" s="14" t="s">
        <v>881</v>
      </c>
      <c r="K214" s="14" t="s">
        <v>882</v>
      </c>
      <c r="L214" s="772">
        <v>100</v>
      </c>
    </row>
    <row r="215" spans="1:12" x14ac:dyDescent="0.35">
      <c r="A215" s="14">
        <v>1020</v>
      </c>
      <c r="B215" s="14">
        <v>100</v>
      </c>
      <c r="C215" s="14">
        <v>1000</v>
      </c>
      <c r="D215" s="14">
        <v>6222</v>
      </c>
      <c r="G215" s="775">
        <v>87</v>
      </c>
      <c r="H215" s="14" t="s">
        <v>879</v>
      </c>
      <c r="I215" s="14" t="s">
        <v>880</v>
      </c>
      <c r="J215" s="14" t="s">
        <v>881</v>
      </c>
      <c r="K215" s="14" t="s">
        <v>882</v>
      </c>
      <c r="L215" s="772">
        <v>100</v>
      </c>
    </row>
    <row r="216" spans="1:12" x14ac:dyDescent="0.35">
      <c r="A216" s="14">
        <v>1110</v>
      </c>
      <c r="B216" s="14">
        <v>100</v>
      </c>
      <c r="C216" s="14">
        <v>2100</v>
      </c>
      <c r="D216" s="14">
        <v>6114</v>
      </c>
      <c r="G216" s="775">
        <v>7500</v>
      </c>
      <c r="H216" s="14" t="s">
        <v>891</v>
      </c>
      <c r="I216" s="14" t="s">
        <v>880</v>
      </c>
      <c r="J216" s="14" t="s">
        <v>889</v>
      </c>
      <c r="K216" s="14" t="s">
        <v>878</v>
      </c>
      <c r="L216" s="772">
        <v>200</v>
      </c>
    </row>
    <row r="217" spans="1:12" x14ac:dyDescent="0.35">
      <c r="A217" s="14">
        <v>1110</v>
      </c>
      <c r="B217" s="14">
        <v>100</v>
      </c>
      <c r="C217" s="14">
        <v>2100</v>
      </c>
      <c r="D217" s="14">
        <v>6151</v>
      </c>
      <c r="G217" s="775">
        <v>15000</v>
      </c>
      <c r="H217" s="14" t="s">
        <v>891</v>
      </c>
      <c r="I217" s="14" t="s">
        <v>880</v>
      </c>
      <c r="J217" s="14" t="s">
        <v>889</v>
      </c>
      <c r="K217" s="14" t="s">
        <v>878</v>
      </c>
      <c r="L217" s="772">
        <v>100</v>
      </c>
    </row>
    <row r="218" spans="1:12" x14ac:dyDescent="0.35">
      <c r="A218" s="14">
        <v>1110</v>
      </c>
      <c r="B218" s="14">
        <v>100</v>
      </c>
      <c r="C218" s="14">
        <v>2100</v>
      </c>
      <c r="D218" s="14">
        <v>6151</v>
      </c>
      <c r="G218" s="775">
        <v>5000</v>
      </c>
      <c r="H218" s="14" t="s">
        <v>891</v>
      </c>
      <c r="I218" s="14" t="s">
        <v>880</v>
      </c>
      <c r="J218" s="14" t="s">
        <v>889</v>
      </c>
      <c r="K218" s="14" t="s">
        <v>878</v>
      </c>
      <c r="L218" s="772">
        <v>200</v>
      </c>
    </row>
    <row r="219" spans="1:12" x14ac:dyDescent="0.35">
      <c r="A219" s="14">
        <v>1510</v>
      </c>
      <c r="B219" s="14">
        <v>100</v>
      </c>
      <c r="C219" s="14">
        <v>3100</v>
      </c>
      <c r="D219" s="14">
        <v>6222</v>
      </c>
      <c r="G219" s="775">
        <v>305.68</v>
      </c>
      <c r="H219" s="14" t="s">
        <v>983</v>
      </c>
      <c r="I219" s="14" t="s">
        <v>880</v>
      </c>
      <c r="J219" s="14" t="s">
        <v>929</v>
      </c>
      <c r="K219" s="14" t="s">
        <v>882</v>
      </c>
      <c r="L219" s="772">
        <v>100</v>
      </c>
    </row>
    <row r="220" spans="1:12" x14ac:dyDescent="0.35">
      <c r="A220" s="14">
        <v>1510</v>
      </c>
      <c r="B220" s="14">
        <v>100</v>
      </c>
      <c r="C220" s="14">
        <v>3100</v>
      </c>
      <c r="D220" s="14">
        <v>6222</v>
      </c>
      <c r="G220" s="775">
        <v>57.27</v>
      </c>
      <c r="H220" s="14" t="s">
        <v>983</v>
      </c>
      <c r="I220" s="14" t="s">
        <v>880</v>
      </c>
      <c r="J220" s="14" t="s">
        <v>929</v>
      </c>
      <c r="K220" s="14" t="s">
        <v>882</v>
      </c>
      <c r="L220" s="772">
        <v>200</v>
      </c>
    </row>
    <row r="221" spans="1:12" x14ac:dyDescent="0.35">
      <c r="A221" s="14">
        <v>1000</v>
      </c>
      <c r="B221" s="14">
        <v>400</v>
      </c>
      <c r="C221" s="14">
        <v>2700</v>
      </c>
      <c r="D221" s="14">
        <v>6250</v>
      </c>
      <c r="G221" s="775">
        <v>0.24</v>
      </c>
      <c r="H221" s="14" t="s">
        <v>876</v>
      </c>
      <c r="I221" s="14" t="s">
        <v>900</v>
      </c>
      <c r="J221" s="14" t="s">
        <v>921</v>
      </c>
      <c r="K221" s="14" t="s">
        <v>882</v>
      </c>
      <c r="L221" s="772">
        <v>200</v>
      </c>
    </row>
    <row r="222" spans="1:12" x14ac:dyDescent="0.35">
      <c r="A222" s="14">
        <v>1529</v>
      </c>
      <c r="B222" s="14">
        <v>100</v>
      </c>
      <c r="C222" s="14">
        <v>2400</v>
      </c>
      <c r="D222" s="14">
        <v>6222</v>
      </c>
      <c r="G222" s="775">
        <v>725.04</v>
      </c>
      <c r="H222" s="14" t="s">
        <v>983</v>
      </c>
      <c r="I222" s="14" t="s">
        <v>880</v>
      </c>
      <c r="J222" s="14" t="s">
        <v>909</v>
      </c>
      <c r="K222" s="14" t="s">
        <v>882</v>
      </c>
      <c r="L222" s="772">
        <v>100</v>
      </c>
    </row>
    <row r="223" spans="1:12" x14ac:dyDescent="0.35">
      <c r="A223" s="14">
        <v>1000</v>
      </c>
      <c r="B223" s="14">
        <v>100</v>
      </c>
      <c r="C223" s="14">
        <v>2600</v>
      </c>
      <c r="D223" s="14">
        <v>6230</v>
      </c>
      <c r="G223" s="775">
        <v>1246.6400000000001</v>
      </c>
      <c r="H223" s="14" t="s">
        <v>876</v>
      </c>
      <c r="I223" s="14" t="s">
        <v>880</v>
      </c>
      <c r="J223" s="14" t="s">
        <v>917</v>
      </c>
      <c r="K223" s="14" t="s">
        <v>882</v>
      </c>
      <c r="L223" s="772">
        <v>200</v>
      </c>
    </row>
    <row r="224" spans="1:12" x14ac:dyDescent="0.35">
      <c r="A224" s="14">
        <v>1110</v>
      </c>
      <c r="B224" s="14">
        <v>100</v>
      </c>
      <c r="C224" s="14">
        <v>1000</v>
      </c>
      <c r="D224" s="14">
        <v>6152</v>
      </c>
      <c r="G224" s="775">
        <v>13850</v>
      </c>
      <c r="H224" s="14" t="s">
        <v>891</v>
      </c>
      <c r="I224" s="14" t="s">
        <v>880</v>
      </c>
      <c r="J224" s="14" t="s">
        <v>881</v>
      </c>
      <c r="K224" s="14" t="s">
        <v>878</v>
      </c>
      <c r="L224" s="772">
        <v>100</v>
      </c>
    </row>
    <row r="225" spans="1:12" x14ac:dyDescent="0.35">
      <c r="A225" s="14">
        <v>1110</v>
      </c>
      <c r="B225" s="14">
        <v>100</v>
      </c>
      <c r="C225" s="14">
        <v>1000</v>
      </c>
      <c r="D225" s="14">
        <v>6221</v>
      </c>
      <c r="G225" s="775">
        <v>429.4</v>
      </c>
      <c r="H225" s="14" t="s">
        <v>891</v>
      </c>
      <c r="I225" s="14" t="s">
        <v>880</v>
      </c>
      <c r="J225" s="14" t="s">
        <v>881</v>
      </c>
      <c r="K225" s="14" t="s">
        <v>882</v>
      </c>
      <c r="L225" s="772">
        <v>100</v>
      </c>
    </row>
    <row r="226" spans="1:12" x14ac:dyDescent="0.35">
      <c r="A226" s="14">
        <v>1110</v>
      </c>
      <c r="B226" s="14">
        <v>100</v>
      </c>
      <c r="C226" s="14">
        <v>1000</v>
      </c>
      <c r="D226" s="14">
        <v>6222</v>
      </c>
      <c r="G226" s="775">
        <v>105.56</v>
      </c>
      <c r="H226" s="14" t="s">
        <v>891</v>
      </c>
      <c r="I226" s="14" t="s">
        <v>880</v>
      </c>
      <c r="J226" s="14" t="s">
        <v>881</v>
      </c>
      <c r="K226" s="14" t="s">
        <v>882</v>
      </c>
      <c r="L226" s="772">
        <v>100</v>
      </c>
    </row>
    <row r="227" spans="1:12" x14ac:dyDescent="0.35">
      <c r="A227" s="14">
        <v>1110</v>
      </c>
      <c r="B227" s="14">
        <v>100</v>
      </c>
      <c r="C227" s="14">
        <v>1000</v>
      </c>
      <c r="D227" s="14">
        <v>6230</v>
      </c>
      <c r="G227" s="775">
        <v>839.3</v>
      </c>
      <c r="H227" s="14" t="s">
        <v>891</v>
      </c>
      <c r="I227" s="14" t="s">
        <v>880</v>
      </c>
      <c r="J227" s="14" t="s">
        <v>881</v>
      </c>
      <c r="K227" s="14" t="s">
        <v>882</v>
      </c>
      <c r="L227" s="772">
        <v>100</v>
      </c>
    </row>
    <row r="228" spans="1:12" x14ac:dyDescent="0.35">
      <c r="A228" s="14">
        <v>1110</v>
      </c>
      <c r="B228" s="14">
        <v>100</v>
      </c>
      <c r="C228" s="14">
        <v>1000</v>
      </c>
      <c r="D228" s="14">
        <v>6235</v>
      </c>
      <c r="G228" s="775">
        <v>10.4</v>
      </c>
      <c r="H228" s="14" t="s">
        <v>891</v>
      </c>
      <c r="I228" s="14" t="s">
        <v>880</v>
      </c>
      <c r="J228" s="14" t="s">
        <v>881</v>
      </c>
      <c r="K228" s="14" t="s">
        <v>882</v>
      </c>
      <c r="L228" s="772">
        <v>100</v>
      </c>
    </row>
    <row r="229" spans="1:12" x14ac:dyDescent="0.35">
      <c r="A229" s="14">
        <v>1110</v>
      </c>
      <c r="B229" s="14">
        <v>100</v>
      </c>
      <c r="C229" s="14">
        <v>1000</v>
      </c>
      <c r="D229" s="14">
        <v>6250</v>
      </c>
      <c r="G229" s="775">
        <v>0.34</v>
      </c>
      <c r="H229" s="14" t="s">
        <v>891</v>
      </c>
      <c r="I229" s="14" t="s">
        <v>880</v>
      </c>
      <c r="J229" s="14" t="s">
        <v>881</v>
      </c>
      <c r="K229" s="14" t="s">
        <v>882</v>
      </c>
      <c r="L229" s="772">
        <v>100</v>
      </c>
    </row>
    <row r="230" spans="1:12" x14ac:dyDescent="0.35">
      <c r="A230" s="14">
        <v>1110</v>
      </c>
      <c r="B230" s="14">
        <v>100</v>
      </c>
      <c r="C230" s="14">
        <v>2100</v>
      </c>
      <c r="D230" s="14">
        <v>6221</v>
      </c>
      <c r="G230" s="775">
        <v>1081.8499999999999</v>
      </c>
      <c r="H230" s="14" t="s">
        <v>891</v>
      </c>
      <c r="I230" s="14" t="s">
        <v>880</v>
      </c>
      <c r="J230" s="14" t="s">
        <v>889</v>
      </c>
      <c r="K230" s="14" t="s">
        <v>882</v>
      </c>
      <c r="L230" s="772">
        <v>100</v>
      </c>
    </row>
    <row r="231" spans="1:12" x14ac:dyDescent="0.35">
      <c r="A231" s="14">
        <v>1110</v>
      </c>
      <c r="B231" s="14">
        <v>100</v>
      </c>
      <c r="C231" s="14">
        <v>2100</v>
      </c>
      <c r="D231" s="14">
        <v>6221</v>
      </c>
      <c r="G231" s="775">
        <v>290.02999999999997</v>
      </c>
      <c r="H231" s="14" t="s">
        <v>891</v>
      </c>
      <c r="I231" s="14" t="s">
        <v>880</v>
      </c>
      <c r="J231" s="14" t="s">
        <v>889</v>
      </c>
      <c r="K231" s="14" t="s">
        <v>882</v>
      </c>
      <c r="L231" s="772">
        <v>200</v>
      </c>
    </row>
    <row r="232" spans="1:12" x14ac:dyDescent="0.35">
      <c r="A232" s="14">
        <v>1110</v>
      </c>
      <c r="B232" s="14">
        <v>100</v>
      </c>
      <c r="C232" s="14">
        <v>2100</v>
      </c>
      <c r="D232" s="14">
        <v>6222</v>
      </c>
      <c r="G232" s="775">
        <v>253</v>
      </c>
      <c r="H232" s="14" t="s">
        <v>891</v>
      </c>
      <c r="I232" s="14" t="s">
        <v>880</v>
      </c>
      <c r="J232" s="14" t="s">
        <v>889</v>
      </c>
      <c r="K232" s="14" t="s">
        <v>882</v>
      </c>
      <c r="L232" s="772">
        <v>100</v>
      </c>
    </row>
    <row r="233" spans="1:12" x14ac:dyDescent="0.35">
      <c r="A233" s="14">
        <v>1110</v>
      </c>
      <c r="B233" s="14">
        <v>100</v>
      </c>
      <c r="C233" s="14">
        <v>2100</v>
      </c>
      <c r="D233" s="14">
        <v>6222</v>
      </c>
      <c r="G233" s="775">
        <v>70.319999999999993</v>
      </c>
      <c r="H233" s="14" t="s">
        <v>891</v>
      </c>
      <c r="I233" s="14" t="s">
        <v>880</v>
      </c>
      <c r="J233" s="14" t="s">
        <v>889</v>
      </c>
      <c r="K233" s="14" t="s">
        <v>882</v>
      </c>
      <c r="L233" s="772">
        <v>200</v>
      </c>
    </row>
    <row r="234" spans="1:12" x14ac:dyDescent="0.35">
      <c r="A234" s="14">
        <v>1010</v>
      </c>
      <c r="B234" s="14">
        <v>100</v>
      </c>
      <c r="C234" s="14">
        <v>2200</v>
      </c>
      <c r="D234" s="14">
        <v>6221</v>
      </c>
      <c r="G234" s="775">
        <v>1983.47</v>
      </c>
      <c r="H234" s="14" t="s">
        <v>877</v>
      </c>
      <c r="I234" s="14" t="s">
        <v>880</v>
      </c>
      <c r="J234" s="14" t="s">
        <v>893</v>
      </c>
      <c r="K234" s="14" t="s">
        <v>882</v>
      </c>
      <c r="L234" s="772">
        <v>100</v>
      </c>
    </row>
    <row r="235" spans="1:12" x14ac:dyDescent="0.35">
      <c r="A235" s="14">
        <v>1000</v>
      </c>
      <c r="B235" s="14">
        <v>100</v>
      </c>
      <c r="C235" s="14">
        <v>2220</v>
      </c>
      <c r="D235" s="14">
        <v>6230</v>
      </c>
      <c r="G235" s="775">
        <v>364.56</v>
      </c>
      <c r="H235" s="14" t="s">
        <v>876</v>
      </c>
      <c r="I235" s="14" t="s">
        <v>880</v>
      </c>
      <c r="J235" s="14" t="s">
        <v>897</v>
      </c>
      <c r="K235" s="14" t="s">
        <v>882</v>
      </c>
      <c r="L235" s="772">
        <v>200</v>
      </c>
    </row>
    <row r="236" spans="1:12" x14ac:dyDescent="0.35">
      <c r="A236" s="14">
        <v>1000</v>
      </c>
      <c r="B236" s="14">
        <v>100</v>
      </c>
      <c r="C236" s="14">
        <v>2400</v>
      </c>
      <c r="D236" s="14">
        <v>6230</v>
      </c>
      <c r="G236" s="775">
        <v>10381.36</v>
      </c>
      <c r="H236" s="14" t="s">
        <v>876</v>
      </c>
      <c r="I236" s="14" t="s">
        <v>880</v>
      </c>
      <c r="J236" s="14" t="s">
        <v>909</v>
      </c>
      <c r="K236" s="14" t="s">
        <v>882</v>
      </c>
      <c r="L236" s="772">
        <v>100</v>
      </c>
    </row>
    <row r="237" spans="1:12" x14ac:dyDescent="0.35">
      <c r="A237" s="14">
        <v>1000</v>
      </c>
      <c r="B237" s="14">
        <v>100</v>
      </c>
      <c r="C237" s="14">
        <v>2400</v>
      </c>
      <c r="D237" s="14">
        <v>6230</v>
      </c>
      <c r="G237" s="775">
        <v>13278.67</v>
      </c>
      <c r="H237" s="14" t="s">
        <v>876</v>
      </c>
      <c r="I237" s="14" t="s">
        <v>880</v>
      </c>
      <c r="J237" s="14" t="s">
        <v>909</v>
      </c>
      <c r="K237" s="14" t="s">
        <v>882</v>
      </c>
      <c r="L237" s="772">
        <v>200</v>
      </c>
    </row>
    <row r="238" spans="1:12" x14ac:dyDescent="0.35">
      <c r="A238" s="14">
        <v>1000</v>
      </c>
      <c r="B238" s="14">
        <v>200</v>
      </c>
      <c r="C238" s="14">
        <v>2400</v>
      </c>
      <c r="D238" s="14">
        <v>6230</v>
      </c>
      <c r="G238" s="775">
        <v>5313.84</v>
      </c>
      <c r="H238" s="14" t="s">
        <v>876</v>
      </c>
      <c r="I238" s="14" t="s">
        <v>884</v>
      </c>
      <c r="J238" s="14" t="s">
        <v>909</v>
      </c>
      <c r="K238" s="14" t="s">
        <v>882</v>
      </c>
      <c r="L238" s="772">
        <v>100</v>
      </c>
    </row>
    <row r="239" spans="1:12" x14ac:dyDescent="0.35">
      <c r="A239" s="14">
        <v>1000</v>
      </c>
      <c r="B239" s="14">
        <v>100</v>
      </c>
      <c r="C239" s="14">
        <v>2500</v>
      </c>
      <c r="D239" s="14">
        <v>6230</v>
      </c>
      <c r="G239" s="775">
        <v>57.6</v>
      </c>
      <c r="H239" s="14" t="s">
        <v>876</v>
      </c>
      <c r="I239" s="14" t="s">
        <v>880</v>
      </c>
      <c r="J239" s="14" t="s">
        <v>913</v>
      </c>
      <c r="K239" s="14" t="s">
        <v>882</v>
      </c>
      <c r="L239" s="772">
        <v>100</v>
      </c>
    </row>
    <row r="240" spans="1:12" x14ac:dyDescent="0.35">
      <c r="A240" s="14">
        <v>1000</v>
      </c>
      <c r="B240" s="14">
        <v>100</v>
      </c>
      <c r="C240" s="14">
        <v>2600</v>
      </c>
      <c r="D240" s="14">
        <v>6235</v>
      </c>
      <c r="G240" s="775">
        <v>43.08</v>
      </c>
      <c r="H240" s="14" t="s">
        <v>876</v>
      </c>
      <c r="I240" s="14" t="s">
        <v>880</v>
      </c>
      <c r="J240" s="14" t="s">
        <v>917</v>
      </c>
      <c r="K240" s="14" t="s">
        <v>882</v>
      </c>
      <c r="L240" s="772">
        <v>100</v>
      </c>
    </row>
    <row r="241" spans="1:12" x14ac:dyDescent="0.35">
      <c r="A241" s="14">
        <v>1000</v>
      </c>
      <c r="B241" s="14">
        <v>100</v>
      </c>
      <c r="C241" s="14">
        <v>2600</v>
      </c>
      <c r="D241" s="14">
        <v>6235</v>
      </c>
      <c r="G241" s="775">
        <v>98.05</v>
      </c>
      <c r="H241" s="14" t="s">
        <v>876</v>
      </c>
      <c r="I241" s="14" t="s">
        <v>880</v>
      </c>
      <c r="J241" s="14" t="s">
        <v>917</v>
      </c>
      <c r="K241" s="14" t="s">
        <v>882</v>
      </c>
      <c r="L241" s="772">
        <v>100</v>
      </c>
    </row>
    <row r="242" spans="1:12" x14ac:dyDescent="0.35">
      <c r="A242" s="14">
        <v>1000</v>
      </c>
      <c r="B242" s="14">
        <v>100</v>
      </c>
      <c r="C242" s="14">
        <v>2600</v>
      </c>
      <c r="D242" s="14">
        <v>6235</v>
      </c>
      <c r="G242" s="775">
        <v>15.42</v>
      </c>
      <c r="H242" s="14" t="s">
        <v>876</v>
      </c>
      <c r="I242" s="14" t="s">
        <v>880</v>
      </c>
      <c r="J242" s="14" t="s">
        <v>917</v>
      </c>
      <c r="K242" s="14" t="s">
        <v>882</v>
      </c>
      <c r="L242" s="772">
        <v>200</v>
      </c>
    </row>
    <row r="243" spans="1:12" x14ac:dyDescent="0.35">
      <c r="A243" s="14">
        <v>1000</v>
      </c>
      <c r="B243" s="14">
        <v>400</v>
      </c>
      <c r="C243" s="14">
        <v>2700</v>
      </c>
      <c r="D243" s="14">
        <v>6430</v>
      </c>
      <c r="G243" s="775">
        <v>45.1</v>
      </c>
      <c r="H243" s="14" t="s">
        <v>876</v>
      </c>
      <c r="I243" s="14" t="s">
        <v>900</v>
      </c>
      <c r="J243" s="14" t="s">
        <v>921</v>
      </c>
      <c r="K243" s="14" t="s">
        <v>886</v>
      </c>
      <c r="L243" s="772">
        <v>200</v>
      </c>
    </row>
    <row r="244" spans="1:12" x14ac:dyDescent="0.35">
      <c r="A244" s="14">
        <v>1110</v>
      </c>
      <c r="B244" s="14">
        <v>100</v>
      </c>
      <c r="C244" s="14">
        <v>1000</v>
      </c>
      <c r="D244" s="14">
        <v>6610</v>
      </c>
      <c r="G244" s="775">
        <v>633.12</v>
      </c>
      <c r="H244" s="14" t="s">
        <v>891</v>
      </c>
      <c r="I244" s="14" t="s">
        <v>880</v>
      </c>
      <c r="J244" s="14" t="s">
        <v>881</v>
      </c>
      <c r="K244" s="14" t="s">
        <v>890</v>
      </c>
      <c r="L244" s="772">
        <v>100</v>
      </c>
    </row>
    <row r="245" spans="1:12" x14ac:dyDescent="0.35">
      <c r="A245" s="14">
        <v>1140</v>
      </c>
      <c r="B245" s="14">
        <v>100</v>
      </c>
      <c r="C245" s="14">
        <v>1000</v>
      </c>
      <c r="D245" s="14">
        <v>6152</v>
      </c>
      <c r="G245" s="775">
        <v>9064.8799999999992</v>
      </c>
      <c r="H245" s="14" t="s">
        <v>895</v>
      </c>
      <c r="I245" s="14" t="s">
        <v>880</v>
      </c>
      <c r="J245" s="14" t="s">
        <v>881</v>
      </c>
      <c r="K245" s="14" t="s">
        <v>878</v>
      </c>
      <c r="L245" s="772">
        <v>100</v>
      </c>
    </row>
    <row r="246" spans="1:12" x14ac:dyDescent="0.35">
      <c r="A246" s="14">
        <v>1140</v>
      </c>
      <c r="B246" s="14">
        <v>100</v>
      </c>
      <c r="C246" s="14">
        <v>1000</v>
      </c>
      <c r="D246" s="14">
        <v>6152</v>
      </c>
      <c r="G246" s="775">
        <v>2472.2399999999998</v>
      </c>
      <c r="H246" s="14" t="s">
        <v>895</v>
      </c>
      <c r="I246" s="14" t="s">
        <v>880</v>
      </c>
      <c r="J246" s="14" t="s">
        <v>881</v>
      </c>
      <c r="K246" s="14" t="s">
        <v>878</v>
      </c>
      <c r="L246" s="772">
        <v>200</v>
      </c>
    </row>
    <row r="247" spans="1:12" x14ac:dyDescent="0.35">
      <c r="A247" s="14">
        <v>1140</v>
      </c>
      <c r="B247" s="14">
        <v>100</v>
      </c>
      <c r="C247" s="14">
        <v>1000</v>
      </c>
      <c r="D247" s="14">
        <v>6221</v>
      </c>
      <c r="G247" s="775">
        <v>408.72</v>
      </c>
      <c r="H247" s="14" t="s">
        <v>895</v>
      </c>
      <c r="I247" s="14" t="s">
        <v>880</v>
      </c>
      <c r="J247" s="14" t="s">
        <v>881</v>
      </c>
      <c r="K247" s="14" t="s">
        <v>882</v>
      </c>
      <c r="L247" s="772">
        <v>100</v>
      </c>
    </row>
    <row r="248" spans="1:12" x14ac:dyDescent="0.35">
      <c r="A248" s="14">
        <v>1140</v>
      </c>
      <c r="B248" s="14">
        <v>100</v>
      </c>
      <c r="C248" s="14">
        <v>1000</v>
      </c>
      <c r="D248" s="14">
        <v>6221</v>
      </c>
      <c r="G248" s="775">
        <v>153.27000000000001</v>
      </c>
      <c r="H248" s="14" t="s">
        <v>895</v>
      </c>
      <c r="I248" s="14" t="s">
        <v>880</v>
      </c>
      <c r="J248" s="14" t="s">
        <v>881</v>
      </c>
      <c r="K248" s="14" t="s">
        <v>882</v>
      </c>
      <c r="L248" s="772">
        <v>200</v>
      </c>
    </row>
    <row r="249" spans="1:12" x14ac:dyDescent="0.35">
      <c r="A249" s="14">
        <v>1110</v>
      </c>
      <c r="B249" s="14">
        <v>100</v>
      </c>
      <c r="C249" s="14">
        <v>2100</v>
      </c>
      <c r="D249" s="14">
        <v>6230</v>
      </c>
      <c r="G249" s="775">
        <v>1969.5</v>
      </c>
      <c r="H249" s="14" t="s">
        <v>891</v>
      </c>
      <c r="I249" s="14" t="s">
        <v>880</v>
      </c>
      <c r="J249" s="14" t="s">
        <v>889</v>
      </c>
      <c r="K249" s="14" t="s">
        <v>882</v>
      </c>
      <c r="L249" s="772">
        <v>100</v>
      </c>
    </row>
    <row r="250" spans="1:12" x14ac:dyDescent="0.35">
      <c r="A250" s="14">
        <v>1010</v>
      </c>
      <c r="B250" s="14">
        <v>100</v>
      </c>
      <c r="C250" s="14">
        <v>2200</v>
      </c>
      <c r="D250" s="14">
        <v>6222</v>
      </c>
      <c r="G250" s="775">
        <v>463.92</v>
      </c>
      <c r="H250" s="14" t="s">
        <v>877</v>
      </c>
      <c r="I250" s="14" t="s">
        <v>880</v>
      </c>
      <c r="J250" s="14" t="s">
        <v>893</v>
      </c>
      <c r="K250" s="14" t="s">
        <v>882</v>
      </c>
      <c r="L250" s="772">
        <v>100</v>
      </c>
    </row>
    <row r="251" spans="1:12" x14ac:dyDescent="0.35">
      <c r="A251" s="14">
        <v>1140</v>
      </c>
      <c r="B251" s="14">
        <v>100</v>
      </c>
      <c r="C251" s="14">
        <v>1000</v>
      </c>
      <c r="D251" s="14">
        <v>6222</v>
      </c>
      <c r="G251" s="775">
        <v>95.6</v>
      </c>
      <c r="H251" s="14" t="s">
        <v>895</v>
      </c>
      <c r="I251" s="14" t="s">
        <v>880</v>
      </c>
      <c r="J251" s="14" t="s">
        <v>881</v>
      </c>
      <c r="K251" s="14" t="s">
        <v>882</v>
      </c>
      <c r="L251" s="772">
        <v>100</v>
      </c>
    </row>
    <row r="252" spans="1:12" x14ac:dyDescent="0.35">
      <c r="A252" s="14">
        <v>1140</v>
      </c>
      <c r="B252" s="14">
        <v>100</v>
      </c>
      <c r="C252" s="14">
        <v>1000</v>
      </c>
      <c r="D252" s="14">
        <v>6222</v>
      </c>
      <c r="G252" s="775">
        <v>35.85</v>
      </c>
      <c r="H252" s="14" t="s">
        <v>895</v>
      </c>
      <c r="I252" s="14" t="s">
        <v>880</v>
      </c>
      <c r="J252" s="14" t="s">
        <v>881</v>
      </c>
      <c r="K252" s="14" t="s">
        <v>882</v>
      </c>
      <c r="L252" s="772">
        <v>200</v>
      </c>
    </row>
    <row r="253" spans="1:12" x14ac:dyDescent="0.35">
      <c r="A253" s="14">
        <v>1140</v>
      </c>
      <c r="B253" s="14">
        <v>100</v>
      </c>
      <c r="C253" s="14">
        <v>1000</v>
      </c>
      <c r="D253" s="14">
        <v>6230</v>
      </c>
      <c r="G253" s="775">
        <v>399.48</v>
      </c>
      <c r="H253" s="14" t="s">
        <v>895</v>
      </c>
      <c r="I253" s="14" t="s">
        <v>880</v>
      </c>
      <c r="J253" s="14" t="s">
        <v>881</v>
      </c>
      <c r="K253" s="14" t="s">
        <v>882</v>
      </c>
      <c r="L253" s="772">
        <v>100</v>
      </c>
    </row>
    <row r="254" spans="1:12" x14ac:dyDescent="0.35">
      <c r="A254" s="14">
        <v>1110</v>
      </c>
      <c r="B254" s="14">
        <v>100</v>
      </c>
      <c r="C254" s="14">
        <v>2100</v>
      </c>
      <c r="D254" s="14">
        <v>6230</v>
      </c>
      <c r="G254" s="775">
        <v>519.22</v>
      </c>
      <c r="H254" s="14" t="s">
        <v>891</v>
      </c>
      <c r="I254" s="14" t="s">
        <v>880</v>
      </c>
      <c r="J254" s="14" t="s">
        <v>889</v>
      </c>
      <c r="K254" s="14" t="s">
        <v>882</v>
      </c>
      <c r="L254" s="772">
        <v>200</v>
      </c>
    </row>
    <row r="255" spans="1:12" x14ac:dyDescent="0.35">
      <c r="A255" s="14">
        <v>1110</v>
      </c>
      <c r="B255" s="14">
        <v>100</v>
      </c>
      <c r="C255" s="14">
        <v>2100</v>
      </c>
      <c r="D255" s="14">
        <v>6235</v>
      </c>
      <c r="G255" s="775">
        <v>26.73</v>
      </c>
      <c r="H255" s="14" t="s">
        <v>891</v>
      </c>
      <c r="I255" s="14" t="s">
        <v>880</v>
      </c>
      <c r="J255" s="14" t="s">
        <v>889</v>
      </c>
      <c r="K255" s="14" t="s">
        <v>882</v>
      </c>
      <c r="L255" s="772">
        <v>100</v>
      </c>
    </row>
    <row r="256" spans="1:12" x14ac:dyDescent="0.35">
      <c r="A256" s="14">
        <v>1140</v>
      </c>
      <c r="B256" s="14">
        <v>100</v>
      </c>
      <c r="C256" s="14">
        <v>1000</v>
      </c>
      <c r="D256" s="14">
        <v>6230</v>
      </c>
      <c r="G256" s="775">
        <v>299.61</v>
      </c>
      <c r="H256" s="14" t="s">
        <v>895</v>
      </c>
      <c r="I256" s="14" t="s">
        <v>880</v>
      </c>
      <c r="J256" s="14" t="s">
        <v>881</v>
      </c>
      <c r="K256" s="14" t="s">
        <v>882</v>
      </c>
      <c r="L256" s="772">
        <v>200</v>
      </c>
    </row>
    <row r="257" spans="1:12" x14ac:dyDescent="0.35">
      <c r="A257" s="14">
        <v>1140</v>
      </c>
      <c r="B257" s="14">
        <v>100</v>
      </c>
      <c r="C257" s="14">
        <v>1000</v>
      </c>
      <c r="D257" s="14">
        <v>6235</v>
      </c>
      <c r="G257" s="775">
        <v>4.92</v>
      </c>
      <c r="H257" s="14" t="s">
        <v>895</v>
      </c>
      <c r="I257" s="14" t="s">
        <v>880</v>
      </c>
      <c r="J257" s="14" t="s">
        <v>881</v>
      </c>
      <c r="K257" s="14" t="s">
        <v>882</v>
      </c>
      <c r="L257" s="772">
        <v>100</v>
      </c>
    </row>
    <row r="258" spans="1:12" x14ac:dyDescent="0.35">
      <c r="A258" s="14">
        <v>1110</v>
      </c>
      <c r="B258" s="14">
        <v>100</v>
      </c>
      <c r="C258" s="14">
        <v>2100</v>
      </c>
      <c r="D258" s="14">
        <v>6235</v>
      </c>
      <c r="G258" s="775">
        <v>6.82</v>
      </c>
      <c r="H258" s="14" t="s">
        <v>891</v>
      </c>
      <c r="I258" s="14" t="s">
        <v>880</v>
      </c>
      <c r="J258" s="14" t="s">
        <v>889</v>
      </c>
      <c r="K258" s="14" t="s">
        <v>882</v>
      </c>
      <c r="L258" s="772">
        <v>200</v>
      </c>
    </row>
    <row r="259" spans="1:12" x14ac:dyDescent="0.35">
      <c r="A259" s="14">
        <v>1510</v>
      </c>
      <c r="B259" s="14">
        <v>100</v>
      </c>
      <c r="C259" s="14">
        <v>3100</v>
      </c>
      <c r="D259" s="14">
        <v>6230</v>
      </c>
      <c r="G259" s="775">
        <v>2586.71</v>
      </c>
      <c r="H259" s="14" t="s">
        <v>983</v>
      </c>
      <c r="I259" s="14" t="s">
        <v>880</v>
      </c>
      <c r="J259" s="14" t="s">
        <v>929</v>
      </c>
      <c r="K259" s="14" t="s">
        <v>882</v>
      </c>
      <c r="L259" s="772">
        <v>100</v>
      </c>
    </row>
    <row r="260" spans="1:12" x14ac:dyDescent="0.35">
      <c r="A260" s="14">
        <v>1510</v>
      </c>
      <c r="B260" s="14">
        <v>100</v>
      </c>
      <c r="C260" s="14">
        <v>3100</v>
      </c>
      <c r="D260" s="14">
        <v>6230</v>
      </c>
      <c r="G260" s="775">
        <v>482.46</v>
      </c>
      <c r="H260" s="14" t="s">
        <v>983</v>
      </c>
      <c r="I260" s="14" t="s">
        <v>880</v>
      </c>
      <c r="J260" s="14" t="s">
        <v>929</v>
      </c>
      <c r="K260" s="14" t="s">
        <v>882</v>
      </c>
      <c r="L260" s="772">
        <v>200</v>
      </c>
    </row>
    <row r="261" spans="1:12" x14ac:dyDescent="0.35">
      <c r="A261" s="14">
        <v>1000</v>
      </c>
      <c r="B261" s="14">
        <v>400</v>
      </c>
      <c r="C261" s="14">
        <v>2700</v>
      </c>
      <c r="D261" s="14">
        <v>6437</v>
      </c>
      <c r="G261" s="775">
        <v>87.69</v>
      </c>
      <c r="H261" s="14" t="s">
        <v>876</v>
      </c>
      <c r="I261" s="14" t="s">
        <v>900</v>
      </c>
      <c r="J261" s="14" t="s">
        <v>921</v>
      </c>
      <c r="K261" s="14" t="s">
        <v>886</v>
      </c>
      <c r="L261" s="772">
        <v>100</v>
      </c>
    </row>
    <row r="262" spans="1:12" x14ac:dyDescent="0.35">
      <c r="A262" s="14">
        <v>1529</v>
      </c>
      <c r="B262" s="14">
        <v>100</v>
      </c>
      <c r="C262" s="14">
        <v>2400</v>
      </c>
      <c r="D262" s="14">
        <v>6230</v>
      </c>
      <c r="G262" s="775">
        <v>6059.76</v>
      </c>
      <c r="H262" s="14" t="s">
        <v>983</v>
      </c>
      <c r="I262" s="14" t="s">
        <v>880</v>
      </c>
      <c r="J262" s="14" t="s">
        <v>909</v>
      </c>
      <c r="K262" s="14" t="s">
        <v>882</v>
      </c>
      <c r="L262" s="772">
        <v>100</v>
      </c>
    </row>
    <row r="263" spans="1:12" x14ac:dyDescent="0.35">
      <c r="A263" s="14">
        <v>1000</v>
      </c>
      <c r="B263" s="14">
        <v>100</v>
      </c>
      <c r="C263" s="14">
        <v>2600</v>
      </c>
      <c r="D263" s="14">
        <v>6250</v>
      </c>
      <c r="G263" s="775">
        <v>4.75</v>
      </c>
      <c r="H263" s="14" t="s">
        <v>876</v>
      </c>
      <c r="I263" s="14" t="s">
        <v>880</v>
      </c>
      <c r="J263" s="14" t="s">
        <v>917</v>
      </c>
      <c r="K263" s="14" t="s">
        <v>882</v>
      </c>
      <c r="L263" s="772">
        <v>100</v>
      </c>
    </row>
    <row r="264" spans="1:12" x14ac:dyDescent="0.35">
      <c r="A264" s="14">
        <v>1140</v>
      </c>
      <c r="B264" s="14">
        <v>100</v>
      </c>
      <c r="C264" s="14">
        <v>1000</v>
      </c>
      <c r="D264" s="14">
        <v>6235</v>
      </c>
      <c r="G264" s="775">
        <v>3.69</v>
      </c>
      <c r="H264" s="14" t="s">
        <v>895</v>
      </c>
      <c r="I264" s="14" t="s">
        <v>880</v>
      </c>
      <c r="J264" s="14" t="s">
        <v>881</v>
      </c>
      <c r="K264" s="14" t="s">
        <v>882</v>
      </c>
      <c r="L264" s="772">
        <v>200</v>
      </c>
    </row>
    <row r="265" spans="1:12" x14ac:dyDescent="0.35">
      <c r="A265" s="14">
        <v>1140</v>
      </c>
      <c r="B265" s="14">
        <v>100</v>
      </c>
      <c r="C265" s="14">
        <v>1000</v>
      </c>
      <c r="D265" s="14">
        <v>6250</v>
      </c>
      <c r="G265" s="775">
        <v>0.82</v>
      </c>
      <c r="H265" s="14" t="s">
        <v>895</v>
      </c>
      <c r="I265" s="14" t="s">
        <v>880</v>
      </c>
      <c r="J265" s="14" t="s">
        <v>881</v>
      </c>
      <c r="K265" s="14" t="s">
        <v>882</v>
      </c>
      <c r="L265" s="772">
        <v>100</v>
      </c>
    </row>
    <row r="266" spans="1:12" x14ac:dyDescent="0.35">
      <c r="A266" s="14">
        <v>1161</v>
      </c>
      <c r="B266" s="14">
        <v>100</v>
      </c>
      <c r="C266" s="14">
        <v>1000</v>
      </c>
      <c r="D266" s="14">
        <v>6152</v>
      </c>
      <c r="G266" s="775">
        <v>500</v>
      </c>
      <c r="H266" s="14" t="s">
        <v>899</v>
      </c>
      <c r="I266" s="14" t="s">
        <v>880</v>
      </c>
      <c r="J266" s="14" t="s">
        <v>881</v>
      </c>
      <c r="K266" s="14" t="s">
        <v>878</v>
      </c>
      <c r="L266" s="772">
        <v>100</v>
      </c>
    </row>
    <row r="267" spans="1:12" x14ac:dyDescent="0.35">
      <c r="A267" s="14">
        <v>1161</v>
      </c>
      <c r="B267" s="14">
        <v>100</v>
      </c>
      <c r="C267" s="14">
        <v>1000</v>
      </c>
      <c r="D267" s="14">
        <v>6325</v>
      </c>
      <c r="G267" s="775">
        <v>4118</v>
      </c>
      <c r="H267" s="14" t="s">
        <v>899</v>
      </c>
      <c r="I267" s="14" t="s">
        <v>880</v>
      </c>
      <c r="J267" s="14" t="s">
        <v>881</v>
      </c>
      <c r="K267" s="14" t="s">
        <v>886</v>
      </c>
      <c r="L267" s="772">
        <v>100</v>
      </c>
    </row>
    <row r="268" spans="1:12" x14ac:dyDescent="0.35">
      <c r="A268" s="14">
        <v>1161</v>
      </c>
      <c r="B268" s="14">
        <v>100</v>
      </c>
      <c r="C268" s="14">
        <v>1000</v>
      </c>
      <c r="D268" s="14">
        <v>6610</v>
      </c>
      <c r="G268" s="775">
        <v>5284.39</v>
      </c>
      <c r="H268" s="14" t="s">
        <v>899</v>
      </c>
      <c r="I268" s="14" t="s">
        <v>880</v>
      </c>
      <c r="J268" s="14" t="s">
        <v>881</v>
      </c>
      <c r="K268" s="14" t="s">
        <v>890</v>
      </c>
      <c r="L268" s="772">
        <v>100</v>
      </c>
    </row>
    <row r="269" spans="1:12" x14ac:dyDescent="0.35">
      <c r="A269" s="14">
        <v>1161</v>
      </c>
      <c r="B269" s="14">
        <v>100</v>
      </c>
      <c r="C269" s="14">
        <v>1000</v>
      </c>
      <c r="D269" s="14">
        <v>6610</v>
      </c>
      <c r="G269" s="775">
        <v>162.61000000000001</v>
      </c>
      <c r="H269" s="14" t="s">
        <v>899</v>
      </c>
      <c r="I269" s="14" t="s">
        <v>880</v>
      </c>
      <c r="J269" s="14" t="s">
        <v>881</v>
      </c>
      <c r="K269" s="14" t="s">
        <v>890</v>
      </c>
      <c r="L269" s="772">
        <v>200</v>
      </c>
    </row>
    <row r="270" spans="1:12" x14ac:dyDescent="0.35">
      <c r="A270" s="14">
        <v>1110</v>
      </c>
      <c r="B270" s="14">
        <v>100</v>
      </c>
      <c r="C270" s="14">
        <v>2100</v>
      </c>
      <c r="D270" s="14">
        <v>6250</v>
      </c>
      <c r="G270" s="775">
        <v>0.2</v>
      </c>
      <c r="H270" s="14" t="s">
        <v>891</v>
      </c>
      <c r="I270" s="14" t="s">
        <v>880</v>
      </c>
      <c r="J270" s="14" t="s">
        <v>889</v>
      </c>
      <c r="K270" s="14" t="s">
        <v>882</v>
      </c>
      <c r="L270" s="772">
        <v>200</v>
      </c>
    </row>
    <row r="271" spans="1:12" x14ac:dyDescent="0.35">
      <c r="A271" s="14">
        <v>1190</v>
      </c>
      <c r="B271" s="14">
        <v>100</v>
      </c>
      <c r="C271" s="14">
        <v>2100</v>
      </c>
      <c r="D271" s="14">
        <v>6151</v>
      </c>
      <c r="G271" s="775">
        <v>10513.79</v>
      </c>
      <c r="H271" s="14" t="s">
        <v>907</v>
      </c>
      <c r="I271" s="14" t="s">
        <v>880</v>
      </c>
      <c r="J271" s="14" t="s">
        <v>889</v>
      </c>
      <c r="K271" s="14" t="s">
        <v>878</v>
      </c>
      <c r="L271" s="772">
        <v>100</v>
      </c>
    </row>
    <row r="272" spans="1:12" x14ac:dyDescent="0.35">
      <c r="A272" s="14">
        <v>1190</v>
      </c>
      <c r="B272" s="14">
        <v>100</v>
      </c>
      <c r="C272" s="14">
        <v>2100</v>
      </c>
      <c r="D272" s="14">
        <v>6221</v>
      </c>
      <c r="G272" s="775">
        <v>400</v>
      </c>
      <c r="H272" s="14" t="s">
        <v>907</v>
      </c>
      <c r="I272" s="14" t="s">
        <v>880</v>
      </c>
      <c r="J272" s="14" t="s">
        <v>889</v>
      </c>
      <c r="K272" s="14" t="s">
        <v>882</v>
      </c>
      <c r="L272" s="772">
        <v>100</v>
      </c>
    </row>
    <row r="273" spans="1:12" x14ac:dyDescent="0.35">
      <c r="A273" s="14">
        <v>1010</v>
      </c>
      <c r="B273" s="14">
        <v>100</v>
      </c>
      <c r="C273" s="14">
        <v>2200</v>
      </c>
      <c r="D273" s="14">
        <v>6230</v>
      </c>
      <c r="G273" s="775">
        <v>3978.11</v>
      </c>
      <c r="H273" s="14" t="s">
        <v>877</v>
      </c>
      <c r="I273" s="14" t="s">
        <v>880</v>
      </c>
      <c r="J273" s="14" t="s">
        <v>893</v>
      </c>
      <c r="K273" s="14" t="s">
        <v>882</v>
      </c>
      <c r="L273" s="772">
        <v>100</v>
      </c>
    </row>
    <row r="274" spans="1:12" x14ac:dyDescent="0.35">
      <c r="A274" s="14">
        <v>1000</v>
      </c>
      <c r="B274" s="14">
        <v>100</v>
      </c>
      <c r="C274" s="14">
        <v>2220</v>
      </c>
      <c r="D274" s="14">
        <v>6235</v>
      </c>
      <c r="G274" s="775">
        <v>4.5599999999999996</v>
      </c>
      <c r="H274" s="14" t="s">
        <v>876</v>
      </c>
      <c r="I274" s="14" t="s">
        <v>880</v>
      </c>
      <c r="J274" s="14" t="s">
        <v>897</v>
      </c>
      <c r="K274" s="14" t="s">
        <v>882</v>
      </c>
      <c r="L274" s="772">
        <v>200</v>
      </c>
    </row>
    <row r="275" spans="1:12" x14ac:dyDescent="0.35">
      <c r="A275" s="14">
        <v>1000</v>
      </c>
      <c r="B275" s="14">
        <v>100</v>
      </c>
      <c r="C275" s="14">
        <v>2400</v>
      </c>
      <c r="D275" s="14">
        <v>6235</v>
      </c>
      <c r="G275" s="775">
        <v>120.56</v>
      </c>
      <c r="H275" s="14" t="s">
        <v>876</v>
      </c>
      <c r="I275" s="14" t="s">
        <v>880</v>
      </c>
      <c r="J275" s="14" t="s">
        <v>909</v>
      </c>
      <c r="K275" s="14" t="s">
        <v>882</v>
      </c>
      <c r="L275" s="772">
        <v>100</v>
      </c>
    </row>
    <row r="276" spans="1:12" x14ac:dyDescent="0.35">
      <c r="A276" s="14">
        <v>1000</v>
      </c>
      <c r="B276" s="14">
        <v>100</v>
      </c>
      <c r="C276" s="14">
        <v>2400</v>
      </c>
      <c r="D276" s="14">
        <v>6235</v>
      </c>
      <c r="G276" s="775">
        <v>164.16</v>
      </c>
      <c r="H276" s="14" t="s">
        <v>876</v>
      </c>
      <c r="I276" s="14" t="s">
        <v>880</v>
      </c>
      <c r="J276" s="14" t="s">
        <v>909</v>
      </c>
      <c r="K276" s="14" t="s">
        <v>882</v>
      </c>
      <c r="L276" s="772">
        <v>200</v>
      </c>
    </row>
    <row r="277" spans="1:12" x14ac:dyDescent="0.35">
      <c r="A277" s="14">
        <v>1000</v>
      </c>
      <c r="B277" s="14">
        <v>100</v>
      </c>
      <c r="C277" s="14">
        <v>2500</v>
      </c>
      <c r="D277" s="14">
        <v>6235</v>
      </c>
      <c r="G277" s="775">
        <v>2.84</v>
      </c>
      <c r="H277" s="14" t="s">
        <v>876</v>
      </c>
      <c r="I277" s="14" t="s">
        <v>880</v>
      </c>
      <c r="J277" s="14" t="s">
        <v>913</v>
      </c>
      <c r="K277" s="14" t="s">
        <v>882</v>
      </c>
      <c r="L277" s="772">
        <v>100</v>
      </c>
    </row>
    <row r="278" spans="1:12" x14ac:dyDescent="0.35">
      <c r="A278" s="14">
        <v>1000</v>
      </c>
      <c r="B278" s="14">
        <v>100</v>
      </c>
      <c r="C278" s="14">
        <v>2600</v>
      </c>
      <c r="D278" s="14">
        <v>6250</v>
      </c>
      <c r="G278" s="775">
        <v>7.93</v>
      </c>
      <c r="H278" s="14" t="s">
        <v>876</v>
      </c>
      <c r="I278" s="14" t="s">
        <v>880</v>
      </c>
      <c r="J278" s="14" t="s">
        <v>917</v>
      </c>
      <c r="K278" s="14" t="s">
        <v>882</v>
      </c>
      <c r="L278" s="772">
        <v>100</v>
      </c>
    </row>
    <row r="279" spans="1:12" x14ac:dyDescent="0.35">
      <c r="A279" s="14">
        <v>1000</v>
      </c>
      <c r="B279" s="14">
        <v>100</v>
      </c>
      <c r="C279" s="14">
        <v>2600</v>
      </c>
      <c r="D279" s="14">
        <v>6250</v>
      </c>
      <c r="G279" s="775">
        <v>1.03</v>
      </c>
      <c r="H279" s="14" t="s">
        <v>876</v>
      </c>
      <c r="I279" s="14" t="s">
        <v>880</v>
      </c>
      <c r="J279" s="14" t="s">
        <v>917</v>
      </c>
      <c r="K279" s="14" t="s">
        <v>882</v>
      </c>
      <c r="L279" s="772">
        <v>200</v>
      </c>
    </row>
    <row r="280" spans="1:12" x14ac:dyDescent="0.35">
      <c r="A280" s="14">
        <v>1000</v>
      </c>
      <c r="B280" s="14">
        <v>100</v>
      </c>
      <c r="C280" s="14">
        <v>2600</v>
      </c>
      <c r="D280" s="14">
        <v>6260</v>
      </c>
      <c r="G280" s="775">
        <v>3195.75</v>
      </c>
      <c r="H280" s="14" t="s">
        <v>876</v>
      </c>
      <c r="I280" s="14" t="s">
        <v>880</v>
      </c>
      <c r="J280" s="14" t="s">
        <v>917</v>
      </c>
      <c r="K280" s="14" t="s">
        <v>882</v>
      </c>
      <c r="L280" s="772">
        <v>100</v>
      </c>
    </row>
    <row r="281" spans="1:12" x14ac:dyDescent="0.35">
      <c r="A281" s="14">
        <v>1000</v>
      </c>
      <c r="B281" s="14">
        <v>400</v>
      </c>
      <c r="C281" s="14">
        <v>2700</v>
      </c>
      <c r="D281" s="14">
        <v>6437</v>
      </c>
      <c r="G281" s="775">
        <v>127.12</v>
      </c>
      <c r="H281" s="14" t="s">
        <v>876</v>
      </c>
      <c r="I281" s="14" t="s">
        <v>900</v>
      </c>
      <c r="J281" s="14" t="s">
        <v>921</v>
      </c>
      <c r="K281" s="14" t="s">
        <v>886</v>
      </c>
      <c r="L281" s="772">
        <v>200</v>
      </c>
    </row>
    <row r="282" spans="1:12" x14ac:dyDescent="0.35">
      <c r="A282" s="14">
        <v>1491</v>
      </c>
      <c r="B282" s="14">
        <v>100</v>
      </c>
      <c r="C282" s="14">
        <v>1000</v>
      </c>
      <c r="D282" s="14">
        <v>6152</v>
      </c>
      <c r="G282" s="775">
        <v>23179.88</v>
      </c>
      <c r="H282" s="14" t="s">
        <v>981</v>
      </c>
      <c r="I282" s="14" t="s">
        <v>880</v>
      </c>
      <c r="J282" s="14" t="s">
        <v>881</v>
      </c>
      <c r="K282" s="14" t="s">
        <v>878</v>
      </c>
      <c r="L282" s="772">
        <v>100</v>
      </c>
    </row>
    <row r="283" spans="1:12" x14ac:dyDescent="0.35">
      <c r="A283" s="14">
        <v>1471</v>
      </c>
      <c r="B283" s="14">
        <v>100</v>
      </c>
      <c r="C283" s="14">
        <v>1000</v>
      </c>
      <c r="D283" s="14">
        <v>6643</v>
      </c>
      <c r="G283" s="775">
        <v>11973.37</v>
      </c>
      <c r="H283" s="14" t="s">
        <v>981</v>
      </c>
      <c r="I283" s="14" t="s">
        <v>880</v>
      </c>
      <c r="J283" s="14" t="s">
        <v>881</v>
      </c>
      <c r="K283" s="14" t="s">
        <v>890</v>
      </c>
      <c r="L283" s="772">
        <v>100</v>
      </c>
    </row>
    <row r="284" spans="1:12" x14ac:dyDescent="0.35">
      <c r="A284" s="14">
        <v>1471</v>
      </c>
      <c r="B284" s="14">
        <v>100</v>
      </c>
      <c r="C284" s="14">
        <v>1000</v>
      </c>
      <c r="D284" s="14">
        <v>6650</v>
      </c>
      <c r="G284" s="775">
        <v>138.07</v>
      </c>
      <c r="H284" s="14" t="s">
        <v>981</v>
      </c>
      <c r="I284" s="14" t="s">
        <v>880</v>
      </c>
      <c r="J284" s="14" t="s">
        <v>881</v>
      </c>
      <c r="K284" s="14" t="s">
        <v>890</v>
      </c>
      <c r="L284" s="772">
        <v>100</v>
      </c>
    </row>
    <row r="285" spans="1:12" x14ac:dyDescent="0.35">
      <c r="A285" s="14">
        <v>1526</v>
      </c>
      <c r="B285" s="14">
        <v>100</v>
      </c>
      <c r="C285" s="14">
        <v>1000</v>
      </c>
      <c r="D285" s="14">
        <v>6325</v>
      </c>
      <c r="G285" s="775">
        <v>2253</v>
      </c>
      <c r="H285" s="14" t="s">
        <v>983</v>
      </c>
      <c r="I285" s="14" t="s">
        <v>880</v>
      </c>
      <c r="J285" s="14" t="s">
        <v>881</v>
      </c>
      <c r="K285" s="14" t="s">
        <v>886</v>
      </c>
      <c r="L285" s="772">
        <v>100</v>
      </c>
    </row>
    <row r="286" spans="1:12" x14ac:dyDescent="0.35">
      <c r="A286" s="14">
        <v>1526</v>
      </c>
      <c r="B286" s="14">
        <v>100</v>
      </c>
      <c r="C286" s="14">
        <v>1000</v>
      </c>
      <c r="D286" s="14">
        <v>6325</v>
      </c>
      <c r="G286" s="775">
        <v>7207</v>
      </c>
      <c r="H286" s="14" t="s">
        <v>983</v>
      </c>
      <c r="I286" s="14" t="s">
        <v>880</v>
      </c>
      <c r="J286" s="14" t="s">
        <v>881</v>
      </c>
      <c r="K286" s="14" t="s">
        <v>886</v>
      </c>
      <c r="L286" s="772">
        <v>200</v>
      </c>
    </row>
    <row r="287" spans="1:12" x14ac:dyDescent="0.35">
      <c r="A287" s="14">
        <v>1190</v>
      </c>
      <c r="B287" s="14">
        <v>100</v>
      </c>
      <c r="C287" s="14">
        <v>2100</v>
      </c>
      <c r="D287" s="14">
        <v>6222</v>
      </c>
      <c r="G287" s="775">
        <v>100</v>
      </c>
      <c r="H287" s="14" t="s">
        <v>907</v>
      </c>
      <c r="I287" s="14" t="s">
        <v>880</v>
      </c>
      <c r="J287" s="14" t="s">
        <v>889</v>
      </c>
      <c r="K287" s="14" t="s">
        <v>882</v>
      </c>
      <c r="L287" s="772">
        <v>100</v>
      </c>
    </row>
    <row r="288" spans="1:12" x14ac:dyDescent="0.35">
      <c r="A288" s="14">
        <v>1010</v>
      </c>
      <c r="B288" s="14">
        <v>100</v>
      </c>
      <c r="C288" s="14">
        <v>2200</v>
      </c>
      <c r="D288" s="14">
        <v>6235</v>
      </c>
      <c r="G288" s="775">
        <v>46.44</v>
      </c>
      <c r="H288" s="14" t="s">
        <v>877</v>
      </c>
      <c r="I288" s="14" t="s">
        <v>880</v>
      </c>
      <c r="J288" s="14" t="s">
        <v>893</v>
      </c>
      <c r="K288" s="14" t="s">
        <v>882</v>
      </c>
      <c r="L288" s="772">
        <v>100</v>
      </c>
    </row>
    <row r="289" spans="1:12" x14ac:dyDescent="0.35">
      <c r="A289" s="14">
        <v>1537</v>
      </c>
      <c r="B289" s="14">
        <v>100</v>
      </c>
      <c r="C289" s="14">
        <v>1000</v>
      </c>
      <c r="D289" s="14">
        <v>6325</v>
      </c>
      <c r="G289" s="775">
        <v>1646.86</v>
      </c>
      <c r="H289" s="14" t="s">
        <v>983</v>
      </c>
      <c r="I289" s="14" t="s">
        <v>880</v>
      </c>
      <c r="J289" s="14" t="s">
        <v>881</v>
      </c>
      <c r="K289" s="14" t="s">
        <v>886</v>
      </c>
      <c r="L289" s="772">
        <v>100</v>
      </c>
    </row>
    <row r="290" spans="1:12" x14ac:dyDescent="0.35">
      <c r="A290" s="765">
        <v>1000</v>
      </c>
      <c r="B290" s="765">
        <v>100</v>
      </c>
      <c r="C290" s="765">
        <v>1900</v>
      </c>
      <c r="D290" s="765">
        <v>6154</v>
      </c>
      <c r="E290" s="765"/>
      <c r="F290" s="765"/>
      <c r="G290" s="776">
        <v>43710.1</v>
      </c>
      <c r="H290" s="15" t="s">
        <v>876</v>
      </c>
      <c r="I290" s="15" t="s">
        <v>880</v>
      </c>
      <c r="J290" s="15" t="s">
        <v>885</v>
      </c>
      <c r="K290" s="15" t="s">
        <v>878</v>
      </c>
      <c r="L290" s="15">
        <v>100</v>
      </c>
    </row>
    <row r="291" spans="1:12" x14ac:dyDescent="0.35">
      <c r="A291" s="14">
        <v>1000</v>
      </c>
      <c r="B291" s="14">
        <v>100</v>
      </c>
      <c r="C291" s="14">
        <v>1900</v>
      </c>
      <c r="D291" s="14">
        <v>6154</v>
      </c>
      <c r="G291" s="775">
        <v>8432.14</v>
      </c>
      <c r="H291" s="14" t="s">
        <v>876</v>
      </c>
      <c r="I291" s="14" t="s">
        <v>880</v>
      </c>
      <c r="J291" s="14" t="s">
        <v>885</v>
      </c>
      <c r="K291" s="14" t="s">
        <v>878</v>
      </c>
      <c r="L291" s="772">
        <v>200</v>
      </c>
    </row>
    <row r="292" spans="1:12" x14ac:dyDescent="0.35">
      <c r="A292" s="14">
        <v>1220</v>
      </c>
      <c r="B292" s="14">
        <v>200</v>
      </c>
      <c r="C292" s="14">
        <v>2100</v>
      </c>
      <c r="D292" s="14">
        <v>6154</v>
      </c>
      <c r="G292" s="775">
        <v>13933.8</v>
      </c>
      <c r="H292" s="14" t="s">
        <v>919</v>
      </c>
      <c r="I292" s="14" t="s">
        <v>884</v>
      </c>
      <c r="J292" s="14" t="s">
        <v>889</v>
      </c>
      <c r="K292" s="14" t="s">
        <v>878</v>
      </c>
      <c r="L292" s="772">
        <v>200</v>
      </c>
    </row>
    <row r="293" spans="1:12" x14ac:dyDescent="0.35">
      <c r="A293" s="14">
        <v>1220</v>
      </c>
      <c r="B293" s="14">
        <v>200</v>
      </c>
      <c r="C293" s="14">
        <v>2100</v>
      </c>
      <c r="D293" s="14">
        <v>6221</v>
      </c>
      <c r="G293" s="775">
        <v>859.12</v>
      </c>
      <c r="H293" s="14" t="s">
        <v>919</v>
      </c>
      <c r="I293" s="14" t="s">
        <v>884</v>
      </c>
      <c r="J293" s="14" t="s">
        <v>889</v>
      </c>
      <c r="K293" s="14" t="s">
        <v>882</v>
      </c>
      <c r="L293" s="772">
        <v>200</v>
      </c>
    </row>
    <row r="294" spans="1:12" x14ac:dyDescent="0.35">
      <c r="A294" s="14">
        <v>1000</v>
      </c>
      <c r="B294" s="14">
        <v>100</v>
      </c>
      <c r="C294" s="14">
        <v>1900</v>
      </c>
      <c r="D294" s="14">
        <v>6210</v>
      </c>
      <c r="G294" s="775">
        <v>3441.15</v>
      </c>
      <c r="H294" s="14" t="s">
        <v>876</v>
      </c>
      <c r="I294" s="14" t="s">
        <v>880</v>
      </c>
      <c r="J294" s="14" t="s">
        <v>885</v>
      </c>
      <c r="K294" s="14" t="s">
        <v>882</v>
      </c>
      <c r="L294" s="772">
        <v>200</v>
      </c>
    </row>
    <row r="295" spans="1:12" x14ac:dyDescent="0.35">
      <c r="A295" s="765">
        <v>1000</v>
      </c>
      <c r="B295" s="765">
        <v>100</v>
      </c>
      <c r="C295" s="765">
        <v>1900</v>
      </c>
      <c r="D295" s="765">
        <v>6221</v>
      </c>
      <c r="E295" s="765"/>
      <c r="F295" s="765"/>
      <c r="G295" s="776">
        <v>2833.97</v>
      </c>
      <c r="H295" s="15" t="s">
        <v>876</v>
      </c>
      <c r="I295" s="15" t="s">
        <v>880</v>
      </c>
      <c r="J295" s="15" t="s">
        <v>885</v>
      </c>
      <c r="K295" s="15" t="s">
        <v>882</v>
      </c>
      <c r="L295" s="15">
        <v>100</v>
      </c>
    </row>
    <row r="296" spans="1:12" x14ac:dyDescent="0.35">
      <c r="A296" s="14">
        <v>1220</v>
      </c>
      <c r="B296" s="14">
        <v>200</v>
      </c>
      <c r="C296" s="14">
        <v>2100</v>
      </c>
      <c r="D296" s="14">
        <v>6222</v>
      </c>
      <c r="G296" s="775">
        <v>196.32</v>
      </c>
      <c r="H296" s="14" t="s">
        <v>919</v>
      </c>
      <c r="I296" s="14" t="s">
        <v>884</v>
      </c>
      <c r="J296" s="14" t="s">
        <v>889</v>
      </c>
      <c r="K296" s="14" t="s">
        <v>882</v>
      </c>
      <c r="L296" s="772">
        <v>200</v>
      </c>
    </row>
    <row r="297" spans="1:12" x14ac:dyDescent="0.35">
      <c r="A297" s="14">
        <v>1510</v>
      </c>
      <c r="B297" s="14">
        <v>100</v>
      </c>
      <c r="C297" s="14">
        <v>3100</v>
      </c>
      <c r="D297" s="14">
        <v>6235</v>
      </c>
      <c r="G297" s="775">
        <v>32.15</v>
      </c>
      <c r="H297" s="14" t="s">
        <v>983</v>
      </c>
      <c r="I297" s="14" t="s">
        <v>880</v>
      </c>
      <c r="J297" s="14" t="s">
        <v>929</v>
      </c>
      <c r="K297" s="14" t="s">
        <v>882</v>
      </c>
      <c r="L297" s="772">
        <v>100</v>
      </c>
    </row>
    <row r="298" spans="1:12" x14ac:dyDescent="0.35">
      <c r="A298" s="14">
        <v>1510</v>
      </c>
      <c r="B298" s="14">
        <v>100</v>
      </c>
      <c r="C298" s="14">
        <v>3100</v>
      </c>
      <c r="D298" s="14">
        <v>6235</v>
      </c>
      <c r="G298" s="775">
        <v>6.03</v>
      </c>
      <c r="H298" s="14" t="s">
        <v>983</v>
      </c>
      <c r="I298" s="14" t="s">
        <v>880</v>
      </c>
      <c r="J298" s="14" t="s">
        <v>929</v>
      </c>
      <c r="K298" s="14" t="s">
        <v>882</v>
      </c>
      <c r="L298" s="772">
        <v>200</v>
      </c>
    </row>
    <row r="299" spans="1:12" x14ac:dyDescent="0.35">
      <c r="A299" s="14">
        <v>1560</v>
      </c>
      <c r="B299" s="14">
        <v>100</v>
      </c>
      <c r="C299" s="14">
        <v>2700</v>
      </c>
      <c r="D299" s="14">
        <v>6437</v>
      </c>
      <c r="G299" s="775">
        <v>1617</v>
      </c>
      <c r="H299" s="14" t="s">
        <v>983</v>
      </c>
      <c r="I299" s="14" t="s">
        <v>880</v>
      </c>
      <c r="J299" s="14" t="s">
        <v>921</v>
      </c>
      <c r="K299" s="14" t="s">
        <v>886</v>
      </c>
      <c r="L299" s="772">
        <v>100</v>
      </c>
    </row>
    <row r="300" spans="1:12" x14ac:dyDescent="0.35">
      <c r="A300" s="14">
        <v>1529</v>
      </c>
      <c r="B300" s="14">
        <v>100</v>
      </c>
      <c r="C300" s="14">
        <v>2400</v>
      </c>
      <c r="D300" s="14">
        <v>6235</v>
      </c>
      <c r="G300" s="775">
        <v>74.88</v>
      </c>
      <c r="H300" s="14" t="s">
        <v>983</v>
      </c>
      <c r="I300" s="14" t="s">
        <v>880</v>
      </c>
      <c r="J300" s="14" t="s">
        <v>909</v>
      </c>
      <c r="K300" s="14" t="s">
        <v>882</v>
      </c>
      <c r="L300" s="772">
        <v>100</v>
      </c>
    </row>
    <row r="301" spans="1:12" x14ac:dyDescent="0.35">
      <c r="A301" s="14">
        <v>1000</v>
      </c>
      <c r="B301" s="14">
        <v>100</v>
      </c>
      <c r="C301" s="14">
        <v>2600</v>
      </c>
      <c r="D301" s="14">
        <v>6260</v>
      </c>
      <c r="G301" s="775">
        <v>1389.75</v>
      </c>
      <c r="H301" s="14" t="s">
        <v>876</v>
      </c>
      <c r="I301" s="14" t="s">
        <v>880</v>
      </c>
      <c r="J301" s="14" t="s">
        <v>917</v>
      </c>
      <c r="K301" s="14" t="s">
        <v>882</v>
      </c>
      <c r="L301" s="772">
        <v>200</v>
      </c>
    </row>
    <row r="302" spans="1:12" x14ac:dyDescent="0.35">
      <c r="A302" s="14">
        <v>1000</v>
      </c>
      <c r="B302" s="14">
        <v>100</v>
      </c>
      <c r="C302" s="14">
        <v>1900</v>
      </c>
      <c r="D302" s="14">
        <v>6221</v>
      </c>
      <c r="G302" s="775">
        <v>1156.48</v>
      </c>
      <c r="H302" s="14" t="s">
        <v>876</v>
      </c>
      <c r="I302" s="14" t="s">
        <v>880</v>
      </c>
      <c r="J302" s="14" t="s">
        <v>885</v>
      </c>
      <c r="K302" s="14" t="s">
        <v>882</v>
      </c>
      <c r="L302" s="772">
        <v>200</v>
      </c>
    </row>
    <row r="303" spans="1:12" x14ac:dyDescent="0.35">
      <c r="A303" s="765">
        <v>1000</v>
      </c>
      <c r="B303" s="765">
        <v>100</v>
      </c>
      <c r="C303" s="765">
        <v>1900</v>
      </c>
      <c r="D303" s="765">
        <v>6222</v>
      </c>
      <c r="E303" s="765"/>
      <c r="F303" s="765"/>
      <c r="G303" s="776">
        <v>662.85</v>
      </c>
      <c r="H303" s="15" t="s">
        <v>876</v>
      </c>
      <c r="I303" s="15" t="s">
        <v>880</v>
      </c>
      <c r="J303" s="15" t="s">
        <v>885</v>
      </c>
      <c r="K303" s="15" t="s">
        <v>882</v>
      </c>
      <c r="L303" s="15">
        <v>100</v>
      </c>
    </row>
    <row r="304" spans="1:12" x14ac:dyDescent="0.35">
      <c r="A304" s="14">
        <v>1000</v>
      </c>
      <c r="B304" s="14">
        <v>100</v>
      </c>
      <c r="C304" s="14">
        <v>1900</v>
      </c>
      <c r="D304" s="14">
        <v>6222</v>
      </c>
      <c r="G304" s="775">
        <v>270.45</v>
      </c>
      <c r="H304" s="14" t="s">
        <v>876</v>
      </c>
      <c r="I304" s="14" t="s">
        <v>880</v>
      </c>
      <c r="J304" s="14" t="s">
        <v>885</v>
      </c>
      <c r="K304" s="14" t="s">
        <v>882</v>
      </c>
      <c r="L304" s="772">
        <v>200</v>
      </c>
    </row>
    <row r="305" spans="1:12" x14ac:dyDescent="0.35">
      <c r="A305" s="765">
        <v>1000</v>
      </c>
      <c r="B305" s="765">
        <v>100</v>
      </c>
      <c r="C305" s="765">
        <v>1900</v>
      </c>
      <c r="D305" s="765">
        <v>6230</v>
      </c>
      <c r="E305" s="765"/>
      <c r="F305" s="765"/>
      <c r="G305" s="776">
        <v>5470.43</v>
      </c>
      <c r="H305" s="15" t="s">
        <v>876</v>
      </c>
      <c r="I305" s="15" t="s">
        <v>880</v>
      </c>
      <c r="J305" s="15" t="s">
        <v>885</v>
      </c>
      <c r="K305" s="15" t="s">
        <v>882</v>
      </c>
      <c r="L305" s="15">
        <v>100</v>
      </c>
    </row>
    <row r="306" spans="1:12" x14ac:dyDescent="0.35">
      <c r="A306" s="14">
        <v>1000</v>
      </c>
      <c r="B306" s="14">
        <v>100</v>
      </c>
      <c r="C306" s="14">
        <v>1900</v>
      </c>
      <c r="D306" s="14">
        <v>6230</v>
      </c>
      <c r="G306" s="775">
        <v>2381.98</v>
      </c>
      <c r="H306" s="14" t="s">
        <v>876</v>
      </c>
      <c r="I306" s="14" t="s">
        <v>880</v>
      </c>
      <c r="J306" s="14" t="s">
        <v>885</v>
      </c>
      <c r="K306" s="14" t="s">
        <v>882</v>
      </c>
      <c r="L306" s="772">
        <v>200</v>
      </c>
    </row>
    <row r="307" spans="1:12" x14ac:dyDescent="0.35">
      <c r="A307" s="765">
        <v>1000</v>
      </c>
      <c r="B307" s="765">
        <v>100</v>
      </c>
      <c r="C307" s="765">
        <v>1900</v>
      </c>
      <c r="D307" s="765">
        <v>6235</v>
      </c>
      <c r="E307" s="765"/>
      <c r="F307" s="765"/>
      <c r="G307" s="776">
        <v>67.41</v>
      </c>
      <c r="H307" s="15" t="s">
        <v>876</v>
      </c>
      <c r="I307" s="15" t="s">
        <v>880</v>
      </c>
      <c r="J307" s="15" t="s">
        <v>885</v>
      </c>
      <c r="K307" s="15" t="s">
        <v>882</v>
      </c>
      <c r="L307" s="15">
        <v>100</v>
      </c>
    </row>
    <row r="308" spans="1:12" x14ac:dyDescent="0.35">
      <c r="A308" s="14">
        <v>1220</v>
      </c>
      <c r="B308" s="14">
        <v>200</v>
      </c>
      <c r="C308" s="14">
        <v>2100</v>
      </c>
      <c r="D308" s="14">
        <v>6230</v>
      </c>
      <c r="G308" s="775">
        <v>1741.21</v>
      </c>
      <c r="H308" s="14" t="s">
        <v>919</v>
      </c>
      <c r="I308" s="14" t="s">
        <v>884</v>
      </c>
      <c r="J308" s="14" t="s">
        <v>889</v>
      </c>
      <c r="K308" s="14" t="s">
        <v>882</v>
      </c>
      <c r="L308" s="772">
        <v>200</v>
      </c>
    </row>
    <row r="309" spans="1:12" x14ac:dyDescent="0.35">
      <c r="A309" s="14">
        <v>1000</v>
      </c>
      <c r="B309" s="14">
        <v>100</v>
      </c>
      <c r="C309" s="14">
        <v>2100</v>
      </c>
      <c r="D309" s="14">
        <v>6250</v>
      </c>
      <c r="G309" s="775">
        <v>1.95</v>
      </c>
      <c r="H309" s="14" t="s">
        <v>876</v>
      </c>
      <c r="I309" s="14" t="s">
        <v>880</v>
      </c>
      <c r="J309" s="14" t="s">
        <v>889</v>
      </c>
      <c r="K309" s="14" t="s">
        <v>882</v>
      </c>
      <c r="L309" s="772">
        <v>200</v>
      </c>
    </row>
    <row r="310" spans="1:12" x14ac:dyDescent="0.35">
      <c r="A310" s="14">
        <v>1220</v>
      </c>
      <c r="B310" s="14">
        <v>200</v>
      </c>
      <c r="C310" s="14">
        <v>2100</v>
      </c>
      <c r="D310" s="14">
        <v>6235</v>
      </c>
      <c r="G310" s="775">
        <v>21.53</v>
      </c>
      <c r="H310" s="14" t="s">
        <v>919</v>
      </c>
      <c r="I310" s="14" t="s">
        <v>884</v>
      </c>
      <c r="J310" s="14" t="s">
        <v>889</v>
      </c>
      <c r="K310" s="14" t="s">
        <v>882</v>
      </c>
      <c r="L310" s="772">
        <v>200</v>
      </c>
    </row>
    <row r="311" spans="1:12" x14ac:dyDescent="0.35">
      <c r="A311" s="14">
        <v>1220</v>
      </c>
      <c r="B311" s="14">
        <v>200</v>
      </c>
      <c r="C311" s="14">
        <v>2100</v>
      </c>
      <c r="D311" s="14">
        <v>6250</v>
      </c>
      <c r="G311" s="775">
        <v>0.33</v>
      </c>
      <c r="H311" s="14" t="s">
        <v>919</v>
      </c>
      <c r="I311" s="14" t="s">
        <v>884</v>
      </c>
      <c r="J311" s="14" t="s">
        <v>889</v>
      </c>
      <c r="K311" s="14" t="s">
        <v>882</v>
      </c>
      <c r="L311" s="772">
        <v>200</v>
      </c>
    </row>
    <row r="312" spans="1:12" x14ac:dyDescent="0.35">
      <c r="A312" s="14">
        <v>1010</v>
      </c>
      <c r="B312" s="14">
        <v>100</v>
      </c>
      <c r="C312" s="14">
        <v>2200</v>
      </c>
      <c r="D312" s="14">
        <v>6250</v>
      </c>
      <c r="G312" s="775">
        <v>4.2</v>
      </c>
      <c r="H312" s="14" t="s">
        <v>877</v>
      </c>
      <c r="I312" s="14" t="s">
        <v>880</v>
      </c>
      <c r="J312" s="14" t="s">
        <v>893</v>
      </c>
      <c r="K312" s="14" t="s">
        <v>882</v>
      </c>
      <c r="L312" s="772">
        <v>100</v>
      </c>
    </row>
    <row r="313" spans="1:12" x14ac:dyDescent="0.35">
      <c r="A313" s="14">
        <v>1000</v>
      </c>
      <c r="B313" s="14">
        <v>100</v>
      </c>
      <c r="C313" s="14">
        <v>2220</v>
      </c>
      <c r="D313" s="14">
        <v>6250</v>
      </c>
      <c r="G313" s="775">
        <v>0.14000000000000001</v>
      </c>
      <c r="H313" s="14" t="s">
        <v>876</v>
      </c>
      <c r="I313" s="14" t="s">
        <v>880</v>
      </c>
      <c r="J313" s="14" t="s">
        <v>897</v>
      </c>
      <c r="K313" s="14" t="s">
        <v>882</v>
      </c>
      <c r="L313" s="772">
        <v>200</v>
      </c>
    </row>
    <row r="314" spans="1:12" x14ac:dyDescent="0.35">
      <c r="A314" s="14">
        <v>1000</v>
      </c>
      <c r="B314" s="14">
        <v>100</v>
      </c>
      <c r="C314" s="14">
        <v>2400</v>
      </c>
      <c r="D314" s="14">
        <v>6250</v>
      </c>
      <c r="G314" s="775">
        <v>10.89</v>
      </c>
      <c r="H314" s="14" t="s">
        <v>876</v>
      </c>
      <c r="I314" s="14" t="s">
        <v>880</v>
      </c>
      <c r="J314" s="14" t="s">
        <v>909</v>
      </c>
      <c r="K314" s="14" t="s">
        <v>882</v>
      </c>
      <c r="L314" s="772">
        <v>100</v>
      </c>
    </row>
    <row r="315" spans="1:12" x14ac:dyDescent="0.35">
      <c r="A315" s="14">
        <v>1000</v>
      </c>
      <c r="B315" s="14">
        <v>100</v>
      </c>
      <c r="C315" s="14">
        <v>2400</v>
      </c>
      <c r="D315" s="14">
        <v>6250</v>
      </c>
      <c r="G315" s="775">
        <v>5.38</v>
      </c>
      <c r="H315" s="14" t="s">
        <v>876</v>
      </c>
      <c r="I315" s="14" t="s">
        <v>880</v>
      </c>
      <c r="J315" s="14" t="s">
        <v>909</v>
      </c>
      <c r="K315" s="14" t="s">
        <v>882</v>
      </c>
      <c r="L315" s="772">
        <v>200</v>
      </c>
    </row>
    <row r="316" spans="1:12" x14ac:dyDescent="0.35">
      <c r="A316" s="14">
        <v>1529</v>
      </c>
      <c r="B316" s="14">
        <v>100</v>
      </c>
      <c r="C316" s="14">
        <v>2400</v>
      </c>
      <c r="D316" s="14">
        <v>6250</v>
      </c>
      <c r="G316" s="775">
        <v>3.4</v>
      </c>
      <c r="H316" s="14" t="s">
        <v>983</v>
      </c>
      <c r="I316" s="14" t="s">
        <v>880</v>
      </c>
      <c r="J316" s="14" t="s">
        <v>909</v>
      </c>
      <c r="K316" s="14" t="s">
        <v>882</v>
      </c>
      <c r="L316" s="772">
        <v>100</v>
      </c>
    </row>
    <row r="317" spans="1:12" x14ac:dyDescent="0.35">
      <c r="A317" s="14">
        <v>1000</v>
      </c>
      <c r="B317" s="14">
        <v>100</v>
      </c>
      <c r="C317" s="14">
        <v>2500</v>
      </c>
      <c r="D317" s="14">
        <v>6330</v>
      </c>
      <c r="G317" s="775">
        <v>9201</v>
      </c>
      <c r="H317" s="14" t="s">
        <v>876</v>
      </c>
      <c r="I317" s="14" t="s">
        <v>880</v>
      </c>
      <c r="J317" s="14" t="s">
        <v>913</v>
      </c>
      <c r="K317" s="14" t="s">
        <v>886</v>
      </c>
      <c r="L317" s="772">
        <v>100</v>
      </c>
    </row>
    <row r="318" spans="1:12" x14ac:dyDescent="0.35">
      <c r="A318" s="14">
        <v>1000</v>
      </c>
      <c r="B318" s="14">
        <v>100</v>
      </c>
      <c r="C318" s="14">
        <v>2600</v>
      </c>
      <c r="D318" s="14">
        <v>6411</v>
      </c>
      <c r="G318" s="775">
        <v>7309.48</v>
      </c>
      <c r="H318" s="14" t="s">
        <v>876</v>
      </c>
      <c r="I318" s="14" t="s">
        <v>880</v>
      </c>
      <c r="J318" s="14" t="s">
        <v>917</v>
      </c>
      <c r="K318" s="14" t="s">
        <v>886</v>
      </c>
      <c r="L318" s="772">
        <v>100</v>
      </c>
    </row>
    <row r="319" spans="1:12" x14ac:dyDescent="0.35">
      <c r="A319" s="14">
        <v>1000</v>
      </c>
      <c r="B319" s="14">
        <v>100</v>
      </c>
      <c r="C319" s="14">
        <v>2600</v>
      </c>
      <c r="D319" s="14">
        <v>6411</v>
      </c>
      <c r="G319" s="775">
        <v>4232.66</v>
      </c>
      <c r="H319" s="14" t="s">
        <v>876</v>
      </c>
      <c r="I319" s="14" t="s">
        <v>880</v>
      </c>
      <c r="J319" s="14" t="s">
        <v>917</v>
      </c>
      <c r="K319" s="14" t="s">
        <v>886</v>
      </c>
      <c r="L319" s="772">
        <v>200</v>
      </c>
    </row>
    <row r="320" spans="1:12" x14ac:dyDescent="0.35">
      <c r="A320" s="14">
        <v>1000</v>
      </c>
      <c r="B320" s="14">
        <v>100</v>
      </c>
      <c r="C320" s="14">
        <v>2600</v>
      </c>
      <c r="D320" s="14">
        <v>6420</v>
      </c>
      <c r="G320" s="775">
        <v>459.2</v>
      </c>
      <c r="H320" s="14" t="s">
        <v>876</v>
      </c>
      <c r="I320" s="14" t="s">
        <v>880</v>
      </c>
      <c r="J320" s="14" t="s">
        <v>917</v>
      </c>
      <c r="K320" s="14" t="s">
        <v>886</v>
      </c>
      <c r="L320" s="772">
        <v>100</v>
      </c>
    </row>
    <row r="321" spans="1:12" x14ac:dyDescent="0.35">
      <c r="A321" s="14">
        <v>1000</v>
      </c>
      <c r="B321" s="14">
        <v>400</v>
      </c>
      <c r="C321" s="14">
        <v>2700</v>
      </c>
      <c r="D321" s="14">
        <v>6610</v>
      </c>
      <c r="G321" s="775">
        <v>103.12</v>
      </c>
      <c r="H321" s="14" t="s">
        <v>876</v>
      </c>
      <c r="I321" s="14" t="s">
        <v>900</v>
      </c>
      <c r="J321" s="14" t="s">
        <v>921</v>
      </c>
      <c r="K321" s="14" t="s">
        <v>890</v>
      </c>
      <c r="L321" s="772">
        <v>100</v>
      </c>
    </row>
    <row r="322" spans="1:12" x14ac:dyDescent="0.35">
      <c r="A322" s="14">
        <v>1000</v>
      </c>
      <c r="B322" s="14">
        <v>100</v>
      </c>
      <c r="C322" s="14">
        <v>1900</v>
      </c>
      <c r="D322" s="14">
        <v>6235</v>
      </c>
      <c r="G322" s="775">
        <v>30.34</v>
      </c>
      <c r="H322" s="14" t="s">
        <v>876</v>
      </c>
      <c r="I322" s="14" t="s">
        <v>880</v>
      </c>
      <c r="J322" s="14" t="s">
        <v>885</v>
      </c>
      <c r="K322" s="14" t="s">
        <v>882</v>
      </c>
      <c r="L322" s="772">
        <v>200</v>
      </c>
    </row>
    <row r="323" spans="1:12" x14ac:dyDescent="0.35">
      <c r="A323" s="765">
        <v>1000</v>
      </c>
      <c r="B323" s="765">
        <v>100</v>
      </c>
      <c r="C323" s="765">
        <v>1900</v>
      </c>
      <c r="D323" s="765">
        <v>6250</v>
      </c>
      <c r="E323" s="765"/>
      <c r="F323" s="765"/>
      <c r="G323" s="776">
        <v>9.4600000000000009</v>
      </c>
      <c r="H323" s="15" t="s">
        <v>876</v>
      </c>
      <c r="I323" s="15" t="s">
        <v>880</v>
      </c>
      <c r="J323" s="15" t="s">
        <v>885</v>
      </c>
      <c r="K323" s="15" t="s">
        <v>882</v>
      </c>
      <c r="L323" s="15">
        <v>100</v>
      </c>
    </row>
    <row r="324" spans="1:12" x14ac:dyDescent="0.35">
      <c r="A324" s="14">
        <v>1222</v>
      </c>
      <c r="B324" s="14">
        <v>200</v>
      </c>
      <c r="C324" s="14">
        <v>2100</v>
      </c>
      <c r="D324" s="14">
        <v>6154</v>
      </c>
      <c r="G324" s="775">
        <v>433</v>
      </c>
      <c r="H324" s="14" t="s">
        <v>919</v>
      </c>
      <c r="I324" s="14" t="s">
        <v>884</v>
      </c>
      <c r="J324" s="14" t="s">
        <v>889</v>
      </c>
      <c r="K324" s="14" t="s">
        <v>878</v>
      </c>
      <c r="L324" s="772">
        <v>200</v>
      </c>
    </row>
    <row r="325" spans="1:12" x14ac:dyDescent="0.35">
      <c r="A325" s="14">
        <v>1190</v>
      </c>
      <c r="B325" s="14">
        <v>100</v>
      </c>
      <c r="C325" s="14">
        <v>2200</v>
      </c>
      <c r="D325" s="14">
        <v>6154</v>
      </c>
      <c r="G325" s="775">
        <v>3000</v>
      </c>
      <c r="H325" s="14" t="s">
        <v>907</v>
      </c>
      <c r="I325" s="14" t="s">
        <v>880</v>
      </c>
      <c r="J325" s="14" t="s">
        <v>893</v>
      </c>
      <c r="K325" s="14" t="s">
        <v>878</v>
      </c>
      <c r="L325" s="772">
        <v>100</v>
      </c>
    </row>
    <row r="326" spans="1:12" x14ac:dyDescent="0.35">
      <c r="A326" s="14">
        <v>1000</v>
      </c>
      <c r="B326" s="14">
        <v>100</v>
      </c>
      <c r="C326" s="14">
        <v>1900</v>
      </c>
      <c r="D326" s="14">
        <v>6250</v>
      </c>
      <c r="G326" s="775">
        <v>1.92</v>
      </c>
      <c r="H326" s="14" t="s">
        <v>876</v>
      </c>
      <c r="I326" s="14" t="s">
        <v>880</v>
      </c>
      <c r="J326" s="14" t="s">
        <v>885</v>
      </c>
      <c r="K326" s="14" t="s">
        <v>882</v>
      </c>
      <c r="L326" s="772">
        <v>200</v>
      </c>
    </row>
    <row r="327" spans="1:12" x14ac:dyDescent="0.35">
      <c r="A327" s="14">
        <v>1010</v>
      </c>
      <c r="B327" s="14">
        <v>100</v>
      </c>
      <c r="C327" s="14">
        <v>1900</v>
      </c>
      <c r="D327" s="14">
        <v>6154</v>
      </c>
      <c r="G327" s="775">
        <v>687.37</v>
      </c>
      <c r="H327" s="14" t="s">
        <v>877</v>
      </c>
      <c r="I327" s="14" t="s">
        <v>880</v>
      </c>
      <c r="J327" s="14" t="s">
        <v>885</v>
      </c>
      <c r="K327" s="14" t="s">
        <v>878</v>
      </c>
      <c r="L327" s="772">
        <v>100</v>
      </c>
    </row>
    <row r="328" spans="1:12" x14ac:dyDescent="0.35">
      <c r="A328" s="14">
        <v>1010</v>
      </c>
      <c r="B328" s="14">
        <v>100</v>
      </c>
      <c r="C328" s="14">
        <v>1900</v>
      </c>
      <c r="D328" s="14">
        <v>6154</v>
      </c>
      <c r="G328" s="775">
        <v>2500</v>
      </c>
      <c r="H328" s="14" t="s">
        <v>877</v>
      </c>
      <c r="I328" s="14" t="s">
        <v>880</v>
      </c>
      <c r="J328" s="14" t="s">
        <v>885</v>
      </c>
      <c r="K328" s="14" t="s">
        <v>878</v>
      </c>
      <c r="L328" s="772">
        <v>200</v>
      </c>
    </row>
    <row r="329" spans="1:12" x14ac:dyDescent="0.35">
      <c r="A329" s="14">
        <v>1222</v>
      </c>
      <c r="B329" s="14">
        <v>200</v>
      </c>
      <c r="C329" s="14">
        <v>2100</v>
      </c>
      <c r="D329" s="14">
        <v>6221</v>
      </c>
      <c r="G329" s="775">
        <v>31.62</v>
      </c>
      <c r="H329" s="14" t="s">
        <v>919</v>
      </c>
      <c r="I329" s="14" t="s">
        <v>884</v>
      </c>
      <c r="J329" s="14" t="s">
        <v>889</v>
      </c>
      <c r="K329" s="14" t="s">
        <v>882</v>
      </c>
      <c r="L329" s="772">
        <v>200</v>
      </c>
    </row>
    <row r="330" spans="1:12" x14ac:dyDescent="0.35">
      <c r="A330" s="14">
        <v>1010</v>
      </c>
      <c r="B330" s="14">
        <v>100</v>
      </c>
      <c r="C330" s="14">
        <v>1900</v>
      </c>
      <c r="D330" s="14">
        <v>6221</v>
      </c>
      <c r="G330" s="775">
        <v>175.47</v>
      </c>
      <c r="H330" s="14" t="s">
        <v>877</v>
      </c>
      <c r="I330" s="14" t="s">
        <v>880</v>
      </c>
      <c r="J330" s="14" t="s">
        <v>885</v>
      </c>
      <c r="K330" s="14" t="s">
        <v>882</v>
      </c>
      <c r="L330" s="772">
        <v>100</v>
      </c>
    </row>
    <row r="331" spans="1:12" x14ac:dyDescent="0.35">
      <c r="A331" s="14">
        <v>1222</v>
      </c>
      <c r="B331" s="14">
        <v>200</v>
      </c>
      <c r="C331" s="14">
        <v>2100</v>
      </c>
      <c r="D331" s="14">
        <v>6222</v>
      </c>
      <c r="G331" s="775">
        <v>12</v>
      </c>
      <c r="H331" s="14" t="s">
        <v>919</v>
      </c>
      <c r="I331" s="14" t="s">
        <v>884</v>
      </c>
      <c r="J331" s="14" t="s">
        <v>889</v>
      </c>
      <c r="K331" s="14" t="s">
        <v>882</v>
      </c>
      <c r="L331" s="772">
        <v>200</v>
      </c>
    </row>
    <row r="332" spans="1:12" x14ac:dyDescent="0.35">
      <c r="A332" s="14">
        <v>1510</v>
      </c>
      <c r="B332" s="14">
        <v>100</v>
      </c>
      <c r="C332" s="14">
        <v>3100</v>
      </c>
      <c r="D332" s="14">
        <v>6250</v>
      </c>
      <c r="G332" s="775">
        <v>2.44</v>
      </c>
      <c r="H332" s="14" t="s">
        <v>983</v>
      </c>
      <c r="I332" s="14" t="s">
        <v>880</v>
      </c>
      <c r="J332" s="14" t="s">
        <v>929</v>
      </c>
      <c r="K332" s="14" t="s">
        <v>882</v>
      </c>
      <c r="L332" s="772">
        <v>100</v>
      </c>
    </row>
    <row r="333" spans="1:12" x14ac:dyDescent="0.35">
      <c r="A333" s="14">
        <v>1510</v>
      </c>
      <c r="B333" s="14">
        <v>100</v>
      </c>
      <c r="C333" s="14">
        <v>3100</v>
      </c>
      <c r="D333" s="14">
        <v>6250</v>
      </c>
      <c r="G333" s="775">
        <v>0.35</v>
      </c>
      <c r="H333" s="14" t="s">
        <v>983</v>
      </c>
      <c r="I333" s="14" t="s">
        <v>880</v>
      </c>
      <c r="J333" s="14" t="s">
        <v>929</v>
      </c>
      <c r="K333" s="14" t="s">
        <v>882</v>
      </c>
      <c r="L333" s="772">
        <v>200</v>
      </c>
    </row>
    <row r="334" spans="1:12" x14ac:dyDescent="0.35">
      <c r="A334" s="14">
        <v>1000</v>
      </c>
      <c r="B334" s="14">
        <v>400</v>
      </c>
      <c r="C334" s="14">
        <v>2700</v>
      </c>
      <c r="D334" s="14">
        <v>6626</v>
      </c>
      <c r="G334" s="775">
        <v>1008.53</v>
      </c>
      <c r="H334" s="14" t="s">
        <v>876</v>
      </c>
      <c r="I334" s="14" t="s">
        <v>900</v>
      </c>
      <c r="J334" s="14" t="s">
        <v>921</v>
      </c>
      <c r="K334" s="14" t="s">
        <v>890</v>
      </c>
      <c r="L334" s="772">
        <v>100</v>
      </c>
    </row>
    <row r="335" spans="1:12" x14ac:dyDescent="0.35">
      <c r="A335" s="14">
        <v>1000</v>
      </c>
      <c r="B335" s="14">
        <v>100</v>
      </c>
      <c r="C335" s="14">
        <v>2400</v>
      </c>
      <c r="D335" s="14">
        <v>6330</v>
      </c>
      <c r="G335" s="775">
        <v>250</v>
      </c>
      <c r="H335" s="14" t="s">
        <v>876</v>
      </c>
      <c r="I335" s="14" t="s">
        <v>880</v>
      </c>
      <c r="J335" s="14" t="s">
        <v>909</v>
      </c>
      <c r="K335" s="14" t="s">
        <v>886</v>
      </c>
      <c r="L335" s="772">
        <v>100</v>
      </c>
    </row>
    <row r="336" spans="1:12" x14ac:dyDescent="0.35">
      <c r="A336" s="14">
        <v>1000</v>
      </c>
      <c r="B336" s="14">
        <v>100</v>
      </c>
      <c r="C336" s="14">
        <v>2600</v>
      </c>
      <c r="D336" s="14">
        <v>6420</v>
      </c>
      <c r="G336" s="775">
        <v>20200</v>
      </c>
      <c r="H336" s="14" t="s">
        <v>876</v>
      </c>
      <c r="I336" s="14" t="s">
        <v>880</v>
      </c>
      <c r="J336" s="14" t="s">
        <v>917</v>
      </c>
      <c r="K336" s="14" t="s">
        <v>886</v>
      </c>
      <c r="L336" s="772">
        <v>200</v>
      </c>
    </row>
    <row r="337" spans="1:12" x14ac:dyDescent="0.35">
      <c r="A337" s="14">
        <v>1000</v>
      </c>
      <c r="B337" s="14">
        <v>100</v>
      </c>
      <c r="C337" s="14">
        <v>2600</v>
      </c>
      <c r="D337" s="14">
        <v>6421</v>
      </c>
      <c r="G337" s="775">
        <v>2385.3200000000002</v>
      </c>
      <c r="H337" s="14" t="s">
        <v>876</v>
      </c>
      <c r="I337" s="14" t="s">
        <v>880</v>
      </c>
      <c r="J337" s="14" t="s">
        <v>917</v>
      </c>
      <c r="K337" s="14" t="s">
        <v>886</v>
      </c>
      <c r="L337" s="772">
        <v>100</v>
      </c>
    </row>
    <row r="338" spans="1:12" x14ac:dyDescent="0.35">
      <c r="A338" s="14">
        <v>1000</v>
      </c>
      <c r="B338" s="14">
        <v>100</v>
      </c>
      <c r="C338" s="14">
        <v>2600</v>
      </c>
      <c r="D338" s="14">
        <v>6425</v>
      </c>
      <c r="G338" s="775">
        <v>870</v>
      </c>
      <c r="H338" s="14" t="s">
        <v>876</v>
      </c>
      <c r="I338" s="14" t="s">
        <v>880</v>
      </c>
      <c r="J338" s="14" t="s">
        <v>917</v>
      </c>
      <c r="K338" s="14" t="s">
        <v>886</v>
      </c>
      <c r="L338" s="772">
        <v>100</v>
      </c>
    </row>
    <row r="339" spans="1:12" x14ac:dyDescent="0.35">
      <c r="A339" s="14">
        <v>1010</v>
      </c>
      <c r="B339" s="14">
        <v>100</v>
      </c>
      <c r="C339" s="14">
        <v>1900</v>
      </c>
      <c r="D339" s="14">
        <v>6221</v>
      </c>
      <c r="G339" s="775">
        <v>155</v>
      </c>
      <c r="H339" s="14" t="s">
        <v>877</v>
      </c>
      <c r="I339" s="14" t="s">
        <v>880</v>
      </c>
      <c r="J339" s="14" t="s">
        <v>885</v>
      </c>
      <c r="K339" s="14" t="s">
        <v>882</v>
      </c>
      <c r="L339" s="772">
        <v>200</v>
      </c>
    </row>
    <row r="340" spans="1:12" x14ac:dyDescent="0.35">
      <c r="A340" s="14">
        <v>1010</v>
      </c>
      <c r="B340" s="14">
        <v>100</v>
      </c>
      <c r="C340" s="14">
        <v>1900</v>
      </c>
      <c r="D340" s="14">
        <v>6222</v>
      </c>
      <c r="G340" s="775">
        <v>41.04</v>
      </c>
      <c r="H340" s="14" t="s">
        <v>877</v>
      </c>
      <c r="I340" s="14" t="s">
        <v>880</v>
      </c>
      <c r="J340" s="14" t="s">
        <v>885</v>
      </c>
      <c r="K340" s="14" t="s">
        <v>882</v>
      </c>
      <c r="L340" s="772">
        <v>100</v>
      </c>
    </row>
    <row r="341" spans="1:12" x14ac:dyDescent="0.35">
      <c r="A341" s="14">
        <v>1010</v>
      </c>
      <c r="B341" s="14">
        <v>100</v>
      </c>
      <c r="C341" s="14">
        <v>1900</v>
      </c>
      <c r="D341" s="14">
        <v>6222</v>
      </c>
      <c r="G341" s="775">
        <v>36.25</v>
      </c>
      <c r="H341" s="14" t="s">
        <v>877</v>
      </c>
      <c r="I341" s="14" t="s">
        <v>880</v>
      </c>
      <c r="J341" s="14" t="s">
        <v>885</v>
      </c>
      <c r="K341" s="14" t="s">
        <v>882</v>
      </c>
      <c r="L341" s="772">
        <v>200</v>
      </c>
    </row>
    <row r="342" spans="1:12" x14ac:dyDescent="0.35">
      <c r="A342" s="14">
        <v>1010</v>
      </c>
      <c r="B342" s="14">
        <v>100</v>
      </c>
      <c r="C342" s="14">
        <v>1900</v>
      </c>
      <c r="D342" s="14">
        <v>6230</v>
      </c>
      <c r="G342" s="775">
        <v>343</v>
      </c>
      <c r="H342" s="14" t="s">
        <v>877</v>
      </c>
      <c r="I342" s="14" t="s">
        <v>880</v>
      </c>
      <c r="J342" s="14" t="s">
        <v>885</v>
      </c>
      <c r="K342" s="14" t="s">
        <v>882</v>
      </c>
      <c r="L342" s="772">
        <v>100</v>
      </c>
    </row>
    <row r="343" spans="1:12" x14ac:dyDescent="0.35">
      <c r="A343" s="14">
        <v>1010</v>
      </c>
      <c r="B343" s="14">
        <v>100</v>
      </c>
      <c r="C343" s="14">
        <v>1900</v>
      </c>
      <c r="D343" s="14">
        <v>6230</v>
      </c>
      <c r="G343" s="775">
        <v>303</v>
      </c>
      <c r="H343" s="14" t="s">
        <v>877</v>
      </c>
      <c r="I343" s="14" t="s">
        <v>880</v>
      </c>
      <c r="J343" s="14" t="s">
        <v>885</v>
      </c>
      <c r="K343" s="14" t="s">
        <v>882</v>
      </c>
      <c r="L343" s="772">
        <v>200</v>
      </c>
    </row>
    <row r="344" spans="1:12" x14ac:dyDescent="0.35">
      <c r="A344" s="14">
        <v>1010</v>
      </c>
      <c r="B344" s="14">
        <v>100</v>
      </c>
      <c r="C344" s="14">
        <v>1900</v>
      </c>
      <c r="D344" s="14">
        <v>6235</v>
      </c>
      <c r="G344" s="775">
        <v>4.22</v>
      </c>
      <c r="H344" s="14" t="s">
        <v>877</v>
      </c>
      <c r="I344" s="14" t="s">
        <v>880</v>
      </c>
      <c r="J344" s="14" t="s">
        <v>885</v>
      </c>
      <c r="K344" s="14" t="s">
        <v>882</v>
      </c>
      <c r="L344" s="772">
        <v>100</v>
      </c>
    </row>
    <row r="345" spans="1:12" x14ac:dyDescent="0.35">
      <c r="A345" s="14">
        <v>1010</v>
      </c>
      <c r="B345" s="14">
        <v>100</v>
      </c>
      <c r="C345" s="14">
        <v>1900</v>
      </c>
      <c r="D345" s="14">
        <v>6235</v>
      </c>
      <c r="G345" s="775">
        <v>3.74</v>
      </c>
      <c r="H345" s="14" t="s">
        <v>877</v>
      </c>
      <c r="I345" s="14" t="s">
        <v>880</v>
      </c>
      <c r="J345" s="14" t="s">
        <v>885</v>
      </c>
      <c r="K345" s="14" t="s">
        <v>882</v>
      </c>
      <c r="L345" s="772">
        <v>200</v>
      </c>
    </row>
    <row r="346" spans="1:12" x14ac:dyDescent="0.35">
      <c r="A346" s="14">
        <v>1000</v>
      </c>
      <c r="B346" s="14">
        <v>100</v>
      </c>
      <c r="C346" s="14">
        <v>2500</v>
      </c>
      <c r="D346" s="14">
        <v>6329</v>
      </c>
      <c r="G346" s="775">
        <v>910</v>
      </c>
      <c r="H346" s="14" t="s">
        <v>876</v>
      </c>
      <c r="I346" s="14" t="s">
        <v>880</v>
      </c>
      <c r="J346" s="14" t="s">
        <v>913</v>
      </c>
      <c r="K346" s="14" t="s">
        <v>886</v>
      </c>
      <c r="L346" s="772">
        <v>100</v>
      </c>
    </row>
    <row r="347" spans="1:12" x14ac:dyDescent="0.35">
      <c r="A347" s="14">
        <v>1000</v>
      </c>
      <c r="B347" s="14">
        <v>100</v>
      </c>
      <c r="C347" s="14">
        <v>2100</v>
      </c>
      <c r="D347" s="14">
        <v>6330</v>
      </c>
      <c r="G347" s="775">
        <v>550</v>
      </c>
      <c r="H347" s="14" t="s">
        <v>876</v>
      </c>
      <c r="I347" s="14" t="s">
        <v>880</v>
      </c>
      <c r="J347" s="14" t="s">
        <v>889</v>
      </c>
      <c r="K347" s="14" t="s">
        <v>886</v>
      </c>
      <c r="L347" s="772">
        <v>100</v>
      </c>
    </row>
    <row r="348" spans="1:12" x14ac:dyDescent="0.35">
      <c r="A348" s="14">
        <v>1000</v>
      </c>
      <c r="B348" s="14">
        <v>200</v>
      </c>
      <c r="C348" s="14">
        <v>2100</v>
      </c>
      <c r="D348" s="14">
        <v>6330</v>
      </c>
      <c r="G348" s="775">
        <v>2590</v>
      </c>
      <c r="H348" s="14" t="s">
        <v>876</v>
      </c>
      <c r="I348" s="14" t="s">
        <v>884</v>
      </c>
      <c r="J348" s="14" t="s">
        <v>889</v>
      </c>
      <c r="K348" s="14" t="s">
        <v>886</v>
      </c>
      <c r="L348" s="772">
        <v>100</v>
      </c>
    </row>
    <row r="349" spans="1:12" x14ac:dyDescent="0.35">
      <c r="A349" s="14">
        <v>1190</v>
      </c>
      <c r="B349" s="14">
        <v>100</v>
      </c>
      <c r="C349" s="14">
        <v>2400</v>
      </c>
      <c r="D349" s="14">
        <v>6330</v>
      </c>
      <c r="G349" s="775">
        <v>217.44</v>
      </c>
      <c r="H349" s="14" t="s">
        <v>907</v>
      </c>
      <c r="I349" s="14" t="s">
        <v>880</v>
      </c>
      <c r="J349" s="14" t="s">
        <v>909</v>
      </c>
      <c r="K349" s="14" t="s">
        <v>886</v>
      </c>
      <c r="L349" s="772">
        <v>100</v>
      </c>
    </row>
    <row r="350" spans="1:12" x14ac:dyDescent="0.35">
      <c r="A350" s="14">
        <v>1000</v>
      </c>
      <c r="B350" s="14">
        <v>100</v>
      </c>
      <c r="C350" s="14">
        <v>2500</v>
      </c>
      <c r="D350" s="14">
        <v>6330</v>
      </c>
      <c r="G350" s="775">
        <v>25000</v>
      </c>
      <c r="H350" s="14" t="s">
        <v>876</v>
      </c>
      <c r="I350" s="14" t="s">
        <v>880</v>
      </c>
      <c r="J350" s="14" t="s">
        <v>913</v>
      </c>
      <c r="K350" s="14" t="s">
        <v>886</v>
      </c>
      <c r="L350" s="772">
        <v>100</v>
      </c>
    </row>
    <row r="351" spans="1:12" x14ac:dyDescent="0.35">
      <c r="A351" s="14">
        <v>1000</v>
      </c>
      <c r="B351" s="14">
        <v>100</v>
      </c>
      <c r="C351" s="14">
        <v>2500</v>
      </c>
      <c r="D351" s="14">
        <v>6330</v>
      </c>
      <c r="G351" s="775">
        <v>1500</v>
      </c>
      <c r="H351" s="14" t="s">
        <v>876</v>
      </c>
      <c r="I351" s="14" t="s">
        <v>880</v>
      </c>
      <c r="J351" s="14" t="s">
        <v>913</v>
      </c>
      <c r="K351" s="14" t="s">
        <v>886</v>
      </c>
      <c r="L351" s="772">
        <v>200</v>
      </c>
    </row>
    <row r="352" spans="1:12" x14ac:dyDescent="0.35">
      <c r="A352" s="14">
        <v>1000</v>
      </c>
      <c r="B352" s="14">
        <v>100</v>
      </c>
      <c r="C352" s="14">
        <v>2400</v>
      </c>
      <c r="D352" s="14">
        <v>6442</v>
      </c>
      <c r="G352" s="775">
        <v>6503.31</v>
      </c>
      <c r="H352" s="14" t="s">
        <v>876</v>
      </c>
      <c r="I352" s="14" t="s">
        <v>880</v>
      </c>
      <c r="J352" s="14" t="s">
        <v>909</v>
      </c>
      <c r="K352" s="14" t="s">
        <v>886</v>
      </c>
      <c r="L352" s="772">
        <v>100</v>
      </c>
    </row>
    <row r="353" spans="1:12" x14ac:dyDescent="0.35">
      <c r="A353" s="14">
        <v>1220</v>
      </c>
      <c r="B353" s="14">
        <v>200</v>
      </c>
      <c r="C353" s="14">
        <v>2100</v>
      </c>
      <c r="D353" s="14">
        <v>6330</v>
      </c>
      <c r="G353" s="775">
        <v>5450</v>
      </c>
      <c r="H353" s="14" t="s">
        <v>919</v>
      </c>
      <c r="I353" s="14" t="s">
        <v>884</v>
      </c>
      <c r="J353" s="14" t="s">
        <v>889</v>
      </c>
      <c r="K353" s="14" t="s">
        <v>886</v>
      </c>
      <c r="L353" s="772">
        <v>100</v>
      </c>
    </row>
    <row r="354" spans="1:12" x14ac:dyDescent="0.35">
      <c r="A354" s="14">
        <v>1220</v>
      </c>
      <c r="B354" s="14">
        <v>200</v>
      </c>
      <c r="C354" s="14">
        <v>2100</v>
      </c>
      <c r="D354" s="14">
        <v>6330</v>
      </c>
      <c r="G354" s="775">
        <v>7920</v>
      </c>
      <c r="H354" s="14" t="s">
        <v>919</v>
      </c>
      <c r="I354" s="14" t="s">
        <v>884</v>
      </c>
      <c r="J354" s="14" t="s">
        <v>889</v>
      </c>
      <c r="K354" s="14" t="s">
        <v>886</v>
      </c>
      <c r="L354" s="772">
        <v>200</v>
      </c>
    </row>
    <row r="355" spans="1:12" x14ac:dyDescent="0.35">
      <c r="A355" s="14">
        <v>1000</v>
      </c>
      <c r="B355" s="14">
        <v>400</v>
      </c>
      <c r="C355" s="14">
        <v>2700</v>
      </c>
      <c r="D355" s="14">
        <v>6626</v>
      </c>
      <c r="G355" s="775">
        <v>81.37</v>
      </c>
      <c r="H355" s="14" t="s">
        <v>876</v>
      </c>
      <c r="I355" s="14" t="s">
        <v>900</v>
      </c>
      <c r="J355" s="14" t="s">
        <v>921</v>
      </c>
      <c r="K355" s="14" t="s">
        <v>890</v>
      </c>
      <c r="L355" s="772">
        <v>100</v>
      </c>
    </row>
    <row r="356" spans="1:12" x14ac:dyDescent="0.35">
      <c r="A356" s="14">
        <v>1000</v>
      </c>
      <c r="B356" s="14">
        <v>100</v>
      </c>
      <c r="C356" s="14">
        <v>2600</v>
      </c>
      <c r="D356" s="14">
        <v>6425</v>
      </c>
      <c r="G356" s="775">
        <v>792</v>
      </c>
      <c r="H356" s="14" t="s">
        <v>876</v>
      </c>
      <c r="I356" s="14" t="s">
        <v>880</v>
      </c>
      <c r="J356" s="14" t="s">
        <v>917</v>
      </c>
      <c r="K356" s="14" t="s">
        <v>886</v>
      </c>
      <c r="L356" s="772">
        <v>200</v>
      </c>
    </row>
    <row r="357" spans="1:12" x14ac:dyDescent="0.35">
      <c r="A357" s="14">
        <v>1000</v>
      </c>
      <c r="B357" s="14">
        <v>100</v>
      </c>
      <c r="C357" s="14">
        <v>2300</v>
      </c>
      <c r="D357" s="14">
        <v>6333</v>
      </c>
      <c r="G357" s="775">
        <v>9240</v>
      </c>
      <c r="H357" s="14" t="s">
        <v>876</v>
      </c>
      <c r="I357" s="14" t="s">
        <v>880</v>
      </c>
      <c r="J357" s="14" t="s">
        <v>905</v>
      </c>
      <c r="K357" s="14" t="s">
        <v>886</v>
      </c>
      <c r="L357" s="772">
        <v>100</v>
      </c>
    </row>
    <row r="358" spans="1:12" x14ac:dyDescent="0.35">
      <c r="A358" s="14">
        <v>1000</v>
      </c>
      <c r="B358" s="14">
        <v>100</v>
      </c>
      <c r="C358" s="14">
        <v>2500</v>
      </c>
      <c r="D358" s="14">
        <v>6333</v>
      </c>
      <c r="G358" s="775">
        <v>57300</v>
      </c>
      <c r="H358" s="14" t="s">
        <v>876</v>
      </c>
      <c r="I358" s="14" t="s">
        <v>880</v>
      </c>
      <c r="J358" s="14" t="s">
        <v>913</v>
      </c>
      <c r="K358" s="14" t="s">
        <v>886</v>
      </c>
      <c r="L358" s="772">
        <v>100</v>
      </c>
    </row>
    <row r="359" spans="1:12" x14ac:dyDescent="0.35">
      <c r="A359" s="14">
        <v>1000</v>
      </c>
      <c r="B359" s="14">
        <v>100</v>
      </c>
      <c r="C359" s="14">
        <v>2100</v>
      </c>
      <c r="D359" s="14">
        <v>6341</v>
      </c>
      <c r="G359" s="775">
        <v>5945</v>
      </c>
      <c r="H359" s="14" t="s">
        <v>876</v>
      </c>
      <c r="I359" s="14" t="s">
        <v>880</v>
      </c>
      <c r="J359" s="14" t="s">
        <v>889</v>
      </c>
      <c r="K359" s="14" t="s">
        <v>886</v>
      </c>
      <c r="L359" s="772">
        <v>100</v>
      </c>
    </row>
    <row r="360" spans="1:12" x14ac:dyDescent="0.35">
      <c r="A360" s="14">
        <v>1000</v>
      </c>
      <c r="B360" s="14">
        <v>200</v>
      </c>
      <c r="C360" s="14">
        <v>2100</v>
      </c>
      <c r="D360" s="14">
        <v>6341</v>
      </c>
      <c r="G360" s="775">
        <v>5455</v>
      </c>
      <c r="H360" s="14" t="s">
        <v>876</v>
      </c>
      <c r="I360" s="14" t="s">
        <v>884</v>
      </c>
      <c r="J360" s="14" t="s">
        <v>889</v>
      </c>
      <c r="K360" s="14" t="s">
        <v>886</v>
      </c>
      <c r="L360" s="772">
        <v>100</v>
      </c>
    </row>
    <row r="361" spans="1:12" x14ac:dyDescent="0.35">
      <c r="A361" s="14">
        <v>1010</v>
      </c>
      <c r="B361" s="14">
        <v>100</v>
      </c>
      <c r="C361" s="14">
        <v>2100</v>
      </c>
      <c r="D361" s="14">
        <v>6341</v>
      </c>
      <c r="G361" s="775">
        <v>8501.77</v>
      </c>
      <c r="H361" s="14" t="s">
        <v>877</v>
      </c>
      <c r="I361" s="14" t="s">
        <v>880</v>
      </c>
      <c r="J361" s="14" t="s">
        <v>889</v>
      </c>
      <c r="K361" s="14" t="s">
        <v>886</v>
      </c>
      <c r="L361" s="772">
        <v>100</v>
      </c>
    </row>
    <row r="362" spans="1:12" x14ac:dyDescent="0.35">
      <c r="A362" s="14">
        <v>1000</v>
      </c>
      <c r="B362" s="14">
        <v>100</v>
      </c>
      <c r="C362" s="14">
        <v>2500</v>
      </c>
      <c r="D362" s="14">
        <v>6342</v>
      </c>
      <c r="G362" s="775">
        <v>16470</v>
      </c>
      <c r="H362" s="14" t="s">
        <v>876</v>
      </c>
      <c r="I362" s="14" t="s">
        <v>880</v>
      </c>
      <c r="J362" s="14" t="s">
        <v>913</v>
      </c>
      <c r="K362" s="14" t="s">
        <v>886</v>
      </c>
      <c r="L362" s="772">
        <v>100</v>
      </c>
    </row>
    <row r="363" spans="1:12" x14ac:dyDescent="0.35">
      <c r="A363" s="14">
        <v>1000</v>
      </c>
      <c r="B363" s="14">
        <v>100</v>
      </c>
      <c r="C363" s="14">
        <v>2500</v>
      </c>
      <c r="D363" s="14">
        <v>6350</v>
      </c>
      <c r="G363" s="775">
        <v>8075.62</v>
      </c>
      <c r="H363" s="14" t="s">
        <v>876</v>
      </c>
      <c r="I363" s="14" t="s">
        <v>880</v>
      </c>
      <c r="J363" s="14" t="s">
        <v>913</v>
      </c>
      <c r="K363" s="14" t="s">
        <v>886</v>
      </c>
      <c r="L363" s="772">
        <v>100</v>
      </c>
    </row>
    <row r="364" spans="1:12" x14ac:dyDescent="0.35">
      <c r="A364" s="14">
        <v>1000</v>
      </c>
      <c r="B364" s="14">
        <v>100</v>
      </c>
      <c r="C364" s="14">
        <v>2500</v>
      </c>
      <c r="D364" s="14">
        <v>6350</v>
      </c>
      <c r="G364" s="775">
        <v>900</v>
      </c>
      <c r="H364" s="14" t="s">
        <v>876</v>
      </c>
      <c r="I364" s="14" t="s">
        <v>880</v>
      </c>
      <c r="J364" s="14" t="s">
        <v>913</v>
      </c>
      <c r="K364" s="14" t="s">
        <v>886</v>
      </c>
      <c r="L364" s="772">
        <v>200</v>
      </c>
    </row>
    <row r="365" spans="1:12" x14ac:dyDescent="0.35">
      <c r="A365" s="14">
        <v>1000</v>
      </c>
      <c r="B365" s="14">
        <v>100</v>
      </c>
      <c r="C365" s="14">
        <v>2220</v>
      </c>
      <c r="D365" s="14">
        <v>6360</v>
      </c>
      <c r="G365" s="775">
        <v>305</v>
      </c>
      <c r="H365" s="14" t="s">
        <v>876</v>
      </c>
      <c r="I365" s="14" t="s">
        <v>880</v>
      </c>
      <c r="J365" s="14" t="s">
        <v>897</v>
      </c>
      <c r="K365" s="14" t="s">
        <v>886</v>
      </c>
      <c r="L365" s="772">
        <v>100</v>
      </c>
    </row>
    <row r="366" spans="1:12" x14ac:dyDescent="0.35">
      <c r="A366" s="14">
        <v>1000</v>
      </c>
      <c r="B366" s="14">
        <v>100</v>
      </c>
      <c r="C366" s="14">
        <v>2220</v>
      </c>
      <c r="D366" s="14">
        <v>6360</v>
      </c>
      <c r="G366" s="775">
        <v>150</v>
      </c>
      <c r="H366" s="14" t="s">
        <v>876</v>
      </c>
      <c r="I366" s="14" t="s">
        <v>880</v>
      </c>
      <c r="J366" s="14" t="s">
        <v>897</v>
      </c>
      <c r="K366" s="14" t="s">
        <v>886</v>
      </c>
      <c r="L366" s="772">
        <v>200</v>
      </c>
    </row>
    <row r="367" spans="1:12" x14ac:dyDescent="0.35">
      <c r="A367" s="14">
        <v>1020</v>
      </c>
      <c r="B367" s="14">
        <v>100</v>
      </c>
      <c r="C367" s="14">
        <v>2220</v>
      </c>
      <c r="D367" s="14">
        <v>6360</v>
      </c>
      <c r="G367" s="775">
        <v>2557.56</v>
      </c>
      <c r="H367" s="14" t="s">
        <v>879</v>
      </c>
      <c r="I367" s="14" t="s">
        <v>880</v>
      </c>
      <c r="J367" s="14" t="s">
        <v>897</v>
      </c>
      <c r="K367" s="14" t="s">
        <v>886</v>
      </c>
      <c r="L367" s="772">
        <v>100</v>
      </c>
    </row>
    <row r="368" spans="1:12" x14ac:dyDescent="0.35">
      <c r="A368" s="14">
        <v>1190</v>
      </c>
      <c r="B368" s="14">
        <v>100</v>
      </c>
      <c r="C368" s="14">
        <v>2220</v>
      </c>
      <c r="D368" s="14">
        <v>6360</v>
      </c>
      <c r="G368" s="775">
        <v>1550</v>
      </c>
      <c r="H368" s="14" t="s">
        <v>907</v>
      </c>
      <c r="I368" s="14" t="s">
        <v>880</v>
      </c>
      <c r="J368" s="14" t="s">
        <v>897</v>
      </c>
      <c r="K368" s="14" t="s">
        <v>886</v>
      </c>
      <c r="L368" s="772">
        <v>100</v>
      </c>
    </row>
    <row r="369" spans="1:12" x14ac:dyDescent="0.35">
      <c r="A369" s="14">
        <v>1000</v>
      </c>
      <c r="B369" s="14">
        <v>100</v>
      </c>
      <c r="C369" s="14">
        <v>2600</v>
      </c>
      <c r="D369" s="14">
        <v>6426</v>
      </c>
      <c r="G369" s="775">
        <v>517</v>
      </c>
      <c r="H369" s="14" t="s">
        <v>876</v>
      </c>
      <c r="I369" s="14" t="s">
        <v>880</v>
      </c>
      <c r="J369" s="14" t="s">
        <v>917</v>
      </c>
      <c r="K369" s="14" t="s">
        <v>886</v>
      </c>
      <c r="L369" s="772">
        <v>100</v>
      </c>
    </row>
    <row r="370" spans="1:12" x14ac:dyDescent="0.35">
      <c r="A370" s="14">
        <v>1000</v>
      </c>
      <c r="B370" s="14">
        <v>100</v>
      </c>
      <c r="C370" s="14">
        <v>2600</v>
      </c>
      <c r="D370" s="14">
        <v>6426</v>
      </c>
      <c r="G370" s="775">
        <v>1824</v>
      </c>
      <c r="H370" s="14" t="s">
        <v>876</v>
      </c>
      <c r="I370" s="14" t="s">
        <v>880</v>
      </c>
      <c r="J370" s="14" t="s">
        <v>917</v>
      </c>
      <c r="K370" s="14" t="s">
        <v>886</v>
      </c>
      <c r="L370" s="772">
        <v>200</v>
      </c>
    </row>
    <row r="371" spans="1:12" x14ac:dyDescent="0.35">
      <c r="A371" s="14">
        <v>1000</v>
      </c>
      <c r="B371" s="14">
        <v>100</v>
      </c>
      <c r="C371" s="14">
        <v>2600</v>
      </c>
      <c r="D371" s="14">
        <v>6428</v>
      </c>
      <c r="G371" s="775">
        <v>298.02</v>
      </c>
      <c r="H371" s="14" t="s">
        <v>876</v>
      </c>
      <c r="I371" s="14" t="s">
        <v>880</v>
      </c>
      <c r="J371" s="14" t="s">
        <v>917</v>
      </c>
      <c r="K371" s="14" t="s">
        <v>886</v>
      </c>
      <c r="L371" s="772">
        <v>100</v>
      </c>
    </row>
    <row r="372" spans="1:12" x14ac:dyDescent="0.35">
      <c r="A372" s="14">
        <v>1000</v>
      </c>
      <c r="B372" s="14">
        <v>100</v>
      </c>
      <c r="C372" s="14">
        <v>2600</v>
      </c>
      <c r="D372" s="14">
        <v>6428</v>
      </c>
      <c r="G372" s="775">
        <v>1741.98</v>
      </c>
      <c r="H372" s="14" t="s">
        <v>876</v>
      </c>
      <c r="I372" s="14" t="s">
        <v>880</v>
      </c>
      <c r="J372" s="14" t="s">
        <v>917</v>
      </c>
      <c r="K372" s="14" t="s">
        <v>886</v>
      </c>
      <c r="L372" s="772">
        <v>200</v>
      </c>
    </row>
    <row r="373" spans="1:12" x14ac:dyDescent="0.35">
      <c r="A373" s="14">
        <v>1000</v>
      </c>
      <c r="B373" s="14">
        <v>100</v>
      </c>
      <c r="C373" s="14">
        <v>2600</v>
      </c>
      <c r="D373" s="14">
        <v>6430</v>
      </c>
      <c r="G373" s="775">
        <v>845</v>
      </c>
      <c r="H373" s="14" t="s">
        <v>876</v>
      </c>
      <c r="I373" s="14" t="s">
        <v>880</v>
      </c>
      <c r="J373" s="14" t="s">
        <v>917</v>
      </c>
      <c r="K373" s="14" t="s">
        <v>886</v>
      </c>
      <c r="L373" s="772">
        <v>100</v>
      </c>
    </row>
    <row r="374" spans="1:12" x14ac:dyDescent="0.35">
      <c r="A374" s="14">
        <v>1000</v>
      </c>
      <c r="B374" s="14">
        <v>100</v>
      </c>
      <c r="C374" s="14">
        <v>2600</v>
      </c>
      <c r="D374" s="14">
        <v>6430</v>
      </c>
      <c r="G374" s="775">
        <v>4735.92</v>
      </c>
      <c r="H374" s="14" t="s">
        <v>876</v>
      </c>
      <c r="I374" s="14" t="s">
        <v>880</v>
      </c>
      <c r="J374" s="14" t="s">
        <v>917</v>
      </c>
      <c r="K374" s="14" t="s">
        <v>886</v>
      </c>
      <c r="L374" s="772">
        <v>100</v>
      </c>
    </row>
    <row r="375" spans="1:12" x14ac:dyDescent="0.35">
      <c r="A375" s="14">
        <v>1000</v>
      </c>
      <c r="B375" s="14">
        <v>100</v>
      </c>
      <c r="C375" s="14">
        <v>2600</v>
      </c>
      <c r="D375" s="14">
        <v>6430</v>
      </c>
      <c r="G375" s="775">
        <v>89.95</v>
      </c>
      <c r="H375" s="14" t="s">
        <v>876</v>
      </c>
      <c r="I375" s="14" t="s">
        <v>880</v>
      </c>
      <c r="J375" s="14" t="s">
        <v>917</v>
      </c>
      <c r="K375" s="14" t="s">
        <v>886</v>
      </c>
      <c r="L375" s="772">
        <v>200</v>
      </c>
    </row>
    <row r="376" spans="1:12" x14ac:dyDescent="0.35">
      <c r="A376" s="14">
        <v>1000</v>
      </c>
      <c r="B376" s="14">
        <v>100</v>
      </c>
      <c r="C376" s="14">
        <v>2600</v>
      </c>
      <c r="D376" s="14">
        <v>6435</v>
      </c>
      <c r="G376" s="775">
        <v>75</v>
      </c>
      <c r="H376" s="14" t="s">
        <v>876</v>
      </c>
      <c r="I376" s="14" t="s">
        <v>880</v>
      </c>
      <c r="J376" s="14" t="s">
        <v>917</v>
      </c>
      <c r="K376" s="14" t="s">
        <v>886</v>
      </c>
      <c r="L376" s="772">
        <v>100</v>
      </c>
    </row>
    <row r="377" spans="1:12" x14ac:dyDescent="0.35">
      <c r="A377" s="14">
        <v>1000</v>
      </c>
      <c r="B377" s="14">
        <v>100</v>
      </c>
      <c r="C377" s="14">
        <v>2600</v>
      </c>
      <c r="D377" s="14">
        <v>6435</v>
      </c>
      <c r="G377" s="775">
        <v>1999.71</v>
      </c>
      <c r="H377" s="14" t="s">
        <v>876</v>
      </c>
      <c r="I377" s="14" t="s">
        <v>880</v>
      </c>
      <c r="J377" s="14" t="s">
        <v>917</v>
      </c>
      <c r="K377" s="14" t="s">
        <v>886</v>
      </c>
      <c r="L377" s="772">
        <v>100</v>
      </c>
    </row>
    <row r="378" spans="1:12" x14ac:dyDescent="0.35">
      <c r="A378" s="14">
        <v>1000</v>
      </c>
      <c r="B378" s="14">
        <v>100</v>
      </c>
      <c r="C378" s="14">
        <v>2600</v>
      </c>
      <c r="D378" s="14">
        <v>6436</v>
      </c>
      <c r="G378" s="775">
        <v>1249.76</v>
      </c>
      <c r="H378" s="14" t="s">
        <v>876</v>
      </c>
      <c r="I378" s="14" t="s">
        <v>880</v>
      </c>
      <c r="J378" s="14" t="s">
        <v>917</v>
      </c>
      <c r="K378" s="14" t="s">
        <v>886</v>
      </c>
      <c r="L378" s="772">
        <v>100</v>
      </c>
    </row>
    <row r="379" spans="1:12" x14ac:dyDescent="0.35">
      <c r="A379" s="14">
        <v>1000</v>
      </c>
      <c r="B379" s="14">
        <v>100</v>
      </c>
      <c r="C379" s="14">
        <v>2600</v>
      </c>
      <c r="D379" s="14">
        <v>6436</v>
      </c>
      <c r="G379" s="775">
        <v>330</v>
      </c>
      <c r="H379" s="14" t="s">
        <v>876</v>
      </c>
      <c r="I379" s="14" t="s">
        <v>880</v>
      </c>
      <c r="J379" s="14" t="s">
        <v>917</v>
      </c>
      <c r="K379" s="14" t="s">
        <v>886</v>
      </c>
      <c r="L379" s="772">
        <v>200</v>
      </c>
    </row>
    <row r="380" spans="1:12" x14ac:dyDescent="0.35">
      <c r="A380" s="14">
        <v>1000</v>
      </c>
      <c r="B380" s="14">
        <v>100</v>
      </c>
      <c r="C380" s="14">
        <v>2100</v>
      </c>
      <c r="D380" s="14">
        <v>6430</v>
      </c>
      <c r="G380" s="775">
        <v>195</v>
      </c>
      <c r="H380" s="14" t="s">
        <v>876</v>
      </c>
      <c r="I380" s="14" t="s">
        <v>880</v>
      </c>
      <c r="J380" s="14" t="s">
        <v>889</v>
      </c>
      <c r="K380" s="14" t="s">
        <v>886</v>
      </c>
      <c r="L380" s="772">
        <v>200</v>
      </c>
    </row>
    <row r="381" spans="1:12" x14ac:dyDescent="0.35">
      <c r="A381" s="14">
        <v>1000</v>
      </c>
      <c r="B381" s="14">
        <v>100</v>
      </c>
      <c r="C381" s="14">
        <v>2500</v>
      </c>
      <c r="D381" s="14">
        <v>6430</v>
      </c>
      <c r="G381" s="775">
        <v>110.59</v>
      </c>
      <c r="H381" s="14" t="s">
        <v>876</v>
      </c>
      <c r="I381" s="14" t="s">
        <v>880</v>
      </c>
      <c r="J381" s="14" t="s">
        <v>913</v>
      </c>
      <c r="K381" s="14" t="s">
        <v>886</v>
      </c>
      <c r="L381" s="772">
        <v>100</v>
      </c>
    </row>
    <row r="382" spans="1:12" x14ac:dyDescent="0.35">
      <c r="A382" s="14">
        <v>1000</v>
      </c>
      <c r="B382" s="14">
        <v>100</v>
      </c>
      <c r="C382" s="14">
        <v>2600</v>
      </c>
      <c r="D382" s="14">
        <v>6437</v>
      </c>
      <c r="G382" s="775">
        <v>421.7</v>
      </c>
      <c r="H382" s="14" t="s">
        <v>876</v>
      </c>
      <c r="I382" s="14" t="s">
        <v>880</v>
      </c>
      <c r="J382" s="14" t="s">
        <v>917</v>
      </c>
      <c r="K382" s="14" t="s">
        <v>886</v>
      </c>
      <c r="L382" s="772">
        <v>100</v>
      </c>
    </row>
    <row r="383" spans="1:12" x14ac:dyDescent="0.35">
      <c r="A383" s="14">
        <v>1000</v>
      </c>
      <c r="B383" s="14">
        <v>100</v>
      </c>
      <c r="C383" s="14">
        <v>2600</v>
      </c>
      <c r="D383" s="14">
        <v>6437</v>
      </c>
      <c r="G383" s="775">
        <v>446.1</v>
      </c>
      <c r="H383" s="14" t="s">
        <v>876</v>
      </c>
      <c r="I383" s="14" t="s">
        <v>880</v>
      </c>
      <c r="J383" s="14" t="s">
        <v>917</v>
      </c>
      <c r="K383" s="14" t="s">
        <v>886</v>
      </c>
      <c r="L383" s="772">
        <v>100</v>
      </c>
    </row>
    <row r="384" spans="1:12" x14ac:dyDescent="0.35">
      <c r="A384" s="14">
        <v>1000</v>
      </c>
      <c r="B384" s="14">
        <v>100</v>
      </c>
      <c r="C384" s="14">
        <v>2600</v>
      </c>
      <c r="D384" s="14">
        <v>6440</v>
      </c>
      <c r="G384" s="775">
        <v>11183.29</v>
      </c>
      <c r="H384" s="14" t="s">
        <v>876</v>
      </c>
      <c r="I384" s="14" t="s">
        <v>880</v>
      </c>
      <c r="J384" s="14" t="s">
        <v>917</v>
      </c>
      <c r="K384" s="14" t="s">
        <v>886</v>
      </c>
      <c r="L384" s="772">
        <v>100</v>
      </c>
    </row>
    <row r="385" spans="1:12" x14ac:dyDescent="0.35">
      <c r="A385" s="14">
        <v>1000</v>
      </c>
      <c r="B385" s="14">
        <v>400</v>
      </c>
      <c r="C385" s="14">
        <v>2700</v>
      </c>
      <c r="D385" s="14">
        <v>6626</v>
      </c>
      <c r="G385" s="775">
        <v>2109.92</v>
      </c>
      <c r="H385" s="14" t="s">
        <v>876</v>
      </c>
      <c r="I385" s="14" t="s">
        <v>900</v>
      </c>
      <c r="J385" s="14" t="s">
        <v>921</v>
      </c>
      <c r="K385" s="14" t="s">
        <v>890</v>
      </c>
      <c r="L385" s="772">
        <v>200</v>
      </c>
    </row>
    <row r="386" spans="1:12" x14ac:dyDescent="0.35">
      <c r="A386" s="14">
        <v>1510</v>
      </c>
      <c r="B386" s="14">
        <v>100</v>
      </c>
      <c r="C386" s="14">
        <v>3100</v>
      </c>
      <c r="D386" s="14">
        <v>6430</v>
      </c>
      <c r="G386" s="775">
        <v>709.56</v>
      </c>
      <c r="H386" s="14" t="s">
        <v>983</v>
      </c>
      <c r="I386" s="14" t="s">
        <v>880</v>
      </c>
      <c r="J386" s="14" t="s">
        <v>929</v>
      </c>
      <c r="K386" s="14" t="s">
        <v>886</v>
      </c>
      <c r="L386" s="772">
        <v>100</v>
      </c>
    </row>
    <row r="387" spans="1:12" x14ac:dyDescent="0.35">
      <c r="A387" s="14">
        <v>1000</v>
      </c>
      <c r="B387" s="14">
        <v>100</v>
      </c>
      <c r="C387" s="14">
        <v>2600</v>
      </c>
      <c r="D387" s="14">
        <v>6440</v>
      </c>
      <c r="G387" s="775">
        <v>216756.71</v>
      </c>
      <c r="H387" s="14" t="s">
        <v>876</v>
      </c>
      <c r="I387" s="14" t="s">
        <v>880</v>
      </c>
      <c r="J387" s="14" t="s">
        <v>917</v>
      </c>
      <c r="K387" s="14" t="s">
        <v>886</v>
      </c>
      <c r="L387" s="772">
        <v>100</v>
      </c>
    </row>
    <row r="388" spans="1:12" x14ac:dyDescent="0.35">
      <c r="A388" s="14">
        <v>1000</v>
      </c>
      <c r="B388" s="14">
        <v>100</v>
      </c>
      <c r="C388" s="14">
        <v>2600</v>
      </c>
      <c r="D388" s="14">
        <v>6520</v>
      </c>
      <c r="G388" s="775">
        <v>10860.96</v>
      </c>
      <c r="H388" s="14" t="s">
        <v>876</v>
      </c>
      <c r="I388" s="14" t="s">
        <v>880</v>
      </c>
      <c r="J388" s="14" t="s">
        <v>917</v>
      </c>
      <c r="K388" s="14" t="s">
        <v>886</v>
      </c>
      <c r="L388" s="772">
        <v>100</v>
      </c>
    </row>
    <row r="389" spans="1:12" x14ac:dyDescent="0.35">
      <c r="A389" s="14">
        <v>1000</v>
      </c>
      <c r="B389" s="14">
        <v>100</v>
      </c>
      <c r="C389" s="14">
        <v>2600</v>
      </c>
      <c r="D389" s="14">
        <v>6520</v>
      </c>
      <c r="G389" s="775">
        <v>44354.14</v>
      </c>
      <c r="H389" s="14" t="s">
        <v>876</v>
      </c>
      <c r="I389" s="14" t="s">
        <v>880</v>
      </c>
      <c r="J389" s="14" t="s">
        <v>917</v>
      </c>
      <c r="K389" s="14" t="s">
        <v>886</v>
      </c>
      <c r="L389" s="772">
        <v>100</v>
      </c>
    </row>
    <row r="390" spans="1:12" x14ac:dyDescent="0.35">
      <c r="A390" s="14">
        <v>1015</v>
      </c>
      <c r="B390" s="14">
        <v>100</v>
      </c>
      <c r="C390" s="14">
        <v>2600</v>
      </c>
      <c r="D390" s="14">
        <v>6520</v>
      </c>
      <c r="G390" s="775">
        <v>5110.24</v>
      </c>
      <c r="H390" s="14" t="s">
        <v>876</v>
      </c>
      <c r="I390" s="14" t="s">
        <v>880</v>
      </c>
      <c r="J390" s="14" t="s">
        <v>917</v>
      </c>
      <c r="K390" s="14" t="s">
        <v>886</v>
      </c>
      <c r="L390" s="772">
        <v>100</v>
      </c>
    </row>
    <row r="391" spans="1:12" x14ac:dyDescent="0.35">
      <c r="A391" s="14">
        <v>1015</v>
      </c>
      <c r="B391" s="14">
        <v>100</v>
      </c>
      <c r="C391" s="14">
        <v>2600</v>
      </c>
      <c r="D391" s="14">
        <v>6520</v>
      </c>
      <c r="G391" s="775">
        <v>9768.2800000000007</v>
      </c>
      <c r="H391" s="14" t="s">
        <v>876</v>
      </c>
      <c r="I391" s="14" t="s">
        <v>880</v>
      </c>
      <c r="J391" s="14" t="s">
        <v>917</v>
      </c>
      <c r="K391" s="14" t="s">
        <v>886</v>
      </c>
      <c r="L391" s="772">
        <v>100</v>
      </c>
    </row>
    <row r="392" spans="1:12" x14ac:dyDescent="0.35">
      <c r="A392" s="14">
        <v>1000</v>
      </c>
      <c r="B392" s="14">
        <v>100</v>
      </c>
      <c r="C392" s="14">
        <v>2600</v>
      </c>
      <c r="D392" s="14">
        <v>6530</v>
      </c>
      <c r="G392" s="775">
        <v>7894.77</v>
      </c>
      <c r="H392" s="14" t="s">
        <v>876</v>
      </c>
      <c r="I392" s="14" t="s">
        <v>880</v>
      </c>
      <c r="J392" s="14" t="s">
        <v>917</v>
      </c>
      <c r="K392" s="14" t="s">
        <v>886</v>
      </c>
      <c r="L392" s="772">
        <v>100</v>
      </c>
    </row>
    <row r="393" spans="1:12" x14ac:dyDescent="0.35">
      <c r="A393" s="14">
        <v>1000</v>
      </c>
      <c r="B393" s="14">
        <v>100</v>
      </c>
      <c r="C393" s="14">
        <v>2600</v>
      </c>
      <c r="D393" s="14">
        <v>6530</v>
      </c>
      <c r="G393" s="775">
        <v>10301.6</v>
      </c>
      <c r="H393" s="14" t="s">
        <v>876</v>
      </c>
      <c r="I393" s="14" t="s">
        <v>880</v>
      </c>
      <c r="J393" s="14" t="s">
        <v>917</v>
      </c>
      <c r="K393" s="14" t="s">
        <v>886</v>
      </c>
      <c r="L393" s="772">
        <v>200</v>
      </c>
    </row>
    <row r="394" spans="1:12" x14ac:dyDescent="0.35">
      <c r="A394" s="14">
        <v>1000</v>
      </c>
      <c r="B394" s="14">
        <v>100</v>
      </c>
      <c r="C394" s="14">
        <v>2600</v>
      </c>
      <c r="D394" s="14">
        <v>6610</v>
      </c>
      <c r="G394" s="775">
        <v>70.06</v>
      </c>
      <c r="H394" s="14" t="s">
        <v>876</v>
      </c>
      <c r="I394" s="14" t="s">
        <v>880</v>
      </c>
      <c r="J394" s="14" t="s">
        <v>917</v>
      </c>
      <c r="K394" s="14" t="s">
        <v>890</v>
      </c>
      <c r="L394" s="772">
        <v>100</v>
      </c>
    </row>
    <row r="395" spans="1:12" x14ac:dyDescent="0.35">
      <c r="A395" s="14">
        <v>1000</v>
      </c>
      <c r="B395" s="14">
        <v>100</v>
      </c>
      <c r="C395" s="14">
        <v>2600</v>
      </c>
      <c r="D395" s="14">
        <v>6610</v>
      </c>
      <c r="G395" s="775">
        <v>2712.92</v>
      </c>
      <c r="H395" s="14" t="s">
        <v>876</v>
      </c>
      <c r="I395" s="14" t="s">
        <v>880</v>
      </c>
      <c r="J395" s="14" t="s">
        <v>917</v>
      </c>
      <c r="K395" s="14" t="s">
        <v>890</v>
      </c>
      <c r="L395" s="772">
        <v>100</v>
      </c>
    </row>
    <row r="396" spans="1:12" x14ac:dyDescent="0.35">
      <c r="A396" s="14">
        <v>1000</v>
      </c>
      <c r="B396" s="14">
        <v>400</v>
      </c>
      <c r="C396" s="14">
        <v>2700</v>
      </c>
      <c r="D396" s="14">
        <v>6810</v>
      </c>
      <c r="G396" s="775">
        <v>24.5</v>
      </c>
      <c r="H396" s="14" t="s">
        <v>876</v>
      </c>
      <c r="I396" s="14" t="s">
        <v>900</v>
      </c>
      <c r="J396" s="14" t="s">
        <v>921</v>
      </c>
      <c r="K396" s="14" t="s">
        <v>898</v>
      </c>
      <c r="L396" s="772">
        <v>100</v>
      </c>
    </row>
    <row r="397" spans="1:12" x14ac:dyDescent="0.35">
      <c r="A397" s="14">
        <v>1000</v>
      </c>
      <c r="B397" s="14">
        <v>400</v>
      </c>
      <c r="C397" s="14">
        <v>2700</v>
      </c>
      <c r="D397" s="14">
        <v>6810</v>
      </c>
      <c r="G397" s="775">
        <v>78.25</v>
      </c>
      <c r="H397" s="14" t="s">
        <v>876</v>
      </c>
      <c r="I397" s="14" t="s">
        <v>900</v>
      </c>
      <c r="J397" s="14" t="s">
        <v>921</v>
      </c>
      <c r="K397" s="14" t="s">
        <v>898</v>
      </c>
      <c r="L397" s="772">
        <v>200</v>
      </c>
    </row>
    <row r="398" spans="1:12" x14ac:dyDescent="0.35">
      <c r="A398" s="14">
        <v>1520</v>
      </c>
      <c r="B398" s="14">
        <v>100</v>
      </c>
      <c r="C398" s="14">
        <v>2900</v>
      </c>
      <c r="D398" s="14">
        <v>6154</v>
      </c>
      <c r="G398" s="775">
        <v>600</v>
      </c>
      <c r="H398" s="14" t="s">
        <v>983</v>
      </c>
      <c r="I398" s="14" t="s">
        <v>880</v>
      </c>
      <c r="J398" s="14" t="s">
        <v>925</v>
      </c>
      <c r="K398" s="14" t="s">
        <v>878</v>
      </c>
      <c r="L398" s="772">
        <v>200</v>
      </c>
    </row>
    <row r="399" spans="1:12" x14ac:dyDescent="0.35">
      <c r="A399" s="14">
        <v>1000</v>
      </c>
      <c r="B399" s="14">
        <v>100</v>
      </c>
      <c r="C399" s="14">
        <v>2600</v>
      </c>
      <c r="D399" s="14">
        <v>6610</v>
      </c>
      <c r="G399" s="775">
        <v>7982.82</v>
      </c>
      <c r="H399" s="14" t="s">
        <v>876</v>
      </c>
      <c r="I399" s="14" t="s">
        <v>880</v>
      </c>
      <c r="J399" s="14" t="s">
        <v>917</v>
      </c>
      <c r="K399" s="14" t="s">
        <v>890</v>
      </c>
      <c r="L399" s="772">
        <v>100</v>
      </c>
    </row>
    <row r="400" spans="1:12" x14ac:dyDescent="0.35">
      <c r="A400" s="14">
        <v>1000</v>
      </c>
      <c r="B400" s="14">
        <v>100</v>
      </c>
      <c r="C400" s="14">
        <v>2600</v>
      </c>
      <c r="D400" s="14">
        <v>6610</v>
      </c>
      <c r="G400" s="775">
        <v>1858.35</v>
      </c>
      <c r="H400" s="14" t="s">
        <v>876</v>
      </c>
      <c r="I400" s="14" t="s">
        <v>880</v>
      </c>
      <c r="J400" s="14" t="s">
        <v>917</v>
      </c>
      <c r="K400" s="14" t="s">
        <v>890</v>
      </c>
      <c r="L400" s="772">
        <v>200</v>
      </c>
    </row>
    <row r="401" spans="1:12" x14ac:dyDescent="0.35">
      <c r="A401" s="14">
        <v>1000</v>
      </c>
      <c r="B401" s="14">
        <v>100</v>
      </c>
      <c r="C401" s="14">
        <v>2400</v>
      </c>
      <c r="D401" s="14">
        <v>6442</v>
      </c>
      <c r="G401" s="775">
        <v>3834.69</v>
      </c>
      <c r="H401" s="14" t="s">
        <v>876</v>
      </c>
      <c r="I401" s="14" t="s">
        <v>880</v>
      </c>
      <c r="J401" s="14" t="s">
        <v>909</v>
      </c>
      <c r="K401" s="14" t="s">
        <v>886</v>
      </c>
      <c r="L401" s="772">
        <v>200</v>
      </c>
    </row>
    <row r="402" spans="1:12" x14ac:dyDescent="0.35">
      <c r="A402" s="14">
        <v>1000</v>
      </c>
      <c r="B402" s="14">
        <v>100</v>
      </c>
      <c r="C402" s="14">
        <v>2400</v>
      </c>
      <c r="D402" s="14">
        <v>6533</v>
      </c>
      <c r="G402" s="775">
        <v>196.77</v>
      </c>
      <c r="H402" s="14" t="s">
        <v>876</v>
      </c>
      <c r="I402" s="14" t="s">
        <v>880</v>
      </c>
      <c r="J402" s="14" t="s">
        <v>909</v>
      </c>
      <c r="K402" s="14" t="s">
        <v>886</v>
      </c>
      <c r="L402" s="772">
        <v>100</v>
      </c>
    </row>
    <row r="403" spans="1:12" x14ac:dyDescent="0.35">
      <c r="A403" s="14">
        <v>1000</v>
      </c>
      <c r="B403" s="14">
        <v>100</v>
      </c>
      <c r="C403" s="14">
        <v>2600</v>
      </c>
      <c r="D403" s="14">
        <v>6611</v>
      </c>
      <c r="G403" s="775">
        <v>106.37</v>
      </c>
      <c r="H403" s="14" t="s">
        <v>876</v>
      </c>
      <c r="I403" s="14" t="s">
        <v>880</v>
      </c>
      <c r="J403" s="14" t="s">
        <v>917</v>
      </c>
      <c r="K403" s="14" t="s">
        <v>890</v>
      </c>
      <c r="L403" s="772">
        <v>100</v>
      </c>
    </row>
    <row r="404" spans="1:12" x14ac:dyDescent="0.35">
      <c r="A404" s="14">
        <v>1000</v>
      </c>
      <c r="B404" s="14">
        <v>100</v>
      </c>
      <c r="C404" s="14">
        <v>2600</v>
      </c>
      <c r="D404" s="14">
        <v>6621</v>
      </c>
      <c r="G404" s="775">
        <v>421.22</v>
      </c>
      <c r="H404" s="14" t="s">
        <v>876</v>
      </c>
      <c r="I404" s="14" t="s">
        <v>880</v>
      </c>
      <c r="J404" s="14" t="s">
        <v>917</v>
      </c>
      <c r="K404" s="14" t="s">
        <v>890</v>
      </c>
      <c r="L404" s="772">
        <v>100</v>
      </c>
    </row>
    <row r="405" spans="1:12" x14ac:dyDescent="0.35">
      <c r="A405" s="14">
        <v>1000</v>
      </c>
      <c r="B405" s="14">
        <v>100</v>
      </c>
      <c r="C405" s="14">
        <v>2600</v>
      </c>
      <c r="D405" s="14">
        <v>6621</v>
      </c>
      <c r="G405" s="775">
        <v>1509.84</v>
      </c>
      <c r="H405" s="14" t="s">
        <v>876</v>
      </c>
      <c r="I405" s="14" t="s">
        <v>880</v>
      </c>
      <c r="J405" s="14" t="s">
        <v>917</v>
      </c>
      <c r="K405" s="14" t="s">
        <v>890</v>
      </c>
      <c r="L405" s="772">
        <v>100</v>
      </c>
    </row>
    <row r="406" spans="1:12" x14ac:dyDescent="0.35">
      <c r="A406" s="14">
        <v>1000</v>
      </c>
      <c r="B406" s="14">
        <v>100</v>
      </c>
      <c r="C406" s="14">
        <v>2600</v>
      </c>
      <c r="D406" s="14">
        <v>6621</v>
      </c>
      <c r="G406" s="775">
        <v>888.77</v>
      </c>
      <c r="H406" s="14" t="s">
        <v>876</v>
      </c>
      <c r="I406" s="14" t="s">
        <v>880</v>
      </c>
      <c r="J406" s="14" t="s">
        <v>917</v>
      </c>
      <c r="K406" s="14" t="s">
        <v>890</v>
      </c>
      <c r="L406" s="772">
        <v>200</v>
      </c>
    </row>
    <row r="407" spans="1:12" x14ac:dyDescent="0.35">
      <c r="A407" s="14">
        <v>1000</v>
      </c>
      <c r="B407" s="14">
        <v>100</v>
      </c>
      <c r="C407" s="14">
        <v>2600</v>
      </c>
      <c r="D407" s="14">
        <v>6622</v>
      </c>
      <c r="G407" s="775">
        <v>8343.64</v>
      </c>
      <c r="H407" s="14" t="s">
        <v>876</v>
      </c>
      <c r="I407" s="14" t="s">
        <v>880</v>
      </c>
      <c r="J407" s="14" t="s">
        <v>917</v>
      </c>
      <c r="K407" s="14" t="s">
        <v>890</v>
      </c>
      <c r="L407" s="772">
        <v>100</v>
      </c>
    </row>
    <row r="408" spans="1:12" x14ac:dyDescent="0.35">
      <c r="A408" s="14">
        <v>1000</v>
      </c>
      <c r="B408" s="14">
        <v>100</v>
      </c>
      <c r="C408" s="14">
        <v>2600</v>
      </c>
      <c r="D408" s="14">
        <v>6622</v>
      </c>
      <c r="G408" s="775">
        <v>30935</v>
      </c>
      <c r="H408" s="14" t="s">
        <v>876</v>
      </c>
      <c r="I408" s="14" t="s">
        <v>880</v>
      </c>
      <c r="J408" s="14" t="s">
        <v>917</v>
      </c>
      <c r="K408" s="14" t="s">
        <v>890</v>
      </c>
      <c r="L408" s="772">
        <v>100</v>
      </c>
    </row>
    <row r="409" spans="1:12" x14ac:dyDescent="0.35">
      <c r="A409" s="14">
        <v>1000</v>
      </c>
      <c r="B409" s="14">
        <v>100</v>
      </c>
      <c r="C409" s="14">
        <v>2600</v>
      </c>
      <c r="D409" s="14">
        <v>6622</v>
      </c>
      <c r="G409" s="775">
        <v>9621.24</v>
      </c>
      <c r="H409" s="14" t="s">
        <v>876</v>
      </c>
      <c r="I409" s="14" t="s">
        <v>880</v>
      </c>
      <c r="J409" s="14" t="s">
        <v>917</v>
      </c>
      <c r="K409" s="14" t="s">
        <v>890</v>
      </c>
      <c r="L409" s="772">
        <v>200</v>
      </c>
    </row>
    <row r="410" spans="1:12" x14ac:dyDescent="0.35">
      <c r="A410" s="14">
        <v>1000</v>
      </c>
      <c r="B410" s="14">
        <v>100</v>
      </c>
      <c r="C410" s="14">
        <v>2600</v>
      </c>
      <c r="D410" s="14">
        <v>6623</v>
      </c>
      <c r="G410" s="775">
        <v>1613.32</v>
      </c>
      <c r="H410" s="14" t="s">
        <v>876</v>
      </c>
      <c r="I410" s="14" t="s">
        <v>880</v>
      </c>
      <c r="J410" s="14" t="s">
        <v>917</v>
      </c>
      <c r="K410" s="14" t="s">
        <v>890</v>
      </c>
      <c r="L410" s="772">
        <v>100</v>
      </c>
    </row>
    <row r="411" spans="1:12" x14ac:dyDescent="0.35">
      <c r="A411" s="14">
        <v>1000</v>
      </c>
      <c r="B411" s="14">
        <v>100</v>
      </c>
      <c r="C411" s="14">
        <v>2600</v>
      </c>
      <c r="D411" s="14">
        <v>6626</v>
      </c>
      <c r="G411" s="775">
        <v>125.01</v>
      </c>
      <c r="H411" s="14" t="s">
        <v>876</v>
      </c>
      <c r="I411" s="14" t="s">
        <v>880</v>
      </c>
      <c r="J411" s="14" t="s">
        <v>917</v>
      </c>
      <c r="K411" s="14" t="s">
        <v>890</v>
      </c>
      <c r="L411" s="772">
        <v>100</v>
      </c>
    </row>
    <row r="412" spans="1:12" x14ac:dyDescent="0.35">
      <c r="A412" s="14">
        <v>1000</v>
      </c>
      <c r="B412" s="14">
        <v>100</v>
      </c>
      <c r="C412" s="14">
        <v>2400</v>
      </c>
      <c r="D412" s="14">
        <v>6533</v>
      </c>
      <c r="G412" s="775">
        <v>73</v>
      </c>
      <c r="H412" s="14" t="s">
        <v>876</v>
      </c>
      <c r="I412" s="14" t="s">
        <v>880</v>
      </c>
      <c r="J412" s="14" t="s">
        <v>909</v>
      </c>
      <c r="K412" s="14" t="s">
        <v>886</v>
      </c>
      <c r="L412" s="772">
        <v>200</v>
      </c>
    </row>
    <row r="413" spans="1:12" x14ac:dyDescent="0.35">
      <c r="A413" s="14">
        <v>1000</v>
      </c>
      <c r="B413" s="14">
        <v>100</v>
      </c>
      <c r="C413" s="14">
        <v>2400</v>
      </c>
      <c r="D413" s="14">
        <v>6580</v>
      </c>
      <c r="G413" s="775">
        <v>760.19</v>
      </c>
      <c r="H413" s="14" t="s">
        <v>876</v>
      </c>
      <c r="I413" s="14" t="s">
        <v>880</v>
      </c>
      <c r="J413" s="14" t="s">
        <v>909</v>
      </c>
      <c r="K413" s="14" t="s">
        <v>886</v>
      </c>
      <c r="L413" s="772">
        <v>100</v>
      </c>
    </row>
    <row r="414" spans="1:12" x14ac:dyDescent="0.35">
      <c r="A414" s="14">
        <v>1000</v>
      </c>
      <c r="B414" s="14">
        <v>100</v>
      </c>
      <c r="C414" s="14">
        <v>2500</v>
      </c>
      <c r="D414" s="14">
        <v>6540</v>
      </c>
      <c r="G414" s="775">
        <v>24000</v>
      </c>
      <c r="H414" s="14" t="s">
        <v>876</v>
      </c>
      <c r="I414" s="14" t="s">
        <v>880</v>
      </c>
      <c r="J414" s="14" t="s">
        <v>913</v>
      </c>
      <c r="K414" s="14" t="s">
        <v>886</v>
      </c>
      <c r="L414" s="772">
        <v>100</v>
      </c>
    </row>
    <row r="415" spans="1:12" x14ac:dyDescent="0.35">
      <c r="A415" s="14">
        <v>1000</v>
      </c>
      <c r="B415" s="14">
        <v>100</v>
      </c>
      <c r="C415" s="14">
        <v>2500</v>
      </c>
      <c r="D415" s="14">
        <v>6540</v>
      </c>
      <c r="G415" s="775">
        <v>12</v>
      </c>
      <c r="H415" s="14" t="s">
        <v>876</v>
      </c>
      <c r="I415" s="14" t="s">
        <v>880</v>
      </c>
      <c r="J415" s="14" t="s">
        <v>913</v>
      </c>
      <c r="K415" s="14" t="s">
        <v>886</v>
      </c>
      <c r="L415" s="772">
        <v>200</v>
      </c>
    </row>
    <row r="416" spans="1:12" x14ac:dyDescent="0.35">
      <c r="A416" s="14">
        <v>1510</v>
      </c>
      <c r="B416" s="14">
        <v>100</v>
      </c>
      <c r="C416" s="14">
        <v>3100</v>
      </c>
      <c r="D416" s="14">
        <v>6570</v>
      </c>
      <c r="G416" s="775">
        <v>102726.6</v>
      </c>
      <c r="H416" s="14" t="s">
        <v>983</v>
      </c>
      <c r="I416" s="14" t="s">
        <v>880</v>
      </c>
      <c r="J416" s="14" t="s">
        <v>929</v>
      </c>
      <c r="K416" s="14" t="s">
        <v>886</v>
      </c>
      <c r="L416" s="772">
        <v>100</v>
      </c>
    </row>
    <row r="417" spans="1:12" x14ac:dyDescent="0.35">
      <c r="A417" s="14">
        <v>1510</v>
      </c>
      <c r="B417" s="14">
        <v>100</v>
      </c>
      <c r="C417" s="14">
        <v>3100</v>
      </c>
      <c r="D417" s="14">
        <v>6570</v>
      </c>
      <c r="G417" s="775">
        <v>26174.68</v>
      </c>
      <c r="H417" s="14" t="s">
        <v>983</v>
      </c>
      <c r="I417" s="14" t="s">
        <v>880</v>
      </c>
      <c r="J417" s="14" t="s">
        <v>929</v>
      </c>
      <c r="K417" s="14" t="s">
        <v>886</v>
      </c>
      <c r="L417" s="772">
        <v>200</v>
      </c>
    </row>
    <row r="418" spans="1:12" x14ac:dyDescent="0.35">
      <c r="A418" s="14">
        <v>1010</v>
      </c>
      <c r="B418" s="14">
        <v>100</v>
      </c>
      <c r="C418" s="14">
        <v>1900</v>
      </c>
      <c r="D418" s="14">
        <v>6250</v>
      </c>
      <c r="G418" s="775">
        <v>0.36</v>
      </c>
      <c r="H418" s="14" t="s">
        <v>877</v>
      </c>
      <c r="I418" s="14" t="s">
        <v>880</v>
      </c>
      <c r="J418" s="14" t="s">
        <v>885</v>
      </c>
      <c r="K418" s="14" t="s">
        <v>882</v>
      </c>
      <c r="L418" s="772">
        <v>100</v>
      </c>
    </row>
    <row r="419" spans="1:12" x14ac:dyDescent="0.35">
      <c r="A419" s="14">
        <v>1000</v>
      </c>
      <c r="B419" s="14">
        <v>100</v>
      </c>
      <c r="C419" s="14">
        <v>2220</v>
      </c>
      <c r="D419" s="14">
        <v>6580</v>
      </c>
      <c r="G419" s="775">
        <v>448.05</v>
      </c>
      <c r="H419" s="14" t="s">
        <v>876</v>
      </c>
      <c r="I419" s="14" t="s">
        <v>880</v>
      </c>
      <c r="J419" s="14" t="s">
        <v>897</v>
      </c>
      <c r="K419" s="14" t="s">
        <v>886</v>
      </c>
      <c r="L419" s="772">
        <v>100</v>
      </c>
    </row>
    <row r="420" spans="1:12" x14ac:dyDescent="0.35">
      <c r="A420" s="14">
        <v>1000</v>
      </c>
      <c r="B420" s="14">
        <v>200</v>
      </c>
      <c r="C420" s="14">
        <v>2400</v>
      </c>
      <c r="D420" s="14">
        <v>6250</v>
      </c>
      <c r="G420" s="775">
        <v>2.72</v>
      </c>
      <c r="H420" s="14" t="s">
        <v>876</v>
      </c>
      <c r="I420" s="14" t="s">
        <v>884</v>
      </c>
      <c r="J420" s="14" t="s">
        <v>909</v>
      </c>
      <c r="K420" s="14" t="s">
        <v>882</v>
      </c>
      <c r="L420" s="772">
        <v>100</v>
      </c>
    </row>
    <row r="421" spans="1:12" x14ac:dyDescent="0.35">
      <c r="A421" s="14">
        <v>1190</v>
      </c>
      <c r="B421" s="14">
        <v>100</v>
      </c>
      <c r="C421" s="14">
        <v>2220</v>
      </c>
      <c r="D421" s="14">
        <v>6580</v>
      </c>
      <c r="G421" s="775">
        <v>1466.5</v>
      </c>
      <c r="H421" s="14" t="s">
        <v>907</v>
      </c>
      <c r="I421" s="14" t="s">
        <v>880</v>
      </c>
      <c r="J421" s="14" t="s">
        <v>897</v>
      </c>
      <c r="K421" s="14" t="s">
        <v>886</v>
      </c>
      <c r="L421" s="772">
        <v>100</v>
      </c>
    </row>
    <row r="422" spans="1:12" x14ac:dyDescent="0.35">
      <c r="A422" s="14">
        <v>1000</v>
      </c>
      <c r="B422" s="14">
        <v>100</v>
      </c>
      <c r="C422" s="14">
        <v>2100</v>
      </c>
      <c r="D422" s="14">
        <v>6590</v>
      </c>
      <c r="G422" s="775">
        <v>31</v>
      </c>
      <c r="H422" s="14" t="s">
        <v>876</v>
      </c>
      <c r="I422" s="14" t="s">
        <v>880</v>
      </c>
      <c r="J422" s="14" t="s">
        <v>889</v>
      </c>
      <c r="K422" s="14" t="s">
        <v>886</v>
      </c>
      <c r="L422" s="772">
        <v>100</v>
      </c>
    </row>
    <row r="423" spans="1:12" x14ac:dyDescent="0.35">
      <c r="A423" s="14">
        <v>1110</v>
      </c>
      <c r="B423" s="14">
        <v>100</v>
      </c>
      <c r="C423" s="14">
        <v>1900</v>
      </c>
      <c r="D423" s="14">
        <v>6154</v>
      </c>
      <c r="G423" s="775">
        <v>5942</v>
      </c>
      <c r="H423" s="14" t="s">
        <v>891</v>
      </c>
      <c r="I423" s="14" t="s">
        <v>880</v>
      </c>
      <c r="J423" s="14" t="s">
        <v>885</v>
      </c>
      <c r="K423" s="14" t="s">
        <v>878</v>
      </c>
      <c r="L423" s="772">
        <v>100</v>
      </c>
    </row>
    <row r="424" spans="1:12" x14ac:dyDescent="0.35">
      <c r="A424" s="14">
        <v>1110</v>
      </c>
      <c r="B424" s="14">
        <v>100</v>
      </c>
      <c r="C424" s="14">
        <v>1900</v>
      </c>
      <c r="D424" s="14">
        <v>6154</v>
      </c>
      <c r="G424" s="775">
        <v>22058</v>
      </c>
      <c r="H424" s="14" t="s">
        <v>891</v>
      </c>
      <c r="I424" s="14" t="s">
        <v>880</v>
      </c>
      <c r="J424" s="14" t="s">
        <v>885</v>
      </c>
      <c r="K424" s="14" t="s">
        <v>878</v>
      </c>
      <c r="L424" s="772">
        <v>200</v>
      </c>
    </row>
    <row r="425" spans="1:12" x14ac:dyDescent="0.35">
      <c r="A425" s="14">
        <v>1110</v>
      </c>
      <c r="B425" s="14">
        <v>100</v>
      </c>
      <c r="C425" s="14">
        <v>1900</v>
      </c>
      <c r="D425" s="14">
        <v>6221</v>
      </c>
      <c r="G425" s="775">
        <v>235.55</v>
      </c>
      <c r="H425" s="14" t="s">
        <v>891</v>
      </c>
      <c r="I425" s="14" t="s">
        <v>880</v>
      </c>
      <c r="J425" s="14" t="s">
        <v>885</v>
      </c>
      <c r="K425" s="14" t="s">
        <v>882</v>
      </c>
      <c r="L425" s="772">
        <v>100</v>
      </c>
    </row>
    <row r="426" spans="1:12" x14ac:dyDescent="0.35">
      <c r="A426" s="14">
        <v>1110</v>
      </c>
      <c r="B426" s="14">
        <v>100</v>
      </c>
      <c r="C426" s="14">
        <v>1900</v>
      </c>
      <c r="D426" s="14">
        <v>6221</v>
      </c>
      <c r="G426" s="775">
        <v>577.86</v>
      </c>
      <c r="H426" s="14" t="s">
        <v>891</v>
      </c>
      <c r="I426" s="14" t="s">
        <v>880</v>
      </c>
      <c r="J426" s="14" t="s">
        <v>885</v>
      </c>
      <c r="K426" s="14" t="s">
        <v>882</v>
      </c>
      <c r="L426" s="772">
        <v>200</v>
      </c>
    </row>
    <row r="427" spans="1:12" x14ac:dyDescent="0.35">
      <c r="A427" s="14">
        <v>1110</v>
      </c>
      <c r="B427" s="14">
        <v>100</v>
      </c>
      <c r="C427" s="14">
        <v>1900</v>
      </c>
      <c r="D427" s="14">
        <v>6222</v>
      </c>
      <c r="G427" s="775">
        <v>55.08</v>
      </c>
      <c r="H427" s="14" t="s">
        <v>891</v>
      </c>
      <c r="I427" s="14" t="s">
        <v>880</v>
      </c>
      <c r="J427" s="14" t="s">
        <v>885</v>
      </c>
      <c r="K427" s="14" t="s">
        <v>882</v>
      </c>
      <c r="L427" s="772">
        <v>100</v>
      </c>
    </row>
    <row r="428" spans="1:12" x14ac:dyDescent="0.35">
      <c r="A428" s="14">
        <v>1000</v>
      </c>
      <c r="B428" s="14">
        <v>100</v>
      </c>
      <c r="C428" s="14">
        <v>2100</v>
      </c>
      <c r="D428" s="14">
        <v>6610</v>
      </c>
      <c r="G428" s="775">
        <v>234.18</v>
      </c>
      <c r="H428" s="14" t="s">
        <v>876</v>
      </c>
      <c r="I428" s="14" t="s">
        <v>880</v>
      </c>
      <c r="J428" s="14" t="s">
        <v>889</v>
      </c>
      <c r="K428" s="14" t="s">
        <v>890</v>
      </c>
      <c r="L428" s="772">
        <v>100</v>
      </c>
    </row>
    <row r="429" spans="1:12" x14ac:dyDescent="0.35">
      <c r="A429" s="14">
        <v>1000</v>
      </c>
      <c r="B429" s="14">
        <v>100</v>
      </c>
      <c r="C429" s="14">
        <v>2100</v>
      </c>
      <c r="D429" s="14">
        <v>6610</v>
      </c>
      <c r="G429" s="775">
        <v>308.64999999999998</v>
      </c>
      <c r="H429" s="14" t="s">
        <v>876</v>
      </c>
      <c r="I429" s="14" t="s">
        <v>880</v>
      </c>
      <c r="J429" s="14" t="s">
        <v>889</v>
      </c>
      <c r="K429" s="14" t="s">
        <v>890</v>
      </c>
      <c r="L429" s="772">
        <v>100</v>
      </c>
    </row>
    <row r="430" spans="1:12" x14ac:dyDescent="0.35">
      <c r="A430" s="14">
        <v>1000</v>
      </c>
      <c r="B430" s="14">
        <v>100</v>
      </c>
      <c r="C430" s="14">
        <v>2100</v>
      </c>
      <c r="D430" s="14">
        <v>6610</v>
      </c>
      <c r="G430" s="775">
        <v>50.8</v>
      </c>
      <c r="H430" s="14" t="s">
        <v>876</v>
      </c>
      <c r="I430" s="14" t="s">
        <v>880</v>
      </c>
      <c r="J430" s="14" t="s">
        <v>889</v>
      </c>
      <c r="K430" s="14" t="s">
        <v>890</v>
      </c>
      <c r="L430" s="772">
        <v>200</v>
      </c>
    </row>
    <row r="431" spans="1:12" x14ac:dyDescent="0.35">
      <c r="A431" s="14">
        <v>1000</v>
      </c>
      <c r="B431" s="14">
        <v>200</v>
      </c>
      <c r="C431" s="14">
        <v>2100</v>
      </c>
      <c r="D431" s="14">
        <v>6610</v>
      </c>
      <c r="G431" s="775">
        <v>27.02</v>
      </c>
      <c r="H431" s="14" t="s">
        <v>876</v>
      </c>
      <c r="I431" s="14" t="s">
        <v>884</v>
      </c>
      <c r="J431" s="14" t="s">
        <v>889</v>
      </c>
      <c r="K431" s="14" t="s">
        <v>890</v>
      </c>
      <c r="L431" s="772">
        <v>100</v>
      </c>
    </row>
    <row r="432" spans="1:12" x14ac:dyDescent="0.35">
      <c r="A432" s="14">
        <v>1000</v>
      </c>
      <c r="B432" s="14">
        <v>200</v>
      </c>
      <c r="C432" s="14">
        <v>2100</v>
      </c>
      <c r="D432" s="14">
        <v>6610</v>
      </c>
      <c r="G432" s="775">
        <v>52.15</v>
      </c>
      <c r="H432" s="14" t="s">
        <v>876</v>
      </c>
      <c r="I432" s="14" t="s">
        <v>884</v>
      </c>
      <c r="J432" s="14" t="s">
        <v>889</v>
      </c>
      <c r="K432" s="14" t="s">
        <v>890</v>
      </c>
      <c r="L432" s="772">
        <v>100</v>
      </c>
    </row>
    <row r="433" spans="1:12" x14ac:dyDescent="0.35">
      <c r="A433" s="14">
        <v>1000</v>
      </c>
      <c r="B433" s="14">
        <v>100</v>
      </c>
      <c r="C433" s="14">
        <v>2200</v>
      </c>
      <c r="D433" s="14">
        <v>6610</v>
      </c>
      <c r="G433" s="775">
        <v>283.89999999999998</v>
      </c>
      <c r="H433" s="14" t="s">
        <v>876</v>
      </c>
      <c r="I433" s="14" t="s">
        <v>880</v>
      </c>
      <c r="J433" s="14" t="s">
        <v>893</v>
      </c>
      <c r="K433" s="14" t="s">
        <v>890</v>
      </c>
      <c r="L433" s="772">
        <v>200</v>
      </c>
    </row>
    <row r="434" spans="1:12" x14ac:dyDescent="0.35">
      <c r="A434" s="14">
        <v>1000</v>
      </c>
      <c r="B434" s="14">
        <v>100</v>
      </c>
      <c r="C434" s="14">
        <v>2400</v>
      </c>
      <c r="D434" s="14">
        <v>6610</v>
      </c>
      <c r="G434" s="775">
        <v>151.38</v>
      </c>
      <c r="H434" s="14" t="s">
        <v>876</v>
      </c>
      <c r="I434" s="14" t="s">
        <v>880</v>
      </c>
      <c r="J434" s="14" t="s">
        <v>909</v>
      </c>
      <c r="K434" s="14" t="s">
        <v>890</v>
      </c>
      <c r="L434" s="772">
        <v>100</v>
      </c>
    </row>
    <row r="435" spans="1:12" x14ac:dyDescent="0.35">
      <c r="A435" s="14">
        <v>1000</v>
      </c>
      <c r="B435" s="14">
        <v>100</v>
      </c>
      <c r="C435" s="14">
        <v>2400</v>
      </c>
      <c r="D435" s="14">
        <v>6610</v>
      </c>
      <c r="G435" s="775">
        <v>999.05</v>
      </c>
      <c r="H435" s="14" t="s">
        <v>876</v>
      </c>
      <c r="I435" s="14" t="s">
        <v>880</v>
      </c>
      <c r="J435" s="14" t="s">
        <v>909</v>
      </c>
      <c r="K435" s="14" t="s">
        <v>890</v>
      </c>
      <c r="L435" s="772">
        <v>100</v>
      </c>
    </row>
    <row r="436" spans="1:12" x14ac:dyDescent="0.35">
      <c r="A436" s="14">
        <v>1000</v>
      </c>
      <c r="B436" s="14">
        <v>100</v>
      </c>
      <c r="C436" s="14">
        <v>2400</v>
      </c>
      <c r="D436" s="14">
        <v>6610</v>
      </c>
      <c r="G436" s="775">
        <v>2945.98</v>
      </c>
      <c r="H436" s="14" t="s">
        <v>876</v>
      </c>
      <c r="I436" s="14" t="s">
        <v>880</v>
      </c>
      <c r="J436" s="14" t="s">
        <v>909</v>
      </c>
      <c r="K436" s="14" t="s">
        <v>890</v>
      </c>
      <c r="L436" s="772">
        <v>100</v>
      </c>
    </row>
    <row r="437" spans="1:12" x14ac:dyDescent="0.35">
      <c r="A437" s="14">
        <v>1000</v>
      </c>
      <c r="B437" s="14">
        <v>100</v>
      </c>
      <c r="C437" s="14">
        <v>2400</v>
      </c>
      <c r="D437" s="14">
        <v>6610</v>
      </c>
      <c r="G437" s="775">
        <v>375.45</v>
      </c>
      <c r="H437" s="14" t="s">
        <v>876</v>
      </c>
      <c r="I437" s="14" t="s">
        <v>880</v>
      </c>
      <c r="J437" s="14" t="s">
        <v>909</v>
      </c>
      <c r="K437" s="14" t="s">
        <v>890</v>
      </c>
      <c r="L437" s="772">
        <v>200</v>
      </c>
    </row>
    <row r="438" spans="1:12" x14ac:dyDescent="0.35">
      <c r="A438" s="14">
        <v>1000</v>
      </c>
      <c r="B438" s="14">
        <v>100</v>
      </c>
      <c r="C438" s="14">
        <v>2500</v>
      </c>
      <c r="D438" s="14">
        <v>6610</v>
      </c>
      <c r="G438" s="775">
        <v>127.48</v>
      </c>
      <c r="H438" s="14" t="s">
        <v>876</v>
      </c>
      <c r="I438" s="14" t="s">
        <v>880</v>
      </c>
      <c r="J438" s="14" t="s">
        <v>913</v>
      </c>
      <c r="K438" s="14" t="s">
        <v>890</v>
      </c>
      <c r="L438" s="772">
        <v>100</v>
      </c>
    </row>
    <row r="439" spans="1:12" x14ac:dyDescent="0.35">
      <c r="A439" s="14">
        <v>1310</v>
      </c>
      <c r="B439" s="14">
        <v>100</v>
      </c>
      <c r="C439" s="14">
        <v>2600</v>
      </c>
      <c r="D439" s="14">
        <v>6530</v>
      </c>
      <c r="G439" s="775">
        <v>20775.87</v>
      </c>
      <c r="H439" s="14" t="s">
        <v>956</v>
      </c>
      <c r="I439" s="14" t="s">
        <v>880</v>
      </c>
      <c r="J439" s="14" t="s">
        <v>917</v>
      </c>
      <c r="K439" s="14" t="s">
        <v>886</v>
      </c>
      <c r="L439" s="772">
        <v>100</v>
      </c>
    </row>
    <row r="440" spans="1:12" x14ac:dyDescent="0.35">
      <c r="A440" s="14">
        <v>1310</v>
      </c>
      <c r="B440" s="14">
        <v>100</v>
      </c>
      <c r="C440" s="14">
        <v>2600</v>
      </c>
      <c r="D440" s="14">
        <v>6530</v>
      </c>
      <c r="G440" s="775">
        <v>9000</v>
      </c>
      <c r="H440" s="14" t="s">
        <v>956</v>
      </c>
      <c r="I440" s="14" t="s">
        <v>880</v>
      </c>
      <c r="J440" s="14" t="s">
        <v>917</v>
      </c>
      <c r="K440" s="14" t="s">
        <v>886</v>
      </c>
      <c r="L440" s="772">
        <v>200</v>
      </c>
    </row>
    <row r="441" spans="1:12" x14ac:dyDescent="0.35">
      <c r="A441" s="14">
        <v>1529</v>
      </c>
      <c r="B441" s="14">
        <v>100</v>
      </c>
      <c r="C441" s="14">
        <v>2600</v>
      </c>
      <c r="D441" s="14">
        <v>6154</v>
      </c>
      <c r="G441" s="775">
        <v>24000</v>
      </c>
      <c r="H441" s="14" t="s">
        <v>983</v>
      </c>
      <c r="I441" s="14" t="s">
        <v>880</v>
      </c>
      <c r="J441" s="14" t="s">
        <v>917</v>
      </c>
      <c r="K441" s="14" t="s">
        <v>878</v>
      </c>
      <c r="L441" s="772">
        <v>100</v>
      </c>
    </row>
    <row r="442" spans="1:12" x14ac:dyDescent="0.35">
      <c r="A442" s="14">
        <v>1529</v>
      </c>
      <c r="B442" s="14">
        <v>100</v>
      </c>
      <c r="C442" s="14">
        <v>2600</v>
      </c>
      <c r="D442" s="14">
        <v>6221</v>
      </c>
      <c r="G442" s="775">
        <v>1488</v>
      </c>
      <c r="H442" s="14" t="s">
        <v>983</v>
      </c>
      <c r="I442" s="14" t="s">
        <v>880</v>
      </c>
      <c r="J442" s="14" t="s">
        <v>917</v>
      </c>
      <c r="K442" s="14" t="s">
        <v>882</v>
      </c>
      <c r="L442" s="772">
        <v>100</v>
      </c>
    </row>
    <row r="443" spans="1:12" x14ac:dyDescent="0.35">
      <c r="A443" s="14">
        <v>1520</v>
      </c>
      <c r="B443" s="14">
        <v>100</v>
      </c>
      <c r="C443" s="14">
        <v>2900</v>
      </c>
      <c r="D443" s="14">
        <v>6221</v>
      </c>
      <c r="G443" s="775">
        <v>232.87</v>
      </c>
      <c r="H443" s="14" t="s">
        <v>983</v>
      </c>
      <c r="I443" s="14" t="s">
        <v>880</v>
      </c>
      <c r="J443" s="14" t="s">
        <v>925</v>
      </c>
      <c r="K443" s="14" t="s">
        <v>882</v>
      </c>
      <c r="L443" s="772">
        <v>200</v>
      </c>
    </row>
    <row r="444" spans="1:12" x14ac:dyDescent="0.35">
      <c r="A444" s="14">
        <v>1110</v>
      </c>
      <c r="B444" s="14">
        <v>100</v>
      </c>
      <c r="C444" s="14">
        <v>1900</v>
      </c>
      <c r="D444" s="14">
        <v>6222</v>
      </c>
      <c r="G444" s="775">
        <v>135.16</v>
      </c>
      <c r="H444" s="14" t="s">
        <v>891</v>
      </c>
      <c r="I444" s="14" t="s">
        <v>880</v>
      </c>
      <c r="J444" s="14" t="s">
        <v>885</v>
      </c>
      <c r="K444" s="14" t="s">
        <v>882</v>
      </c>
      <c r="L444" s="772">
        <v>200</v>
      </c>
    </row>
    <row r="445" spans="1:12" x14ac:dyDescent="0.35">
      <c r="A445" s="14">
        <v>1110</v>
      </c>
      <c r="B445" s="14">
        <v>100</v>
      </c>
      <c r="C445" s="14">
        <v>1900</v>
      </c>
      <c r="D445" s="14">
        <v>6230</v>
      </c>
      <c r="G445" s="775">
        <v>460.42</v>
      </c>
      <c r="H445" s="14" t="s">
        <v>891</v>
      </c>
      <c r="I445" s="14" t="s">
        <v>880</v>
      </c>
      <c r="J445" s="14" t="s">
        <v>885</v>
      </c>
      <c r="K445" s="14" t="s">
        <v>882</v>
      </c>
      <c r="L445" s="772">
        <v>100</v>
      </c>
    </row>
    <row r="446" spans="1:12" x14ac:dyDescent="0.35">
      <c r="A446" s="14">
        <v>1110</v>
      </c>
      <c r="B446" s="14">
        <v>100</v>
      </c>
      <c r="C446" s="14">
        <v>1900</v>
      </c>
      <c r="D446" s="14">
        <v>6230</v>
      </c>
      <c r="G446" s="775">
        <v>1313.29</v>
      </c>
      <c r="H446" s="14" t="s">
        <v>891</v>
      </c>
      <c r="I446" s="14" t="s">
        <v>880</v>
      </c>
      <c r="J446" s="14" t="s">
        <v>885</v>
      </c>
      <c r="K446" s="14" t="s">
        <v>882</v>
      </c>
      <c r="L446" s="772">
        <v>200</v>
      </c>
    </row>
    <row r="447" spans="1:12" x14ac:dyDescent="0.35">
      <c r="A447" s="14">
        <v>1510</v>
      </c>
      <c r="B447" s="14">
        <v>100</v>
      </c>
      <c r="C447" s="14">
        <v>3100</v>
      </c>
      <c r="D447" s="14">
        <v>6610</v>
      </c>
      <c r="G447" s="775">
        <v>114.39</v>
      </c>
      <c r="H447" s="14" t="s">
        <v>983</v>
      </c>
      <c r="I447" s="14" t="s">
        <v>880</v>
      </c>
      <c r="J447" s="14" t="s">
        <v>929</v>
      </c>
      <c r="K447" s="14" t="s">
        <v>890</v>
      </c>
      <c r="L447" s="772">
        <v>100</v>
      </c>
    </row>
    <row r="448" spans="1:12" x14ac:dyDescent="0.35">
      <c r="A448" s="14">
        <v>1536</v>
      </c>
      <c r="B448" s="14">
        <v>100</v>
      </c>
      <c r="C448" s="14">
        <v>2100</v>
      </c>
      <c r="D448" s="14">
        <v>6610</v>
      </c>
      <c r="G448" s="775">
        <v>7969.23</v>
      </c>
      <c r="H448" s="14" t="s">
        <v>983</v>
      </c>
      <c r="I448" s="14" t="s">
        <v>880</v>
      </c>
      <c r="J448" s="14" t="s">
        <v>889</v>
      </c>
      <c r="K448" s="14" t="s">
        <v>890</v>
      </c>
      <c r="L448" s="772">
        <v>100</v>
      </c>
    </row>
    <row r="449" spans="1:12" x14ac:dyDescent="0.35">
      <c r="A449" s="14">
        <v>1536</v>
      </c>
      <c r="B449" s="14">
        <v>100</v>
      </c>
      <c r="C449" s="14">
        <v>2100</v>
      </c>
      <c r="D449" s="14">
        <v>6610</v>
      </c>
      <c r="G449" s="775">
        <v>512.30999999999995</v>
      </c>
      <c r="H449" s="14" t="s">
        <v>983</v>
      </c>
      <c r="I449" s="14" t="s">
        <v>880</v>
      </c>
      <c r="J449" s="14" t="s">
        <v>889</v>
      </c>
      <c r="K449" s="14" t="s">
        <v>890</v>
      </c>
      <c r="L449" s="772">
        <v>200</v>
      </c>
    </row>
    <row r="450" spans="1:12" x14ac:dyDescent="0.35">
      <c r="A450" s="14">
        <v>1529</v>
      </c>
      <c r="B450" s="14">
        <v>100</v>
      </c>
      <c r="C450" s="14">
        <v>2600</v>
      </c>
      <c r="D450" s="14">
        <v>6222</v>
      </c>
      <c r="G450" s="775">
        <v>348</v>
      </c>
      <c r="H450" s="14" t="s">
        <v>983</v>
      </c>
      <c r="I450" s="14" t="s">
        <v>880</v>
      </c>
      <c r="J450" s="14" t="s">
        <v>917</v>
      </c>
      <c r="K450" s="14" t="s">
        <v>882</v>
      </c>
      <c r="L450" s="772">
        <v>100</v>
      </c>
    </row>
    <row r="451" spans="1:12" x14ac:dyDescent="0.35">
      <c r="A451" s="14">
        <v>1000</v>
      </c>
      <c r="B451" s="14">
        <v>100</v>
      </c>
      <c r="C451" s="14">
        <v>2100</v>
      </c>
      <c r="D451" s="14">
        <v>6611</v>
      </c>
      <c r="G451" s="775">
        <v>649.67999999999995</v>
      </c>
      <c r="H451" s="14" t="s">
        <v>876</v>
      </c>
      <c r="I451" s="14" t="s">
        <v>880</v>
      </c>
      <c r="J451" s="14" t="s">
        <v>889</v>
      </c>
      <c r="K451" s="14" t="s">
        <v>890</v>
      </c>
      <c r="L451" s="772">
        <v>200</v>
      </c>
    </row>
    <row r="452" spans="1:12" x14ac:dyDescent="0.35">
      <c r="A452" s="14">
        <v>1529</v>
      </c>
      <c r="B452" s="14">
        <v>100</v>
      </c>
      <c r="C452" s="14">
        <v>2600</v>
      </c>
      <c r="D452" s="14">
        <v>6230</v>
      </c>
      <c r="G452" s="775">
        <v>2908.81</v>
      </c>
      <c r="H452" s="14" t="s">
        <v>983</v>
      </c>
      <c r="I452" s="14" t="s">
        <v>880</v>
      </c>
      <c r="J452" s="14" t="s">
        <v>917</v>
      </c>
      <c r="K452" s="14" t="s">
        <v>882</v>
      </c>
      <c r="L452" s="772">
        <v>100</v>
      </c>
    </row>
    <row r="453" spans="1:12" x14ac:dyDescent="0.35">
      <c r="A453" s="14">
        <v>1534</v>
      </c>
      <c r="B453" s="14">
        <v>100</v>
      </c>
      <c r="C453" s="14">
        <v>2100</v>
      </c>
      <c r="D453" s="14">
        <v>6611</v>
      </c>
      <c r="G453" s="775">
        <v>1368.37</v>
      </c>
      <c r="H453" s="14" t="s">
        <v>983</v>
      </c>
      <c r="I453" s="14" t="s">
        <v>880</v>
      </c>
      <c r="J453" s="14" t="s">
        <v>889</v>
      </c>
      <c r="K453" s="14" t="s">
        <v>890</v>
      </c>
      <c r="L453" s="772">
        <v>100</v>
      </c>
    </row>
    <row r="454" spans="1:12" x14ac:dyDescent="0.35">
      <c r="A454" s="14">
        <v>1529</v>
      </c>
      <c r="B454" s="14">
        <v>100</v>
      </c>
      <c r="C454" s="14">
        <v>2600</v>
      </c>
      <c r="D454" s="14">
        <v>6235</v>
      </c>
      <c r="G454" s="775">
        <v>35.979999999999997</v>
      </c>
      <c r="H454" s="14" t="s">
        <v>983</v>
      </c>
      <c r="I454" s="14" t="s">
        <v>880</v>
      </c>
      <c r="J454" s="14" t="s">
        <v>917</v>
      </c>
      <c r="K454" s="14" t="s">
        <v>882</v>
      </c>
      <c r="L454" s="772">
        <v>100</v>
      </c>
    </row>
    <row r="455" spans="1:12" x14ac:dyDescent="0.35">
      <c r="A455" s="14">
        <v>1000</v>
      </c>
      <c r="B455" s="14">
        <v>100</v>
      </c>
      <c r="C455" s="14">
        <v>2100</v>
      </c>
      <c r="D455" s="14">
        <v>6612</v>
      </c>
      <c r="G455" s="775">
        <v>248.57</v>
      </c>
      <c r="H455" s="14" t="s">
        <v>876</v>
      </c>
      <c r="I455" s="14" t="s">
        <v>880</v>
      </c>
      <c r="J455" s="14" t="s">
        <v>889</v>
      </c>
      <c r="K455" s="14" t="s">
        <v>890</v>
      </c>
      <c r="L455" s="772">
        <v>100</v>
      </c>
    </row>
    <row r="456" spans="1:12" x14ac:dyDescent="0.35">
      <c r="A456" s="14">
        <v>1529</v>
      </c>
      <c r="B456" s="14">
        <v>100</v>
      </c>
      <c r="C456" s="14">
        <v>2600</v>
      </c>
      <c r="D456" s="14">
        <v>6250</v>
      </c>
      <c r="G456" s="775">
        <v>1.92</v>
      </c>
      <c r="H456" s="14" t="s">
        <v>983</v>
      </c>
      <c r="I456" s="14" t="s">
        <v>880</v>
      </c>
      <c r="J456" s="14" t="s">
        <v>917</v>
      </c>
      <c r="K456" s="14" t="s">
        <v>882</v>
      </c>
      <c r="L456" s="772">
        <v>100</v>
      </c>
    </row>
    <row r="457" spans="1:12" x14ac:dyDescent="0.35">
      <c r="A457" s="14">
        <v>1560</v>
      </c>
      <c r="B457" s="14">
        <v>100</v>
      </c>
      <c r="C457" s="14">
        <v>2600</v>
      </c>
      <c r="D457" s="14">
        <v>6330</v>
      </c>
      <c r="G457" s="775">
        <v>320</v>
      </c>
      <c r="H457" s="14" t="s">
        <v>983</v>
      </c>
      <c r="I457" s="14" t="s">
        <v>880</v>
      </c>
      <c r="J457" s="14" t="s">
        <v>917</v>
      </c>
      <c r="K457" s="14" t="s">
        <v>886</v>
      </c>
      <c r="L457" s="772">
        <v>100</v>
      </c>
    </row>
    <row r="458" spans="1:12" x14ac:dyDescent="0.35">
      <c r="A458" s="14">
        <v>1560</v>
      </c>
      <c r="B458" s="14">
        <v>100</v>
      </c>
      <c r="C458" s="14">
        <v>2600</v>
      </c>
      <c r="D458" s="14">
        <v>6430</v>
      </c>
      <c r="G458" s="775">
        <v>270.39</v>
      </c>
      <c r="H458" s="14" t="s">
        <v>983</v>
      </c>
      <c r="I458" s="14" t="s">
        <v>880</v>
      </c>
      <c r="J458" s="14" t="s">
        <v>917</v>
      </c>
      <c r="K458" s="14" t="s">
        <v>886</v>
      </c>
      <c r="L458" s="772">
        <v>100</v>
      </c>
    </row>
    <row r="459" spans="1:12" x14ac:dyDescent="0.35">
      <c r="A459" s="14">
        <v>1560</v>
      </c>
      <c r="B459" s="14">
        <v>100</v>
      </c>
      <c r="C459" s="14">
        <v>2600</v>
      </c>
      <c r="D459" s="14">
        <v>6435</v>
      </c>
      <c r="G459" s="775">
        <v>2292.5</v>
      </c>
      <c r="H459" s="14" t="s">
        <v>983</v>
      </c>
      <c r="I459" s="14" t="s">
        <v>880</v>
      </c>
      <c r="J459" s="14" t="s">
        <v>917</v>
      </c>
      <c r="K459" s="14" t="s">
        <v>886</v>
      </c>
      <c r="L459" s="772">
        <v>100</v>
      </c>
    </row>
    <row r="460" spans="1:12" x14ac:dyDescent="0.35">
      <c r="A460" s="14">
        <v>1560</v>
      </c>
      <c r="B460" s="14">
        <v>100</v>
      </c>
      <c r="C460" s="14">
        <v>2600</v>
      </c>
      <c r="D460" s="14">
        <v>6436</v>
      </c>
      <c r="G460" s="775">
        <v>280.89</v>
      </c>
      <c r="H460" s="14" t="s">
        <v>983</v>
      </c>
      <c r="I460" s="14" t="s">
        <v>880</v>
      </c>
      <c r="J460" s="14" t="s">
        <v>917</v>
      </c>
      <c r="K460" s="14" t="s">
        <v>886</v>
      </c>
      <c r="L460" s="772">
        <v>100</v>
      </c>
    </row>
    <row r="461" spans="1:12" x14ac:dyDescent="0.35">
      <c r="A461" s="14">
        <v>1560</v>
      </c>
      <c r="B461" s="14">
        <v>100</v>
      </c>
      <c r="C461" s="14">
        <v>2600</v>
      </c>
      <c r="D461" s="14">
        <v>6520</v>
      </c>
      <c r="G461" s="775">
        <v>6141.39</v>
      </c>
      <c r="H461" s="14" t="s">
        <v>983</v>
      </c>
      <c r="I461" s="14" t="s">
        <v>880</v>
      </c>
      <c r="J461" s="14" t="s">
        <v>917</v>
      </c>
      <c r="K461" s="14" t="s">
        <v>886</v>
      </c>
      <c r="L461" s="772">
        <v>100</v>
      </c>
    </row>
    <row r="462" spans="1:12" x14ac:dyDescent="0.35">
      <c r="A462" s="14">
        <v>1560</v>
      </c>
      <c r="B462" s="14">
        <v>100</v>
      </c>
      <c r="C462" s="14">
        <v>2600</v>
      </c>
      <c r="D462" s="14">
        <v>6610</v>
      </c>
      <c r="G462" s="775">
        <v>5366.47</v>
      </c>
      <c r="H462" s="14" t="s">
        <v>983</v>
      </c>
      <c r="I462" s="14" t="s">
        <v>880</v>
      </c>
      <c r="J462" s="14" t="s">
        <v>917</v>
      </c>
      <c r="K462" s="14" t="s">
        <v>890</v>
      </c>
      <c r="L462" s="772">
        <v>100</v>
      </c>
    </row>
    <row r="463" spans="1:12" x14ac:dyDescent="0.35">
      <c r="A463" s="14">
        <v>1560</v>
      </c>
      <c r="B463" s="14">
        <v>100</v>
      </c>
      <c r="C463" s="14">
        <v>2600</v>
      </c>
      <c r="D463" s="14">
        <v>6611</v>
      </c>
      <c r="G463" s="775">
        <v>650</v>
      </c>
      <c r="H463" s="14" t="s">
        <v>983</v>
      </c>
      <c r="I463" s="14" t="s">
        <v>880</v>
      </c>
      <c r="J463" s="14" t="s">
        <v>917</v>
      </c>
      <c r="K463" s="14" t="s">
        <v>890</v>
      </c>
      <c r="L463" s="772">
        <v>100</v>
      </c>
    </row>
    <row r="464" spans="1:12" x14ac:dyDescent="0.35">
      <c r="A464" s="14">
        <v>1000</v>
      </c>
      <c r="B464" s="14">
        <v>100</v>
      </c>
      <c r="C464" s="14">
        <v>2400</v>
      </c>
      <c r="D464" s="14">
        <v>6626</v>
      </c>
      <c r="G464" s="775">
        <v>1400.92</v>
      </c>
      <c r="H464" s="14" t="s">
        <v>876</v>
      </c>
      <c r="I464" s="14" t="s">
        <v>880</v>
      </c>
      <c r="J464" s="14" t="s">
        <v>909</v>
      </c>
      <c r="K464" s="14" t="s">
        <v>890</v>
      </c>
      <c r="L464" s="772">
        <v>100</v>
      </c>
    </row>
    <row r="465" spans="1:12" x14ac:dyDescent="0.35">
      <c r="A465" s="14">
        <v>1000</v>
      </c>
      <c r="B465" s="14">
        <v>100</v>
      </c>
      <c r="C465" s="14">
        <v>2400</v>
      </c>
      <c r="D465" s="14">
        <v>6626</v>
      </c>
      <c r="G465" s="775">
        <v>4953.25</v>
      </c>
      <c r="H465" s="14" t="s">
        <v>876</v>
      </c>
      <c r="I465" s="14" t="s">
        <v>880</v>
      </c>
      <c r="J465" s="14" t="s">
        <v>909</v>
      </c>
      <c r="K465" s="14" t="s">
        <v>890</v>
      </c>
      <c r="L465" s="772">
        <v>100</v>
      </c>
    </row>
    <row r="466" spans="1:12" x14ac:dyDescent="0.35">
      <c r="A466" s="14">
        <v>1000</v>
      </c>
      <c r="B466" s="14">
        <v>100</v>
      </c>
      <c r="C466" s="14">
        <v>2400</v>
      </c>
      <c r="D466" s="14">
        <v>6626</v>
      </c>
      <c r="G466" s="775">
        <v>721.45</v>
      </c>
      <c r="H466" s="14" t="s">
        <v>876</v>
      </c>
      <c r="I466" s="14" t="s">
        <v>880</v>
      </c>
      <c r="J466" s="14" t="s">
        <v>909</v>
      </c>
      <c r="K466" s="14" t="s">
        <v>890</v>
      </c>
      <c r="L466" s="772">
        <v>200</v>
      </c>
    </row>
    <row r="467" spans="1:12" x14ac:dyDescent="0.35">
      <c r="A467" s="14">
        <v>1560</v>
      </c>
      <c r="B467" s="14">
        <v>100</v>
      </c>
      <c r="C467" s="14">
        <v>2600</v>
      </c>
      <c r="D467" s="14">
        <v>6622</v>
      </c>
      <c r="G467" s="775">
        <v>2526</v>
      </c>
      <c r="H467" s="14" t="s">
        <v>983</v>
      </c>
      <c r="I467" s="14" t="s">
        <v>880</v>
      </c>
      <c r="J467" s="14" t="s">
        <v>917</v>
      </c>
      <c r="K467" s="14" t="s">
        <v>890</v>
      </c>
      <c r="L467" s="772">
        <v>100</v>
      </c>
    </row>
    <row r="468" spans="1:12" x14ac:dyDescent="0.35">
      <c r="A468" s="14">
        <v>1520</v>
      </c>
      <c r="B468" s="14">
        <v>100</v>
      </c>
      <c r="C468" s="14">
        <v>2900</v>
      </c>
      <c r="D468" s="14">
        <v>6222</v>
      </c>
      <c r="G468" s="775">
        <v>54.46</v>
      </c>
      <c r="H468" s="14" t="s">
        <v>983</v>
      </c>
      <c r="I468" s="14" t="s">
        <v>880</v>
      </c>
      <c r="J468" s="14" t="s">
        <v>925</v>
      </c>
      <c r="K468" s="14" t="s">
        <v>882</v>
      </c>
      <c r="L468" s="772">
        <v>200</v>
      </c>
    </row>
    <row r="469" spans="1:12" x14ac:dyDescent="0.35">
      <c r="A469" s="14">
        <v>1520</v>
      </c>
      <c r="B469" s="14">
        <v>100</v>
      </c>
      <c r="C469" s="14">
        <v>2900</v>
      </c>
      <c r="D469" s="14">
        <v>6230</v>
      </c>
      <c r="G469" s="775">
        <v>458.74</v>
      </c>
      <c r="H469" s="14" t="s">
        <v>983</v>
      </c>
      <c r="I469" s="14" t="s">
        <v>880</v>
      </c>
      <c r="J469" s="14" t="s">
        <v>925</v>
      </c>
      <c r="K469" s="14" t="s">
        <v>882</v>
      </c>
      <c r="L469" s="772">
        <v>200</v>
      </c>
    </row>
    <row r="470" spans="1:12" x14ac:dyDescent="0.35">
      <c r="A470" s="14">
        <v>1520</v>
      </c>
      <c r="B470" s="14">
        <v>100</v>
      </c>
      <c r="C470" s="14">
        <v>2900</v>
      </c>
      <c r="D470" s="14">
        <v>6235</v>
      </c>
      <c r="G470" s="775">
        <v>5.68</v>
      </c>
      <c r="H470" s="14" t="s">
        <v>983</v>
      </c>
      <c r="I470" s="14" t="s">
        <v>880</v>
      </c>
      <c r="J470" s="14" t="s">
        <v>925</v>
      </c>
      <c r="K470" s="14" t="s">
        <v>882</v>
      </c>
      <c r="L470" s="772">
        <v>200</v>
      </c>
    </row>
    <row r="471" spans="1:12" x14ac:dyDescent="0.35">
      <c r="A471" s="14">
        <v>1190</v>
      </c>
      <c r="B471" s="14">
        <v>100</v>
      </c>
      <c r="C471" s="14">
        <v>2220</v>
      </c>
      <c r="D471" s="14">
        <v>6626</v>
      </c>
      <c r="G471" s="775">
        <v>30.64</v>
      </c>
      <c r="H471" s="14" t="s">
        <v>907</v>
      </c>
      <c r="I471" s="14" t="s">
        <v>880</v>
      </c>
      <c r="J471" s="14" t="s">
        <v>897</v>
      </c>
      <c r="K471" s="14" t="s">
        <v>890</v>
      </c>
      <c r="L471" s="772">
        <v>100</v>
      </c>
    </row>
    <row r="472" spans="1:12" x14ac:dyDescent="0.35">
      <c r="A472" s="14">
        <v>1000</v>
      </c>
      <c r="B472" s="14">
        <v>100</v>
      </c>
      <c r="C472" s="14">
        <v>2400</v>
      </c>
      <c r="D472" s="14">
        <v>6632</v>
      </c>
      <c r="G472" s="775">
        <v>30</v>
      </c>
      <c r="H472" s="14" t="s">
        <v>876</v>
      </c>
      <c r="I472" s="14" t="s">
        <v>880</v>
      </c>
      <c r="J472" s="14" t="s">
        <v>909</v>
      </c>
      <c r="K472" s="14" t="s">
        <v>890</v>
      </c>
      <c r="L472" s="772">
        <v>100</v>
      </c>
    </row>
    <row r="473" spans="1:12" x14ac:dyDescent="0.35">
      <c r="A473" s="14">
        <v>1000</v>
      </c>
      <c r="B473" s="14">
        <v>100</v>
      </c>
      <c r="C473" s="14">
        <v>2100</v>
      </c>
      <c r="D473" s="14">
        <v>6635</v>
      </c>
      <c r="G473" s="775">
        <v>1214.75</v>
      </c>
      <c r="H473" s="14" t="s">
        <v>876</v>
      </c>
      <c r="I473" s="14" t="s">
        <v>880</v>
      </c>
      <c r="J473" s="14" t="s">
        <v>889</v>
      </c>
      <c r="K473" s="14" t="s">
        <v>890</v>
      </c>
      <c r="L473" s="772">
        <v>100</v>
      </c>
    </row>
    <row r="474" spans="1:12" x14ac:dyDescent="0.35">
      <c r="A474" s="14">
        <v>1000</v>
      </c>
      <c r="B474" s="14">
        <v>100</v>
      </c>
      <c r="C474" s="14">
        <v>2100</v>
      </c>
      <c r="D474" s="14">
        <v>6635</v>
      </c>
      <c r="G474" s="775">
        <v>108.69</v>
      </c>
      <c r="H474" s="14" t="s">
        <v>876</v>
      </c>
      <c r="I474" s="14" t="s">
        <v>880</v>
      </c>
      <c r="J474" s="14" t="s">
        <v>889</v>
      </c>
      <c r="K474" s="14" t="s">
        <v>890</v>
      </c>
      <c r="L474" s="772">
        <v>200</v>
      </c>
    </row>
    <row r="475" spans="1:12" x14ac:dyDescent="0.35">
      <c r="A475" s="14">
        <v>1000</v>
      </c>
      <c r="B475" s="14">
        <v>100</v>
      </c>
      <c r="C475" s="14">
        <v>2220</v>
      </c>
      <c r="D475" s="14">
        <v>6635</v>
      </c>
      <c r="G475" s="775">
        <v>113.7</v>
      </c>
      <c r="H475" s="14" t="s">
        <v>876</v>
      </c>
      <c r="I475" s="14" t="s">
        <v>880</v>
      </c>
      <c r="J475" s="14" t="s">
        <v>897</v>
      </c>
      <c r="K475" s="14" t="s">
        <v>890</v>
      </c>
      <c r="L475" s="772">
        <v>100</v>
      </c>
    </row>
    <row r="476" spans="1:12" x14ac:dyDescent="0.35">
      <c r="A476" s="14">
        <v>1000</v>
      </c>
      <c r="B476" s="14">
        <v>100</v>
      </c>
      <c r="C476" s="14">
        <v>2400</v>
      </c>
      <c r="D476" s="14">
        <v>6635</v>
      </c>
      <c r="G476" s="775">
        <v>704.35</v>
      </c>
      <c r="H476" s="14" t="s">
        <v>876</v>
      </c>
      <c r="I476" s="14" t="s">
        <v>880</v>
      </c>
      <c r="J476" s="14" t="s">
        <v>909</v>
      </c>
      <c r="K476" s="14" t="s">
        <v>890</v>
      </c>
      <c r="L476" s="772">
        <v>100</v>
      </c>
    </row>
    <row r="477" spans="1:12" x14ac:dyDescent="0.35">
      <c r="A477" s="14">
        <v>1000</v>
      </c>
      <c r="B477" s="14">
        <v>100</v>
      </c>
      <c r="C477" s="14">
        <v>2400</v>
      </c>
      <c r="D477" s="14">
        <v>6635</v>
      </c>
      <c r="G477" s="775">
        <v>1735.55</v>
      </c>
      <c r="H477" s="14" t="s">
        <v>876</v>
      </c>
      <c r="I477" s="14" t="s">
        <v>880</v>
      </c>
      <c r="J477" s="14" t="s">
        <v>909</v>
      </c>
      <c r="K477" s="14" t="s">
        <v>890</v>
      </c>
      <c r="L477" s="772">
        <v>100</v>
      </c>
    </row>
    <row r="478" spans="1:12" x14ac:dyDescent="0.35">
      <c r="A478" s="14">
        <v>1000</v>
      </c>
      <c r="B478" s="14">
        <v>100</v>
      </c>
      <c r="C478" s="14">
        <v>2500</v>
      </c>
      <c r="D478" s="14">
        <v>6635</v>
      </c>
      <c r="G478" s="775">
        <v>122.83</v>
      </c>
      <c r="H478" s="14" t="s">
        <v>876</v>
      </c>
      <c r="I478" s="14" t="s">
        <v>880</v>
      </c>
      <c r="J478" s="14" t="s">
        <v>913</v>
      </c>
      <c r="K478" s="14" t="s">
        <v>890</v>
      </c>
      <c r="L478" s="772">
        <v>100</v>
      </c>
    </row>
    <row r="479" spans="1:12" x14ac:dyDescent="0.35">
      <c r="A479" s="14">
        <v>1000</v>
      </c>
      <c r="B479" s="14">
        <v>100</v>
      </c>
      <c r="C479" s="14">
        <v>2500</v>
      </c>
      <c r="D479" s="14">
        <v>6635</v>
      </c>
      <c r="G479" s="775">
        <v>890</v>
      </c>
      <c r="H479" s="14" t="s">
        <v>876</v>
      </c>
      <c r="I479" s="14" t="s">
        <v>880</v>
      </c>
      <c r="J479" s="14" t="s">
        <v>913</v>
      </c>
      <c r="K479" s="14" t="s">
        <v>890</v>
      </c>
      <c r="L479" s="772">
        <v>100</v>
      </c>
    </row>
    <row r="480" spans="1:12" x14ac:dyDescent="0.35">
      <c r="A480" s="14">
        <v>1110</v>
      </c>
      <c r="B480" s="14">
        <v>100</v>
      </c>
      <c r="C480" s="14">
        <v>1900</v>
      </c>
      <c r="D480" s="14">
        <v>6235</v>
      </c>
      <c r="G480" s="775">
        <v>5.68</v>
      </c>
      <c r="H480" s="14" t="s">
        <v>891</v>
      </c>
      <c r="I480" s="14" t="s">
        <v>880</v>
      </c>
      <c r="J480" s="14" t="s">
        <v>885</v>
      </c>
      <c r="K480" s="14" t="s">
        <v>882</v>
      </c>
      <c r="L480" s="772">
        <v>100</v>
      </c>
    </row>
    <row r="481" spans="1:12" x14ac:dyDescent="0.35">
      <c r="A481" s="14">
        <v>1110</v>
      </c>
      <c r="B481" s="14">
        <v>100</v>
      </c>
      <c r="C481" s="14">
        <v>1900</v>
      </c>
      <c r="D481" s="14">
        <v>6235</v>
      </c>
      <c r="G481" s="775">
        <v>15.24</v>
      </c>
      <c r="H481" s="14" t="s">
        <v>891</v>
      </c>
      <c r="I481" s="14" t="s">
        <v>880</v>
      </c>
      <c r="J481" s="14" t="s">
        <v>885</v>
      </c>
      <c r="K481" s="14" t="s">
        <v>882</v>
      </c>
      <c r="L481" s="772">
        <v>200</v>
      </c>
    </row>
    <row r="482" spans="1:12" x14ac:dyDescent="0.35">
      <c r="A482" s="14">
        <v>1110</v>
      </c>
      <c r="B482" s="14">
        <v>100</v>
      </c>
      <c r="C482" s="14">
        <v>1900</v>
      </c>
      <c r="D482" s="14">
        <v>6250</v>
      </c>
      <c r="G482" s="775">
        <v>0.55000000000000004</v>
      </c>
      <c r="H482" s="14" t="s">
        <v>891</v>
      </c>
      <c r="I482" s="14" t="s">
        <v>880</v>
      </c>
      <c r="J482" s="14" t="s">
        <v>885</v>
      </c>
      <c r="K482" s="14" t="s">
        <v>882</v>
      </c>
      <c r="L482" s="772">
        <v>100</v>
      </c>
    </row>
    <row r="483" spans="1:12" x14ac:dyDescent="0.35">
      <c r="A483" s="14">
        <v>1000</v>
      </c>
      <c r="B483" s="14">
        <v>100</v>
      </c>
      <c r="C483" s="14">
        <v>2200</v>
      </c>
      <c r="D483" s="14">
        <v>6642</v>
      </c>
      <c r="G483" s="775">
        <v>1960.85</v>
      </c>
      <c r="H483" s="14" t="s">
        <v>876</v>
      </c>
      <c r="I483" s="14" t="s">
        <v>880</v>
      </c>
      <c r="J483" s="14" t="s">
        <v>893</v>
      </c>
      <c r="K483" s="14" t="s">
        <v>890</v>
      </c>
      <c r="L483" s="772">
        <v>100</v>
      </c>
    </row>
    <row r="484" spans="1:12" x14ac:dyDescent="0.35">
      <c r="A484" s="14">
        <v>1020</v>
      </c>
      <c r="B484" s="14">
        <v>100</v>
      </c>
      <c r="C484" s="14">
        <v>2200</v>
      </c>
      <c r="D484" s="14">
        <v>6642</v>
      </c>
      <c r="G484" s="775">
        <v>5630.84</v>
      </c>
      <c r="H484" s="14" t="s">
        <v>879</v>
      </c>
      <c r="I484" s="14" t="s">
        <v>880</v>
      </c>
      <c r="J484" s="14" t="s">
        <v>893</v>
      </c>
      <c r="K484" s="14" t="s">
        <v>890</v>
      </c>
      <c r="L484" s="772">
        <v>100</v>
      </c>
    </row>
    <row r="485" spans="1:12" x14ac:dyDescent="0.35">
      <c r="A485" s="14">
        <v>1110</v>
      </c>
      <c r="B485" s="14">
        <v>100</v>
      </c>
      <c r="C485" s="14">
        <v>1900</v>
      </c>
      <c r="D485" s="14">
        <v>6250</v>
      </c>
      <c r="G485" s="775">
        <v>1.17</v>
      </c>
      <c r="H485" s="14" t="s">
        <v>891</v>
      </c>
      <c r="I485" s="14" t="s">
        <v>880</v>
      </c>
      <c r="J485" s="14" t="s">
        <v>885</v>
      </c>
      <c r="K485" s="14" t="s">
        <v>882</v>
      </c>
      <c r="L485" s="772">
        <v>200</v>
      </c>
    </row>
    <row r="486" spans="1:12" x14ac:dyDescent="0.35">
      <c r="A486" s="14">
        <v>1000</v>
      </c>
      <c r="B486" s="14">
        <v>200</v>
      </c>
      <c r="C486" s="14">
        <v>1000</v>
      </c>
      <c r="D486" s="14">
        <v>6610</v>
      </c>
      <c r="G486" s="775">
        <v>143.44</v>
      </c>
      <c r="H486" s="14" t="s">
        <v>876</v>
      </c>
      <c r="I486" s="14" t="s">
        <v>884</v>
      </c>
      <c r="J486" s="14" t="s">
        <v>881</v>
      </c>
      <c r="K486" s="14" t="s">
        <v>890</v>
      </c>
      <c r="L486" s="772">
        <v>100</v>
      </c>
    </row>
    <row r="487" spans="1:12" x14ac:dyDescent="0.35">
      <c r="A487" s="14">
        <v>1000</v>
      </c>
      <c r="B487" s="14">
        <v>200</v>
      </c>
      <c r="C487" s="14">
        <v>1000</v>
      </c>
      <c r="D487" s="14">
        <v>6610</v>
      </c>
      <c r="G487" s="775">
        <v>67.38</v>
      </c>
      <c r="H487" s="14" t="s">
        <v>876</v>
      </c>
      <c r="I487" s="14" t="s">
        <v>884</v>
      </c>
      <c r="J487" s="14" t="s">
        <v>881</v>
      </c>
      <c r="K487" s="14" t="s">
        <v>890</v>
      </c>
      <c r="L487" s="772">
        <v>200</v>
      </c>
    </row>
    <row r="488" spans="1:12" x14ac:dyDescent="0.35">
      <c r="A488" s="14">
        <v>1000</v>
      </c>
      <c r="B488" s="14">
        <v>100</v>
      </c>
      <c r="C488" s="14">
        <v>2100</v>
      </c>
      <c r="D488" s="14">
        <v>6643</v>
      </c>
      <c r="G488" s="775">
        <v>285.43</v>
      </c>
      <c r="H488" s="14" t="s">
        <v>876</v>
      </c>
      <c r="I488" s="14" t="s">
        <v>880</v>
      </c>
      <c r="J488" s="14" t="s">
        <v>889</v>
      </c>
      <c r="K488" s="14" t="s">
        <v>890</v>
      </c>
      <c r="L488" s="772">
        <v>100</v>
      </c>
    </row>
    <row r="489" spans="1:12" x14ac:dyDescent="0.35">
      <c r="A489" s="14">
        <v>1000</v>
      </c>
      <c r="B489" s="14">
        <v>100</v>
      </c>
      <c r="C489" s="14">
        <v>2100</v>
      </c>
      <c r="D489" s="14">
        <v>6643</v>
      </c>
      <c r="G489" s="775">
        <v>285.44</v>
      </c>
      <c r="H489" s="14" t="s">
        <v>876</v>
      </c>
      <c r="I489" s="14" t="s">
        <v>880</v>
      </c>
      <c r="J489" s="14" t="s">
        <v>889</v>
      </c>
      <c r="K489" s="14" t="s">
        <v>890</v>
      </c>
      <c r="L489" s="772">
        <v>200</v>
      </c>
    </row>
    <row r="490" spans="1:12" x14ac:dyDescent="0.35">
      <c r="A490" s="14">
        <v>1110</v>
      </c>
      <c r="B490" s="14">
        <v>100</v>
      </c>
      <c r="C490" s="14">
        <v>2100</v>
      </c>
      <c r="D490" s="14">
        <v>6643</v>
      </c>
      <c r="G490" s="775">
        <v>225.01</v>
      </c>
      <c r="H490" s="14" t="s">
        <v>891</v>
      </c>
      <c r="I490" s="14" t="s">
        <v>880</v>
      </c>
      <c r="J490" s="14" t="s">
        <v>889</v>
      </c>
      <c r="K490" s="14" t="s">
        <v>890</v>
      </c>
      <c r="L490" s="772">
        <v>100</v>
      </c>
    </row>
    <row r="491" spans="1:12" x14ac:dyDescent="0.35">
      <c r="A491" s="14">
        <v>1110</v>
      </c>
      <c r="B491" s="14">
        <v>100</v>
      </c>
      <c r="C491" s="14">
        <v>2100</v>
      </c>
      <c r="D491" s="14">
        <v>6643</v>
      </c>
      <c r="G491" s="775">
        <v>1954.12</v>
      </c>
      <c r="H491" s="14" t="s">
        <v>891</v>
      </c>
      <c r="I491" s="14" t="s">
        <v>880</v>
      </c>
      <c r="J491" s="14" t="s">
        <v>889</v>
      </c>
      <c r="K491" s="14" t="s">
        <v>890</v>
      </c>
      <c r="L491" s="772">
        <v>200</v>
      </c>
    </row>
    <row r="492" spans="1:12" x14ac:dyDescent="0.35">
      <c r="A492" s="14">
        <v>1000</v>
      </c>
      <c r="B492" s="14">
        <v>200</v>
      </c>
      <c r="C492" s="14">
        <v>1000</v>
      </c>
      <c r="D492" s="14">
        <v>6642</v>
      </c>
      <c r="G492" s="775">
        <v>200</v>
      </c>
      <c r="H492" s="14" t="s">
        <v>876</v>
      </c>
      <c r="I492" s="14" t="s">
        <v>884</v>
      </c>
      <c r="J492" s="14" t="s">
        <v>881</v>
      </c>
      <c r="K492" s="14" t="s">
        <v>890</v>
      </c>
      <c r="L492" s="772">
        <v>200</v>
      </c>
    </row>
    <row r="493" spans="1:12" x14ac:dyDescent="0.35">
      <c r="A493" s="14">
        <v>1000</v>
      </c>
      <c r="B493" s="14">
        <v>200</v>
      </c>
      <c r="C493" s="14">
        <v>1000</v>
      </c>
      <c r="D493" s="14">
        <v>6643</v>
      </c>
      <c r="G493" s="775">
        <v>2000</v>
      </c>
      <c r="H493" s="14" t="s">
        <v>876</v>
      </c>
      <c r="I493" s="14" t="s">
        <v>884</v>
      </c>
      <c r="J493" s="14" t="s">
        <v>881</v>
      </c>
      <c r="K493" s="14" t="s">
        <v>890</v>
      </c>
      <c r="L493" s="772">
        <v>200</v>
      </c>
    </row>
    <row r="494" spans="1:12" x14ac:dyDescent="0.35">
      <c r="A494" s="14">
        <v>1000</v>
      </c>
      <c r="B494" s="14">
        <v>550</v>
      </c>
      <c r="C494" s="14">
        <v>1000</v>
      </c>
      <c r="D494" s="14">
        <v>6152</v>
      </c>
      <c r="G494" s="775">
        <v>16427</v>
      </c>
      <c r="H494" s="14" t="s">
        <v>876</v>
      </c>
      <c r="I494" s="14" t="s">
        <v>920</v>
      </c>
      <c r="J494" s="14" t="s">
        <v>881</v>
      </c>
      <c r="K494" s="14" t="s">
        <v>878</v>
      </c>
      <c r="L494" s="772">
        <v>100</v>
      </c>
    </row>
    <row r="495" spans="1:12" x14ac:dyDescent="0.35">
      <c r="A495" s="14">
        <v>1000</v>
      </c>
      <c r="B495" s="14">
        <v>100</v>
      </c>
      <c r="C495" s="14">
        <v>2400</v>
      </c>
      <c r="D495" s="14">
        <v>6650</v>
      </c>
      <c r="G495" s="775">
        <v>417.99</v>
      </c>
      <c r="H495" s="14" t="s">
        <v>876</v>
      </c>
      <c r="I495" s="14" t="s">
        <v>880</v>
      </c>
      <c r="J495" s="14" t="s">
        <v>909</v>
      </c>
      <c r="K495" s="14" t="s">
        <v>890</v>
      </c>
      <c r="L495" s="772">
        <v>100</v>
      </c>
    </row>
    <row r="496" spans="1:12" x14ac:dyDescent="0.35">
      <c r="A496" s="14">
        <v>1000</v>
      </c>
      <c r="B496" s="14">
        <v>100</v>
      </c>
      <c r="C496" s="14">
        <v>2500</v>
      </c>
      <c r="D496" s="14">
        <v>6650</v>
      </c>
      <c r="G496" s="775">
        <v>99.99</v>
      </c>
      <c r="H496" s="14" t="s">
        <v>876</v>
      </c>
      <c r="I496" s="14" t="s">
        <v>880</v>
      </c>
      <c r="J496" s="14" t="s">
        <v>913</v>
      </c>
      <c r="K496" s="14" t="s">
        <v>890</v>
      </c>
      <c r="L496" s="772">
        <v>100</v>
      </c>
    </row>
    <row r="497" spans="1:12" x14ac:dyDescent="0.35">
      <c r="A497" s="14">
        <v>1000</v>
      </c>
      <c r="B497" s="14">
        <v>550</v>
      </c>
      <c r="C497" s="14">
        <v>1000</v>
      </c>
      <c r="D497" s="14">
        <v>6221</v>
      </c>
      <c r="G497" s="775">
        <v>1018.61</v>
      </c>
      <c r="H497" s="14" t="s">
        <v>876</v>
      </c>
      <c r="I497" s="14" t="s">
        <v>920</v>
      </c>
      <c r="J497" s="14" t="s">
        <v>881</v>
      </c>
      <c r="K497" s="14" t="s">
        <v>882</v>
      </c>
      <c r="L497" s="772">
        <v>100</v>
      </c>
    </row>
    <row r="498" spans="1:12" x14ac:dyDescent="0.35">
      <c r="A498" s="14">
        <v>1471</v>
      </c>
      <c r="B498" s="14">
        <v>100</v>
      </c>
      <c r="C498" s="14">
        <v>2400</v>
      </c>
      <c r="D498" s="14">
        <v>6650</v>
      </c>
      <c r="G498" s="775">
        <v>706.01</v>
      </c>
      <c r="H498" s="14" t="s">
        <v>981</v>
      </c>
      <c r="I498" s="14" t="s">
        <v>880</v>
      </c>
      <c r="J498" s="14" t="s">
        <v>909</v>
      </c>
      <c r="K498" s="14" t="s">
        <v>890</v>
      </c>
      <c r="L498" s="772">
        <v>100</v>
      </c>
    </row>
    <row r="499" spans="1:12" x14ac:dyDescent="0.35">
      <c r="A499" s="14">
        <v>1000</v>
      </c>
      <c r="B499" s="14">
        <v>200</v>
      </c>
      <c r="C499" s="14">
        <v>2100</v>
      </c>
      <c r="D499" s="14">
        <v>6651</v>
      </c>
      <c r="G499" s="775">
        <v>899.56</v>
      </c>
      <c r="H499" s="14" t="s">
        <v>876</v>
      </c>
      <c r="I499" s="14" t="s">
        <v>884</v>
      </c>
      <c r="J499" s="14" t="s">
        <v>889</v>
      </c>
      <c r="K499" s="14" t="s">
        <v>890</v>
      </c>
      <c r="L499" s="772">
        <v>100</v>
      </c>
    </row>
    <row r="500" spans="1:12" x14ac:dyDescent="0.35">
      <c r="A500" s="14">
        <v>1471</v>
      </c>
      <c r="B500" s="14">
        <v>100</v>
      </c>
      <c r="C500" s="14">
        <v>2500</v>
      </c>
      <c r="D500" s="14">
        <v>6651</v>
      </c>
      <c r="G500" s="775">
        <v>5108.55</v>
      </c>
      <c r="H500" s="14" t="s">
        <v>981</v>
      </c>
      <c r="I500" s="14" t="s">
        <v>880</v>
      </c>
      <c r="J500" s="14" t="s">
        <v>913</v>
      </c>
      <c r="K500" s="14" t="s">
        <v>890</v>
      </c>
      <c r="L500" s="772">
        <v>100</v>
      </c>
    </row>
    <row r="501" spans="1:12" x14ac:dyDescent="0.35">
      <c r="A501" s="14">
        <v>1000</v>
      </c>
      <c r="B501" s="14">
        <v>100</v>
      </c>
      <c r="C501" s="14">
        <v>2400</v>
      </c>
      <c r="D501" s="14">
        <v>6810</v>
      </c>
      <c r="G501" s="775">
        <v>249.49</v>
      </c>
      <c r="H501" s="14" t="s">
        <v>876</v>
      </c>
      <c r="I501" s="14" t="s">
        <v>880</v>
      </c>
      <c r="J501" s="14" t="s">
        <v>909</v>
      </c>
      <c r="K501" s="14" t="s">
        <v>898</v>
      </c>
      <c r="L501" s="772">
        <v>100</v>
      </c>
    </row>
    <row r="502" spans="1:12" x14ac:dyDescent="0.35">
      <c r="A502" s="14">
        <v>1000</v>
      </c>
      <c r="B502" s="14">
        <v>100</v>
      </c>
      <c r="C502" s="14">
        <v>2400</v>
      </c>
      <c r="D502" s="14">
        <v>6699</v>
      </c>
      <c r="G502" s="775">
        <v>482.8</v>
      </c>
      <c r="H502" s="14" t="s">
        <v>876</v>
      </c>
      <c r="I502" s="14" t="s">
        <v>880</v>
      </c>
      <c r="J502" s="14" t="s">
        <v>909</v>
      </c>
      <c r="K502" s="14" t="s">
        <v>890</v>
      </c>
      <c r="L502" s="772">
        <v>100</v>
      </c>
    </row>
    <row r="503" spans="1:12" x14ac:dyDescent="0.35">
      <c r="A503" s="14">
        <v>1000</v>
      </c>
      <c r="B503" s="14">
        <v>100</v>
      </c>
      <c r="C503" s="14">
        <v>2400</v>
      </c>
      <c r="D503" s="14">
        <v>6699</v>
      </c>
      <c r="G503" s="775">
        <v>478.22</v>
      </c>
      <c r="H503" s="14" t="s">
        <v>876</v>
      </c>
      <c r="I503" s="14" t="s">
        <v>880</v>
      </c>
      <c r="J503" s="14" t="s">
        <v>909</v>
      </c>
      <c r="K503" s="14" t="s">
        <v>890</v>
      </c>
      <c r="L503" s="772">
        <v>200</v>
      </c>
    </row>
    <row r="504" spans="1:12" x14ac:dyDescent="0.35">
      <c r="A504" s="14">
        <v>1000</v>
      </c>
      <c r="B504" s="14">
        <v>550</v>
      </c>
      <c r="C504" s="14">
        <v>1000</v>
      </c>
      <c r="D504" s="14">
        <v>6222</v>
      </c>
      <c r="G504" s="775">
        <v>238.17</v>
      </c>
      <c r="H504" s="14" t="s">
        <v>876</v>
      </c>
      <c r="I504" s="14" t="s">
        <v>920</v>
      </c>
      <c r="J504" s="14" t="s">
        <v>881</v>
      </c>
      <c r="K504" s="14" t="s">
        <v>882</v>
      </c>
      <c r="L504" s="772">
        <v>100</v>
      </c>
    </row>
    <row r="505" spans="1:12" x14ac:dyDescent="0.35">
      <c r="A505" s="14">
        <v>1000</v>
      </c>
      <c r="B505" s="14">
        <v>550</v>
      </c>
      <c r="C505" s="14">
        <v>1000</v>
      </c>
      <c r="D505" s="14">
        <v>6230</v>
      </c>
      <c r="G505" s="775">
        <v>1991.22</v>
      </c>
      <c r="H505" s="14" t="s">
        <v>876</v>
      </c>
      <c r="I505" s="14" t="s">
        <v>920</v>
      </c>
      <c r="J505" s="14" t="s">
        <v>881</v>
      </c>
      <c r="K505" s="14" t="s">
        <v>882</v>
      </c>
      <c r="L505" s="772">
        <v>100</v>
      </c>
    </row>
    <row r="506" spans="1:12" x14ac:dyDescent="0.35">
      <c r="A506" s="14">
        <v>1000</v>
      </c>
      <c r="B506" s="14">
        <v>100</v>
      </c>
      <c r="C506" s="14">
        <v>2100</v>
      </c>
      <c r="D506" s="14">
        <v>6810</v>
      </c>
      <c r="G506" s="775">
        <v>30</v>
      </c>
      <c r="H506" s="14" t="s">
        <v>876</v>
      </c>
      <c r="I506" s="14" t="s">
        <v>880</v>
      </c>
      <c r="J506" s="14" t="s">
        <v>889</v>
      </c>
      <c r="K506" s="14" t="s">
        <v>898</v>
      </c>
      <c r="L506" s="772">
        <v>200</v>
      </c>
    </row>
    <row r="507" spans="1:12" x14ac:dyDescent="0.35">
      <c r="A507" s="14">
        <v>1000</v>
      </c>
      <c r="B507" s="14">
        <v>100</v>
      </c>
      <c r="C507" s="14">
        <v>2400</v>
      </c>
      <c r="D507" s="14">
        <v>6810</v>
      </c>
      <c r="G507" s="775">
        <v>304.08</v>
      </c>
      <c r="H507" s="14" t="s">
        <v>876</v>
      </c>
      <c r="I507" s="14" t="s">
        <v>880</v>
      </c>
      <c r="J507" s="14" t="s">
        <v>909</v>
      </c>
      <c r="K507" s="14" t="s">
        <v>898</v>
      </c>
      <c r="L507" s="772">
        <v>100</v>
      </c>
    </row>
    <row r="508" spans="1:12" x14ac:dyDescent="0.35">
      <c r="A508" s="14">
        <v>1000</v>
      </c>
      <c r="B508" s="14">
        <v>100</v>
      </c>
      <c r="C508" s="14">
        <v>2400</v>
      </c>
      <c r="D508" s="14">
        <v>6810</v>
      </c>
      <c r="G508" s="775">
        <v>38.619999999999997</v>
      </c>
      <c r="H508" s="14" t="s">
        <v>876</v>
      </c>
      <c r="I508" s="14" t="s">
        <v>880</v>
      </c>
      <c r="J508" s="14" t="s">
        <v>909</v>
      </c>
      <c r="K508" s="14" t="s">
        <v>898</v>
      </c>
      <c r="L508" s="772">
        <v>200</v>
      </c>
    </row>
    <row r="509" spans="1:12" x14ac:dyDescent="0.35">
      <c r="A509" s="14">
        <v>1000</v>
      </c>
      <c r="B509" s="14">
        <v>100</v>
      </c>
      <c r="C509" s="14">
        <v>2500</v>
      </c>
      <c r="D509" s="14">
        <v>6810</v>
      </c>
      <c r="G509" s="775">
        <v>55</v>
      </c>
      <c r="H509" s="14" t="s">
        <v>876</v>
      </c>
      <c r="I509" s="14" t="s">
        <v>880</v>
      </c>
      <c r="J509" s="14" t="s">
        <v>913</v>
      </c>
      <c r="K509" s="14" t="s">
        <v>898</v>
      </c>
      <c r="L509" s="772">
        <v>100</v>
      </c>
    </row>
    <row r="510" spans="1:12" x14ac:dyDescent="0.35">
      <c r="A510" s="14">
        <v>1000</v>
      </c>
      <c r="B510" s="14">
        <v>100</v>
      </c>
      <c r="C510" s="14">
        <v>2500</v>
      </c>
      <c r="D510" s="14">
        <v>6810</v>
      </c>
      <c r="G510" s="775">
        <v>8843.56</v>
      </c>
      <c r="H510" s="14" t="s">
        <v>876</v>
      </c>
      <c r="I510" s="14" t="s">
        <v>880</v>
      </c>
      <c r="J510" s="14" t="s">
        <v>913</v>
      </c>
      <c r="K510" s="14" t="s">
        <v>898</v>
      </c>
      <c r="L510" s="772">
        <v>100</v>
      </c>
    </row>
    <row r="511" spans="1:12" x14ac:dyDescent="0.35">
      <c r="A511" s="14">
        <v>1000</v>
      </c>
      <c r="B511" s="14">
        <v>100</v>
      </c>
      <c r="C511" s="14">
        <v>2500</v>
      </c>
      <c r="D511" s="14">
        <v>6810</v>
      </c>
      <c r="G511" s="775">
        <v>354.72</v>
      </c>
      <c r="H511" s="14" t="s">
        <v>876</v>
      </c>
      <c r="I511" s="14" t="s">
        <v>880</v>
      </c>
      <c r="J511" s="14" t="s">
        <v>913</v>
      </c>
      <c r="K511" s="14" t="s">
        <v>898</v>
      </c>
      <c r="L511" s="772">
        <v>200</v>
      </c>
    </row>
    <row r="512" spans="1:12" x14ac:dyDescent="0.35">
      <c r="A512" s="14">
        <v>1520</v>
      </c>
      <c r="B512" s="14">
        <v>100</v>
      </c>
      <c r="C512" s="14">
        <v>2900</v>
      </c>
      <c r="D512" s="14">
        <v>6250</v>
      </c>
      <c r="G512" s="775">
        <v>0.03</v>
      </c>
      <c r="H512" s="14" t="s">
        <v>983</v>
      </c>
      <c r="I512" s="14" t="s">
        <v>880</v>
      </c>
      <c r="J512" s="14" t="s">
        <v>925</v>
      </c>
      <c r="K512" s="14" t="s">
        <v>882</v>
      </c>
      <c r="L512" s="772">
        <v>200</v>
      </c>
    </row>
    <row r="513" spans="1:12" x14ac:dyDescent="0.35">
      <c r="A513" s="14">
        <v>1520</v>
      </c>
      <c r="B513" s="14">
        <v>100</v>
      </c>
      <c r="C513" s="14">
        <v>2900</v>
      </c>
      <c r="D513" s="14">
        <v>6330</v>
      </c>
      <c r="G513" s="775">
        <v>300</v>
      </c>
      <c r="H513" s="14" t="s">
        <v>983</v>
      </c>
      <c r="I513" s="14" t="s">
        <v>880</v>
      </c>
      <c r="J513" s="14" t="s">
        <v>925</v>
      </c>
      <c r="K513" s="14" t="s">
        <v>886</v>
      </c>
      <c r="L513" s="772">
        <v>200</v>
      </c>
    </row>
    <row r="514" spans="1:12" x14ac:dyDescent="0.35">
      <c r="A514" s="14">
        <v>1510</v>
      </c>
      <c r="B514" s="14">
        <v>100</v>
      </c>
      <c r="C514" s="14">
        <v>3100</v>
      </c>
      <c r="D514" s="14">
        <v>6810</v>
      </c>
      <c r="G514" s="775">
        <v>600</v>
      </c>
      <c r="H514" s="14" t="s">
        <v>983</v>
      </c>
      <c r="I514" s="14" t="s">
        <v>880</v>
      </c>
      <c r="J514" s="14" t="s">
        <v>929</v>
      </c>
      <c r="K514" s="14" t="s">
        <v>898</v>
      </c>
      <c r="L514" s="772">
        <v>100</v>
      </c>
    </row>
    <row r="515" spans="1:12" x14ac:dyDescent="0.35">
      <c r="A515" s="14">
        <v>1510</v>
      </c>
      <c r="B515" s="14">
        <v>100</v>
      </c>
      <c r="C515" s="14">
        <v>3100</v>
      </c>
      <c r="D515" s="14">
        <v>6810</v>
      </c>
      <c r="G515" s="775">
        <v>345</v>
      </c>
      <c r="H515" s="14" t="s">
        <v>983</v>
      </c>
      <c r="I515" s="14" t="s">
        <v>880</v>
      </c>
      <c r="J515" s="14" t="s">
        <v>929</v>
      </c>
      <c r="K515" s="14" t="s">
        <v>898</v>
      </c>
      <c r="L515" s="772">
        <v>200</v>
      </c>
    </row>
    <row r="516" spans="1:12" x14ac:dyDescent="0.35">
      <c r="A516" s="14">
        <v>1000</v>
      </c>
      <c r="B516" s="14">
        <v>550</v>
      </c>
      <c r="C516" s="14">
        <v>1000</v>
      </c>
      <c r="D516" s="14">
        <v>6235</v>
      </c>
      <c r="G516" s="775">
        <v>24.57</v>
      </c>
      <c r="H516" s="14" t="s">
        <v>876</v>
      </c>
      <c r="I516" s="14" t="s">
        <v>920</v>
      </c>
      <c r="J516" s="14" t="s">
        <v>881</v>
      </c>
      <c r="K516" s="14" t="s">
        <v>882</v>
      </c>
      <c r="L516" s="772">
        <v>100</v>
      </c>
    </row>
    <row r="517" spans="1:12" x14ac:dyDescent="0.35">
      <c r="A517" s="14">
        <v>1526</v>
      </c>
      <c r="B517" s="14">
        <v>100</v>
      </c>
      <c r="C517" s="14">
        <v>2100</v>
      </c>
      <c r="D517" s="14">
        <v>6830</v>
      </c>
      <c r="G517" s="775">
        <v>1925</v>
      </c>
      <c r="H517" s="14" t="s">
        <v>983</v>
      </c>
      <c r="I517" s="14" t="s">
        <v>880</v>
      </c>
      <c r="J517" s="14" t="s">
        <v>889</v>
      </c>
      <c r="K517" s="14" t="s">
        <v>914</v>
      </c>
      <c r="L517" s="772">
        <v>100</v>
      </c>
    </row>
    <row r="518" spans="1:12" x14ac:dyDescent="0.35">
      <c r="A518" s="14">
        <v>1000</v>
      </c>
      <c r="B518" s="14">
        <v>100</v>
      </c>
      <c r="C518" s="14">
        <v>2500</v>
      </c>
      <c r="D518" s="14">
        <v>6864</v>
      </c>
      <c r="G518" s="775">
        <v>-381.12</v>
      </c>
      <c r="H518" s="14" t="s">
        <v>876</v>
      </c>
      <c r="I518" s="14" t="s">
        <v>880</v>
      </c>
      <c r="J518" s="14" t="s">
        <v>913</v>
      </c>
      <c r="K518" s="14" t="s">
        <v>914</v>
      </c>
      <c r="L518" s="772">
        <v>100</v>
      </c>
    </row>
    <row r="519" spans="1:12" x14ac:dyDescent="0.35">
      <c r="A519" s="14">
        <v>1000</v>
      </c>
      <c r="B519" s="14">
        <v>100</v>
      </c>
      <c r="C519" s="14">
        <v>2500</v>
      </c>
      <c r="D519" s="14">
        <v>6864</v>
      </c>
      <c r="G519" s="775">
        <v>484.35</v>
      </c>
      <c r="H519" s="14" t="s">
        <v>876</v>
      </c>
      <c r="I519" s="14" t="s">
        <v>880</v>
      </c>
      <c r="J519" s="14" t="s">
        <v>913</v>
      </c>
      <c r="K519" s="14" t="s">
        <v>914</v>
      </c>
      <c r="L519" s="772">
        <v>200</v>
      </c>
    </row>
    <row r="520" spans="1:12" x14ac:dyDescent="0.35">
      <c r="A520" s="14">
        <v>1000</v>
      </c>
      <c r="B520" s="14">
        <v>100</v>
      </c>
      <c r="C520" s="14">
        <v>2500</v>
      </c>
      <c r="D520" s="14">
        <v>6850</v>
      </c>
      <c r="G520" s="775">
        <v>87.38</v>
      </c>
      <c r="H520" s="14" t="s">
        <v>876</v>
      </c>
      <c r="I520" s="14" t="s">
        <v>880</v>
      </c>
      <c r="J520" s="14" t="s">
        <v>913</v>
      </c>
      <c r="K520" s="14" t="s">
        <v>906</v>
      </c>
      <c r="L520" s="772">
        <v>100</v>
      </c>
    </row>
    <row r="521" spans="1:12" x14ac:dyDescent="0.35">
      <c r="A521" s="14">
        <v>1000</v>
      </c>
      <c r="B521" s="14">
        <v>550</v>
      </c>
      <c r="C521" s="14">
        <v>1000</v>
      </c>
      <c r="D521" s="14">
        <v>6250</v>
      </c>
      <c r="G521" s="775">
        <v>1.5</v>
      </c>
      <c r="H521" s="14" t="s">
        <v>876</v>
      </c>
      <c r="I521" s="14" t="s">
        <v>920</v>
      </c>
      <c r="J521" s="14" t="s">
        <v>881</v>
      </c>
      <c r="K521" s="14" t="s">
        <v>882</v>
      </c>
      <c r="L521" s="772">
        <v>100</v>
      </c>
    </row>
    <row r="522" spans="1:12" x14ac:dyDescent="0.35">
      <c r="A522" s="14">
        <v>1000</v>
      </c>
      <c r="B522" s="14">
        <v>100</v>
      </c>
      <c r="C522" s="14">
        <v>2200</v>
      </c>
      <c r="D522" s="14">
        <v>6890</v>
      </c>
      <c r="G522" s="775">
        <v>121.67</v>
      </c>
      <c r="H522" s="14" t="s">
        <v>876</v>
      </c>
      <c r="I522" s="14" t="s">
        <v>880</v>
      </c>
      <c r="J522" s="14" t="s">
        <v>893</v>
      </c>
      <c r="K522" s="14" t="s">
        <v>910</v>
      </c>
      <c r="L522" s="772">
        <v>200</v>
      </c>
    </row>
    <row r="523" spans="1:12" x14ac:dyDescent="0.35">
      <c r="A523" s="14">
        <v>1000</v>
      </c>
      <c r="B523" s="14">
        <v>100</v>
      </c>
      <c r="C523" s="14">
        <v>2500</v>
      </c>
      <c r="D523" s="14">
        <v>6890</v>
      </c>
      <c r="G523" s="775">
        <v>3474.1</v>
      </c>
      <c r="H523" s="14" t="s">
        <v>876</v>
      </c>
      <c r="I523" s="14" t="s">
        <v>880</v>
      </c>
      <c r="J523" s="14" t="s">
        <v>913</v>
      </c>
      <c r="K523" s="14" t="s">
        <v>910</v>
      </c>
      <c r="L523" s="772">
        <v>100</v>
      </c>
    </row>
    <row r="524" spans="1:12" x14ac:dyDescent="0.35">
      <c r="A524" s="763">
        <v>1000</v>
      </c>
      <c r="B524" s="763">
        <v>100</v>
      </c>
      <c r="C524" s="763" t="s">
        <v>20</v>
      </c>
      <c r="D524" s="763">
        <v>6910</v>
      </c>
      <c r="E524" s="763"/>
      <c r="F524" s="764"/>
      <c r="G524" s="776">
        <v>-4718.83</v>
      </c>
      <c r="H524" s="15" t="s">
        <v>876</v>
      </c>
      <c r="I524" s="15" t="s">
        <v>880</v>
      </c>
      <c r="J524" s="15"/>
      <c r="K524" s="15" t="s">
        <v>918</v>
      </c>
      <c r="L524" s="15">
        <v>100</v>
      </c>
    </row>
    <row r="525" spans="1:12" x14ac:dyDescent="0.35">
      <c r="A525" s="765">
        <v>1110</v>
      </c>
      <c r="B525" s="765">
        <v>100</v>
      </c>
      <c r="C525" s="765"/>
      <c r="D525" s="765">
        <v>6910</v>
      </c>
      <c r="E525" s="765"/>
      <c r="F525" s="765"/>
      <c r="G525" s="777">
        <v>1359.61</v>
      </c>
      <c r="H525" s="14" t="s">
        <v>891</v>
      </c>
      <c r="I525" s="14" t="s">
        <v>880</v>
      </c>
      <c r="J525" s="14" t="s">
        <v>457</v>
      </c>
      <c r="K525" s="14" t="s">
        <v>918</v>
      </c>
      <c r="L525" s="772">
        <v>100</v>
      </c>
    </row>
    <row r="526" spans="1:12" x14ac:dyDescent="0.35">
      <c r="A526" s="765">
        <v>1190</v>
      </c>
      <c r="B526" s="765">
        <v>100</v>
      </c>
      <c r="C526" s="765"/>
      <c r="D526" s="765">
        <v>6910</v>
      </c>
      <c r="E526" s="765"/>
      <c r="F526" s="765"/>
      <c r="G526" s="777">
        <v>921.1</v>
      </c>
      <c r="H526" s="14" t="s">
        <v>907</v>
      </c>
      <c r="I526" s="14" t="s">
        <v>880</v>
      </c>
      <c r="J526" s="14" t="s">
        <v>457</v>
      </c>
      <c r="K526" s="14" t="s">
        <v>918</v>
      </c>
      <c r="L526" s="772">
        <v>100</v>
      </c>
    </row>
    <row r="527" spans="1:12" x14ac:dyDescent="0.35">
      <c r="A527" s="14">
        <v>1220</v>
      </c>
      <c r="B527" s="14">
        <v>200</v>
      </c>
      <c r="D527" s="14">
        <v>6910</v>
      </c>
      <c r="G527" s="775">
        <v>2400</v>
      </c>
      <c r="H527" s="14" t="s">
        <v>919</v>
      </c>
      <c r="I527" s="14" t="s">
        <v>884</v>
      </c>
      <c r="K527" s="14" t="s">
        <v>918</v>
      </c>
      <c r="L527" s="772">
        <v>200</v>
      </c>
    </row>
    <row r="528" spans="1:12" x14ac:dyDescent="0.35">
      <c r="A528" s="14">
        <v>1222</v>
      </c>
      <c r="B528" s="14">
        <v>200</v>
      </c>
      <c r="D528" s="14">
        <v>6910</v>
      </c>
      <c r="G528" s="775">
        <v>38.119999999999997</v>
      </c>
      <c r="H528" s="14" t="s">
        <v>919</v>
      </c>
      <c r="I528" s="14" t="s">
        <v>884</v>
      </c>
      <c r="K528" s="14" t="s">
        <v>918</v>
      </c>
      <c r="L528" s="772">
        <v>200</v>
      </c>
    </row>
  </sheetData>
  <autoFilter ref="A1:L4342"/>
  <sortState ref="A2:Y528">
    <sortCondition ref="D2:D528"/>
    <sortCondition ref="A2:A528"/>
    <sortCondition ref="C2:C528"/>
    <sortCondition ref="B2:B528"/>
  </sortState>
  <conditionalFormatting sqref="E2:E65538">
    <cfRule type="expression" dxfId="9" priority="13" stopIfTrue="1">
      <formula>AND($E2&lt;&gt;#REF!,$E2&gt;0)</formula>
    </cfRule>
  </conditionalFormatting>
  <conditionalFormatting sqref="F2:F65538">
    <cfRule type="expression" dxfId="8" priority="12" stopIfTrue="1">
      <formula>AND($F2&lt;&gt;#REF!,$F2&gt;0)</formula>
    </cfRule>
  </conditionalFormatting>
  <conditionalFormatting sqref="H2:L37002">
    <cfRule type="containsBlanks" dxfId="7" priority="14" stopIfTrue="1">
      <formula>LEN(TRIM(H2))=0</formula>
    </cfRule>
  </conditionalFormatting>
  <conditionalFormatting sqref="I2:I37002">
    <cfRule type="expression" dxfId="6" priority="7" stopIfTrue="1">
      <formula>AND(LEFT($J2,4)="2700",OR(LEFT($I2,2)="Ba",LEFT($I2,2)="Re",LEFT($I2,3)="100",LEFT($I2,1)="2", LEFT($I2,1)="5", LEFT($I2,1)="6", LEFT($I2,3)="700", LEFT($I2,3)="800", LEFT($I2,3)="900"))</formula>
    </cfRule>
    <cfRule type="expression" dxfId="5" priority="8" stopIfTrue="1">
      <formula>AND(LEFT($H2,4)="1072",OR(LEFT($I2,3)="100",LEFT($I2,3)="200",LEFT($I2,3)="260",LEFT($I2,3)="270",LEFT($I2,3)="400", LEFT($I2,3)="430", LEFT($I2,1)="5", LEFT($I2,1)="6", LEFT($I2,3)="700", LEFT($I2,3)="800", LEFT($I2,3)="900"))</formula>
    </cfRule>
    <cfRule type="expression" dxfId="4" priority="11" stopIfTrue="1">
      <formula>AND(LEFT($H2,4)="1071",OR(LEFT($I2,3)="100",LEFT($I2,3)="200",LEFT($I2,3)="265",LEFT($I2,3)="270",LEFT($I2,3)="400", LEFT($I2,3)="435", LEFT($I2,1)="5", LEFT($I2,1)="6", LEFT($I2,3)="700", LEFT($I2,3)="800", LEFT($I2,3)="900"))</formula>
    </cfRule>
  </conditionalFormatting>
  <conditionalFormatting sqref="J2:J37002">
    <cfRule type="expression" dxfId="3" priority="1" stopIfTrue="1">
      <formula>AND(LEFT($K2,3)="682",OR(LEFT($J2,1)="B",LEFT($J2,1)="R",LEFT($J2,1)="1",LEFT($J2,2)="21",LEFT($J2,2)="22",LEFT($J2,2)="24",LEFT($J2,2)="25",LEFT($J2,2)="26",LEFT($J2,2)="27",LEFT($J2,2)="29",LEFT($J2,1)="3",LEFT($J2,1)="4",LEFT($J2,1)="5"))</formula>
    </cfRule>
    <cfRule type="expression" dxfId="2" priority="2" stopIfTrue="1">
      <formula>AND(LEFT($K2,3)="685",OR(LEFT($J2,1)="B",LEFT($J2,1)="R",LEFT($J2,1)="1",LEFT($J2,2)="21",LEFT($J2,2)="22",LEFT($J2,2)="23",LEFT($J2,2)="24",LEFT($J2,2)="26",LEFT($J2,2)="27",LEFT($J2,2)="29",LEFT($J2,1)="3",LEFT($J2,1)="4"))</formula>
    </cfRule>
  </conditionalFormatting>
  <conditionalFormatting sqref="K2:K37002">
    <cfRule type="expression" dxfId="1" priority="4" stopIfTrue="1">
      <formula>AND(OR(LEFT($H2,4)="1071",LEFT($H2,4)="1072"),OR(LEFT($K2,2)="13",LEFT($K2,2)="14",LEFT($K2,2)="16",LEFT($K2,2)="17",LEFT($K2,2)="18",LEFT($K2,2)="19",LEFT($K2,1)="O",LEFT($K2,1)="2",LEFT($K2,2)="31",LEFT($K2,2)="39",LEFT($K2,1)="4"))</formula>
    </cfRule>
    <cfRule type="expression" dxfId="0" priority="5" stopIfTrue="1">
      <formula>AND(LEFT($H2,3)="101",OR(LEFT($K2,2)="13",LEFT($K2,2)="14",LEFT($K2,2)="16",LEFT($K2,2)="17",LEFT($K2,2)="18",LEFT($K2,2)="19",LEFT($K2,1)="O",LEFT($K2,1)="2",LEFT($K2,1)="4"))</formula>
    </cfRule>
  </conditionalFormatting>
  <dataValidations count="5">
    <dataValidation type="list" allowBlank="1" showInputMessage="1" showErrorMessage="1" sqref="L2:L37002">
      <formula1>$Y$2:$Y$21</formula1>
    </dataValidation>
    <dataValidation type="list" allowBlank="1" showInputMessage="1" showErrorMessage="1" sqref="I2:I37002">
      <formula1>$N$2:$N$21</formula1>
    </dataValidation>
    <dataValidation type="list" allowBlank="1" showInputMessage="1" showErrorMessage="1" sqref="J2:J37002">
      <formula1>$O$2:$O$21</formula1>
    </dataValidation>
    <dataValidation type="list" allowBlank="1" showInputMessage="1" showErrorMessage="1" sqref="H2:H37002">
      <formula1>$M$3:$M$41</formula1>
    </dataValidation>
    <dataValidation type="list" allowBlank="1" showInputMessage="1" showErrorMessage="1" sqref="K2:K37002">
      <formula1>$P$2:$P$44</formula1>
    </dataValidation>
  </dataValidations>
  <hyperlinks>
    <hyperlink ref="M25:M27" location="ImpactAidandOtherFederalProjects" display="13__ Impact Aid"/>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39"/>
  <sheetViews>
    <sheetView showGridLines="0" workbookViewId="0"/>
  </sheetViews>
  <sheetFormatPr defaultColWidth="9.296875" defaultRowHeight="13" x14ac:dyDescent="0.3"/>
  <cols>
    <col min="1" max="1" width="27.296875" customWidth="1"/>
    <col min="2" max="2" width="24" customWidth="1"/>
    <col min="3" max="3" width="23.296875" customWidth="1"/>
    <col min="4" max="4" width="28.296875" customWidth="1"/>
    <col min="5" max="5" width="26.296875" customWidth="1"/>
  </cols>
  <sheetData>
    <row r="1" spans="1:5" ht="14.5" x14ac:dyDescent="0.35">
      <c r="A1" s="515" t="s">
        <v>986</v>
      </c>
      <c r="B1" s="515" t="s">
        <v>987</v>
      </c>
      <c r="C1" s="515" t="s">
        <v>988</v>
      </c>
      <c r="D1" s="515" t="s">
        <v>989</v>
      </c>
      <c r="E1" s="516" t="s">
        <v>990</v>
      </c>
    </row>
    <row r="2" spans="1:5" x14ac:dyDescent="0.3">
      <c r="A2" s="517" t="s">
        <v>991</v>
      </c>
      <c r="B2" s="517" t="s">
        <v>991</v>
      </c>
      <c r="C2" s="517">
        <v>1000</v>
      </c>
      <c r="D2" s="517">
        <v>6100</v>
      </c>
      <c r="E2" s="518">
        <f>SUMIFS('Accounting data'!$G$2:$G$37002,'Accounting data'!$J$2:$J$37002,"1*",'Accounting data'!$K$2:$K$37002,"61*")</f>
        <v>652491</v>
      </c>
    </row>
    <row r="3" spans="1:5" x14ac:dyDescent="0.3">
      <c r="A3" s="517" t="s">
        <v>992</v>
      </c>
      <c r="B3" s="517" t="s">
        <v>991</v>
      </c>
      <c r="C3" s="517">
        <v>1000</v>
      </c>
      <c r="D3" s="517">
        <v>6100</v>
      </c>
      <c r="E3" s="518">
        <f>SUMIFS('Accounting data'!$G$2:$G$37002,'Accounting data'!$H$2:$H$37002,"9999*",'Accounting data'!$J$2:$J$37002,"1*",'Accounting data'!$K$2:$K$37002,"61*")</f>
        <v>0</v>
      </c>
    </row>
    <row r="4" spans="1:5" x14ac:dyDescent="0.3">
      <c r="A4" s="517" t="s">
        <v>991</v>
      </c>
      <c r="B4" s="517" t="s">
        <v>993</v>
      </c>
      <c r="C4" s="517">
        <v>1000</v>
      </c>
      <c r="D4" s="517">
        <v>6100</v>
      </c>
      <c r="E4" s="518">
        <f>SUMIFS('Accounting data'!$G$2:$G$37002,'Accounting data'!$I$2:$I$37002,"7*",'Accounting data'!$J$2:$J$37002,"1*",'Accounting data'!$K$2:$K$37002,"61*")+SUMIFS('Accounting data'!$G$2:$G$37002,'Accounting data'!$I$2:$I$37002,"8*",'Accounting data'!$J$2:$J$37002,"1*",'Accounting data'!$K$2:$K$37002,"61*")+SUMIFS('Accounting data'!$G$2:$G$37002,'Accounting data'!$I$2:$I$37002,"9*",'Accounting data'!$J$2:$J$37002,"1*",'Accounting data'!$K$2:$K$37002,"61*")</f>
        <v>0</v>
      </c>
    </row>
    <row r="5" spans="1:5" x14ac:dyDescent="0.3">
      <c r="A5" s="519" t="s">
        <v>992</v>
      </c>
      <c r="B5" s="517" t="s">
        <v>993</v>
      </c>
      <c r="C5" s="517">
        <v>1000</v>
      </c>
      <c r="D5" s="517">
        <v>6100</v>
      </c>
      <c r="E5" s="518">
        <f>SUMIFS('Accounting data'!$G$2:$G$37002,'Accounting data'!$H$2:$H$37002,"9999*",'Accounting data'!$I$2:$I$37002,"7*",'Accounting data'!$J$2:$J$37002,"1*",'Accounting data'!$K$2:$K$37002,"61*")+SUMIFS('Accounting data'!$G$2:$G$37002,'Accounting data'!$H$2:$H$37002,"9999*",'Accounting data'!$I$2:$I$37002,"8*",'Accounting data'!$J$2:$J$37002,"1*",'Accounting data'!$K$2:$K$37002,"61*")+SUMIFS('Accounting data'!$G$2:$G$37002,'Accounting data'!$H$2:$H$37002,"9999*",'Accounting data'!$I$2:$I$37002,"9*",'Accounting data'!$J$2:$J$37002,"1*",'Accounting data'!$K$2:$K$37002,"61*")</f>
        <v>0</v>
      </c>
    </row>
    <row r="6" spans="1:5" x14ac:dyDescent="0.3">
      <c r="A6" s="517"/>
      <c r="B6" s="517"/>
      <c r="C6" s="517"/>
      <c r="D6" s="517"/>
      <c r="E6" s="518"/>
    </row>
    <row r="7" spans="1:5" x14ac:dyDescent="0.3">
      <c r="A7" s="517"/>
      <c r="B7" s="517"/>
      <c r="C7" s="517"/>
      <c r="D7" s="517"/>
      <c r="E7" s="518"/>
    </row>
    <row r="8" spans="1:5" ht="14.5" x14ac:dyDescent="0.35">
      <c r="A8" s="520" t="s">
        <v>994</v>
      </c>
      <c r="B8" s="520"/>
      <c r="C8" s="520"/>
      <c r="D8" s="520"/>
      <c r="E8" s="521">
        <f>(E2-E3-E4)+(E5+E6+E7)</f>
        <v>652491</v>
      </c>
    </row>
    <row r="9" spans="1:5" x14ac:dyDescent="0.3">
      <c r="A9" s="517" t="s">
        <v>991</v>
      </c>
      <c r="B9" s="517" t="s">
        <v>991</v>
      </c>
      <c r="C9" s="517">
        <v>2100</v>
      </c>
      <c r="D9" s="517">
        <v>6100</v>
      </c>
      <c r="E9" s="518">
        <f>SUMIFS('Accounting data'!$G$2:$G$37002,'Accounting data'!$J$2:$J$37002,"21*",'Accounting data'!$K$2:$K$37002,"61*")</f>
        <v>178879</v>
      </c>
    </row>
    <row r="10" spans="1:5" x14ac:dyDescent="0.3">
      <c r="A10" s="517" t="s">
        <v>992</v>
      </c>
      <c r="B10" s="517" t="s">
        <v>991</v>
      </c>
      <c r="C10" s="517">
        <v>2100</v>
      </c>
      <c r="D10" s="517">
        <v>6100</v>
      </c>
      <c r="E10" s="518">
        <f>SUMIFS('Accounting data'!$G$2:$G$37002,'Accounting data'!$H$2:$H$37002,"9999*",'Accounting data'!$J$2:$J$37002,"21*",'Accounting data'!$K$2:$K$37002,"61*")</f>
        <v>0</v>
      </c>
    </row>
    <row r="11" spans="1:5" x14ac:dyDescent="0.3">
      <c r="A11" s="517" t="s">
        <v>991</v>
      </c>
      <c r="B11" s="517" t="s">
        <v>993</v>
      </c>
      <c r="C11" s="517">
        <v>2100</v>
      </c>
      <c r="D11" s="517">
        <v>6100</v>
      </c>
      <c r="E11" s="518">
        <f>SUMIFS('Accounting data'!$G$2:$G$37002,'Accounting data'!$I$2:$I$37002,"7*",'Accounting data'!$J$2:$J$37002,"21*",'Accounting data'!$K$2:$K$37002,"61*")+SUMIFS('Accounting data'!$G$2:$G$37002,'Accounting data'!$I$2:$I$37002,"8*",'Accounting data'!$J$2:$J$37002,"21*",'Accounting data'!$K$2:$K$37002,"61*")+SUMIFS('Accounting data'!$G$2:$G$37002,'Accounting data'!$I$2:$I$37002,"9*",'Accounting data'!$J$2:$J$37002,"21*",'Accounting data'!$K$2:$K$37002,"61*")</f>
        <v>0</v>
      </c>
    </row>
    <row r="12" spans="1:5" x14ac:dyDescent="0.3">
      <c r="A12" s="519" t="s">
        <v>992</v>
      </c>
      <c r="B12" s="517" t="s">
        <v>993</v>
      </c>
      <c r="C12" s="517">
        <v>2100</v>
      </c>
      <c r="D12" s="517">
        <v>6100</v>
      </c>
      <c r="E12" s="518">
        <f>SUMIFS('Accounting data'!$G$2:$G$37002,'Accounting data'!$H$2:$H$37002,"9999*",'Accounting data'!$I$2:$I$37002,"7*",'Accounting data'!$J$2:$J$37002,"21*",'Accounting data'!$K$2:$K$37002,"61*")+SUMIFS('Accounting data'!$G$2:$G$37002,'Accounting data'!$H$2:$H$37002,"9999*",'Accounting data'!$I$2:$I$37002,"8*",'Accounting data'!$J$2:$J$37002,"21*",'Accounting data'!$K$2:$K$37002,"61*")+SUMIFS('Accounting data'!$G$2:$G$37002,'Accounting data'!$H$2:$H$37002,"9999*",'Accounting data'!$I$2:$I$37002,"9*",'Accounting data'!$J$2:$J$37002,"21*",'Accounting data'!$K$2:$K$37002,"61*")</f>
        <v>0</v>
      </c>
    </row>
    <row r="13" spans="1:5" x14ac:dyDescent="0.3">
      <c r="A13" s="517"/>
      <c r="B13" s="517"/>
      <c r="C13" s="517"/>
      <c r="D13" s="517"/>
      <c r="E13" s="518"/>
    </row>
    <row r="14" spans="1:5" x14ac:dyDescent="0.3">
      <c r="A14" s="517"/>
      <c r="B14" s="517"/>
      <c r="C14" s="517"/>
      <c r="D14" s="517"/>
      <c r="E14" s="518"/>
    </row>
    <row r="15" spans="1:5" ht="14.5" x14ac:dyDescent="0.35">
      <c r="A15" s="520" t="s">
        <v>995</v>
      </c>
      <c r="B15" s="520"/>
      <c r="C15" s="520"/>
      <c r="D15" s="520"/>
      <c r="E15" s="521">
        <f>(E9-E10-E11)+(E12+E13+E14)</f>
        <v>178879</v>
      </c>
    </row>
    <row r="16" spans="1:5" x14ac:dyDescent="0.3">
      <c r="A16" s="517" t="s">
        <v>991</v>
      </c>
      <c r="B16" s="517" t="s">
        <v>991</v>
      </c>
      <c r="C16" s="517">
        <v>2200</v>
      </c>
      <c r="D16" s="517">
        <v>6100</v>
      </c>
      <c r="E16" s="518">
        <f>SUMIFS('Accounting data'!$G$2:$G$37002,'Accounting data'!$J$2:$J$37002,"22*",'Accounting data'!$K$2:$K$37002,"61*")</f>
        <v>40743</v>
      </c>
    </row>
    <row r="17" spans="1:5" x14ac:dyDescent="0.3">
      <c r="A17" s="517" t="s">
        <v>992</v>
      </c>
      <c r="B17" s="517" t="s">
        <v>991</v>
      </c>
      <c r="C17" s="517">
        <v>2200</v>
      </c>
      <c r="D17" s="517">
        <v>6100</v>
      </c>
      <c r="E17" s="518">
        <f>SUMIFS('Accounting data'!$G$2:$G$37002,'Accounting data'!$H$2:$H$37002,"9999*",'Accounting data'!$J$2:$J$37002,"22*",'Accounting data'!$K$2:$K$37002,"61*")</f>
        <v>0</v>
      </c>
    </row>
    <row r="18" spans="1:5" x14ac:dyDescent="0.3">
      <c r="A18" s="517" t="s">
        <v>991</v>
      </c>
      <c r="B18" s="517" t="s">
        <v>993</v>
      </c>
      <c r="C18" s="517">
        <v>2200</v>
      </c>
      <c r="D18" s="517">
        <v>6100</v>
      </c>
      <c r="E18" s="518">
        <f>SUMIFS('Accounting data'!$G$2:$G$37002,'Accounting data'!$I$2:$I$37002,"7*",'Accounting data'!$J$2:$J$37002,"22*",'Accounting data'!$K$2:$K$37002,"61*")+SUMIFS('Accounting data'!$G$2:$G$37002,'Accounting data'!$I$2:$I$37002,"8*",'Accounting data'!$J$2:$J$37002,"22*",'Accounting data'!$K$2:$K$37002,"61*")+SUMIFS('Accounting data'!$G$2:$G$37002,'Accounting data'!$I$2:$I$37002,"9*",'Accounting data'!$J$2:$J$37002,"22*",'Accounting data'!$K$2:$K$37002,"61*")</f>
        <v>0</v>
      </c>
    </row>
    <row r="19" spans="1:5" x14ac:dyDescent="0.3">
      <c r="A19" s="519" t="s">
        <v>992</v>
      </c>
      <c r="B19" s="517" t="s">
        <v>993</v>
      </c>
      <c r="C19" s="517">
        <v>2200</v>
      </c>
      <c r="D19" s="517">
        <v>6100</v>
      </c>
      <c r="E19" s="518">
        <f>SUMIFS('Accounting data'!$G$2:$G$37002,'Accounting data'!$H$2:$H$37002,"9999*",'Accounting data'!$I$2:$I$37002,"7*",'Accounting data'!$J$2:$J$37002,"22*",'Accounting data'!$K$2:$K$37002,"61*")+SUMIFS('Accounting data'!$G$2:$G$37002,'Accounting data'!$H$2:$H$37002,"9999*",'Accounting data'!$I$2:$I$37002,"8*",'Accounting data'!$J$2:$J$37002,"22*",'Accounting data'!$K$2:$K$37002,"61*")+SUMIFS('Accounting data'!$G$2:$G$37002,'Accounting data'!$H$2:$H$37002,"9999*",'Accounting data'!$I$2:$I$37002,"9*",'Accounting data'!$J$2:$J$37002,"22*",'Accounting data'!$K$2:$K$37002,"61*")</f>
        <v>0</v>
      </c>
    </row>
    <row r="20" spans="1:5" x14ac:dyDescent="0.3">
      <c r="A20" s="517"/>
      <c r="B20" s="517"/>
      <c r="C20" s="517"/>
      <c r="D20" s="517"/>
      <c r="E20" s="518"/>
    </row>
    <row r="21" spans="1:5" x14ac:dyDescent="0.3">
      <c r="A21" s="517"/>
      <c r="B21" s="517"/>
      <c r="C21" s="517"/>
      <c r="D21" s="517"/>
      <c r="E21" s="518"/>
    </row>
    <row r="22" spans="1:5" ht="14.5" x14ac:dyDescent="0.35">
      <c r="A22" s="520" t="s">
        <v>996</v>
      </c>
      <c r="B22" s="520"/>
      <c r="C22" s="520"/>
      <c r="D22" s="520"/>
      <c r="E22" s="521">
        <f>(E16-E17-E18)+(E19+E20+E21)</f>
        <v>40743</v>
      </c>
    </row>
    <row r="23" spans="1:5" x14ac:dyDescent="0.3">
      <c r="A23" s="517" t="s">
        <v>991</v>
      </c>
      <c r="B23" s="517" t="s">
        <v>991</v>
      </c>
      <c r="C23" s="517">
        <v>2300</v>
      </c>
      <c r="D23" s="517">
        <v>6100</v>
      </c>
      <c r="E23" s="518">
        <f>SUMIFS('Accounting data'!$G$2:$G$37002,'Accounting data'!$J$2:$J$37002,"23*",'Accounting data'!$K$2:$K$37002,"61*")</f>
        <v>0</v>
      </c>
    </row>
    <row r="24" spans="1:5" x14ac:dyDescent="0.3">
      <c r="A24" s="517" t="s">
        <v>992</v>
      </c>
      <c r="B24" s="517" t="s">
        <v>991</v>
      </c>
      <c r="C24" s="517">
        <v>2300</v>
      </c>
      <c r="D24" s="517">
        <v>6100</v>
      </c>
      <c r="E24" s="518">
        <f>SUMIFS('Accounting data'!$G$2:$G$37002,'Accounting data'!$H$2:$H$37002,"9999*",'Accounting data'!$J$2:$J$37002,"23*",'Accounting data'!$K$2:$K$37002,"61*")</f>
        <v>0</v>
      </c>
    </row>
    <row r="25" spans="1:5" x14ac:dyDescent="0.3">
      <c r="A25" s="517" t="s">
        <v>991</v>
      </c>
      <c r="B25" s="517" t="s">
        <v>993</v>
      </c>
      <c r="C25" s="517">
        <v>2300</v>
      </c>
      <c r="D25" s="517">
        <v>6100</v>
      </c>
      <c r="E25" s="518">
        <f>SUMIFS('Accounting data'!$G$2:$G$37002,'Accounting data'!$I$2:$I$37002,"7*",'Accounting data'!$J$2:$J$37002,"23*",'Accounting data'!$K$2:$K$37002,"61*")+SUMIFS('Accounting data'!$G$2:$G$37002,'Accounting data'!$I$2:$I$37002,"8*",'Accounting data'!$J$2:$J$37002,"23*",'Accounting data'!$K$2:$K$37002,"61*")+SUMIFS('Accounting data'!$G$2:$G$37002,'Accounting data'!$I$2:$I$37002,"9*",'Accounting data'!$J$2:$J$37002,"23*",'Accounting data'!$K$2:$K$37002,"61*")</f>
        <v>0</v>
      </c>
    </row>
    <row r="26" spans="1:5" x14ac:dyDescent="0.3">
      <c r="A26" s="519" t="s">
        <v>992</v>
      </c>
      <c r="B26" s="517" t="s">
        <v>993</v>
      </c>
      <c r="C26" s="517">
        <v>2300</v>
      </c>
      <c r="D26" s="517">
        <v>6100</v>
      </c>
      <c r="E26" s="518">
        <f>SUMIFS('Accounting data'!$G$2:$G$37002,'Accounting data'!$H$2:$H$37002,"9999*",'Accounting data'!$I$2:$I$37002,"7*",'Accounting data'!$J$2:$J$37002,"23*",'Accounting data'!$K$2:$K$37002,"61*")+SUMIFS('Accounting data'!$G$2:$G$37002,'Accounting data'!$H$2:$H$37002,"9999*",'Accounting data'!$I$2:$I$37002,"8*",'Accounting data'!$J$2:$J$37002,"23*",'Accounting data'!$K$2:$K$37002,"61*")+SUMIFS('Accounting data'!$G$2:$G$37002,'Accounting data'!$H$2:$H$37002,"9999*",'Accounting data'!$I$2:$I$37002,"9*",'Accounting data'!$J$2:$J$37002,"23*",'Accounting data'!$K$2:$K$37002,"61*")</f>
        <v>0</v>
      </c>
    </row>
    <row r="27" spans="1:5" x14ac:dyDescent="0.3">
      <c r="A27" s="517"/>
      <c r="B27" s="517"/>
      <c r="C27" s="517"/>
      <c r="D27" s="517"/>
      <c r="E27" s="518"/>
    </row>
    <row r="28" spans="1:5" x14ac:dyDescent="0.3">
      <c r="A28" s="517"/>
      <c r="B28" s="517"/>
      <c r="C28" s="517"/>
      <c r="D28" s="517"/>
      <c r="E28" s="518"/>
    </row>
    <row r="29" spans="1:5" x14ac:dyDescent="0.3">
      <c r="A29" s="520" t="s">
        <v>997</v>
      </c>
      <c r="B29" s="520"/>
      <c r="C29" s="520"/>
      <c r="D29" s="520"/>
      <c r="E29" s="522">
        <f>(E23-E24-E25)+(E26+E27+E28)</f>
        <v>0</v>
      </c>
    </row>
    <row r="30" spans="1:5" x14ac:dyDescent="0.3">
      <c r="A30" s="517" t="s">
        <v>991</v>
      </c>
      <c r="B30" s="517" t="s">
        <v>991</v>
      </c>
      <c r="C30" s="517">
        <v>2400</v>
      </c>
      <c r="D30" s="517">
        <v>6100</v>
      </c>
      <c r="E30" s="518">
        <f>SUMIFS('Accounting data'!$G$2:$G$37002,'Accounting data'!$J$2:$J$37002,"24*",'Accounting data'!$K$2:$K$37002,"61*")</f>
        <v>323413</v>
      </c>
    </row>
    <row r="31" spans="1:5" x14ac:dyDescent="0.3">
      <c r="A31" s="517" t="s">
        <v>992</v>
      </c>
      <c r="B31" s="517" t="s">
        <v>991</v>
      </c>
      <c r="C31" s="517">
        <v>2400</v>
      </c>
      <c r="D31" s="517">
        <v>6100</v>
      </c>
      <c r="E31" s="518">
        <f>SUMIFS('Accounting data'!$G$2:$G$37002,'Accounting data'!$H$2:$H$37002,"9999*",'Accounting data'!$J$2:$J$37002,"24*",'Accounting data'!$K$2:$K$37002,"61*")</f>
        <v>0</v>
      </c>
    </row>
    <row r="32" spans="1:5" x14ac:dyDescent="0.3">
      <c r="A32" s="517" t="s">
        <v>991</v>
      </c>
      <c r="B32" s="517" t="s">
        <v>993</v>
      </c>
      <c r="C32" s="517">
        <v>2400</v>
      </c>
      <c r="D32" s="517">
        <v>6100</v>
      </c>
      <c r="E32" s="518">
        <f>SUMIFS('Accounting data'!$G$2:$G$37002,'Accounting data'!$I$2:$I$37002,"7*",'Accounting data'!$J$2:$J$37002,"24*",'Accounting data'!$K$2:$K$37002,"61*")+SUMIFS('Accounting data'!$G$2:$G$37002,'Accounting data'!$I$2:$I$37002,"8*",'Accounting data'!$J$2:$J$37002,"24*",'Accounting data'!$K$2:$K$37002,"61*")+SUMIFS('Accounting data'!$G$2:$G$37002,'Accounting data'!$I$2:$I$37002,"9*",'Accounting data'!$J$2:$J$37002,"24*",'Accounting data'!$K$2:$K$37002,"61*")</f>
        <v>0</v>
      </c>
    </row>
    <row r="33" spans="1:5" x14ac:dyDescent="0.3">
      <c r="A33" s="519" t="s">
        <v>992</v>
      </c>
      <c r="B33" s="517" t="s">
        <v>993</v>
      </c>
      <c r="C33" s="517">
        <v>2400</v>
      </c>
      <c r="D33" s="517">
        <v>6100</v>
      </c>
      <c r="E33" s="518">
        <f>SUMIFS('Accounting data'!$G$2:$G$37002,'Accounting data'!$H$2:$H$37002,"9999*",'Accounting data'!$I$2:$I$37002,"7*",'Accounting data'!$J$2:$J$37002,"24*",'Accounting data'!$K$2:$K$37002,"61*")+SUMIFS('Accounting data'!$G$2:$G$37002,'Accounting data'!$H$2:$H$37002,"9999*",'Accounting data'!$I$2:$I$37002,"8*",'Accounting data'!$J$2:$J$37002,"24*",'Accounting data'!$K$2:$K$37002,"61*")+SUMIFS('Accounting data'!$G$2:$G$37002,'Accounting data'!$H$2:$H$37002,"9999*",'Accounting data'!$I$2:$I$37002,"9*",'Accounting data'!$J$2:$J$37002,"24*",'Accounting data'!$K$2:$K$37002,"61*")</f>
        <v>0</v>
      </c>
    </row>
    <row r="34" spans="1:5" x14ac:dyDescent="0.3">
      <c r="A34" s="517"/>
      <c r="B34" s="517"/>
      <c r="C34" s="517"/>
      <c r="D34" s="517"/>
      <c r="E34" s="518"/>
    </row>
    <row r="35" spans="1:5" x14ac:dyDescent="0.3">
      <c r="A35" s="517"/>
      <c r="B35" s="517"/>
      <c r="C35" s="517"/>
      <c r="D35" s="517"/>
      <c r="E35" s="518"/>
    </row>
    <row r="36" spans="1:5" ht="14.5" x14ac:dyDescent="0.35">
      <c r="A36" s="520" t="s">
        <v>998</v>
      </c>
      <c r="B36" s="520"/>
      <c r="C36" s="520"/>
      <c r="D36" s="520"/>
      <c r="E36" s="521">
        <f>(E30-E31-E32)+(E33+E34+E35)</f>
        <v>323413</v>
      </c>
    </row>
    <row r="37" spans="1:5" x14ac:dyDescent="0.3">
      <c r="A37" s="517" t="s">
        <v>991</v>
      </c>
      <c r="B37" s="517" t="s">
        <v>991</v>
      </c>
      <c r="C37" s="517">
        <v>2500</v>
      </c>
      <c r="D37" s="517">
        <v>6100</v>
      </c>
      <c r="E37" s="518">
        <f>SUMIFS('Accounting data'!$G$2:$G$37002,'Accounting data'!$J$2:$J$37002,"25*",'Accounting data'!$K$2:$K$37002,"61*")</f>
        <v>38412</v>
      </c>
    </row>
    <row r="38" spans="1:5" x14ac:dyDescent="0.3">
      <c r="A38" s="517" t="s">
        <v>992</v>
      </c>
      <c r="B38" s="517" t="s">
        <v>991</v>
      </c>
      <c r="C38" s="517">
        <v>2500</v>
      </c>
      <c r="D38" s="517">
        <v>6100</v>
      </c>
      <c r="E38" s="518">
        <f>SUMIFS('Accounting data'!$G$2:$G$37002,'Accounting data'!$H$2:$H$37002,"9999*",'Accounting data'!$J$2:$J$37002,"25*",'Accounting data'!$K$2:$K$37002,"61*")</f>
        <v>0</v>
      </c>
    </row>
    <row r="39" spans="1:5" x14ac:dyDescent="0.3">
      <c r="A39" s="517" t="s">
        <v>991</v>
      </c>
      <c r="B39" s="517" t="s">
        <v>993</v>
      </c>
      <c r="C39" s="517">
        <v>2500</v>
      </c>
      <c r="D39" s="517">
        <v>6100</v>
      </c>
      <c r="E39" s="518">
        <f>SUMIFS('Accounting data'!$G$2:$G$37002,'Accounting data'!$I$2:$I$37002,"7*",'Accounting data'!$J$2:$J$37002,"25*",'Accounting data'!$K$2:$K$37002,"61*")+SUMIFS('Accounting data'!$G$2:$G$37002,'Accounting data'!$I$2:$I$37002,"8*",'Accounting data'!$J$2:$J$37002,"25*",'Accounting data'!$K$2:$K$37002,"61*")+SUMIFS('Accounting data'!$G$2:$G$37002,'Accounting data'!$I$2:$I$37002,"9*",'Accounting data'!$J$2:$J$37002,"25*",'Accounting data'!$K$2:$K$37002,"61*")</f>
        <v>0</v>
      </c>
    </row>
    <row r="40" spans="1:5" x14ac:dyDescent="0.3">
      <c r="A40" s="519" t="s">
        <v>992</v>
      </c>
      <c r="B40" s="517" t="s">
        <v>993</v>
      </c>
      <c r="C40" s="517">
        <v>2500</v>
      </c>
      <c r="D40" s="517">
        <v>6100</v>
      </c>
      <c r="E40" s="518">
        <f>SUMIFS('Accounting data'!$G$2:$G$37002,'Accounting data'!$H$2:$H$37002,"9999*",'Accounting data'!$I$2:$I$37002,"7*",'Accounting data'!$J$2:$J$37002,"25*",'Accounting data'!$K$2:$K$37002,"61*")+SUMIFS('Accounting data'!$G$2:$G$37002,'Accounting data'!$H$2:$H$37002,"9999*",'Accounting data'!$I$2:$I$37002,"8*",'Accounting data'!$J$2:$J$37002,"25*",'Accounting data'!$K$2:$K$37002,"61*")+SUMIFS('Accounting data'!$G$2:$G$37002,'Accounting data'!$H$2:$H$37002,"9999*",'Accounting data'!$I$2:$I$37002,"9*",'Accounting data'!$J$2:$J$37002,"25*",'Accounting data'!$K$2:$K$37002,"61*")</f>
        <v>0</v>
      </c>
    </row>
    <row r="41" spans="1:5" x14ac:dyDescent="0.3">
      <c r="A41" s="517"/>
      <c r="B41" s="517"/>
      <c r="C41" s="517"/>
      <c r="D41" s="517"/>
      <c r="E41" s="518"/>
    </row>
    <row r="42" spans="1:5" x14ac:dyDescent="0.3">
      <c r="A42" s="517"/>
      <c r="B42" s="517"/>
      <c r="C42" s="517"/>
      <c r="D42" s="517"/>
      <c r="E42" s="518"/>
    </row>
    <row r="43" spans="1:5" ht="14.5" x14ac:dyDescent="0.35">
      <c r="A43" s="520" t="s">
        <v>999</v>
      </c>
      <c r="B43" s="520"/>
      <c r="C43" s="520"/>
      <c r="D43" s="520"/>
      <c r="E43" s="521">
        <f>(E37-E38-E39)+(E40+E41+E42)</f>
        <v>38412</v>
      </c>
    </row>
    <row r="44" spans="1:5" x14ac:dyDescent="0.3">
      <c r="A44" s="517" t="s">
        <v>991</v>
      </c>
      <c r="B44" s="517" t="s">
        <v>991</v>
      </c>
      <c r="C44" s="517">
        <v>2900</v>
      </c>
      <c r="D44" s="517">
        <v>6100</v>
      </c>
      <c r="E44" s="518">
        <f>SUMIFS('Accounting data'!$G$2:$G$37002,'Accounting data'!$J$2:$J$37002,"29*",'Accounting data'!$K$2:$K$37002,"61*")</f>
        <v>600</v>
      </c>
    </row>
    <row r="45" spans="1:5" x14ac:dyDescent="0.3">
      <c r="A45" s="517" t="s">
        <v>992</v>
      </c>
      <c r="B45" s="517" t="s">
        <v>991</v>
      </c>
      <c r="C45" s="517">
        <v>2900</v>
      </c>
      <c r="D45" s="517">
        <v>6100</v>
      </c>
      <c r="E45" s="518">
        <f>SUMIFS('Accounting data'!$G$2:$G$37002,'Accounting data'!$H$2:$H$37002,"9999*",'Accounting data'!$J$2:$J$37002,"29*",'Accounting data'!$K$2:$K$37002,"61*")</f>
        <v>0</v>
      </c>
    </row>
    <row r="46" spans="1:5" x14ac:dyDescent="0.3">
      <c r="A46" s="517" t="s">
        <v>991</v>
      </c>
      <c r="B46" s="517" t="s">
        <v>993</v>
      </c>
      <c r="C46" s="517">
        <v>2900</v>
      </c>
      <c r="D46" s="517">
        <v>6100</v>
      </c>
      <c r="E46" s="518">
        <f>SUMIFS('Accounting data'!$G$2:$G$37002,'Accounting data'!$I$2:$I$37002,"7*",'Accounting data'!$J$2:$J$37002,"29*",'Accounting data'!$K$2:$K$37002,"61*")+SUMIFS('Accounting data'!$G$2:$G$37002,'Accounting data'!$I$2:$I$37002,"8*",'Accounting data'!$J$2:$J$37002,"29*",'Accounting data'!$K$2:$K$37002,"61*")+SUMIFS('Accounting data'!$G$2:$G$37002,'Accounting data'!$I$2:$I$37002,"9*",'Accounting data'!$J$2:$J$37002,"29*",'Accounting data'!$K$2:$K$37002,"61*")</f>
        <v>0</v>
      </c>
    </row>
    <row r="47" spans="1:5" x14ac:dyDescent="0.3">
      <c r="A47" s="519" t="s">
        <v>992</v>
      </c>
      <c r="B47" s="517" t="s">
        <v>993</v>
      </c>
      <c r="C47" s="517">
        <v>2900</v>
      </c>
      <c r="D47" s="517">
        <v>6100</v>
      </c>
      <c r="E47" s="518">
        <f>SUMIFS('Accounting data'!$G$2:$G$37002,'Accounting data'!$H$2:$H$37002,"9999*",'Accounting data'!$I$2:$I$37002,"7*",'Accounting data'!$J$2:$J$37002,"29*",'Accounting data'!$K$2:$K$37002,"61*")+SUMIFS('Accounting data'!$G$2:$G$37002,'Accounting data'!$H$2:$H$37002,"9999*",'Accounting data'!$I$2:$I$37002,"8*",'Accounting data'!$J$2:$J$37002,"29*",'Accounting data'!$K$2:$K$37002,"61*")+SUMIFS('Accounting data'!$G$2:$G$37002,'Accounting data'!$H$2:$H$37002,"9999*",'Accounting data'!$I$2:$I$37002,"9*",'Accounting data'!$J$2:$J$37002,"29*",'Accounting data'!$K$2:$K$37002,"61*")</f>
        <v>0</v>
      </c>
    </row>
    <row r="50" spans="1:5" ht="14.5" x14ac:dyDescent="0.35">
      <c r="A50" s="520" t="s">
        <v>1000</v>
      </c>
      <c r="B50" s="520"/>
      <c r="C50" s="520"/>
      <c r="D50" s="520"/>
      <c r="E50" s="521">
        <f>(E44-E45-E46)+(E47+E48+E49)</f>
        <v>600</v>
      </c>
    </row>
    <row r="51" spans="1:5" x14ac:dyDescent="0.3">
      <c r="A51" s="517" t="s">
        <v>991</v>
      </c>
      <c r="B51" s="517" t="s">
        <v>991</v>
      </c>
      <c r="C51" s="517">
        <v>2600</v>
      </c>
      <c r="D51" s="517">
        <v>6100</v>
      </c>
      <c r="E51" s="518">
        <f>SUMIFS('Accounting data'!$G$2:$G$37002,'Accounting data'!$J$2:$J$37002,"26*",'Accounting data'!$K$2:$K$37002,"61*")</f>
        <v>142883</v>
      </c>
    </row>
    <row r="52" spans="1:5" x14ac:dyDescent="0.3">
      <c r="A52" s="517" t="s">
        <v>992</v>
      </c>
      <c r="B52" s="517" t="s">
        <v>991</v>
      </c>
      <c r="C52" s="517">
        <v>2600</v>
      </c>
      <c r="D52" s="517">
        <v>6100</v>
      </c>
      <c r="E52" s="518">
        <f>SUMIFS('Accounting data'!$G$2:$G$37002,'Accounting data'!$H$2:$H$37002,"9999*",'Accounting data'!$J$2:$J$37002,"26*",'Accounting data'!$K$2:$K$37002,"61*")</f>
        <v>0</v>
      </c>
    </row>
    <row r="53" spans="1:5" x14ac:dyDescent="0.3">
      <c r="A53" s="517" t="s">
        <v>991</v>
      </c>
      <c r="B53" s="517" t="s">
        <v>993</v>
      </c>
      <c r="C53" s="517">
        <v>2600</v>
      </c>
      <c r="D53" s="517">
        <v>6100</v>
      </c>
      <c r="E53" s="518">
        <f>SUMIFS('Accounting data'!$G$2:$G$37002,'Accounting data'!$I$2:$I$37002,"7*",'Accounting data'!$J$2:$J$37002,"26*",'Accounting data'!$K$2:$K$37002,"61*")+SUMIFS('Accounting data'!$G$2:$G$37002,'Accounting data'!$I$2:$I$37002,"8*",'Accounting data'!$J$2:$J$37002,"26*",'Accounting data'!$K$2:$K$37002,"61*")+SUMIFS('Accounting data'!$G$2:$G$37002,'Accounting data'!$I$2:$I$37002,"9*",'Accounting data'!$J$2:$J$37002,"26*",'Accounting data'!$K$2:$K$37002,"61*")</f>
        <v>0</v>
      </c>
    </row>
    <row r="54" spans="1:5" x14ac:dyDescent="0.3">
      <c r="A54" s="519" t="s">
        <v>992</v>
      </c>
      <c r="B54" s="517" t="s">
        <v>993</v>
      </c>
      <c r="C54" s="517">
        <v>2600</v>
      </c>
      <c r="D54" s="517">
        <v>6100</v>
      </c>
      <c r="E54" s="518">
        <f>SUMIFS('Accounting data'!$G$2:$G$37002,'Accounting data'!$H$2:$H$37002,"9999*",'Accounting data'!$I$2:$I$37002,"7*",'Accounting data'!$J$2:$J$37002,"26*",'Accounting data'!$K$2:$K$37002,"61*")+SUMIFS('Accounting data'!$G$2:$G$37002,'Accounting data'!$H$2:$H$37002,"9999*",'Accounting data'!$I$2:$I$37002,"8*",'Accounting data'!$J$2:$J$37002,"26*",'Accounting data'!$K$2:$K$37002,"61*")+SUMIFS('Accounting data'!$G$2:$G$37002,'Accounting data'!$H$2:$H$37002,"9999*",'Accounting data'!$I$2:$I$37002,"9*",'Accounting data'!$J$2:$J$37002,"26*",'Accounting data'!$K$2:$K$37002,"61*")</f>
        <v>0</v>
      </c>
    </row>
    <row r="55" spans="1:5" x14ac:dyDescent="0.3">
      <c r="A55" s="517"/>
      <c r="B55" s="517"/>
      <c r="C55" s="517"/>
      <c r="D55" s="517"/>
      <c r="E55" s="518"/>
    </row>
    <row r="56" spans="1:5" x14ac:dyDescent="0.3">
      <c r="A56" s="517"/>
      <c r="B56" s="517"/>
      <c r="C56" s="517"/>
      <c r="D56" s="517"/>
      <c r="E56" s="518"/>
    </row>
    <row r="57" spans="1:5" ht="14.5" x14ac:dyDescent="0.35">
      <c r="A57" s="520" t="s">
        <v>1001</v>
      </c>
      <c r="B57" s="520"/>
      <c r="C57" s="520"/>
      <c r="D57" s="520"/>
      <c r="E57" s="521">
        <f>(E51-E52-E53)+(E54+E55+E56)</f>
        <v>142883</v>
      </c>
    </row>
    <row r="58" spans="1:5" x14ac:dyDescent="0.3">
      <c r="A58" s="517" t="s">
        <v>991</v>
      </c>
      <c r="B58" s="517" t="s">
        <v>991</v>
      </c>
      <c r="C58" s="517">
        <v>2700</v>
      </c>
      <c r="D58" s="517">
        <v>6100</v>
      </c>
      <c r="E58" s="518">
        <f>SUMIFS('Accounting data'!$G$2:$G$37002,'Accounting data'!$J$2:$J$37002,"27*",'Accounting data'!$K$2:$K$37002,"61*")</f>
        <v>2629</v>
      </c>
    </row>
    <row r="59" spans="1:5" x14ac:dyDescent="0.3">
      <c r="A59" s="517" t="s">
        <v>992</v>
      </c>
      <c r="B59" s="517" t="s">
        <v>991</v>
      </c>
      <c r="C59" s="517">
        <v>2700</v>
      </c>
      <c r="D59" s="517">
        <v>6100</v>
      </c>
      <c r="E59" s="518">
        <f>SUMIFS('Accounting data'!$G$2:$G$37002,'Accounting data'!$H$2:$H$37002,"9999*",'Accounting data'!$J$2:$J$37002,"27*",'Accounting data'!$K$2:$K$37002,"61*")</f>
        <v>0</v>
      </c>
    </row>
    <row r="60" spans="1:5" x14ac:dyDescent="0.3">
      <c r="A60" s="517" t="s">
        <v>991</v>
      </c>
      <c r="B60" s="517" t="s">
        <v>993</v>
      </c>
      <c r="C60" s="517">
        <v>2700</v>
      </c>
      <c r="D60" s="517">
        <v>6100</v>
      </c>
      <c r="E60" s="518">
        <f>SUMIFS('Accounting data'!$G$2:$G$37002,'Accounting data'!$I$2:$I$37002,"7*",'Accounting data'!$J$2:$J$37002,"27*",'Accounting data'!$K$2:$K$37002,"61*")+SUMIFS('Accounting data'!$G$2:$G$37002,'Accounting data'!$I$2:$I$37002,"8*",'Accounting data'!$J$2:$J$37002,"27*",'Accounting data'!$K$2:$K$37002,"61*")+SUMIFS('Accounting data'!$G$2:$G$37002,'Accounting data'!$I$2:$I$37002,"9*",'Accounting data'!$J$2:$J$37002,"27*",'Accounting data'!$K$2:$K$37002,"61*")</f>
        <v>0</v>
      </c>
    </row>
    <row r="61" spans="1:5" x14ac:dyDescent="0.3">
      <c r="A61" s="519" t="s">
        <v>992</v>
      </c>
      <c r="B61" s="517" t="s">
        <v>993</v>
      </c>
      <c r="C61" s="517">
        <v>2700</v>
      </c>
      <c r="D61" s="517">
        <v>6100</v>
      </c>
      <c r="E61" s="518">
        <f>SUMIFS('Accounting data'!$G$2:$G$37002,'Accounting data'!$H$2:$H$37002,"9999*",'Accounting data'!$I$2:$I$37002,"7*",'Accounting data'!$J$2:$J$37002,"27*",'Accounting data'!$K$2:$K$37002,"61*")+SUMIFS('Accounting data'!$G$2:$G$37002,'Accounting data'!$H$2:$H$37002,"9999*",'Accounting data'!$I$2:$I$37002,"8*",'Accounting data'!$J$2:$J$37002,"27*",'Accounting data'!$K$2:$K$37002,"61*")+SUMIFS('Accounting data'!$G$2:$G$37002,'Accounting data'!$H$2:$H$37002,"9999*",'Accounting data'!$I$2:$I$37002,"9*",'Accounting data'!$J$2:$J$37002,"27*",'Accounting data'!$K$2:$K$37002,"61*")</f>
        <v>0</v>
      </c>
    </row>
    <row r="62" spans="1:5" x14ac:dyDescent="0.3">
      <c r="A62" s="517"/>
      <c r="B62" s="517"/>
      <c r="C62" s="517"/>
      <c r="D62" s="517"/>
      <c r="E62" s="518"/>
    </row>
    <row r="63" spans="1:5" x14ac:dyDescent="0.3">
      <c r="A63" s="517"/>
      <c r="B63" s="517"/>
      <c r="C63" s="517"/>
      <c r="D63" s="517"/>
      <c r="E63" s="518"/>
    </row>
    <row r="64" spans="1:5" ht="14.5" x14ac:dyDescent="0.35">
      <c r="A64" s="520" t="s">
        <v>1002</v>
      </c>
      <c r="B64" s="520"/>
      <c r="C64" s="520"/>
      <c r="D64" s="520"/>
      <c r="E64" s="521">
        <f>(E58-E59-E60)+(E61+E62+E63)</f>
        <v>2629</v>
      </c>
    </row>
    <row r="65" spans="1:5" x14ac:dyDescent="0.3">
      <c r="A65" s="517" t="s">
        <v>991</v>
      </c>
      <c r="B65" s="517" t="s">
        <v>991</v>
      </c>
      <c r="C65" s="517">
        <v>3100</v>
      </c>
      <c r="D65" s="517">
        <v>6100</v>
      </c>
      <c r="E65" s="518">
        <f>SUMIFS('Accounting data'!$G$2:$G$37002,'Accounting data'!$J$2:$J$37002,"31*",'Accounting data'!$K$2:$K$37002,"61*")</f>
        <v>25327</v>
      </c>
    </row>
    <row r="66" spans="1:5" x14ac:dyDescent="0.3">
      <c r="A66" s="517" t="s">
        <v>992</v>
      </c>
      <c r="B66" s="517" t="s">
        <v>991</v>
      </c>
      <c r="C66" s="517">
        <v>3100</v>
      </c>
      <c r="D66" s="517">
        <v>6100</v>
      </c>
      <c r="E66" s="518">
        <f>SUMIFS('Accounting data'!$G$2:$G$37002,'Accounting data'!$H$2:$H$37002,"9999*",'Accounting data'!$J$2:$J$37002,"31*",'Accounting data'!$K$2:$K$37002,"61*")</f>
        <v>0</v>
      </c>
    </row>
    <row r="67" spans="1:5" x14ac:dyDescent="0.3">
      <c r="A67" s="517" t="s">
        <v>991</v>
      </c>
      <c r="B67" s="517" t="s">
        <v>993</v>
      </c>
      <c r="C67" s="517">
        <v>3100</v>
      </c>
      <c r="D67" s="517">
        <v>6100</v>
      </c>
      <c r="E67" s="518">
        <f>SUMIFS('Accounting data'!$G$2:$G$37002,'Accounting data'!$I$2:$I$37002,"7*",'Accounting data'!$J$2:$J$37002,"31*",'Accounting data'!$K$2:$K$37002,"61*")+SUMIFS('Accounting data'!$G$2:$G$37002,'Accounting data'!$I$2:$I$37002,"8*",'Accounting data'!$J$2:$J$37002,"31*",'Accounting data'!$K$2:$K$37002,"61*")+SUMIFS('Accounting data'!$G$2:$G$37002,'Accounting data'!$I$2:$I$37002,"9*",'Accounting data'!$J$2:$J$37002,"31*",'Accounting data'!$K$2:$K$37002,"61*")</f>
        <v>0</v>
      </c>
    </row>
    <row r="68" spans="1:5" x14ac:dyDescent="0.3">
      <c r="A68" s="519" t="s">
        <v>992</v>
      </c>
      <c r="B68" s="517" t="s">
        <v>993</v>
      </c>
      <c r="C68" s="517">
        <v>3100</v>
      </c>
      <c r="D68" s="517">
        <v>6100</v>
      </c>
      <c r="E68" s="518">
        <f>SUMIFS('Accounting data'!$G$2:$G$37002,'Accounting data'!$H$2:$H$37002,"9999*",'Accounting data'!$I$2:$I$37002,"7*",'Accounting data'!$J$2:$J$37002,"31*",'Accounting data'!$K$2:$K$37002,"61*")+SUMIFS('Accounting data'!$G$2:$G$37002,'Accounting data'!$H$2:$H$37002,"9999*",'Accounting data'!$I$2:$I$37002,"8*",'Accounting data'!$J$2:$J$37002,"31*",'Accounting data'!$K$2:$K$37002,"61*")+SUMIFS('Accounting data'!$G$2:$G$37002,'Accounting data'!$H$2:$H$37002,"9999*",'Accounting data'!$I$2:$I$37002,"9*",'Accounting data'!$J$2:$J$37002,"31*",'Accounting data'!$K$2:$K$37002,"61*")</f>
        <v>0</v>
      </c>
    </row>
    <row r="69" spans="1:5" x14ac:dyDescent="0.3">
      <c r="A69" s="517"/>
      <c r="B69" s="517"/>
      <c r="C69" s="517"/>
      <c r="D69" s="517"/>
      <c r="E69" s="518"/>
    </row>
    <row r="70" spans="1:5" x14ac:dyDescent="0.3">
      <c r="A70" s="517"/>
      <c r="B70" s="517"/>
      <c r="C70" s="517"/>
      <c r="D70" s="517"/>
      <c r="E70" s="518"/>
    </row>
    <row r="71" spans="1:5" ht="14.5" x14ac:dyDescent="0.35">
      <c r="A71" s="520" t="s">
        <v>1003</v>
      </c>
      <c r="B71" s="520"/>
      <c r="C71" s="520"/>
      <c r="D71" s="520"/>
      <c r="E71" s="521">
        <f>(E65-E66-E67)+(E68+E69+E70)</f>
        <v>25327</v>
      </c>
    </row>
    <row r="72" spans="1:5" x14ac:dyDescent="0.3">
      <c r="A72" s="517"/>
      <c r="B72" s="517"/>
      <c r="C72" s="517"/>
      <c r="D72" s="517"/>
      <c r="E72" s="518"/>
    </row>
    <row r="73" spans="1:5" x14ac:dyDescent="0.3">
      <c r="A73" s="517"/>
      <c r="B73" s="517"/>
      <c r="C73" s="517"/>
      <c r="D73" s="517"/>
      <c r="E73" s="518"/>
    </row>
    <row r="74" spans="1:5" x14ac:dyDescent="0.3">
      <c r="A74" s="517"/>
      <c r="B74" s="517"/>
      <c r="C74" s="517"/>
      <c r="D74" s="517"/>
      <c r="E74" s="518"/>
    </row>
    <row r="75" spans="1:5" x14ac:dyDescent="0.3">
      <c r="A75" s="519"/>
      <c r="B75" s="517"/>
      <c r="C75" s="517"/>
      <c r="D75" s="517"/>
      <c r="E75" s="518"/>
    </row>
    <row r="76" spans="1:5" x14ac:dyDescent="0.3">
      <c r="A76" s="517"/>
      <c r="B76" s="517"/>
      <c r="C76" s="517"/>
      <c r="D76" s="517"/>
      <c r="E76" s="518"/>
    </row>
    <row r="77" spans="1:5" x14ac:dyDescent="0.3">
      <c r="A77" s="517"/>
      <c r="B77" s="517"/>
      <c r="C77" s="517"/>
      <c r="D77" s="517"/>
      <c r="E77" s="518"/>
    </row>
    <row r="78" spans="1:5" ht="14.5" x14ac:dyDescent="0.35">
      <c r="A78" s="520"/>
      <c r="B78" s="520"/>
      <c r="C78" s="520"/>
      <c r="D78" s="520"/>
      <c r="E78" s="521"/>
    </row>
    <row r="79" spans="1:5" x14ac:dyDescent="0.3">
      <c r="A79" s="517" t="s">
        <v>991</v>
      </c>
      <c r="B79" s="517" t="s">
        <v>991</v>
      </c>
      <c r="C79" s="517">
        <v>3400</v>
      </c>
      <c r="D79" s="517">
        <v>6100</v>
      </c>
      <c r="E79" s="518">
        <f>SUMIFS('Accounting data'!$G$2:$G$37002,'Accounting data'!$J$2:$J$37002,"34*",'Accounting data'!$K$2:$K$37002,"61*")</f>
        <v>0</v>
      </c>
    </row>
    <row r="80" spans="1:5" x14ac:dyDescent="0.3">
      <c r="A80" s="517" t="s">
        <v>992</v>
      </c>
      <c r="B80" s="517" t="s">
        <v>991</v>
      </c>
      <c r="C80" s="517">
        <v>3400</v>
      </c>
      <c r="D80" s="517">
        <v>6100</v>
      </c>
      <c r="E80" s="518">
        <f>SUMIFS('Accounting data'!$G$2:$G$37002,'Accounting data'!$H$2:$H$37002,"9999*",'Accounting data'!$J$2:$J$37002,"34*",'Accounting data'!$K$2:$K$37002,"61*")</f>
        <v>0</v>
      </c>
    </row>
    <row r="81" spans="1:5" x14ac:dyDescent="0.3">
      <c r="A81" s="517" t="s">
        <v>991</v>
      </c>
      <c r="B81" s="517" t="s">
        <v>993</v>
      </c>
      <c r="C81" s="517">
        <v>3400</v>
      </c>
      <c r="D81" s="517">
        <v>6100</v>
      </c>
      <c r="E81" s="518">
        <f>SUMIFS('Accounting data'!$G$2:$G$37002,'Accounting data'!$I$2:$I$37002,"7*",'Accounting data'!$J$2:$J$37002,"34*",'Accounting data'!$K$2:$K$37002,"61*")+SUMIFS('Accounting data'!$G$2:$G$37002,'Accounting data'!$I$2:$I$37002,"8*",'Accounting data'!$J$2:$J$37002,"34*",'Accounting data'!$K$2:$K$37002,"61*")+SUMIFS('Accounting data'!$G$2:$G$37002,'Accounting data'!$I$2:$I$37002,"9*",'Accounting data'!$J$2:$J$37002,"34*",'Accounting data'!$K$2:$K$37002,"61*")</f>
        <v>0</v>
      </c>
    </row>
    <row r="82" spans="1:5" x14ac:dyDescent="0.3">
      <c r="A82" s="519" t="s">
        <v>992</v>
      </c>
      <c r="B82" s="517" t="s">
        <v>993</v>
      </c>
      <c r="C82" s="517">
        <v>3400</v>
      </c>
      <c r="D82" s="517">
        <v>6100</v>
      </c>
      <c r="E82" s="518">
        <f>SUMIFS('Accounting data'!$G$2:$G$37002,'Accounting data'!$H$2:$H$37002,"9999*",'Accounting data'!$I$2:$I$37002,"7*",'Accounting data'!$J$2:$J$37002,"34*",'Accounting data'!$K$2:$K$37002,"61*")+SUMIFS('Accounting data'!$G$2:$G$37002,'Accounting data'!$H$2:$H$37002,"9999*",'Accounting data'!$I$2:$I$37002,"8*",'Accounting data'!$J$2:$J$37002,"34*",'Accounting data'!$K$2:$K$37002,"61*")+SUMIFS('Accounting data'!$G$2:$G$37002,'Accounting data'!$H$2:$H$37002,"9999*",'Accounting data'!$I$2:$I$37002,"9*",'Accounting data'!$J$2:$J$37002,"34*",'Accounting data'!$K$2:$K$37002,"61*")</f>
        <v>0</v>
      </c>
    </row>
    <row r="83" spans="1:5" x14ac:dyDescent="0.3">
      <c r="A83" s="517"/>
      <c r="B83" s="517"/>
      <c r="C83" s="517"/>
      <c r="D83" s="517"/>
      <c r="E83" s="518"/>
    </row>
    <row r="84" spans="1:5" x14ac:dyDescent="0.3">
      <c r="A84" s="517"/>
      <c r="B84" s="517"/>
      <c r="C84" s="517"/>
      <c r="D84" s="517"/>
      <c r="E84" s="518"/>
    </row>
    <row r="85" spans="1:5" ht="14.5" x14ac:dyDescent="0.35">
      <c r="A85" s="520" t="s">
        <v>1004</v>
      </c>
      <c r="B85" s="520"/>
      <c r="C85" s="520"/>
      <c r="D85" s="520"/>
      <c r="E85" s="521">
        <f>(E79-E80-E81)+(E82+E83+E84)</f>
        <v>0</v>
      </c>
    </row>
    <row r="86" spans="1:5" x14ac:dyDescent="0.3">
      <c r="A86" s="517" t="s">
        <v>991</v>
      </c>
      <c r="B86" s="517" t="s">
        <v>991</v>
      </c>
      <c r="C86" s="517">
        <v>4000</v>
      </c>
      <c r="D86" s="517">
        <v>6100</v>
      </c>
      <c r="E86" s="518">
        <f>SUMIFS('Accounting data'!$G$2:$G$37002,'Accounting data'!$J$2:$J$37002,"4*",'Accounting data'!$K$2:$K$37002,"61*")</f>
        <v>0</v>
      </c>
    </row>
    <row r="87" spans="1:5" x14ac:dyDescent="0.3">
      <c r="A87" s="517" t="s">
        <v>992</v>
      </c>
      <c r="B87" s="517" t="s">
        <v>991</v>
      </c>
      <c r="C87" s="517">
        <v>4000</v>
      </c>
      <c r="D87" s="517">
        <v>6100</v>
      </c>
      <c r="E87" s="518">
        <f>SUMIFS('Accounting data'!$G$2:$G$37002,'Accounting data'!$H$2:$H$37002,"9999*",'Accounting data'!$J$2:$J$37002,"4*",'Accounting data'!$K$2:$K$37002,"61*")</f>
        <v>0</v>
      </c>
    </row>
    <row r="88" spans="1:5" x14ac:dyDescent="0.3">
      <c r="A88" s="517" t="s">
        <v>991</v>
      </c>
      <c r="B88" s="517" t="s">
        <v>993</v>
      </c>
      <c r="C88" s="517">
        <v>4000</v>
      </c>
      <c r="D88" s="517">
        <v>6100</v>
      </c>
      <c r="E88" s="518">
        <f>SUMIFS('Accounting data'!$G$2:$G$37002,'Accounting data'!$I$2:$I$37002,"7*",'Accounting data'!$J$2:$J$37002,"4*",'Accounting data'!$K$2:$K$37002,"61*")+SUMIFS('Accounting data'!$G$2:$G$37002,'Accounting data'!$I$2:$I$37002,"8*",'Accounting data'!$J$2:$J$37002,"4*",'Accounting data'!$K$2:$K$37002,"61*")+SUMIFS('Accounting data'!$G$2:$G$37002,'Accounting data'!$I$2:$I$37002,"9*",'Accounting data'!$J$2:$J$37002,"4*",'Accounting data'!$K$2:$K$37002,"61*")</f>
        <v>0</v>
      </c>
    </row>
    <row r="89" spans="1:5" x14ac:dyDescent="0.3">
      <c r="A89" s="519" t="s">
        <v>992</v>
      </c>
      <c r="B89" s="517" t="s">
        <v>993</v>
      </c>
      <c r="C89" s="517">
        <v>4000</v>
      </c>
      <c r="D89" s="517">
        <v>6100</v>
      </c>
      <c r="E89" s="518">
        <f>SUMIFS('Accounting data'!$G$2:$G$37002,'Accounting data'!$H$2:$H$37002,"9999*",'Accounting data'!$I$2:$I$37002,"7*",'Accounting data'!$J$2:$J$37002,"4*",'Accounting data'!$K$2:$K$37002,"61*")+SUMIFS('Accounting data'!$G$2:$G$37002,'Accounting data'!$H$2:$H$37002,"9999*",'Accounting data'!$I$2:$I$37002,"8*",'Accounting data'!$J$2:$J$37002,"4*",'Accounting data'!$K$2:$K$37002,"61*")+SUMIFS('Accounting data'!$G$2:$G$37002,'Accounting data'!$H$2:$H$37002,"9999*",'Accounting data'!$I$2:$I$37002,"9*",'Accounting data'!$J$2:$J$37002,"4*",'Accounting data'!$K$2:$K$37002,"61*")</f>
        <v>0</v>
      </c>
    </row>
    <row r="90" spans="1:5" x14ac:dyDescent="0.3">
      <c r="A90" s="517"/>
      <c r="B90" s="517"/>
      <c r="C90" s="517"/>
      <c r="D90" s="517"/>
      <c r="E90" s="518"/>
    </row>
    <row r="91" spans="1:5" x14ac:dyDescent="0.3">
      <c r="A91" s="517"/>
      <c r="B91" s="517"/>
      <c r="C91" s="517"/>
      <c r="D91" s="517"/>
      <c r="E91" s="518"/>
    </row>
    <row r="92" spans="1:5" ht="14.5" x14ac:dyDescent="0.35">
      <c r="A92" s="520" t="s">
        <v>1005</v>
      </c>
      <c r="B92" s="520"/>
      <c r="C92" s="520"/>
      <c r="D92" s="520"/>
      <c r="E92" s="521">
        <f>(E86-E87-E88)+(E89+E90+E91)</f>
        <v>0</v>
      </c>
    </row>
    <row r="93" spans="1:5" ht="14.5" x14ac:dyDescent="0.35">
      <c r="A93" s="523" t="s">
        <v>1006</v>
      </c>
      <c r="B93" s="523"/>
      <c r="C93" s="523"/>
      <c r="D93" s="523"/>
      <c r="E93" s="524">
        <f>E8+E15+E22+E29+E36+E43+E50+E57+E64+E71+E78+E85</f>
        <v>1405377</v>
      </c>
    </row>
    <row r="94" spans="1:5" x14ac:dyDescent="0.3">
      <c r="A94" s="517" t="s">
        <v>1007</v>
      </c>
      <c r="B94" s="517" t="s">
        <v>991</v>
      </c>
      <c r="C94" s="517">
        <v>1000</v>
      </c>
      <c r="D94" s="517">
        <v>6100</v>
      </c>
      <c r="E94" s="518">
        <f>SUMIFS('Accounting data'!$G$2:$G$37002,'Accounting data'!$H$2:$H$37002,"11*",'Accounting data'!$J$2:$J$37002,"1*",'Accounting data'!$K$2:$K$37002,"61*")+SUMIFS('Accounting data'!$G$2:$G$37002,'Accounting data'!$H$2:$H$37002,"12*",'Accounting data'!$J$2:$J$37002,"1*",'Accounting data'!$K$2:$K$37002,"61*")+SUMIFS('Accounting data'!$G$2:$G$37002,'Accounting data'!$H$2:$H$37002,"13*",'Accounting data'!$J$2:$J$37002,"1*",'Accounting data'!$K$2:$K$37002,"61*")</f>
        <v>53887</v>
      </c>
    </row>
    <row r="95" spans="1:5" x14ac:dyDescent="0.3">
      <c r="A95" s="517" t="s">
        <v>1007</v>
      </c>
      <c r="B95" s="517" t="s">
        <v>991</v>
      </c>
      <c r="C95" s="517">
        <v>2000</v>
      </c>
      <c r="D95" s="517">
        <v>6100</v>
      </c>
      <c r="E95" s="518">
        <f>SUMIFS('Accounting data'!$G$2:$G$37002,'Accounting data'!$H$2:$H$37002,"11*",'Accounting data'!$J$2:$J$37002,"2*",'Accounting data'!$K$2:$K$37002,"61*")+SUMIFS('Accounting data'!$G$2:$G$37002,'Accounting data'!$H$2:$H$37002,"12*",'Accounting data'!$J$2:$J$37002,"2*",'Accounting data'!$K$2:$K$37002,"61*")+SUMIFS('Accounting data'!$G$2:$G$37002,'Accounting data'!$H$2:$H$37002,"13*",'Accounting data'!$J$2:$J$37002,"2*",'Accounting data'!$K$2:$K$37002,"61*")</f>
        <v>72881</v>
      </c>
    </row>
    <row r="96" spans="1:5" x14ac:dyDescent="0.3">
      <c r="A96" s="517" t="s">
        <v>1007</v>
      </c>
      <c r="B96" s="517" t="s">
        <v>991</v>
      </c>
      <c r="C96" s="517">
        <v>3000</v>
      </c>
      <c r="D96" s="517">
        <v>6100</v>
      </c>
      <c r="E96" s="518">
        <f>SUMIFS('Accounting data'!$G$2:$G$37002,'Accounting data'!$H$2:$H$37002,"11*",'Accounting data'!$J$2:$J$37002,"3*",'Accounting data'!$K$2:$K$37002,"61*")+SUMIFS('Accounting data'!$G$2:$G$37002,'Accounting data'!$H$2:$H$37002,"12*",'Accounting data'!$J$2:$J$37002,"3*",'Accounting data'!$K$2:$K$37002,"61*")+SUMIFS('Accounting data'!$G$2:$G$37002,'Accounting data'!$H$2:$H$37002,"13*",'Accounting data'!$J$2:$J$37002,"3*",'Accounting data'!$K$2:$K$37002,"61*")</f>
        <v>0</v>
      </c>
    </row>
    <row r="97" spans="1:5" x14ac:dyDescent="0.3">
      <c r="A97" s="517" t="s">
        <v>1007</v>
      </c>
      <c r="B97" s="519">
        <v>700</v>
      </c>
      <c r="C97" s="517">
        <v>1000</v>
      </c>
      <c r="D97" s="517">
        <v>6100</v>
      </c>
      <c r="E97" s="518">
        <f>SUMIFS('Accounting data'!$G$2:$G$37002,'Accounting data'!$H$2:$H$37002,"11*",'Accounting data'!$I$2:$I$37002,"7*",'Accounting data'!$J$2:$J$37002,"1*",'Accounting data'!$K$2:$K$37002,"61*")+SUMIFS('Accounting data'!$G$2:$G$37002,'Accounting data'!$H$2:$H$37002,"12*",'Accounting data'!$I$2:$I$37002,"7*",'Accounting data'!$J$2:$J$37002,"1*",'Accounting data'!$K$2:$K$37002,"61*")+SUMIFS('Accounting data'!$G$2:$G$37002,'Accounting data'!$H$2:$H$37002,"13*",'Accounting data'!$I$2:$I$37002,"7*",'Accounting data'!$J$2:$J$37002,"1*",'Accounting data'!$K$2:$K$37002,"61*")</f>
        <v>0</v>
      </c>
    </row>
    <row r="98" spans="1:5" x14ac:dyDescent="0.3">
      <c r="A98" s="517" t="s">
        <v>1007</v>
      </c>
      <c r="B98" s="519">
        <v>800</v>
      </c>
      <c r="C98" s="517">
        <v>1000</v>
      </c>
      <c r="D98" s="517">
        <v>6100</v>
      </c>
      <c r="E98" s="518">
        <f>SUMIFS('Accounting data'!$G$2:$G$37002,'Accounting data'!$H$2:$H$37002,"11*",'Accounting data'!$I$2:$I$37002,"8*",'Accounting data'!$J$2:$J$37002,"1*",'Accounting data'!$K$2:$K$37002,"61*")+SUMIFS('Accounting data'!$G$2:$G$37002,'Accounting data'!$H$2:$H$37002,"12*",'Accounting data'!$I$2:$I$37002,"8*",'Accounting data'!$J$2:$J$37002,"1*",'Accounting data'!$K$2:$K$37002,"61*")+SUMIFS('Accounting data'!$G$2:$G$37002,'Accounting data'!$H$2:$H$37002,"13*",'Accounting data'!$I$2:$I$37002,"8*",'Accounting data'!$J$2:$J$37002,"1*",'Accounting data'!$K$2:$K$37002,"61*")</f>
        <v>0</v>
      </c>
    </row>
    <row r="99" spans="1:5" x14ac:dyDescent="0.3">
      <c r="A99" s="517" t="s">
        <v>1007</v>
      </c>
      <c r="B99" s="519">
        <v>900</v>
      </c>
      <c r="C99" s="517">
        <v>1000</v>
      </c>
      <c r="D99" s="517">
        <v>6100</v>
      </c>
      <c r="E99" s="518">
        <f>SUMIFS('Accounting data'!$G$2:$G$37002,'Accounting data'!$H$2:$H$37002,"11*",'Accounting data'!$I$2:$I$37002,"9*",'Accounting data'!$J$2:$J$37002,"1*",'Accounting data'!$K$2:$K$37002,"61*")+SUMIFS('Accounting data'!$G$2:$G$37002,'Accounting data'!$H$2:$H$37002,"12*",'Accounting data'!$I$2:$I$37002,"9*",'Accounting data'!$J$2:$J$37002,"1*",'Accounting data'!$K$2:$K$37002,"61*")+SUMIFS('Accounting data'!$G$2:$G$37002,'Accounting data'!$H$2:$H$37002,"13*",'Accounting data'!$I$2:$I$37002,"9*",'Accounting data'!$J$2:$J$37002,"1*",'Accounting data'!$K$2:$K$37002,"61*")</f>
        <v>0</v>
      </c>
    </row>
    <row r="100" spans="1:5" x14ac:dyDescent="0.3">
      <c r="A100" s="517" t="s">
        <v>1007</v>
      </c>
      <c r="B100" s="519">
        <v>700</v>
      </c>
      <c r="C100" s="517">
        <v>2000</v>
      </c>
      <c r="D100" s="517">
        <v>6100</v>
      </c>
      <c r="E100" s="518">
        <f>SUMIFS('Accounting data'!$G$2:$G$37002,'Accounting data'!$H$2:$H$37002,"11*",'Accounting data'!$I$2:$I$37002,"7*",'Accounting data'!$J$2:$J$37002,"2*",'Accounting data'!$K$2:$K$37002,"61*")+SUMIFS('Accounting data'!$G$2:$G$37002,'Accounting data'!$H$2:$H$37002,"12*",'Accounting data'!$I$2:$I$37002,"7*",'Accounting data'!$J$2:$J$37002,"2*",'Accounting data'!$K$2:$K$37002,"61*")+SUMIFS('Accounting data'!$G$2:$G$37002,'Accounting data'!$H$2:$H$37002,"13*",'Accounting data'!$I$2:$I$37002,"7*",'Accounting data'!$J$2:$J$37002,"2*",'Accounting data'!$K$2:$K$37002,"61*")</f>
        <v>0</v>
      </c>
    </row>
    <row r="101" spans="1:5" x14ac:dyDescent="0.3">
      <c r="A101" s="517" t="s">
        <v>1007</v>
      </c>
      <c r="B101" s="519">
        <v>800</v>
      </c>
      <c r="C101" s="517">
        <v>2000</v>
      </c>
      <c r="D101" s="517">
        <v>6100</v>
      </c>
      <c r="E101" s="518">
        <f>SUMIFS('Accounting data'!$G$2:$G$37002,'Accounting data'!$H$2:$H$37002,"11*",'Accounting data'!$I$2:$I$37002,"8*",'Accounting data'!$J$2:$J$37002,"2*",'Accounting data'!$K$2:$K$37002,"61*")+SUMIFS('Accounting data'!$G$2:$G$37002,'Accounting data'!$H$2:$H$37002,"12*",'Accounting data'!$I$2:$I$37002,"8*",'Accounting data'!$J$2:$J$37002,"2*",'Accounting data'!$K$2:$K$37002,"61*")+SUMIFS('Accounting data'!$G$2:$G$37002,'Accounting data'!$H$2:$H$37002,"13*",'Accounting data'!$I$2:$I$37002,"8*",'Accounting data'!$J$2:$J$37002,"2*",'Accounting data'!$K$2:$K$37002,"61*")</f>
        <v>0</v>
      </c>
    </row>
    <row r="102" spans="1:5" x14ac:dyDescent="0.3">
      <c r="A102" s="517" t="s">
        <v>1007</v>
      </c>
      <c r="B102" s="519">
        <v>900</v>
      </c>
      <c r="C102" s="517">
        <v>2000</v>
      </c>
      <c r="D102" s="517">
        <v>6100</v>
      </c>
      <c r="E102" s="518">
        <f>SUMIFS('Accounting data'!$G$2:$G$37002,'Accounting data'!$H$2:$H$37002,"11*",'Accounting data'!$I$2:$I$37002,"9*",'Accounting data'!$J$2:$J$37002,"2*",'Accounting data'!$K$2:$K$37002,"61*")+SUMIFS('Accounting data'!$G$2:$G$37002,'Accounting data'!$H$2:$H$37002,"12*",'Accounting data'!$I$2:$I$37002,"9*",'Accounting data'!$J$2:$J$37002,"2*",'Accounting data'!$K$2:$K$37002,"61*")+SUMIFS('Accounting data'!$G$2:$G$37002,'Accounting data'!$H$2:$H$37002,"13*",'Accounting data'!$I$2:$I$37002,"9*",'Accounting data'!$J$2:$J$37002,"2*",'Accounting data'!$K$2:$K$37002,"61*")</f>
        <v>0</v>
      </c>
    </row>
    <row r="103" spans="1:5" x14ac:dyDescent="0.3">
      <c r="A103" s="517" t="s">
        <v>1007</v>
      </c>
      <c r="B103" s="519">
        <v>700</v>
      </c>
      <c r="C103" s="517">
        <v>3000</v>
      </c>
      <c r="D103" s="517">
        <v>6100</v>
      </c>
      <c r="E103" s="518">
        <f>SUMIFS('Accounting data'!$G$2:$G$37002,'Accounting data'!$H$2:$H$37002,"11*",'Accounting data'!$I$2:$I$37002,"7*",'Accounting data'!$J$2:$J$37002,"3*",'Accounting data'!$K$2:$K$37002,"61*")+SUMIFS('Accounting data'!$G$2:$G$37002,'Accounting data'!$H$2:$H$37002,"12*",'Accounting data'!$I$2:$I$37002,"7*",'Accounting data'!$J$2:$J$37002,"3*",'Accounting data'!$K$2:$K$37002,"61*")+SUMIFS('Accounting data'!$G$2:$G$37002,'Accounting data'!$H$2:$H$37002,"13*",'Accounting data'!$I$2:$I$37002,"7*",'Accounting data'!$J$2:$J$37002,"3*",'Accounting data'!$K$2:$K$37002,"61*")</f>
        <v>0</v>
      </c>
    </row>
    <row r="104" spans="1:5" x14ac:dyDescent="0.3">
      <c r="A104" s="517" t="s">
        <v>1007</v>
      </c>
      <c r="B104" s="519">
        <v>800</v>
      </c>
      <c r="C104" s="517">
        <v>3000</v>
      </c>
      <c r="D104" s="517">
        <v>6100</v>
      </c>
      <c r="E104" s="518">
        <f>SUMIFS('Accounting data'!$G$2:$G$37002,'Accounting data'!$H$2:$H$37002,"11*",'Accounting data'!$I$2:$I$37002,"8*",'Accounting data'!$J$2:$J$37002,"3*",'Accounting data'!$K$2:$K$37002,"61*")+SUMIFS('Accounting data'!$G$2:$G$37002,'Accounting data'!$H$2:$H$37002,"12*",'Accounting data'!$I$2:$I$37002,"8*",'Accounting data'!$J$2:$J$37002,"3*",'Accounting data'!$K$2:$K$37002,"61*")+SUMIFS('Accounting data'!$G$2:$G$37002,'Accounting data'!$H$2:$H$37002,"13*",'Accounting data'!$I$2:$I$37002,"8*",'Accounting data'!$J$2:$J$37002,"3*",'Accounting data'!$K$2:$K$37002,"61*")</f>
        <v>0</v>
      </c>
    </row>
    <row r="105" spans="1:5" x14ac:dyDescent="0.3">
      <c r="A105" s="517" t="s">
        <v>1007</v>
      </c>
      <c r="B105" s="519">
        <v>900</v>
      </c>
      <c r="C105" s="517">
        <v>3000</v>
      </c>
      <c r="D105" s="517">
        <v>6100</v>
      </c>
      <c r="E105" s="518">
        <f>SUMIFS('Accounting data'!$G$2:$G$37002,'Accounting data'!$H$2:$H$37002,"11*",'Accounting data'!$I$2:$I$37002,"9*",'Accounting data'!$J$2:$J$37002,"3*",'Accounting data'!$K$2:$K$37002,"61*")+SUMIFS('Accounting data'!$G$2:$G$37002,'Accounting data'!$H$2:$H$37002,"12*",'Accounting data'!$I$2:$I$37002,"9*",'Accounting data'!$J$2:$J$37002,"3*",'Accounting data'!$K$2:$K$37002,"61*")+SUMIFS('Accounting data'!$G$2:$G$37002,'Accounting data'!$H$2:$H$37002,"13*",'Accounting data'!$I$2:$I$37002,"9*",'Accounting data'!$J$2:$J$37002,"3*",'Accounting data'!$K$2:$K$37002,"61*")</f>
        <v>0</v>
      </c>
    </row>
    <row r="106" spans="1:5" ht="14.5" x14ac:dyDescent="0.35">
      <c r="A106" s="520" t="s">
        <v>1008</v>
      </c>
      <c r="B106" s="520"/>
      <c r="C106" s="520"/>
      <c r="D106" s="520"/>
      <c r="E106" s="521">
        <f>(E94+E95+E96)-(E97+E98+E99+E100+E101+E102+E103+E104+E105)</f>
        <v>126768</v>
      </c>
    </row>
    <row r="107" spans="1:5" x14ac:dyDescent="0.3">
      <c r="A107" s="517" t="s">
        <v>991</v>
      </c>
      <c r="B107" s="517" t="s">
        <v>991</v>
      </c>
      <c r="C107" s="517">
        <v>1000</v>
      </c>
      <c r="D107" s="517">
        <v>6200</v>
      </c>
      <c r="E107" s="518">
        <f>SUMIFS('Accounting data'!$G$2:$G$37002,'Accounting data'!$J$2:$J$37002,"1*",'Accounting data'!$K$2:$K$37002,"62*")</f>
        <v>101394</v>
      </c>
    </row>
    <row r="108" spans="1:5" x14ac:dyDescent="0.3">
      <c r="A108" s="517" t="s">
        <v>992</v>
      </c>
      <c r="B108" s="517" t="s">
        <v>991</v>
      </c>
      <c r="C108" s="517">
        <v>1000</v>
      </c>
      <c r="D108" s="517">
        <v>6200</v>
      </c>
      <c r="E108" s="518">
        <f>SUMIFS('Accounting data'!$G$2:$G$37002,'Accounting data'!$H$2:$H$37002,"9999*",'Accounting data'!$J$2:$J$37002,"1*",'Accounting data'!$K$2:$K$37002,"62*")</f>
        <v>0</v>
      </c>
    </row>
    <row r="109" spans="1:5" x14ac:dyDescent="0.3">
      <c r="A109" s="517" t="s">
        <v>991</v>
      </c>
      <c r="B109" s="517" t="s">
        <v>993</v>
      </c>
      <c r="C109" s="517">
        <v>1000</v>
      </c>
      <c r="D109" s="517">
        <v>6200</v>
      </c>
      <c r="E109" s="518">
        <f>SUMIFS('Accounting data'!$G$2:$G$37002,'Accounting data'!$I$2:$I$37002,"7*",'Accounting data'!$J$2:$J$37002,"1*",'Accounting data'!$K$2:$K$37002,"62*")+SUMIFS('Accounting data'!$G$2:$G$37002,'Accounting data'!$I$2:$I$37002,"8*",'Accounting data'!$J$2:$J$37002,"1*",'Accounting data'!$K$2:$K$37002,"62*")+SUMIFS('Accounting data'!$G$2:$G$37002,'Accounting data'!$I$2:$I$37002,"9*",'Accounting data'!$J$2:$J$37002,"1*",'Accounting data'!$K$2:$K$37002,"62*")</f>
        <v>0</v>
      </c>
    </row>
    <row r="110" spans="1:5" x14ac:dyDescent="0.3">
      <c r="A110" s="519" t="s">
        <v>992</v>
      </c>
      <c r="B110" s="517" t="s">
        <v>993</v>
      </c>
      <c r="C110" s="517">
        <v>1000</v>
      </c>
      <c r="D110" s="517">
        <v>6200</v>
      </c>
      <c r="E110" s="518">
        <f>SUMIFS('Accounting data'!$G$2:$G$37002,'Accounting data'!$H$2:$H$37002,"9999*",'Accounting data'!$I$2:$I$37002,"7*",'Accounting data'!$J$2:$J$37002,"1*",'Accounting data'!$K$2:$K$37002,"62*")+SUMIFS('Accounting data'!$G$2:$G$37002,'Accounting data'!$H$2:$H$37002,"9999*",'Accounting data'!$I$2:$I$37002,"8*",'Accounting data'!$J$2:$J$37002,"1*",'Accounting data'!$K$2:$K$37002,"62*")+SUMIFS('Accounting data'!$G$2:$G$37002,'Accounting data'!$H$2:$H$37002,"9999*",'Accounting data'!$I$2:$I$37002,"9*",'Accounting data'!$J$2:$J$37002,"1*",'Accounting data'!$K$2:$K$37002,"62*")</f>
        <v>0</v>
      </c>
    </row>
    <row r="113" spans="1:5" ht="14.5" x14ac:dyDescent="0.35">
      <c r="A113" s="520" t="s">
        <v>1009</v>
      </c>
      <c r="B113" s="520"/>
      <c r="C113" s="520"/>
      <c r="D113" s="520"/>
      <c r="E113" s="521">
        <f>(E107-E108-E109)+(E110+E111+E112)</f>
        <v>101394</v>
      </c>
    </row>
    <row r="114" spans="1:5" x14ac:dyDescent="0.3">
      <c r="A114" s="517" t="s">
        <v>991</v>
      </c>
      <c r="B114" s="517" t="s">
        <v>991</v>
      </c>
      <c r="C114" s="517">
        <v>2100</v>
      </c>
      <c r="D114" s="517">
        <v>6200</v>
      </c>
      <c r="E114" s="518">
        <f>SUMIFS('Accounting data'!$G$2:$G$37002,'Accounting data'!$J$2:$J$37002,"21*",'Accounting data'!$K$2:$K$37002,"62*")</f>
        <v>39743</v>
      </c>
    </row>
    <row r="115" spans="1:5" x14ac:dyDescent="0.3">
      <c r="A115" s="517" t="s">
        <v>992</v>
      </c>
      <c r="B115" s="517" t="s">
        <v>991</v>
      </c>
      <c r="C115" s="517">
        <v>2100</v>
      </c>
      <c r="D115" s="517">
        <v>6200</v>
      </c>
      <c r="E115" s="518">
        <f>SUMIFS('Accounting data'!$G$2:$G$37002,'Accounting data'!$H$2:$H$37002,"9999*",'Accounting data'!$J$2:$J$37002,"21*",'Accounting data'!$K$2:$K$37002,"62*")</f>
        <v>0</v>
      </c>
    </row>
    <row r="116" spans="1:5" x14ac:dyDescent="0.3">
      <c r="A116" s="517" t="s">
        <v>991</v>
      </c>
      <c r="B116" s="517" t="s">
        <v>993</v>
      </c>
      <c r="C116" s="517">
        <v>2100</v>
      </c>
      <c r="D116" s="517">
        <v>6200</v>
      </c>
      <c r="E116" s="518">
        <f>SUMIFS('Accounting data'!$G$2:$G$37002,'Accounting data'!$I$2:$I$37002,"7*",'Accounting data'!$J$2:$J$37002,"21*",'Accounting data'!$K$2:$K$37002,"62*")+SUMIFS('Accounting data'!$G$2:$G$37002,'Accounting data'!$I$2:$I$37002,"8*",'Accounting data'!$J$2:$J$37002,"21*",'Accounting data'!$K$2:$K$37002,"62*")+SUMIFS('Accounting data'!$G$2:$G$37002,'Accounting data'!$I$2:$I$37002,"9*",'Accounting data'!$J$2:$J$37002,"21*",'Accounting data'!$K$2:$K$37002,"62*")</f>
        <v>0</v>
      </c>
    </row>
    <row r="117" spans="1:5" x14ac:dyDescent="0.3">
      <c r="A117" s="519" t="s">
        <v>992</v>
      </c>
      <c r="B117" s="517" t="s">
        <v>993</v>
      </c>
      <c r="C117" s="517">
        <v>2100</v>
      </c>
      <c r="D117" s="517">
        <v>6200</v>
      </c>
      <c r="E117" s="518">
        <f>SUMIFS('Accounting data'!$G$2:$G$37002,'Accounting data'!$H$2:$H$37002,"9999*",'Accounting data'!$I$2:$I$37002,"7*",'Accounting data'!$J$2:$J$37002,"21*",'Accounting data'!$K$2:$K$37002,"62*")+SUMIFS('Accounting data'!$G$2:$G$37002,'Accounting data'!$H$2:$H$37002,"9999*",'Accounting data'!$I$2:$I$37002,"8*",'Accounting data'!$J$2:$J$37002,"21*",'Accounting data'!$K$2:$K$37002,"62*")+SUMIFS('Accounting data'!$G$2:$G$37002,'Accounting data'!$H$2:$H$37002,"9999*",'Accounting data'!$I$2:$I$37002,"9*",'Accounting data'!$J$2:$J$37002,"21*",'Accounting data'!$K$2:$K$37002,"62*")</f>
        <v>0</v>
      </c>
    </row>
    <row r="118" spans="1:5" x14ac:dyDescent="0.3">
      <c r="A118" s="517"/>
      <c r="B118" s="517"/>
      <c r="C118" s="517"/>
      <c r="D118" s="517"/>
      <c r="E118" s="518"/>
    </row>
    <row r="119" spans="1:5" x14ac:dyDescent="0.3">
      <c r="A119" s="517"/>
      <c r="B119" s="517"/>
      <c r="C119" s="517"/>
      <c r="D119" s="517"/>
      <c r="E119" s="518"/>
    </row>
    <row r="120" spans="1:5" ht="14.5" x14ac:dyDescent="0.35">
      <c r="A120" s="520" t="s">
        <v>1010</v>
      </c>
      <c r="B120" s="520"/>
      <c r="C120" s="520"/>
      <c r="D120" s="520"/>
      <c r="E120" s="521">
        <f>(E114-E115-E116)+(E117+E118+E119)</f>
        <v>39743</v>
      </c>
    </row>
    <row r="121" spans="1:5" x14ac:dyDescent="0.3">
      <c r="A121" s="517" t="s">
        <v>991</v>
      </c>
      <c r="B121" s="517" t="s">
        <v>991</v>
      </c>
      <c r="C121" s="517">
        <v>2200</v>
      </c>
      <c r="D121" s="517">
        <v>6200</v>
      </c>
      <c r="E121" s="518">
        <f>SUMIFS('Accounting data'!$G$2:$G$37002,'Accounting data'!$J$2:$J$37002,"22*",'Accounting data'!$K$2:$K$37002,"62*")</f>
        <v>15342</v>
      </c>
    </row>
    <row r="122" spans="1:5" x14ac:dyDescent="0.3">
      <c r="A122" s="517" t="s">
        <v>992</v>
      </c>
      <c r="B122" s="517" t="s">
        <v>991</v>
      </c>
      <c r="C122" s="517">
        <v>2200</v>
      </c>
      <c r="D122" s="517">
        <v>6200</v>
      </c>
      <c r="E122" s="518">
        <f>SUMIFS('Accounting data'!$G$2:$G$37002,'Accounting data'!$H$2:$H$37002,"9999*",'Accounting data'!$J$2:$J$37002,"22*",'Accounting data'!$K$2:$K$37002,"62*")</f>
        <v>0</v>
      </c>
    </row>
    <row r="123" spans="1:5" x14ac:dyDescent="0.3">
      <c r="A123" s="517" t="s">
        <v>991</v>
      </c>
      <c r="B123" s="517" t="s">
        <v>993</v>
      </c>
      <c r="C123" s="517">
        <v>2200</v>
      </c>
      <c r="D123" s="517">
        <v>6200</v>
      </c>
      <c r="E123" s="518">
        <f>SUMIFS('Accounting data'!$G$2:$G$37002,'Accounting data'!$I$2:$I$37002,"7*",'Accounting data'!$J$2:$J$37002,"22*",'Accounting data'!$K$2:$K$37002,"62*")+SUMIFS('Accounting data'!$G$2:$G$37002,'Accounting data'!$I$2:$I$37002,"8*",'Accounting data'!$J$2:$J$37002,"22*",'Accounting data'!$K$2:$K$37002,"62*")+SUMIFS('Accounting data'!$G$2:$G$37002,'Accounting data'!$I$2:$I$37002,"9*",'Accounting data'!$J$2:$J$37002,"22*",'Accounting data'!$K$2:$K$37002,"62*")</f>
        <v>0</v>
      </c>
    </row>
    <row r="124" spans="1:5" x14ac:dyDescent="0.3">
      <c r="A124" s="519" t="s">
        <v>992</v>
      </c>
      <c r="B124" s="517" t="s">
        <v>993</v>
      </c>
      <c r="C124" s="517">
        <v>2200</v>
      </c>
      <c r="D124" s="517">
        <v>6200</v>
      </c>
      <c r="E124" s="518">
        <f>SUMIFS('Accounting data'!$G$2:$G$37002,'Accounting data'!$H$2:$H$37002,"9999*",'Accounting data'!$I$2:$I$37002,"7*",'Accounting data'!$J$2:$J$37002,"22*",'Accounting data'!$K$2:$K$37002,"62*")+SUMIFS('Accounting data'!$G$2:$G$37002,'Accounting data'!$H$2:$H$37002,"9999*",'Accounting data'!$I$2:$I$37002,"8*",'Accounting data'!$J$2:$J$37002,"22*",'Accounting data'!$K$2:$K$37002,"62*")+SUMIFS('Accounting data'!$G$2:$G$37002,'Accounting data'!$H$2:$H$37002,"9999*",'Accounting data'!$I$2:$I$37002,"9*",'Accounting data'!$J$2:$J$37002,"22*",'Accounting data'!$K$2:$K$37002,"62*")</f>
        <v>0</v>
      </c>
    </row>
    <row r="125" spans="1:5" x14ac:dyDescent="0.3">
      <c r="A125" s="517"/>
      <c r="B125" s="517"/>
      <c r="C125" s="517"/>
      <c r="D125" s="517"/>
      <c r="E125" s="518"/>
    </row>
    <row r="126" spans="1:5" x14ac:dyDescent="0.3">
      <c r="A126" s="517"/>
      <c r="B126" s="517"/>
      <c r="C126" s="517"/>
      <c r="D126" s="517"/>
      <c r="E126" s="518"/>
    </row>
    <row r="127" spans="1:5" ht="14.5" x14ac:dyDescent="0.35">
      <c r="A127" s="520" t="s">
        <v>1011</v>
      </c>
      <c r="B127" s="520"/>
      <c r="C127" s="520"/>
      <c r="D127" s="520"/>
      <c r="E127" s="521">
        <f>(E121-E122-E123)+(E124+E125+E126)</f>
        <v>15342</v>
      </c>
    </row>
    <row r="128" spans="1:5" x14ac:dyDescent="0.3">
      <c r="A128" s="517" t="s">
        <v>991</v>
      </c>
      <c r="B128" s="517" t="s">
        <v>991</v>
      </c>
      <c r="C128" s="517">
        <v>2300</v>
      </c>
      <c r="D128" s="517">
        <v>6200</v>
      </c>
      <c r="E128" s="518">
        <f>SUMIFS('Accounting data'!$G$2:$G$37002,'Accounting data'!$J$2:$J$37002,"23*",'Accounting data'!$K$2:$K$37002,"62*")</f>
        <v>0</v>
      </c>
    </row>
    <row r="129" spans="1:5" x14ac:dyDescent="0.3">
      <c r="A129" s="517" t="s">
        <v>992</v>
      </c>
      <c r="B129" s="517" t="s">
        <v>991</v>
      </c>
      <c r="C129" s="517">
        <v>2300</v>
      </c>
      <c r="D129" s="517">
        <v>6200</v>
      </c>
      <c r="E129" s="518">
        <f>SUMIFS('Accounting data'!$G$2:$G$37002,'Accounting data'!$H$2:$H$37002,"9999*",'Accounting data'!$J$2:$J$37002,"23*",'Accounting data'!$K$2:$K$37002,"62*")</f>
        <v>0</v>
      </c>
    </row>
    <row r="130" spans="1:5" x14ac:dyDescent="0.3">
      <c r="A130" s="517" t="s">
        <v>991</v>
      </c>
      <c r="B130" s="517" t="s">
        <v>993</v>
      </c>
      <c r="C130" s="517">
        <v>2300</v>
      </c>
      <c r="D130" s="517">
        <v>6200</v>
      </c>
      <c r="E130" s="518">
        <f>SUMIFS('Accounting data'!$G$2:$G$37002,'Accounting data'!$I$2:$I$37002,"7*",'Accounting data'!$J$2:$J$37002,"23*",'Accounting data'!$K$2:$K$37002,"62*")+SUMIFS('Accounting data'!$G$2:$G$37002,'Accounting data'!$I$2:$I$37002,"8*",'Accounting data'!$J$2:$J$37002,"23*",'Accounting data'!$K$2:$K$37002,"62*")+SUMIFS('Accounting data'!$G$2:$G$37002,'Accounting data'!$I$2:$I$37002,"9*",'Accounting data'!$J$2:$J$37002,"23*",'Accounting data'!$K$2:$K$37002,"62*")</f>
        <v>0</v>
      </c>
    </row>
    <row r="131" spans="1:5" x14ac:dyDescent="0.3">
      <c r="A131" s="519" t="s">
        <v>992</v>
      </c>
      <c r="B131" s="517" t="s">
        <v>993</v>
      </c>
      <c r="C131" s="517">
        <v>2300</v>
      </c>
      <c r="D131" s="517">
        <v>6200</v>
      </c>
      <c r="E131" s="518">
        <f>SUMIFS('Accounting data'!$G$2:$G$37002,'Accounting data'!$H$2:$H$37002,"9999*",'Accounting data'!$I$2:$I$37002,"7*",'Accounting data'!$J$2:$J$37002,"23*",'Accounting data'!$K$2:$K$37002,"62*")+SUMIFS('Accounting data'!$G$2:$G$37002,'Accounting data'!$H$2:$H$37002,"9999*",'Accounting data'!$I$2:$I$37002,"8*",'Accounting data'!$J$2:$J$37002,"23*",'Accounting data'!$K$2:$K$37002,"62*")+SUMIFS('Accounting data'!$G$2:$G$37002,'Accounting data'!$H$2:$H$37002,"9999*",'Accounting data'!$I$2:$I$37002,"9*",'Accounting data'!$J$2:$J$37002,"23*",'Accounting data'!$K$2:$K$37002,"62*")</f>
        <v>0</v>
      </c>
    </row>
    <row r="132" spans="1:5" x14ac:dyDescent="0.3">
      <c r="A132" s="517"/>
      <c r="B132" s="517"/>
      <c r="C132" s="517"/>
      <c r="D132" s="517"/>
      <c r="E132" s="518"/>
    </row>
    <row r="133" spans="1:5" x14ac:dyDescent="0.3">
      <c r="A133" s="517"/>
      <c r="B133" s="517"/>
      <c r="C133" s="517"/>
      <c r="D133" s="517"/>
      <c r="E133" s="518"/>
    </row>
    <row r="134" spans="1:5" ht="14.5" x14ac:dyDescent="0.35">
      <c r="A134" s="520" t="s">
        <v>1012</v>
      </c>
      <c r="B134" s="520"/>
      <c r="C134" s="520"/>
      <c r="D134" s="520"/>
      <c r="E134" s="521">
        <f>(E128-E129-E130)+(E131+E132+E133)</f>
        <v>0</v>
      </c>
    </row>
    <row r="135" spans="1:5" x14ac:dyDescent="0.3">
      <c r="A135" s="517" t="s">
        <v>991</v>
      </c>
      <c r="B135" s="517" t="s">
        <v>991</v>
      </c>
      <c r="C135" s="517">
        <v>2400</v>
      </c>
      <c r="D135" s="517">
        <v>6200</v>
      </c>
      <c r="E135" s="518">
        <f>SUMIFS('Accounting data'!$G$2:$G$37002,'Accounting data'!$J$2:$J$37002,"24*",'Accounting data'!$K$2:$K$37002,"62*")</f>
        <v>77877</v>
      </c>
    </row>
    <row r="136" spans="1:5" x14ac:dyDescent="0.3">
      <c r="A136" s="517" t="s">
        <v>992</v>
      </c>
      <c r="B136" s="517" t="s">
        <v>991</v>
      </c>
      <c r="C136" s="517">
        <v>2400</v>
      </c>
      <c r="D136" s="517">
        <v>6200</v>
      </c>
      <c r="E136" s="518">
        <f>SUMIFS('Accounting data'!$G$2:$G$37002,'Accounting data'!$H$2:$H$37002,"9999*",'Accounting data'!$J$2:$J$37002,"24*",'Accounting data'!$K$2:$K$37002,"62*")</f>
        <v>0</v>
      </c>
    </row>
    <row r="137" spans="1:5" x14ac:dyDescent="0.3">
      <c r="A137" s="517" t="s">
        <v>991</v>
      </c>
      <c r="B137" s="517" t="s">
        <v>993</v>
      </c>
      <c r="C137" s="517">
        <v>2400</v>
      </c>
      <c r="D137" s="517">
        <v>6200</v>
      </c>
      <c r="E137" s="518">
        <f>SUMIFS('Accounting data'!$G$2:$G$37002,'Accounting data'!$I$2:$I$37002,"7*",'Accounting data'!$J$2:$J$37002,"24*",'Accounting data'!$K$2:$K$37002,"62*")+SUMIFS('Accounting data'!$G$2:$G$37002,'Accounting data'!$I$2:$I$37002,"8*",'Accounting data'!$J$2:$J$37002,"24*",'Accounting data'!$K$2:$K$37002,"62*")+SUMIFS('Accounting data'!$G$2:$G$37002,'Accounting data'!$I$2:$I$37002,"9*",'Accounting data'!$J$2:$J$37002,"24*",'Accounting data'!$K$2:$K$37002,"62*")</f>
        <v>0</v>
      </c>
    </row>
    <row r="138" spans="1:5" x14ac:dyDescent="0.3">
      <c r="A138" s="519" t="s">
        <v>992</v>
      </c>
      <c r="B138" s="517" t="s">
        <v>993</v>
      </c>
      <c r="C138" s="517">
        <v>2400</v>
      </c>
      <c r="D138" s="517">
        <v>6200</v>
      </c>
      <c r="E138" s="518">
        <f>SUMIFS('Accounting data'!$G$2:$G$37002,'Accounting data'!$H$2:$H$37002,"9999*",'Accounting data'!$I$2:$I$37002,"7*",'Accounting data'!$J$2:$J$37002,"24*",'Accounting data'!$K$2:$K$37002,"62*")+SUMIFS('Accounting data'!$G$2:$G$37002,'Accounting data'!$H$2:$H$37002,"9999*",'Accounting data'!$I$2:$I$37002,"8*",'Accounting data'!$J$2:$J$37002,"24*",'Accounting data'!$K$2:$K$37002,"62*")+SUMIFS('Accounting data'!$G$2:$G$37002,'Accounting data'!$H$2:$H$37002,"9999*",'Accounting data'!$I$2:$I$37002,"9*",'Accounting data'!$J$2:$J$37002,"24*",'Accounting data'!$K$2:$K$37002,"62*")</f>
        <v>0</v>
      </c>
    </row>
    <row r="139" spans="1:5" x14ac:dyDescent="0.3">
      <c r="A139" s="517"/>
      <c r="B139" s="517"/>
      <c r="C139" s="517"/>
      <c r="D139" s="517"/>
      <c r="E139" s="518"/>
    </row>
    <row r="140" spans="1:5" x14ac:dyDescent="0.3">
      <c r="A140" s="517"/>
      <c r="B140" s="517"/>
      <c r="C140" s="517"/>
      <c r="D140" s="517"/>
      <c r="E140" s="518"/>
    </row>
    <row r="141" spans="1:5" ht="14.5" x14ac:dyDescent="0.35">
      <c r="A141" s="520" t="s">
        <v>1013</v>
      </c>
      <c r="B141" s="520"/>
      <c r="C141" s="520"/>
      <c r="D141" s="520"/>
      <c r="E141" s="521">
        <f>(E135-E136-E137)+(E138+E139+E140)</f>
        <v>77877</v>
      </c>
    </row>
    <row r="142" spans="1:5" x14ac:dyDescent="0.3">
      <c r="A142" s="517" t="s">
        <v>991</v>
      </c>
      <c r="B142" s="517" t="s">
        <v>991</v>
      </c>
      <c r="C142" s="517">
        <v>2500</v>
      </c>
      <c r="D142" s="517">
        <v>6200</v>
      </c>
      <c r="E142" s="518">
        <f>SUMIFS('Accounting data'!$G$2:$G$37002,'Accounting data'!$J$2:$J$37002,"25*",'Accounting data'!$K$2:$K$37002,"62*")</f>
        <v>11650</v>
      </c>
    </row>
    <row r="143" spans="1:5" x14ac:dyDescent="0.3">
      <c r="A143" s="517" t="s">
        <v>992</v>
      </c>
      <c r="B143" s="517" t="s">
        <v>991</v>
      </c>
      <c r="C143" s="517">
        <v>2500</v>
      </c>
      <c r="D143" s="517">
        <v>6200</v>
      </c>
      <c r="E143" s="518">
        <f>SUMIFS('Accounting data'!$G$2:$G$37002,'Accounting data'!$H$2:$H$37002,"9999*",'Accounting data'!$J$2:$J$37002,"25*",'Accounting data'!$K$2:$K$37002,"62*")</f>
        <v>0</v>
      </c>
    </row>
    <row r="144" spans="1:5" x14ac:dyDescent="0.3">
      <c r="A144" s="517" t="s">
        <v>991</v>
      </c>
      <c r="B144" s="517" t="s">
        <v>993</v>
      </c>
      <c r="C144" s="517">
        <v>2500</v>
      </c>
      <c r="D144" s="517">
        <v>6200</v>
      </c>
      <c r="E144" s="518">
        <f>SUMIFS('Accounting data'!$G$2:$G$37002,'Accounting data'!$I$2:$I$37002,"7*",'Accounting data'!$J$2:$J$37002,"25*",'Accounting data'!$K$2:$K$37002,"62*")+SUMIFS('Accounting data'!$G$2:$G$37002,'Accounting data'!$I$2:$I$37002,"8*",'Accounting data'!$J$2:$J$37002,"25*",'Accounting data'!$K$2:$K$37002,"62*")+SUMIFS('Accounting data'!$G$2:$G$37002,'Accounting data'!$I$2:$I$37002,"9*",'Accounting data'!$J$2:$J$37002,"25*",'Accounting data'!$K$2:$K$37002,"62*")</f>
        <v>0</v>
      </c>
    </row>
    <row r="145" spans="1:5" x14ac:dyDescent="0.3">
      <c r="A145" s="519" t="s">
        <v>992</v>
      </c>
      <c r="B145" s="517" t="s">
        <v>993</v>
      </c>
      <c r="C145" s="517">
        <v>2500</v>
      </c>
      <c r="D145" s="517">
        <v>6200</v>
      </c>
      <c r="E145" s="518">
        <f>SUMIFS('Accounting data'!$G$2:$G$37002,'Accounting data'!$H$2:$H$37002,"9999*",'Accounting data'!$I$2:$I$37002,"7*",'Accounting data'!$J$2:$J$37002,"25*",'Accounting data'!$K$2:$K$37002,"62*")+SUMIFS('Accounting data'!$G$2:$G$37002,'Accounting data'!$H$2:$H$37002,"9999*",'Accounting data'!$I$2:$I$37002,"8*",'Accounting data'!$J$2:$J$37002,"25*",'Accounting data'!$K$2:$K$37002,"62*")+SUMIFS('Accounting data'!$G$2:$G$37002,'Accounting data'!$H$2:$H$37002,"9999*",'Accounting data'!$I$2:$I$37002,"9*",'Accounting data'!$J$2:$J$37002,"25*",'Accounting data'!$K$2:$K$37002,"62*")</f>
        <v>0</v>
      </c>
    </row>
    <row r="146" spans="1:5" x14ac:dyDescent="0.3">
      <c r="A146" s="517"/>
      <c r="B146" s="517"/>
      <c r="C146" s="517"/>
      <c r="D146" s="517"/>
      <c r="E146" s="518"/>
    </row>
    <row r="147" spans="1:5" x14ac:dyDescent="0.3">
      <c r="A147" s="517"/>
      <c r="B147" s="517"/>
      <c r="C147" s="517"/>
      <c r="D147" s="517"/>
      <c r="E147" s="518"/>
    </row>
    <row r="148" spans="1:5" ht="14.5" x14ac:dyDescent="0.35">
      <c r="A148" s="520" t="s">
        <v>1014</v>
      </c>
      <c r="B148" s="520"/>
      <c r="C148" s="520"/>
      <c r="D148" s="520"/>
      <c r="E148" s="521">
        <f>(E142-E143-E144)+(E145+E146+E147)</f>
        <v>11650</v>
      </c>
    </row>
    <row r="149" spans="1:5" x14ac:dyDescent="0.3">
      <c r="A149" s="517" t="s">
        <v>991</v>
      </c>
      <c r="B149" s="517" t="s">
        <v>991</v>
      </c>
      <c r="C149" s="517">
        <v>2900</v>
      </c>
      <c r="D149" s="517">
        <v>6200</v>
      </c>
      <c r="E149" s="518">
        <f>SUMIFS('Accounting data'!$G$2:$G$37002,'Accounting data'!$J$2:$J$37002,"29*",'Accounting data'!$K$2:$K$37002,"62*")</f>
        <v>752</v>
      </c>
    </row>
    <row r="150" spans="1:5" x14ac:dyDescent="0.3">
      <c r="A150" s="517" t="s">
        <v>992</v>
      </c>
      <c r="B150" s="517" t="s">
        <v>991</v>
      </c>
      <c r="C150" s="517">
        <v>2900</v>
      </c>
      <c r="D150" s="517">
        <v>6200</v>
      </c>
      <c r="E150" s="518">
        <f>SUMIFS('Accounting data'!$G$2:$G$37002,'Accounting data'!$H$2:$H$37002,"9999*",'Accounting data'!$J$2:$J$37002,"29*",'Accounting data'!$K$2:$K$37002,"62*")</f>
        <v>0</v>
      </c>
    </row>
    <row r="151" spans="1:5" x14ac:dyDescent="0.3">
      <c r="A151" s="517" t="s">
        <v>991</v>
      </c>
      <c r="B151" s="517" t="s">
        <v>993</v>
      </c>
      <c r="C151" s="517">
        <v>2900</v>
      </c>
      <c r="D151" s="517">
        <v>6200</v>
      </c>
      <c r="E151" s="518">
        <f>SUMIFS('Accounting data'!$G$2:$G$37002,'Accounting data'!$I$2:$I$37002,"7*",'Accounting data'!$J$2:$J$37002,"29*",'Accounting data'!$K$2:$K$37002,"62*")+SUMIFS('Accounting data'!$G$2:$G$37002,'Accounting data'!$I$2:$I$37002,"8*",'Accounting data'!$J$2:$J$37002,"29*",'Accounting data'!$K$2:$K$37002,"62*")+SUMIFS('Accounting data'!$G$2:$G$37002,'Accounting data'!$I$2:$I$37002,"9*",'Accounting data'!$J$2:$J$37002,"29*",'Accounting data'!$K$2:$K$37002,"62*")</f>
        <v>0</v>
      </c>
    </row>
    <row r="152" spans="1:5" x14ac:dyDescent="0.3">
      <c r="A152" s="519" t="s">
        <v>992</v>
      </c>
      <c r="B152" s="517" t="s">
        <v>993</v>
      </c>
      <c r="C152" s="517">
        <v>2900</v>
      </c>
      <c r="D152" s="517">
        <v>6200</v>
      </c>
      <c r="E152" s="518">
        <f>SUMIFS('Accounting data'!$G$2:$G$37002,'Accounting data'!$H$2:$H$37002,"9999*",'Accounting data'!$I$2:$I$37002,"7*",'Accounting data'!$J$2:$J$37002,"29*",'Accounting data'!$K$2:$K$37002,"62*")+SUMIFS('Accounting data'!$G$2:$G$37002,'Accounting data'!$H$2:$H$37002,"9999*",'Accounting data'!$I$2:$I$37002,"8*",'Accounting data'!$J$2:$J$37002,"29*",'Accounting data'!$K$2:$K$37002,"62*")+SUMIFS('Accounting data'!$G$2:$G$37002,'Accounting data'!$H$2:$H$37002,"9999*",'Accounting data'!$I$2:$I$37002,"9*",'Accounting data'!$J$2:$J$37002,"29*",'Accounting data'!$K$2:$K$37002,"62*")</f>
        <v>0</v>
      </c>
    </row>
    <row r="153" spans="1:5" x14ac:dyDescent="0.3">
      <c r="A153" s="517"/>
      <c r="B153" s="517"/>
      <c r="C153" s="517"/>
      <c r="D153" s="517"/>
      <c r="E153" s="518"/>
    </row>
    <row r="154" spans="1:5" x14ac:dyDescent="0.3">
      <c r="A154" s="517"/>
      <c r="B154" s="517"/>
      <c r="C154" s="517"/>
      <c r="D154" s="517"/>
      <c r="E154" s="518"/>
    </row>
    <row r="155" spans="1:5" ht="14.5" x14ac:dyDescent="0.35">
      <c r="A155" s="520" t="s">
        <v>1015</v>
      </c>
      <c r="B155" s="520"/>
      <c r="C155" s="520"/>
      <c r="D155" s="520"/>
      <c r="E155" s="521">
        <f>(E149-E150-E151)+(E152+E153+E154)</f>
        <v>752</v>
      </c>
    </row>
    <row r="156" spans="1:5" x14ac:dyDescent="0.3">
      <c r="A156" s="517" t="s">
        <v>991</v>
      </c>
      <c r="B156" s="517" t="s">
        <v>991</v>
      </c>
      <c r="C156" s="517">
        <v>2600</v>
      </c>
      <c r="D156" s="517">
        <v>6200</v>
      </c>
      <c r="E156" s="518">
        <f>SUMIFS('Accounting data'!$G$2:$G$37002,'Accounting data'!$J$2:$J$37002,"26*",'Accounting data'!$K$2:$K$37002,"62*")</f>
        <v>31035</v>
      </c>
    </row>
    <row r="157" spans="1:5" x14ac:dyDescent="0.3">
      <c r="A157" s="517" t="s">
        <v>992</v>
      </c>
      <c r="B157" s="517" t="s">
        <v>991</v>
      </c>
      <c r="C157" s="517">
        <v>2600</v>
      </c>
      <c r="D157" s="517">
        <v>6200</v>
      </c>
      <c r="E157" s="518">
        <f>SUMIFS('Accounting data'!$G$2:$G$37002,'Accounting data'!$H$2:$H$37002,"9999*",'Accounting data'!$J$2:$J$37002,"26*",'Accounting data'!$K$2:$K$37002,"62*")</f>
        <v>0</v>
      </c>
    </row>
    <row r="158" spans="1:5" x14ac:dyDescent="0.3">
      <c r="A158" s="517" t="s">
        <v>991</v>
      </c>
      <c r="B158" s="517" t="s">
        <v>993</v>
      </c>
      <c r="C158" s="517">
        <v>2600</v>
      </c>
      <c r="D158" s="517">
        <v>6200</v>
      </c>
      <c r="E158" s="518">
        <f>SUMIFS('Accounting data'!$G$2:$G$37002,'Accounting data'!$I$2:$I$37002,"7*",'Accounting data'!$J$2:$J$37002,"26*",'Accounting data'!$K$2:$K$37002,"62*")+SUMIFS('Accounting data'!$G$2:$G$37002,'Accounting data'!$I$2:$I$37002,"8*",'Accounting data'!$J$2:$J$37002,"26*",'Accounting data'!$K$2:$K$37002,"62*")+SUMIFS('Accounting data'!$G$2:$G$37002,'Accounting data'!$I$2:$I$37002,"9*",'Accounting data'!$J$2:$J$37002,"26*",'Accounting data'!$K$2:$K$37002,"62*")</f>
        <v>0</v>
      </c>
    </row>
    <row r="159" spans="1:5" x14ac:dyDescent="0.3">
      <c r="A159" s="519" t="s">
        <v>992</v>
      </c>
      <c r="B159" s="517" t="s">
        <v>993</v>
      </c>
      <c r="C159" s="517">
        <v>2600</v>
      </c>
      <c r="D159" s="517">
        <v>6200</v>
      </c>
      <c r="E159" s="518">
        <f>SUMIFS('Accounting data'!$G$2:$G$37002,'Accounting data'!$H$2:$H$37002,"9999*",'Accounting data'!$I$2:$I$37002,"7*",'Accounting data'!$J$2:$J$37002,"26*",'Accounting data'!$K$2:$K$37002,"62*")+SUMIFS('Accounting data'!$G$2:$G$37002,'Accounting data'!$H$2:$H$37002,"9999*",'Accounting data'!$I$2:$I$37002,"8*",'Accounting data'!$J$2:$J$37002,"26*",'Accounting data'!$K$2:$K$37002,"62*")+SUMIFS('Accounting data'!$G$2:$G$37002,'Accounting data'!$H$2:$H$37002,"9999*",'Accounting data'!$I$2:$I$37002,"9*",'Accounting data'!$J$2:$J$37002,"26*",'Accounting data'!$K$2:$K$37002,"62*")</f>
        <v>0</v>
      </c>
    </row>
    <row r="162" spans="1:5" ht="14.5" x14ac:dyDescent="0.35">
      <c r="A162" s="520" t="s">
        <v>1016</v>
      </c>
      <c r="B162" s="520"/>
      <c r="C162" s="520"/>
      <c r="D162" s="520"/>
      <c r="E162" s="521">
        <f>(E156-E157-E158)+(E159+E160+E161)</f>
        <v>31035</v>
      </c>
    </row>
    <row r="163" spans="1:5" x14ac:dyDescent="0.3">
      <c r="A163" s="517" t="s">
        <v>991</v>
      </c>
      <c r="B163" s="517" t="s">
        <v>991</v>
      </c>
      <c r="C163" s="517">
        <v>2700</v>
      </c>
      <c r="D163" s="517">
        <v>6200</v>
      </c>
      <c r="E163" s="518">
        <f>SUMIFS('Accounting data'!$G$2:$G$37002,'Accounting data'!$J$2:$J$37002,"27*",'Accounting data'!$K$2:$K$37002,"62*")</f>
        <v>515</v>
      </c>
    </row>
    <row r="164" spans="1:5" x14ac:dyDescent="0.3">
      <c r="A164" s="517" t="s">
        <v>992</v>
      </c>
      <c r="B164" s="517" t="s">
        <v>991</v>
      </c>
      <c r="C164" s="517">
        <v>2700</v>
      </c>
      <c r="D164" s="517">
        <v>6200</v>
      </c>
      <c r="E164" s="518">
        <f>SUMIFS('Accounting data'!$G$2:$G$37002,'Accounting data'!$H$2:$H$37002,"9999*",'Accounting data'!$J$2:$J$37002,"27*",'Accounting data'!$K$2:$K$37002,"62*")</f>
        <v>0</v>
      </c>
    </row>
    <row r="165" spans="1:5" x14ac:dyDescent="0.3">
      <c r="A165" s="517" t="s">
        <v>991</v>
      </c>
      <c r="B165" s="517" t="s">
        <v>993</v>
      </c>
      <c r="C165" s="517">
        <v>2700</v>
      </c>
      <c r="D165" s="517">
        <v>6200</v>
      </c>
      <c r="E165" s="518">
        <f>SUMIFS('Accounting data'!$G$2:$G$37002,'Accounting data'!$I$2:$I$37002,"7*",'Accounting data'!$J$2:$J$37002,"27*",'Accounting data'!$K$2:$K$37002,"62*")+SUMIFS('Accounting data'!$G$2:$G$37002,'Accounting data'!$I$2:$I$37002,"8*",'Accounting data'!$J$2:$J$37002,"27*",'Accounting data'!$K$2:$K$37002,"62*")+SUMIFS('Accounting data'!$G$2:$G$37002,'Accounting data'!$I$2:$I$37002,"9*",'Accounting data'!$J$2:$J$37002,"27*",'Accounting data'!$K$2:$K$37002,"62*")</f>
        <v>0</v>
      </c>
    </row>
    <row r="166" spans="1:5" x14ac:dyDescent="0.3">
      <c r="A166" s="519" t="s">
        <v>992</v>
      </c>
      <c r="B166" s="517" t="s">
        <v>993</v>
      </c>
      <c r="C166" s="517">
        <v>2700</v>
      </c>
      <c r="D166" s="517">
        <v>6200</v>
      </c>
      <c r="E166" s="518">
        <f>SUMIFS('Accounting data'!$G$2:$G$37002,'Accounting data'!$H$2:$H$37002,"9999*",'Accounting data'!$I$2:$I$37002,"7*",'Accounting data'!$J$2:$J$37002,"27*",'Accounting data'!$K$2:$K$37002,"62*")+SUMIFS('Accounting data'!$G$2:$G$37002,'Accounting data'!$H$2:$H$37002,"9999*",'Accounting data'!$I$2:$I$37002,"8*",'Accounting data'!$J$2:$J$37002,"27*",'Accounting data'!$K$2:$K$37002,"62*")+SUMIFS('Accounting data'!$G$2:$G$37002,'Accounting data'!$H$2:$H$37002,"9999*",'Accounting data'!$I$2:$I$37002,"9*",'Accounting data'!$J$2:$J$37002,"27*",'Accounting data'!$K$2:$K$37002,"62*")</f>
        <v>0</v>
      </c>
    </row>
    <row r="167" spans="1:5" x14ac:dyDescent="0.3">
      <c r="A167" s="517"/>
      <c r="B167" s="517"/>
      <c r="C167" s="517"/>
      <c r="D167" s="517"/>
      <c r="E167" s="518"/>
    </row>
    <row r="168" spans="1:5" x14ac:dyDescent="0.3">
      <c r="A168" s="517"/>
      <c r="B168" s="517"/>
      <c r="C168" s="517"/>
      <c r="D168" s="517"/>
      <c r="E168" s="518"/>
    </row>
    <row r="169" spans="1:5" ht="14.5" x14ac:dyDescent="0.35">
      <c r="A169" s="520" t="s">
        <v>1017</v>
      </c>
      <c r="B169" s="520"/>
      <c r="C169" s="520"/>
      <c r="D169" s="520"/>
      <c r="E169" s="521">
        <f>(E163-E164-E165)+(E166+E167+E168)</f>
        <v>515</v>
      </c>
    </row>
    <row r="170" spans="1:5" x14ac:dyDescent="0.3">
      <c r="A170" s="517" t="s">
        <v>991</v>
      </c>
      <c r="B170" s="517" t="s">
        <v>991</v>
      </c>
      <c r="C170" s="517">
        <v>3100</v>
      </c>
      <c r="D170" s="517">
        <v>6200</v>
      </c>
      <c r="E170" s="518">
        <f>SUMIFS('Accounting data'!$G$2:$G$37002,'Accounting data'!$J$2:$J$37002,"31*",'Accounting data'!$K$2:$K$37002,"62*")</f>
        <v>5736</v>
      </c>
    </row>
    <row r="171" spans="1:5" x14ac:dyDescent="0.3">
      <c r="A171" s="517" t="s">
        <v>992</v>
      </c>
      <c r="B171" s="517" t="s">
        <v>991</v>
      </c>
      <c r="C171" s="517">
        <v>3100</v>
      </c>
      <c r="D171" s="517">
        <v>6200</v>
      </c>
      <c r="E171" s="518">
        <f>SUMIFS('Accounting data'!$G$2:$G$37002,'Accounting data'!$H$2:$H$37002,"9999*",'Accounting data'!$J$2:$J$37002,"31*",'Accounting data'!$K$2:$K$37002,"62*")</f>
        <v>0</v>
      </c>
    </row>
    <row r="172" spans="1:5" x14ac:dyDescent="0.3">
      <c r="A172" s="517" t="s">
        <v>991</v>
      </c>
      <c r="B172" s="517" t="s">
        <v>993</v>
      </c>
      <c r="C172" s="517">
        <v>3100</v>
      </c>
      <c r="D172" s="517">
        <v>6200</v>
      </c>
      <c r="E172" s="518">
        <f>SUMIFS('Accounting data'!$G$2:$G$37002,'Accounting data'!$I$2:$I$37002,"7*",'Accounting data'!$J$2:$J$37002,"31*",'Accounting data'!$K$2:$K$37002,"62*")+SUMIFS('Accounting data'!$G$2:$G$37002,'Accounting data'!$I$2:$I$37002,"8*",'Accounting data'!$J$2:$J$37002,"31*",'Accounting data'!$K$2:$K$37002,"62*")+SUMIFS('Accounting data'!$G$2:$G$37002,'Accounting data'!$I$2:$I$37002,"9*",'Accounting data'!$J$2:$J$37002,"31*",'Accounting data'!$K$2:$K$37002,"62*")</f>
        <v>0</v>
      </c>
    </row>
    <row r="173" spans="1:5" x14ac:dyDescent="0.3">
      <c r="A173" s="519" t="s">
        <v>992</v>
      </c>
      <c r="B173" s="517" t="s">
        <v>993</v>
      </c>
      <c r="C173" s="517">
        <v>3100</v>
      </c>
      <c r="D173" s="517">
        <v>6200</v>
      </c>
      <c r="E173" s="518">
        <f>SUMIFS('Accounting data'!$G$2:$G$37002,'Accounting data'!$H$2:$H$37002,"9999*",'Accounting data'!$I$2:$I$37002,"7*",'Accounting data'!$J$2:$J$37002,"31*",'Accounting data'!$K$2:$K$37002,"62*")+SUMIFS('Accounting data'!$G$2:$G$37002,'Accounting data'!$H$2:$H$37002,"9999*",'Accounting data'!$I$2:$I$37002,"8*",'Accounting data'!$J$2:$J$37002,"31*",'Accounting data'!$K$2:$K$37002,"62*")+SUMIFS('Accounting data'!$G$2:$G$37002,'Accounting data'!$H$2:$H$37002,"9999*",'Accounting data'!$I$2:$I$37002,"9*",'Accounting data'!$J$2:$J$37002,"31*",'Accounting data'!$K$2:$K$37002,"62*")</f>
        <v>0</v>
      </c>
    </row>
    <row r="174" spans="1:5" x14ac:dyDescent="0.3">
      <c r="A174" s="517"/>
      <c r="B174" s="517"/>
      <c r="C174" s="517"/>
      <c r="D174" s="517"/>
      <c r="E174" s="518"/>
    </row>
    <row r="175" spans="1:5" x14ac:dyDescent="0.3">
      <c r="A175" s="517"/>
      <c r="B175" s="517"/>
      <c r="C175" s="517"/>
      <c r="D175" s="517"/>
      <c r="E175" s="518"/>
    </row>
    <row r="176" spans="1:5" ht="14.5" x14ac:dyDescent="0.35">
      <c r="A176" s="520" t="s">
        <v>1018</v>
      </c>
      <c r="B176" s="520"/>
      <c r="C176" s="520"/>
      <c r="D176" s="520"/>
      <c r="E176" s="521">
        <f>(E170-E171-E172)+(E173+E174+E175)</f>
        <v>5736</v>
      </c>
    </row>
    <row r="184" spans="1:5" x14ac:dyDescent="0.3">
      <c r="A184" s="517" t="s">
        <v>991</v>
      </c>
      <c r="B184" s="517" t="s">
        <v>991</v>
      </c>
      <c r="C184" s="517">
        <v>3400</v>
      </c>
      <c r="D184" s="517">
        <v>6200</v>
      </c>
      <c r="E184" s="518">
        <f>SUMIFS('Accounting data'!$G$2:$G$37002,'Accounting data'!$J$2:$J$37002,"34*",'Accounting data'!$K$2:$K$37002,"62*")</f>
        <v>0</v>
      </c>
    </row>
    <row r="185" spans="1:5" x14ac:dyDescent="0.3">
      <c r="A185" s="517" t="s">
        <v>992</v>
      </c>
      <c r="B185" s="517" t="s">
        <v>991</v>
      </c>
      <c r="C185" s="517">
        <v>3400</v>
      </c>
      <c r="D185" s="517">
        <v>6200</v>
      </c>
      <c r="E185" s="518">
        <f>SUMIFS('Accounting data'!$G$2:$G$37002,'Accounting data'!$H$2:$H$37002,"9999*",'Accounting data'!$J$2:$J$37002,"34*",'Accounting data'!$K$2:$K$37002,"62*")</f>
        <v>0</v>
      </c>
    </row>
    <row r="186" spans="1:5" x14ac:dyDescent="0.3">
      <c r="A186" s="517" t="s">
        <v>991</v>
      </c>
      <c r="B186" s="517" t="s">
        <v>993</v>
      </c>
      <c r="C186" s="517">
        <v>3400</v>
      </c>
      <c r="D186" s="517">
        <v>6200</v>
      </c>
      <c r="E186" s="518">
        <f>SUMIFS('Accounting data'!$G$2:$G$37002,'Accounting data'!$I$2:$I$37002,"7*",'Accounting data'!$J$2:$J$37002,"34*",'Accounting data'!$K$2:$K$37002,"62*")+SUMIFS('Accounting data'!$G$2:$G$37002,'Accounting data'!$I$2:$I$37002,"8*",'Accounting data'!$J$2:$J$37002,"34*",'Accounting data'!$K$2:$K$37002,"62*")+SUMIFS('Accounting data'!$G$2:$G$37002,'Accounting data'!$I$2:$I$37002,"9*",'Accounting data'!$J$2:$J$37002,"34*",'Accounting data'!$K$2:$K$37002,"62*")</f>
        <v>0</v>
      </c>
    </row>
    <row r="187" spans="1:5" x14ac:dyDescent="0.3">
      <c r="A187" s="519" t="s">
        <v>992</v>
      </c>
      <c r="B187" s="517" t="s">
        <v>993</v>
      </c>
      <c r="C187" s="517">
        <v>3400</v>
      </c>
      <c r="D187" s="517">
        <v>6200</v>
      </c>
      <c r="E187" s="518">
        <f>SUMIFS('Accounting data'!$G$2:$G$37002,'Accounting data'!$H$2:$H$37002,"9999*",'Accounting data'!$I$2:$I$37002,"7*",'Accounting data'!$J$2:$J$37002,"34*",'Accounting data'!$K$2:$K$37002,"62*")+SUMIFS('Accounting data'!$G$2:$G$37002,'Accounting data'!$H$2:$H$37002,"9999*",'Accounting data'!$I$2:$I$37002,"8*",'Accounting data'!$J$2:$J$37002,"34*",'Accounting data'!$K$2:$K$37002,"62*")+SUMIFS('Accounting data'!$G$2:$G$37002,'Accounting data'!$H$2:$H$37002,"9999*",'Accounting data'!$I$2:$I$37002,"9*",'Accounting data'!$J$2:$J$37002,"34*",'Accounting data'!$K$2:$K$37002,"62*")</f>
        <v>0</v>
      </c>
    </row>
    <row r="188" spans="1:5" x14ac:dyDescent="0.3">
      <c r="A188" s="517"/>
      <c r="B188" s="517"/>
      <c r="C188" s="517"/>
      <c r="D188" s="517"/>
      <c r="E188" s="518"/>
    </row>
    <row r="189" spans="1:5" x14ac:dyDescent="0.3">
      <c r="A189" s="517"/>
      <c r="B189" s="517"/>
      <c r="C189" s="517"/>
      <c r="D189" s="517"/>
      <c r="E189" s="518"/>
    </row>
    <row r="190" spans="1:5" ht="14.5" x14ac:dyDescent="0.35">
      <c r="A190" s="520" t="s">
        <v>1019</v>
      </c>
      <c r="B190" s="520"/>
      <c r="C190" s="520"/>
      <c r="D190" s="520"/>
      <c r="E190" s="521">
        <f>(E184-E185-E186)+(E187+E188+E189)</f>
        <v>0</v>
      </c>
    </row>
    <row r="191" spans="1:5" x14ac:dyDescent="0.3">
      <c r="A191" s="517" t="s">
        <v>991</v>
      </c>
      <c r="B191" s="517" t="s">
        <v>991</v>
      </c>
      <c r="C191" s="517">
        <v>4000</v>
      </c>
      <c r="D191" s="517">
        <v>6200</v>
      </c>
      <c r="E191" s="518">
        <f>SUMIFS('Accounting data'!$G$2:$G$37002,'Accounting data'!$J$2:$J$37002,"4*",'Accounting data'!$K$2:$K$37002,"62*")</f>
        <v>0</v>
      </c>
    </row>
    <row r="192" spans="1:5" x14ac:dyDescent="0.3">
      <c r="A192" s="517" t="s">
        <v>992</v>
      </c>
      <c r="B192" s="517" t="s">
        <v>991</v>
      </c>
      <c r="C192" s="517">
        <v>4000</v>
      </c>
      <c r="D192" s="517">
        <v>6200</v>
      </c>
      <c r="E192" s="518">
        <f>SUMIFS('Accounting data'!$G$2:$G$37002,'Accounting data'!$H$2:$H$37002,"9999*",'Accounting data'!$J$2:$J$37002,"4*",'Accounting data'!$K$2:$K$37002,"62*")</f>
        <v>0</v>
      </c>
    </row>
    <row r="193" spans="1:5" x14ac:dyDescent="0.3">
      <c r="A193" s="517" t="s">
        <v>991</v>
      </c>
      <c r="B193" s="517" t="s">
        <v>993</v>
      </c>
      <c r="C193" s="517">
        <v>4000</v>
      </c>
      <c r="D193" s="517">
        <v>6200</v>
      </c>
      <c r="E193" s="518">
        <f>SUMIFS('Accounting data'!$G$2:$G$37002,'Accounting data'!$I$2:$I$37002,"7*",'Accounting data'!$J$2:$J$37002,"4*",'Accounting data'!$K$2:$K$37002,"62*")+SUMIFS('Accounting data'!$G$2:$G$37002,'Accounting data'!$I$2:$I$37002,"8*",'Accounting data'!$J$2:$J$37002,"4*",'Accounting data'!$K$2:$K$37002,"62*")+SUMIFS('Accounting data'!$G$2:$G$37002,'Accounting data'!$I$2:$I$37002,"9*",'Accounting data'!$J$2:$J$37002,"4*",'Accounting data'!$K$2:$K$37002,"62*")</f>
        <v>0</v>
      </c>
    </row>
    <row r="194" spans="1:5" x14ac:dyDescent="0.3">
      <c r="A194" s="519" t="s">
        <v>992</v>
      </c>
      <c r="B194" s="517" t="s">
        <v>993</v>
      </c>
      <c r="C194" s="517">
        <v>4000</v>
      </c>
      <c r="D194" s="517">
        <v>6200</v>
      </c>
      <c r="E194" s="518">
        <f>SUMIFS('Accounting data'!$G$2:$G$37002,'Accounting data'!$H$2:$H$37002,"9999*",'Accounting data'!$I$2:$I$37002,"7*",'Accounting data'!$J$2:$J$37002,"4*",'Accounting data'!$K$2:$K$37002,"62*")+SUMIFS('Accounting data'!$G$2:$G$37002,'Accounting data'!$H$2:$H$37002,"9999*",'Accounting data'!$I$2:$I$37002,"8*",'Accounting data'!$J$2:$J$37002,"4*",'Accounting data'!$K$2:$K$37002,"62*")+SUMIFS('Accounting data'!$G$2:$G$37002,'Accounting data'!$H$2:$H$37002,"9999*",'Accounting data'!$I$2:$I$37002,"9*",'Accounting data'!$J$2:$J$37002,"4*",'Accounting data'!$K$2:$K$37002,"62*")</f>
        <v>0</v>
      </c>
    </row>
    <row r="195" spans="1:5" x14ac:dyDescent="0.3">
      <c r="A195" s="517"/>
      <c r="B195" s="517"/>
      <c r="C195" s="517"/>
      <c r="D195" s="517"/>
      <c r="E195" s="518"/>
    </row>
    <row r="196" spans="1:5" x14ac:dyDescent="0.3">
      <c r="A196" s="517"/>
      <c r="B196" s="517"/>
      <c r="C196" s="517"/>
      <c r="D196" s="517"/>
      <c r="E196" s="518"/>
    </row>
    <row r="197" spans="1:5" ht="14.5" x14ac:dyDescent="0.35">
      <c r="A197" s="520" t="s">
        <v>1020</v>
      </c>
      <c r="B197" s="520"/>
      <c r="C197" s="520"/>
      <c r="D197" s="520"/>
      <c r="E197" s="521">
        <f>(E191-E192-E193)+(E194+E195+E196)</f>
        <v>0</v>
      </c>
    </row>
    <row r="198" spans="1:5" ht="14.5" x14ac:dyDescent="0.35">
      <c r="A198" s="523" t="s">
        <v>1021</v>
      </c>
      <c r="B198" s="523"/>
      <c r="C198" s="523"/>
      <c r="D198" s="523"/>
      <c r="E198" s="524">
        <f>E113+E120+E127+E134+E141+E148+E155+E162+E169+E176+E183+E190</f>
        <v>284044</v>
      </c>
    </row>
    <row r="199" spans="1:5" ht="14.5" x14ac:dyDescent="0.35">
      <c r="A199" s="517" t="s">
        <v>1007</v>
      </c>
      <c r="B199" s="517" t="s">
        <v>991</v>
      </c>
      <c r="C199" s="517">
        <v>1000</v>
      </c>
      <c r="D199" s="517">
        <v>6200</v>
      </c>
      <c r="E199" s="525">
        <f>SUMIFS('Accounting data'!$G$2:$G$37002,'Accounting data'!$H$2:$H$37002,"11*",'Accounting data'!$J$2:$J$37002,"1*",'Accounting data'!$K$2:$K$37002,"62*")+SUMIFS('Accounting data'!$G$2:$G$37002,'Accounting data'!$H$2:$H$37002,"12*",'Accounting data'!$J$2:$J$37002,"1*",'Accounting data'!$K$2:$K$37002,"62*")+SUMIFS('Accounting data'!$G$2:$G$37002,'Accounting data'!$H$2:$H$37002,"13*",'Accounting data'!$J$2:$J$37002,"1*",'Accounting data'!$K$2:$K$37002,"62*")</f>
        <v>5587</v>
      </c>
    </row>
    <row r="200" spans="1:5" ht="14.5" x14ac:dyDescent="0.35">
      <c r="A200" s="517" t="s">
        <v>1007</v>
      </c>
      <c r="B200" s="517" t="s">
        <v>991</v>
      </c>
      <c r="C200" s="517">
        <v>2000</v>
      </c>
      <c r="D200" s="517">
        <v>6200</v>
      </c>
      <c r="E200" s="525">
        <f>SUMIFS('Accounting data'!$G$2:$G$37002,'Accounting data'!$H$2:$H$37002,"11*",'Accounting data'!$J$2:$J$37002,"2*",'Accounting data'!$K$2:$K$37002,"62*")+SUMIFS('Accounting data'!$G$2:$G$37002,'Accounting data'!$H$2:$H$37002,"12*",'Accounting data'!$J$2:$J$37002,"2*",'Accounting data'!$K$2:$K$37002,"62*")+SUMIFS('Accounting data'!$G$2:$G$37002,'Accounting data'!$H$2:$H$37002,"13*",'Accounting data'!$J$2:$J$37002,"2*",'Accounting data'!$K$2:$K$37002,"62*")</f>
        <v>7580</v>
      </c>
    </row>
    <row r="201" spans="1:5" ht="14.5" x14ac:dyDescent="0.35">
      <c r="A201" s="517" t="s">
        <v>1007</v>
      </c>
      <c r="B201" s="517" t="s">
        <v>991</v>
      </c>
      <c r="C201" s="517">
        <v>3000</v>
      </c>
      <c r="D201" s="517">
        <v>6200</v>
      </c>
      <c r="E201" s="525">
        <f>SUMIFS('Accounting data'!$G$2:$G$37002,'Accounting data'!$H$2:$H$37002,"11*",'Accounting data'!$J$2:$J$37002,"3*",'Accounting data'!$K$2:$K$37002,"62*")+SUMIFS('Accounting data'!$G$2:$G$37002,'Accounting data'!$H$2:$H$37002,"12*",'Accounting data'!$J$2:$J$37002,"3*",'Accounting data'!$K$2:$K$37002,"62*")+SUMIFS('Accounting data'!$G$2:$G$37002,'Accounting data'!$H$2:$H$37002,"13*",'Accounting data'!$J$2:$J$37002,"3*",'Accounting data'!$K$2:$K$37002,"62*")</f>
        <v>0</v>
      </c>
    </row>
    <row r="202" spans="1:5" ht="14.5" x14ac:dyDescent="0.35">
      <c r="A202" s="517" t="s">
        <v>1007</v>
      </c>
      <c r="B202" s="519">
        <v>700</v>
      </c>
      <c r="C202" s="517">
        <v>1000</v>
      </c>
      <c r="D202" s="517">
        <v>6200</v>
      </c>
      <c r="E202" s="525">
        <f>SUMIFS('Accounting data'!$G$2:$G$37002,'Accounting data'!$H$2:$H$37002,"11*",'Accounting data'!$I$2:$I$37002,"7*",'Accounting data'!$J$2:$J$37002,"1*",'Accounting data'!$K$2:$K$37002,"62*")+SUMIFS('Accounting data'!$G$2:$G$37002,'Accounting data'!$H$2:$H$37002,"12*",'Accounting data'!$I$2:$I$37002,"7*",'Accounting data'!$J$2:$J$37002,"1*",'Accounting data'!$K$2:$K$37002,"62*")+SUMIFS('Accounting data'!$G$2:$G$37002,'Accounting data'!$H$2:$H$37002,"13*",'Accounting data'!$I$2:$I$37002,"7*",'Accounting data'!$J$2:$J$37002,"1*",'Accounting data'!$K$2:$K$37002,"62*")</f>
        <v>0</v>
      </c>
    </row>
    <row r="203" spans="1:5" ht="14.5" x14ac:dyDescent="0.35">
      <c r="A203" s="517" t="s">
        <v>1007</v>
      </c>
      <c r="B203" s="519">
        <v>800</v>
      </c>
      <c r="C203" s="517">
        <v>1000</v>
      </c>
      <c r="D203" s="517">
        <v>6200</v>
      </c>
      <c r="E203" s="525">
        <f>SUMIFS('Accounting data'!$G$2:$G$37002,'Accounting data'!$H$2:$H$37002,"11*",'Accounting data'!$I$2:$I$37002,"8*",'Accounting data'!$J$2:$J$37002,"1*",'Accounting data'!$K$2:$K$37002,"62*")+SUMIFS('Accounting data'!$G$2:$G$37002,'Accounting data'!$H$2:$H$37002,"12*",'Accounting data'!$I$2:$I$37002,"8*",'Accounting data'!$J$2:$J$37002,"1*",'Accounting data'!$K$2:$K$37002,"62*")+SUMIFS('Accounting data'!$G$2:$G$37002,'Accounting data'!$H$2:$H$37002,"13*",'Accounting data'!$I$2:$I$37002,"8*",'Accounting data'!$J$2:$J$37002,"1*",'Accounting data'!$K$2:$K$37002,"62*")</f>
        <v>0</v>
      </c>
    </row>
    <row r="204" spans="1:5" ht="14.5" x14ac:dyDescent="0.35">
      <c r="A204" s="517" t="s">
        <v>1007</v>
      </c>
      <c r="B204" s="519">
        <v>900</v>
      </c>
      <c r="C204" s="517">
        <v>1000</v>
      </c>
      <c r="D204" s="517">
        <v>6200</v>
      </c>
      <c r="E204" s="525">
        <f>SUMIFS('Accounting data'!$G$2:$G$37002,'Accounting data'!$H$2:$H$37002,"11*",'Accounting data'!$I$2:$I$37002,"9*",'Accounting data'!$J$2:$J$37002,"1*",'Accounting data'!$K$2:$K$37002,"62*")+SUMIFS('Accounting data'!$G$2:$G$37002,'Accounting data'!$H$2:$H$37002,"12*",'Accounting data'!$I$2:$I$37002,"9*",'Accounting data'!$J$2:$J$37002,"1*",'Accounting data'!$K$2:$K$37002,"62*")+SUMIFS('Accounting data'!$G$2:$G$37002,'Accounting data'!$H$2:$H$37002,"13*",'Accounting data'!$I$2:$I$37002,"9*",'Accounting data'!$J$2:$J$37002,"1*",'Accounting data'!$K$2:$K$37002,"62*")</f>
        <v>0</v>
      </c>
    </row>
    <row r="205" spans="1:5" ht="14.5" x14ac:dyDescent="0.35">
      <c r="A205" s="517" t="s">
        <v>1007</v>
      </c>
      <c r="B205" s="519">
        <v>700</v>
      </c>
      <c r="C205" s="517">
        <v>2000</v>
      </c>
      <c r="D205" s="517">
        <v>6200</v>
      </c>
      <c r="E205" s="525">
        <f>SUMIFS('Accounting data'!$G$2:$G$37002,'Accounting data'!$H$2:$H$37002,"11*",'Accounting data'!$I$2:$I$37002,"7*",'Accounting data'!$J$2:$J$37002,"2*",'Accounting data'!$K$2:$K$37002,"62*")+SUMIFS('Accounting data'!$G$2:$G$37002,'Accounting data'!$H$2:$H$37002,"12*",'Accounting data'!$I$2:$I$37002,"7*",'Accounting data'!$J$2:$J$37002,"2*",'Accounting data'!$K$2:$K$37002,"62*")+SUMIFS('Accounting data'!$G$2:$G$37002,'Accounting data'!$H$2:$H$37002,"13*",'Accounting data'!$I$2:$I$37002,"7*",'Accounting data'!$J$2:$J$37002,"2*",'Accounting data'!$K$2:$K$37002,"62*")</f>
        <v>0</v>
      </c>
    </row>
    <row r="206" spans="1:5" ht="14.5" x14ac:dyDescent="0.35">
      <c r="A206" s="517" t="s">
        <v>1007</v>
      </c>
      <c r="B206" s="519">
        <v>800</v>
      </c>
      <c r="C206" s="517">
        <v>2000</v>
      </c>
      <c r="D206" s="517">
        <v>6200</v>
      </c>
      <c r="E206" s="525">
        <f>SUMIFS('Accounting data'!$G$2:$G$37002,'Accounting data'!$H$2:$H$37002,"11*",'Accounting data'!$I$2:$I$37002,"8*",'Accounting data'!$J$2:$J$37002,"2*",'Accounting data'!$K$2:$K$37002,"62*")+SUMIFS('Accounting data'!$G$2:$G$37002,'Accounting data'!$H$2:$H$37002,"12*",'Accounting data'!$I$2:$I$37002,"8*",'Accounting data'!$J$2:$J$37002,"2*",'Accounting data'!$K$2:$K$37002,"62*")+SUMIFS('Accounting data'!$G$2:$G$37002,'Accounting data'!$H$2:$H$37002,"13*",'Accounting data'!$I$2:$I$37002,"8*",'Accounting data'!$J$2:$J$37002,"2*",'Accounting data'!$K$2:$K$37002,"62*")</f>
        <v>0</v>
      </c>
    </row>
    <row r="207" spans="1:5" ht="14.5" x14ac:dyDescent="0.35">
      <c r="A207" s="517" t="s">
        <v>1007</v>
      </c>
      <c r="B207" s="519">
        <v>900</v>
      </c>
      <c r="C207" s="517">
        <v>2000</v>
      </c>
      <c r="D207" s="517">
        <v>6200</v>
      </c>
      <c r="E207" s="525">
        <f>SUMIFS('Accounting data'!$G$2:$G$37002,'Accounting data'!$H$2:$H$37002,"11*",'Accounting data'!$I$2:$I$37002,"9*",'Accounting data'!$J$2:$J$37002,"2*",'Accounting data'!$K$2:$K$37002,"62*")+SUMIFS('Accounting data'!$G$2:$G$37002,'Accounting data'!$H$2:$H$37002,"12*",'Accounting data'!$I$2:$I$37002,"9*",'Accounting data'!$J$2:$J$37002,"2*",'Accounting data'!$K$2:$K$37002,"62*")+SUMIFS('Accounting data'!$G$2:$G$37002,'Accounting data'!$H$2:$H$37002,"13*",'Accounting data'!$I$2:$I$37002,"9*",'Accounting data'!$J$2:$J$37002,"2*",'Accounting data'!$K$2:$K$37002,"62*")</f>
        <v>0</v>
      </c>
    </row>
    <row r="208" spans="1:5" ht="14.5" x14ac:dyDescent="0.35">
      <c r="A208" s="517" t="s">
        <v>1007</v>
      </c>
      <c r="B208" s="519">
        <v>700</v>
      </c>
      <c r="C208" s="517">
        <v>3000</v>
      </c>
      <c r="D208" s="517">
        <v>6200</v>
      </c>
      <c r="E208" s="525">
        <f>SUMIFS('Accounting data'!$G$2:$G$37002,'Accounting data'!$H$2:$H$37002,"11*",'Accounting data'!$I$2:$I$37002,"7*",'Accounting data'!$J$2:$J$37002,"3*",'Accounting data'!$K$2:$K$37002,"62*")+SUMIFS('Accounting data'!$G$2:$G$37002,'Accounting data'!$H$2:$H$37002,"12*",'Accounting data'!$I$2:$I$37002,"7*",'Accounting data'!$J$2:$J$37002,"3*",'Accounting data'!$K$2:$K$37002,"62*")+SUMIFS('Accounting data'!$G$2:$G$37002,'Accounting data'!$H$2:$H$37002,"13*",'Accounting data'!$I$2:$I$37002,"7*",'Accounting data'!$J$2:$J$37002,"3*",'Accounting data'!$K$2:$K$37002,"62*")</f>
        <v>0</v>
      </c>
    </row>
    <row r="209" spans="1:5" ht="14.5" x14ac:dyDescent="0.35">
      <c r="A209" s="517" t="s">
        <v>1007</v>
      </c>
      <c r="B209" s="519">
        <v>800</v>
      </c>
      <c r="C209" s="517">
        <v>3000</v>
      </c>
      <c r="D209" s="517">
        <v>6200</v>
      </c>
      <c r="E209" s="525">
        <f>SUMIFS('Accounting data'!$G$2:$G$37002,'Accounting data'!$H$2:$H$37002,"11*",'Accounting data'!$I$2:$I$37002,"8*",'Accounting data'!$J$2:$J$37002,"3*",'Accounting data'!$K$2:$K$37002,"62*")+SUMIFS('Accounting data'!$G$2:$G$37002,'Accounting data'!$H$2:$H$37002,"12*",'Accounting data'!$I$2:$I$37002,"8*",'Accounting data'!$J$2:$J$37002,"3*",'Accounting data'!$K$2:$K$37002,"62*")+SUMIFS('Accounting data'!$G$2:$G$37002,'Accounting data'!$H$2:$H$37002,"13*",'Accounting data'!$I$2:$I$37002,"8*",'Accounting data'!$J$2:$J$37002,"3*",'Accounting data'!$K$2:$K$37002,"62*")</f>
        <v>0</v>
      </c>
    </row>
    <row r="210" spans="1:5" ht="14.5" x14ac:dyDescent="0.35">
      <c r="A210" s="517" t="s">
        <v>1007</v>
      </c>
      <c r="B210" s="519">
        <v>900</v>
      </c>
      <c r="C210" s="517">
        <v>3000</v>
      </c>
      <c r="D210" s="517">
        <v>6200</v>
      </c>
      <c r="E210" s="525">
        <f>SUMIFS('Accounting data'!$G$2:$G$37002,'Accounting data'!$H$2:$H$37002,"11*",'Accounting data'!$I$2:$I$37002,"9*",'Accounting data'!$J$2:$J$37002,"3*",'Accounting data'!$K$2:$K$37002,"62*")+SUMIFS('Accounting data'!$G$2:$G$37002,'Accounting data'!$H$2:$H$37002,"12*",'Accounting data'!$I$2:$I$37002,"9*",'Accounting data'!$J$2:$J$37002,"3*",'Accounting data'!$K$2:$K$37002,"62*")+SUMIFS('Accounting data'!$G$2:$G$37002,'Accounting data'!$H$2:$H$37002,"13*",'Accounting data'!$I$2:$I$37002,"9*",'Accounting data'!$J$2:$J$37002,"3*",'Accounting data'!$K$2:$K$37002,"62*")</f>
        <v>0</v>
      </c>
    </row>
    <row r="211" spans="1:5" ht="14.5" x14ac:dyDescent="0.35">
      <c r="A211" s="520" t="s">
        <v>1022</v>
      </c>
      <c r="B211" s="520"/>
      <c r="C211" s="520"/>
      <c r="D211" s="520"/>
      <c r="E211" s="521">
        <f>(E199+E200+E201)-(E202+E203+E204+E205+E206+E207+E208+E209+E210)</f>
        <v>13167</v>
      </c>
    </row>
    <row r="212" spans="1:5" ht="14.5" x14ac:dyDescent="0.35">
      <c r="A212" s="517" t="s">
        <v>991</v>
      </c>
      <c r="B212" s="517" t="s">
        <v>991</v>
      </c>
      <c r="C212" s="517">
        <v>1000</v>
      </c>
      <c r="D212" s="526" t="s">
        <v>1023</v>
      </c>
      <c r="E212" s="525">
        <f>SUMIFS('Accounting data'!$G$2:$G$37002,'Accounting data'!$J$2:$J$37002,"1*",'Accounting data'!$K$2:$K$37002,"63*")+SUMIFS('Accounting data'!$G$2:$G$37002,'Accounting data'!$J$2:$J$37002,"1*",'Accounting data'!$K$2:$K$37002,"64*")+SUMIFS('Accounting data'!$G$2:$G$37002,'Accounting data'!$J$2:$J$37002,"1*",'Accounting data'!$K$2:$K$37002,"65*")</f>
        <v>43833</v>
      </c>
    </row>
    <row r="213" spans="1:5" ht="14.5" x14ac:dyDescent="0.35">
      <c r="A213" s="517" t="s">
        <v>992</v>
      </c>
      <c r="B213" s="517" t="s">
        <v>991</v>
      </c>
      <c r="C213" s="517">
        <v>1000</v>
      </c>
      <c r="D213" s="517">
        <v>6300</v>
      </c>
      <c r="E213" s="525">
        <f>SUMIFS('Accounting data'!$G$2:$G$37002,'Accounting data'!$H$2:$H$37002,"9999*",'Accounting data'!$J$2:$J$37002,"1*",'Accounting data'!$K$2:$K$37002,"63*")</f>
        <v>0</v>
      </c>
    </row>
    <row r="214" spans="1:5" ht="14.5" x14ac:dyDescent="0.35">
      <c r="A214" s="517" t="s">
        <v>992</v>
      </c>
      <c r="B214" s="517" t="s">
        <v>991</v>
      </c>
      <c r="C214" s="517">
        <v>1000</v>
      </c>
      <c r="D214" s="517">
        <v>6400</v>
      </c>
      <c r="E214" s="525">
        <f>SUMIFS('Accounting data'!$G$2:$G$37002,'Accounting data'!$H$2:$H$37002,"9999*",'Accounting data'!$J$2:$J$37002,"1*",'Accounting data'!$K$2:$K$37002,"64*")</f>
        <v>0</v>
      </c>
    </row>
    <row r="215" spans="1:5" ht="14.5" x14ac:dyDescent="0.35">
      <c r="A215" s="517" t="s">
        <v>992</v>
      </c>
      <c r="B215" s="517" t="s">
        <v>991</v>
      </c>
      <c r="C215" s="517">
        <v>1000</v>
      </c>
      <c r="D215" s="517">
        <v>6500</v>
      </c>
      <c r="E215" s="525">
        <f>SUMIFS('Accounting data'!$G$2:$G$37002,'Accounting data'!$H$2:$H$37002,"9999*",'Accounting data'!$J$2:$J$37002,"1*",'Accounting data'!$K$2:$K$37002,"65*")</f>
        <v>0</v>
      </c>
    </row>
    <row r="216" spans="1:5" ht="14.5" x14ac:dyDescent="0.35">
      <c r="A216" s="517" t="s">
        <v>991</v>
      </c>
      <c r="B216" s="517" t="s">
        <v>993</v>
      </c>
      <c r="C216" s="517">
        <v>1000</v>
      </c>
      <c r="D216" s="526" t="s">
        <v>1023</v>
      </c>
      <c r="E216" s="525">
        <f>SUMIFS('Accounting data'!$G$2:$G$37002,'Accounting data'!$I$2:$I$37002,"7*",'Accounting data'!$J$2:$J$37002,"1*",'Accounting data'!$K$2:$K$37002,"63*")+SUMIFS('Accounting data'!$G$2:$G$37002,'Accounting data'!$I$2:$I$37002,"8*",'Accounting data'!$J$2:$J$37002,"1*",'Accounting data'!$K$2:$K$37002,"63*")+SUMIFS('Accounting data'!$G$2:$G$37002,'Accounting data'!$I$2:$I$37002,"9*",'Accounting data'!$J$2:$J$37002,"1*",'Accounting data'!$K$2:$K$37002,"63*")+SUMIFS('Accounting data'!$G$2:$G$37002,'Accounting data'!$I$2:$I$37002,"7*",'Accounting data'!$J$2:$J$37002,"1*",'Accounting data'!$K$2:$K$37002,"64*")+SUMIFS('Accounting data'!$G$2:$G$37002,'Accounting data'!$I$2:$I$37002,"8*",'Accounting data'!$J$2:$J$37002,"1*",'Accounting data'!$K$2:$K$37002,"64*")+SUMIFS('Accounting data'!$G$2:$G$37002,'Accounting data'!$I$2:$I$37002,"9*",'Accounting data'!$J$2:$J$37002,"1*",'Accounting data'!$K$2:$K$37002,"64*")+SUMIFS('Accounting data'!$G$2:$G$37002,'Accounting data'!$I$2:$I$37002,"7*",'Accounting data'!$J$2:$J$37002,"1*",'Accounting data'!$K$2:$K$37002,"65*")+SUMIFS('Accounting data'!$G$2:$G$37002,'Accounting data'!$I$2:$I$37002,"8*",'Accounting data'!$J$2:$J$37002,"1*",'Accounting data'!$K$2:$K$37002,"65*")+SUMIFS('Accounting data'!$G$2:$G$37002,'Accounting data'!$I$2:$I$37002,"9*",'Accounting data'!$J$2:$J$37002,"1*",'Accounting data'!$K$2:$K$37002,"65*")</f>
        <v>0</v>
      </c>
    </row>
    <row r="217" spans="1:5" ht="14.5" x14ac:dyDescent="0.35">
      <c r="A217" s="519" t="s">
        <v>992</v>
      </c>
      <c r="B217" s="517" t="s">
        <v>993</v>
      </c>
      <c r="C217" s="517">
        <v>1000</v>
      </c>
      <c r="D217" s="517">
        <v>6300</v>
      </c>
      <c r="E217" s="525">
        <f>SUMIFS('Accounting data'!$G$2:$G$37002,'Accounting data'!$H$2:$H$37002,"9999*",'Accounting data'!$I$2:$I$37002,"7*",'Accounting data'!$J$2:$J$37002,"1*",'Accounting data'!$K$2:$K$37002,"63*")+SUMIFS('Accounting data'!$G$2:$G$37002,'Accounting data'!$H$2:$H$37002,"9999*",'Accounting data'!$I$2:$I$37002,"8*",'Accounting data'!$J$2:$J$37002,"1*",'Accounting data'!$K$2:$K$37002,"63*")+SUMIFS('Accounting data'!$G$2:$G$37002,'Accounting data'!$H$2:$H$37002,"9999*",'Accounting data'!$I$2:$I$37002,"9*",'Accounting data'!$J$2:$J$37002,"1*",'Accounting data'!$K$2:$K$37002,"63*")</f>
        <v>0</v>
      </c>
    </row>
    <row r="218" spans="1:5" ht="14.5" x14ac:dyDescent="0.35">
      <c r="A218" s="519" t="s">
        <v>992</v>
      </c>
      <c r="B218" s="517" t="s">
        <v>993</v>
      </c>
      <c r="C218" s="517">
        <v>1000</v>
      </c>
      <c r="D218" s="517">
        <v>6400</v>
      </c>
      <c r="E218" s="525">
        <f>SUMIFS('Accounting data'!$G$2:$G$37002,'Accounting data'!$H$2:$H$37002,"9999*",'Accounting data'!$I$2:$I$37002,"7*",'Accounting data'!$J$2:$J$37002,"1*",'Accounting data'!$K$2:$K$37002,"64*")+SUMIFS('Accounting data'!$G$2:$G$37002,'Accounting data'!$H$2:$H$37002,"9999*",'Accounting data'!$I$2:$I$37002,"8*",'Accounting data'!$J$2:$J$37002,"1*",'Accounting data'!$K$2:$K$37002,"64*")+SUMIFS('Accounting data'!$G$2:$G$37002,'Accounting data'!$H$2:$H$37002,"9999*",'Accounting data'!$I$2:$I$37002,"9*",'Accounting data'!$J$2:$J$37002,"1*",'Accounting data'!$K$2:$K$37002,"64*")</f>
        <v>0</v>
      </c>
    </row>
    <row r="219" spans="1:5" ht="14.5" x14ac:dyDescent="0.35">
      <c r="A219" s="519" t="s">
        <v>992</v>
      </c>
      <c r="B219" s="517" t="s">
        <v>993</v>
      </c>
      <c r="C219" s="517">
        <v>1000</v>
      </c>
      <c r="D219" s="517">
        <v>6500</v>
      </c>
      <c r="E219" s="525">
        <f>SUMIFS('Accounting data'!$G$2:$G$37002,'Accounting data'!$H$2:$H$37002,"9999*",'Accounting data'!$I$2:$I$37002,"7*",'Accounting data'!$J$2:$J$37002,"1*",'Accounting data'!$K$2:$K$37002,"65*")+SUMIFS('Accounting data'!$G$2:$G$37002,'Accounting data'!$H$2:$H$37002,"9999*",'Accounting data'!$I$2:$I$37002,"8*",'Accounting data'!$J$2:$J$37002,"1*",'Accounting data'!$K$2:$K$37002,"65*")+SUMIFS('Accounting data'!$G$2:$G$37002,'Accounting data'!$H$2:$H$37002,"9999*",'Accounting data'!$I$2:$I$37002,"9*",'Accounting data'!$J$2:$J$37002,"1*",'Accounting data'!$K$2:$K$37002,"65*")</f>
        <v>0</v>
      </c>
    </row>
    <row r="238" spans="1:5" ht="14.5" x14ac:dyDescent="0.35">
      <c r="A238" s="520" t="s">
        <v>1024</v>
      </c>
      <c r="B238" s="520"/>
      <c r="C238" s="520"/>
      <c r="D238" s="520"/>
      <c r="E238" s="521">
        <f>((E212-E213-E214-E215-E216)+(E217+E218+E219+E220+E221+E222+E223+E224+E225))-((E226-E227-E228)+(E229+E230+E231))-((E232-E233-E234)+(E235+E236+E237))</f>
        <v>43833</v>
      </c>
    </row>
    <row r="239" spans="1:5" x14ac:dyDescent="0.3">
      <c r="A239" s="517" t="s">
        <v>991</v>
      </c>
      <c r="B239" s="517" t="s">
        <v>991</v>
      </c>
      <c r="C239" s="517">
        <v>2100</v>
      </c>
      <c r="D239" s="526" t="s">
        <v>1023</v>
      </c>
      <c r="E239" s="518">
        <f>SUMIFS('Accounting data'!$G$2:$G$37002,'Accounting data'!$J$2:$J$37002,"21*",'Accounting data'!$K$2:$K$37002,"63*")+SUMIFS('Accounting data'!$G$2:$G$37002,'Accounting data'!$J$2:$J$37002,"21*",'Accounting data'!$K$2:$K$37002,"64*")+SUMIFS('Accounting data'!$G$2:$G$37002,'Accounting data'!$J$2:$J$37002,"21*",'Accounting data'!$K$2:$K$37002,"65*")</f>
        <v>36638</v>
      </c>
    </row>
    <row r="240" spans="1:5" x14ac:dyDescent="0.3">
      <c r="A240" s="517" t="s">
        <v>992</v>
      </c>
      <c r="B240" s="517" t="s">
        <v>991</v>
      </c>
      <c r="C240" s="517">
        <v>2100</v>
      </c>
      <c r="D240" s="517">
        <v>6300</v>
      </c>
      <c r="E240" s="518">
        <f>SUMIFS('Accounting data'!$G$2:$G$37002,'Accounting data'!$H$2:$H$37002,"9999*",'Accounting data'!$J$2:$J$37002,"21*",'Accounting data'!$K$2:$K$37002,"63*")</f>
        <v>0</v>
      </c>
    </row>
    <row r="241" spans="1:5" x14ac:dyDescent="0.3">
      <c r="A241" s="517" t="s">
        <v>992</v>
      </c>
      <c r="B241" s="517" t="s">
        <v>991</v>
      </c>
      <c r="C241" s="517">
        <v>2100</v>
      </c>
      <c r="D241" s="517">
        <v>6400</v>
      </c>
      <c r="E241" s="518">
        <f>SUMIFS('Accounting data'!$G$2:$G$37002,'Accounting data'!$H$2:$H$37002,"9999*",'Accounting data'!$J$2:$J$37002,"21*",'Accounting data'!$K$2:$K$37002,"64*")</f>
        <v>0</v>
      </c>
    </row>
    <row r="242" spans="1:5" x14ac:dyDescent="0.3">
      <c r="A242" s="517" t="s">
        <v>992</v>
      </c>
      <c r="B242" s="517" t="s">
        <v>991</v>
      </c>
      <c r="C242" s="517">
        <v>2100</v>
      </c>
      <c r="D242" s="517">
        <v>6500</v>
      </c>
      <c r="E242" s="518">
        <f>SUMIFS('Accounting data'!$G$2:$G$37002,'Accounting data'!$H$2:$H$37002,"9999*",'Accounting data'!$J$2:$J$37002,"21*",'Accounting data'!$K$2:$K$37002,"65*")</f>
        <v>0</v>
      </c>
    </row>
    <row r="243" spans="1:5" x14ac:dyDescent="0.3">
      <c r="A243" s="517" t="s">
        <v>991</v>
      </c>
      <c r="B243" s="517" t="s">
        <v>993</v>
      </c>
      <c r="C243" s="517">
        <v>2100</v>
      </c>
      <c r="D243" s="526" t="s">
        <v>1023</v>
      </c>
      <c r="E243" s="518">
        <f>SUMIFS('Accounting data'!$G$2:$G$37002,'Accounting data'!$I$2:$I$37002,"7*",'Accounting data'!$J$2:$J$37002,"21*",'Accounting data'!$K$2:$K$37002,"63*")+SUMIFS('Accounting data'!$G$2:$G$37002,'Accounting data'!$I$2:$I$37002,"8*",'Accounting data'!$J$2:$J$37002,"21*",'Accounting data'!$K$2:$K$37002,"63*")+SUMIFS('Accounting data'!$G$2:$G$37002,'Accounting data'!$I$2:$I$37002,"9*",'Accounting data'!$J$2:$J$37002,"21*",'Accounting data'!$K$2:$K$37002,"63*")+SUMIFS('Accounting data'!$G$2:$G$37002,'Accounting data'!$I$2:$I$37002,"7*",'Accounting data'!$J$2:$J$37002,"21*",'Accounting data'!$K$2:$K$37002,"64*")+SUMIFS('Accounting data'!$G$2:$G$37002,'Accounting data'!$I$2:$I$37002,"8*",'Accounting data'!$J$2:$J$37002,"21*",'Accounting data'!$K$2:$K$37002,"64*")+SUMIFS('Accounting data'!$G$2:$G$37002,'Accounting data'!$I$2:$I$37002,"9*",'Accounting data'!$J$2:$J$37002,"21*",'Accounting data'!$K$2:$K$37002,"64*")+SUMIFS('Accounting data'!$G$2:$G$37002,'Accounting data'!$I$2:$I$37002,"7*",'Accounting data'!$J$2:$J$37002,"21*",'Accounting data'!$K$2:$K$37002,"65*")+SUMIFS('Accounting data'!$G$2:$G$37002,'Accounting data'!$I$2:$I$37002,"8*",'Accounting data'!$J$2:$J$37002,"21*",'Accounting data'!$K$2:$K$37002,"65*")+SUMIFS('Accounting data'!$G$2:$G$37002,'Accounting data'!$I$2:$I$37002,"9*",'Accounting data'!$J$2:$J$37002,"21*",'Accounting data'!$K$2:$K$37002,"65*")</f>
        <v>0</v>
      </c>
    </row>
    <row r="244" spans="1:5" x14ac:dyDescent="0.3">
      <c r="A244" s="519" t="s">
        <v>992</v>
      </c>
      <c r="B244" s="517" t="s">
        <v>993</v>
      </c>
      <c r="C244" s="517">
        <v>2100</v>
      </c>
      <c r="D244" s="517">
        <v>6300</v>
      </c>
      <c r="E244" s="518">
        <f>SUMIFS('Accounting data'!$G$2:$G$37002,'Accounting data'!$H$2:$H$37002,"9999*",'Accounting data'!$I$2:$I$37002,"7*",'Accounting data'!$J$2:$J$37002,"21*",'Accounting data'!$K$2:$K$37002,"63*")+SUMIFS('Accounting data'!$G$2:$G$37002,'Accounting data'!$H$2:$H$37002,"9999*",'Accounting data'!$I$2:$I$37002,"8*",'Accounting data'!$J$2:$J$37002,"21*",'Accounting data'!$K$2:$K$37002,"63*")+SUMIFS('Accounting data'!$G$2:$G$37002,'Accounting data'!$H$2:$H$37002,"9999*",'Accounting data'!$I$2:$I$37002,"9*",'Accounting data'!$J$2:$J$37002,"21*",'Accounting data'!$K$2:$K$37002,"63*")</f>
        <v>0</v>
      </c>
    </row>
    <row r="245" spans="1:5" x14ac:dyDescent="0.3">
      <c r="A245" s="519" t="s">
        <v>992</v>
      </c>
      <c r="B245" s="517" t="s">
        <v>993</v>
      </c>
      <c r="C245" s="517">
        <v>2100</v>
      </c>
      <c r="D245" s="517">
        <v>6400</v>
      </c>
      <c r="E245" s="518">
        <f>SUMIFS('Accounting data'!$G$2:$G$37002,'Accounting data'!$H$2:$H$37002,"9999*",'Accounting data'!$I$2:$I$37002,"7*",'Accounting data'!$J$2:$J$37002,"21*",'Accounting data'!$K$2:$K$37002,"64*")+SUMIFS('Accounting data'!$G$2:$G$37002,'Accounting data'!$H$2:$H$37002,"9999*",'Accounting data'!$I$2:$I$37002,"8*",'Accounting data'!$J$2:$J$37002,"21*",'Accounting data'!$K$2:$K$37002,"64*")+SUMIFS('Accounting data'!$G$2:$G$37002,'Accounting data'!$H$2:$H$37002,"9999*",'Accounting data'!$I$2:$I$37002,"9*",'Accounting data'!$J$2:$J$37002,"21*",'Accounting data'!$K$2:$K$37002,"64*")</f>
        <v>0</v>
      </c>
    </row>
    <row r="246" spans="1:5" x14ac:dyDescent="0.3">
      <c r="A246" s="519" t="s">
        <v>992</v>
      </c>
      <c r="B246" s="517" t="s">
        <v>993</v>
      </c>
      <c r="C246" s="517">
        <v>2100</v>
      </c>
      <c r="D246" s="517">
        <v>6500</v>
      </c>
      <c r="E246" s="518">
        <f>SUMIFS('Accounting data'!$G$2:$G$37002,'Accounting data'!$H$2:$H$37002,"9999*",'Accounting data'!$I$2:$I$37002,"7*",'Accounting data'!$J$2:$J$37002,"21*",'Accounting data'!$K$2:$K$37002,"65*")+SUMIFS('Accounting data'!$G$2:$G$37002,'Accounting data'!$H$2:$H$37002,"9999*",'Accounting data'!$I$2:$I$37002,"8*",'Accounting data'!$J$2:$J$37002,"21*",'Accounting data'!$K$2:$K$37002,"65*")+SUMIFS('Accounting data'!$G$2:$G$37002,'Accounting data'!$H$2:$H$37002,"9999*",'Accounting data'!$I$2:$I$37002,"9*",'Accounting data'!$J$2:$J$37002,"21*",'Accounting data'!$K$2:$K$37002,"65*")</f>
        <v>0</v>
      </c>
    </row>
    <row r="265" spans="1:5" x14ac:dyDescent="0.3">
      <c r="A265" s="520" t="s">
        <v>1025</v>
      </c>
      <c r="B265" s="520"/>
      <c r="C265" s="520"/>
      <c r="D265" s="520"/>
      <c r="E265" s="522">
        <f>((E239-E240-E241-E242-E243)+(E244+E245+E246+E247+E248+E249+E250+E251+E252))-((E253-E254-E255)+(E256+E257+E258))-((E259-E260-E261)+(E262+E263+E264))</f>
        <v>36638</v>
      </c>
    </row>
    <row r="266" spans="1:5" x14ac:dyDescent="0.3">
      <c r="A266" s="517" t="s">
        <v>991</v>
      </c>
      <c r="B266" s="517" t="s">
        <v>991</v>
      </c>
      <c r="C266" s="517">
        <v>2200</v>
      </c>
      <c r="D266" s="526" t="s">
        <v>1023</v>
      </c>
      <c r="E266" s="518">
        <f>SUMIFS('Accounting data'!$G$2:$G$37002,'Accounting data'!$J$2:$J$37002,"22*",'Accounting data'!$K$2:$K$37002,"63*")+SUMIFS('Accounting data'!$G$2:$G$37002,'Accounting data'!$J$2:$J$37002,"22*",'Accounting data'!$K$2:$K$37002,"64*")+SUMIFS('Accounting data'!$G$2:$G$37002,'Accounting data'!$J$2:$J$37002,"22*",'Accounting data'!$K$2:$K$37002,"65*")</f>
        <v>6477</v>
      </c>
    </row>
    <row r="267" spans="1:5" x14ac:dyDescent="0.3">
      <c r="A267" s="517" t="s">
        <v>992</v>
      </c>
      <c r="B267" s="517" t="s">
        <v>991</v>
      </c>
      <c r="C267" s="517">
        <v>2200</v>
      </c>
      <c r="D267" s="517">
        <v>6300</v>
      </c>
      <c r="E267" s="518">
        <f>SUMIFS('Accounting data'!$G$2:$G$37002,'Accounting data'!$H$2:$H$37002,"9999*",'Accounting data'!$J$2:$J$37002,"22*",'Accounting data'!$K$2:$K$37002,"63*")</f>
        <v>0</v>
      </c>
    </row>
    <row r="268" spans="1:5" x14ac:dyDescent="0.3">
      <c r="A268" s="517" t="s">
        <v>992</v>
      </c>
      <c r="B268" s="517" t="s">
        <v>991</v>
      </c>
      <c r="C268" s="517">
        <v>2200</v>
      </c>
      <c r="D268" s="517">
        <v>6400</v>
      </c>
      <c r="E268" s="518">
        <f>SUMIFS('Accounting data'!$G$2:$G$37002,'Accounting data'!$H$2:$H$37002,"9999*",'Accounting data'!$J$2:$J$37002,"22*",'Accounting data'!$K$2:$K$37002,"64*")</f>
        <v>0</v>
      </c>
    </row>
    <row r="269" spans="1:5" x14ac:dyDescent="0.3">
      <c r="A269" s="517" t="s">
        <v>992</v>
      </c>
      <c r="B269" s="517" t="s">
        <v>991</v>
      </c>
      <c r="C269" s="517">
        <v>2200</v>
      </c>
      <c r="D269" s="517">
        <v>6500</v>
      </c>
      <c r="E269" s="518">
        <f>SUMIFS('Accounting data'!$G$2:$G$37002,'Accounting data'!$H$2:$H$37002,"9999*",'Accounting data'!$J$2:$J$37002,"22*",'Accounting data'!$K$2:$K$37002,"65*")</f>
        <v>0</v>
      </c>
    </row>
    <row r="270" spans="1:5" x14ac:dyDescent="0.3">
      <c r="A270" s="517" t="s">
        <v>991</v>
      </c>
      <c r="B270" s="517" t="s">
        <v>993</v>
      </c>
      <c r="C270" s="517">
        <v>2200</v>
      </c>
      <c r="D270" s="526" t="s">
        <v>1023</v>
      </c>
      <c r="E270" s="518">
        <f>SUMIFS('Accounting data'!$G$2:$G$37002,'Accounting data'!$I$2:$I$37002,"7*",'Accounting data'!$J$2:$J$37002,"22*",'Accounting data'!$K$2:$K$37002,"63*")+SUMIFS('Accounting data'!$G$2:$G$37002,'Accounting data'!$I$2:$I$37002,"8*",'Accounting data'!$J$2:$J$37002,"22*",'Accounting data'!$K$2:$K$37002,"63*")+SUMIFS('Accounting data'!$G$2:$G$37002,'Accounting data'!$I$2:$I$37002,"9*",'Accounting data'!$J$2:$J$37002,"22*",'Accounting data'!$K$2:$K$37002,"63*")+SUMIFS('Accounting data'!$G$2:$G$37002,'Accounting data'!$I$2:$I$37002,"7*",'Accounting data'!$J$2:$J$37002,"22*",'Accounting data'!$K$2:$K$37002,"64*")+SUMIFS('Accounting data'!$G$2:$G$37002,'Accounting data'!$I$2:$I$37002,"8*",'Accounting data'!$J$2:$J$37002,"22*",'Accounting data'!$K$2:$K$37002,"64*")+SUMIFS('Accounting data'!$G$2:$G$37002,'Accounting data'!$I$2:$I$37002,"9*",'Accounting data'!$J$2:$J$37002,"22*",'Accounting data'!$K$2:$K$37002,"64*")+SUMIFS('Accounting data'!$G$2:$G$37002,'Accounting data'!$I$2:$I$37002,"7*",'Accounting data'!$J$2:$J$37002,"22*",'Accounting data'!$K$2:$K$37002,"65*")+SUMIFS('Accounting data'!$G$2:$G$37002,'Accounting data'!$I$2:$I$37002,"8*",'Accounting data'!$J$2:$J$37002,"22*",'Accounting data'!$K$2:$K$37002,"65*")+SUMIFS('Accounting data'!$G$2:$G$37002,'Accounting data'!$I$2:$I$37002,"9*",'Accounting data'!$J$2:$J$37002,"22*",'Accounting data'!$K$2:$K$37002,"65*")</f>
        <v>0</v>
      </c>
    </row>
    <row r="271" spans="1:5" x14ac:dyDescent="0.3">
      <c r="A271" s="519" t="s">
        <v>992</v>
      </c>
      <c r="B271" s="517" t="s">
        <v>993</v>
      </c>
      <c r="C271" s="517">
        <v>2200</v>
      </c>
      <c r="D271" s="517">
        <v>6300</v>
      </c>
      <c r="E271" s="518">
        <f>SUMIFS('Accounting data'!$G$2:$G$37002,'Accounting data'!$H$2:$H$37002,"9999*",'Accounting data'!$I$2:$I$37002,"7*",'Accounting data'!$J$2:$J$37002,"22*",'Accounting data'!$K$2:$K$37002,"63*")+SUMIFS('Accounting data'!$G$2:$G$37002,'Accounting data'!$H$2:$H$37002,"9999*",'Accounting data'!$I$2:$I$37002,"8*",'Accounting data'!$J$2:$J$37002,"22*",'Accounting data'!$K$2:$K$37002,"63*")+SUMIFS('Accounting data'!$G$2:$G$37002,'Accounting data'!$H$2:$H$37002,"9999*",'Accounting data'!$I$2:$I$37002,"9*",'Accounting data'!$J$2:$J$37002,"22*",'Accounting data'!$K$2:$K$37002,"63*")</f>
        <v>0</v>
      </c>
    </row>
    <row r="272" spans="1:5" x14ac:dyDescent="0.3">
      <c r="A272" s="519" t="s">
        <v>992</v>
      </c>
      <c r="B272" s="517" t="s">
        <v>993</v>
      </c>
      <c r="C272" s="517">
        <v>2200</v>
      </c>
      <c r="D272" s="517">
        <v>6400</v>
      </c>
      <c r="E272" s="518">
        <f>SUMIFS('Accounting data'!$G$2:$G$37002,'Accounting data'!$H$2:$H$37002,"9999*",'Accounting data'!$I$2:$I$37002,"7*",'Accounting data'!$J$2:$J$37002,"22*",'Accounting data'!$K$2:$K$37002,"64*")+SUMIFS('Accounting data'!$G$2:$G$37002,'Accounting data'!$H$2:$H$37002,"9999*",'Accounting data'!$I$2:$I$37002,"8*",'Accounting data'!$J$2:$J$37002,"22*",'Accounting data'!$K$2:$K$37002,"64*")+SUMIFS('Accounting data'!$G$2:$G$37002,'Accounting data'!$H$2:$H$37002,"9999*",'Accounting data'!$I$2:$I$37002,"9*",'Accounting data'!$J$2:$J$37002,"22*",'Accounting data'!$K$2:$K$37002,"64*")</f>
        <v>0</v>
      </c>
    </row>
    <row r="273" spans="1:5" x14ac:dyDescent="0.3">
      <c r="A273" s="519" t="s">
        <v>992</v>
      </c>
      <c r="B273" s="517" t="s">
        <v>993</v>
      </c>
      <c r="C273" s="517">
        <v>2200</v>
      </c>
      <c r="D273" s="517">
        <v>6500</v>
      </c>
      <c r="E273" s="518">
        <f>SUMIFS('Accounting data'!$G$2:$G$37002,'Accounting data'!$H$2:$H$37002,"9999*",'Accounting data'!$I$2:$I$37002,"7*",'Accounting data'!$J$2:$J$37002,"22*",'Accounting data'!$K$2:$K$37002,"65*")+SUMIFS('Accounting data'!$G$2:$G$37002,'Accounting data'!$H$2:$H$37002,"9999*",'Accounting data'!$I$2:$I$37002,"8*",'Accounting data'!$J$2:$J$37002,"22*",'Accounting data'!$K$2:$K$37002,"65*")+SUMIFS('Accounting data'!$G$2:$G$37002,'Accounting data'!$H$2:$H$37002,"9999*",'Accounting data'!$I$2:$I$37002,"9*",'Accounting data'!$J$2:$J$37002,"22*",'Accounting data'!$K$2:$K$37002,"65*")</f>
        <v>0</v>
      </c>
    </row>
    <row r="292" spans="1:5" x14ac:dyDescent="0.3">
      <c r="A292" s="520" t="s">
        <v>1026</v>
      </c>
      <c r="B292" s="520"/>
      <c r="C292" s="520"/>
      <c r="D292" s="520"/>
      <c r="E292" s="522">
        <f>((E266-E267-E268-E269-E270)+(E271+E272+E273+E274+E275+E276+E277+E278+E279))-((E280-E281-E282)+(E283+E284+E285))-((E286-E287-E288)+(E289+E290+E291))</f>
        <v>6477</v>
      </c>
    </row>
    <row r="293" spans="1:5" x14ac:dyDescent="0.3">
      <c r="A293" s="517" t="s">
        <v>991</v>
      </c>
      <c r="B293" s="517" t="s">
        <v>991</v>
      </c>
      <c r="C293" s="517">
        <v>2300</v>
      </c>
      <c r="D293" s="526" t="s">
        <v>1023</v>
      </c>
      <c r="E293" s="518">
        <f>SUMIFS('Accounting data'!$G$2:$G$37002,'Accounting data'!$J$2:$J$37002,"23*",'Accounting data'!$K$2:$K$37002,"63*")+SUMIFS('Accounting data'!$G$2:$G$37002,'Accounting data'!$J$2:$J$37002,"23*",'Accounting data'!$K$2:$K$37002,"64*")+SUMIFS('Accounting data'!$G$2:$G$37002,'Accounting data'!$J$2:$J$37002,"23*",'Accounting data'!$K$2:$K$37002,"65*")</f>
        <v>9240</v>
      </c>
    </row>
    <row r="294" spans="1:5" x14ac:dyDescent="0.3">
      <c r="A294" s="517" t="s">
        <v>992</v>
      </c>
      <c r="B294" s="517" t="s">
        <v>991</v>
      </c>
      <c r="C294" s="517">
        <v>2300</v>
      </c>
      <c r="D294" s="517">
        <v>6300</v>
      </c>
      <c r="E294" s="518">
        <f>SUMIFS('Accounting data'!$G$2:$G$37002,'Accounting data'!$H$2:$H$37002,"9999*",'Accounting data'!$J$2:$J$37002,"23*",'Accounting data'!$K$2:$K$37002,"63*")</f>
        <v>0</v>
      </c>
    </row>
    <row r="295" spans="1:5" x14ac:dyDescent="0.3">
      <c r="A295" s="517" t="s">
        <v>992</v>
      </c>
      <c r="B295" s="517" t="s">
        <v>991</v>
      </c>
      <c r="C295" s="517">
        <v>2300</v>
      </c>
      <c r="D295" s="517">
        <v>6400</v>
      </c>
      <c r="E295" s="518">
        <f>SUMIFS('Accounting data'!$G$2:$G$37002,'Accounting data'!$H$2:$H$37002,"9999*",'Accounting data'!$J$2:$J$37002,"23*",'Accounting data'!$K$2:$K$37002,"64*")</f>
        <v>0</v>
      </c>
    </row>
    <row r="296" spans="1:5" x14ac:dyDescent="0.3">
      <c r="A296" s="517" t="s">
        <v>992</v>
      </c>
      <c r="B296" s="517" t="s">
        <v>991</v>
      </c>
      <c r="C296" s="517">
        <v>2300</v>
      </c>
      <c r="D296" s="517">
        <v>6500</v>
      </c>
      <c r="E296" s="518">
        <f>SUMIFS('Accounting data'!$G$2:$G$37002,'Accounting data'!$H$2:$H$37002,"9999*",'Accounting data'!$J$2:$J$37002,"23*",'Accounting data'!$K$2:$K$37002,"65*")</f>
        <v>0</v>
      </c>
    </row>
    <row r="297" spans="1:5" x14ac:dyDescent="0.3">
      <c r="A297" s="517" t="s">
        <v>991</v>
      </c>
      <c r="B297" s="517" t="s">
        <v>993</v>
      </c>
      <c r="C297" s="517">
        <v>2300</v>
      </c>
      <c r="D297" s="526" t="s">
        <v>1023</v>
      </c>
      <c r="E297" s="518">
        <f>SUMIFS('Accounting data'!$G$2:$G$37002,'Accounting data'!$I$2:$I$37002,"7*",'Accounting data'!$J$2:$J$37002,"23*",'Accounting data'!$K$2:$K$37002,"63*")+SUMIFS('Accounting data'!$G$2:$G$37002,'Accounting data'!$I$2:$I$37002,"8*",'Accounting data'!$J$2:$J$37002,"23*",'Accounting data'!$K$2:$K$37002,"63*")+SUMIFS('Accounting data'!$G$2:$G$37002,'Accounting data'!$I$2:$I$37002,"9*",'Accounting data'!$J$2:$J$37002,"23*",'Accounting data'!$K$2:$K$37002,"63*")+SUMIFS('Accounting data'!$G$2:$G$37002,'Accounting data'!$I$2:$I$37002,"7*",'Accounting data'!$J$2:$J$37002,"23*",'Accounting data'!$K$2:$K$37002,"64*")+SUMIFS('Accounting data'!$G$2:$G$37002,'Accounting data'!$I$2:$I$37002,"8*",'Accounting data'!$J$2:$J$37002,"23*",'Accounting data'!$K$2:$K$37002,"64*")+SUMIFS('Accounting data'!$G$2:$G$37002,'Accounting data'!$I$2:$I$37002,"9*",'Accounting data'!$J$2:$J$37002,"23*",'Accounting data'!$K$2:$K$37002,"64*")+SUMIFS('Accounting data'!$G$2:$G$37002,'Accounting data'!$I$2:$I$37002,"7*",'Accounting data'!$J$2:$J$37002,"23*",'Accounting data'!$K$2:$K$37002,"65*")+SUMIFS('Accounting data'!$G$2:$G$37002,'Accounting data'!$I$2:$I$37002,"8*",'Accounting data'!$J$2:$J$37002,"23*",'Accounting data'!$K$2:$K$37002,"65*")+SUMIFS('Accounting data'!$G$2:$G$37002,'Accounting data'!$I$2:$I$37002,"9*",'Accounting data'!$J$2:$J$37002,"23*",'Accounting data'!$K$2:$K$37002,"65*")</f>
        <v>0</v>
      </c>
    </row>
    <row r="298" spans="1:5" x14ac:dyDescent="0.3">
      <c r="A298" s="519" t="s">
        <v>992</v>
      </c>
      <c r="B298" s="517" t="s">
        <v>993</v>
      </c>
      <c r="C298" s="517">
        <v>2300</v>
      </c>
      <c r="D298" s="517">
        <v>6300</v>
      </c>
      <c r="E298" s="518">
        <f>SUMIFS('Accounting data'!$G$2:$G$37002,'Accounting data'!$H$2:$H$37002,"9999*",'Accounting data'!$I$2:$I$37002,"7*",'Accounting data'!$J$2:$J$37002,"23*",'Accounting data'!$K$2:$K$37002,"63*")+SUMIFS('Accounting data'!$G$2:$G$37002,'Accounting data'!$H$2:$H$37002,"9999*",'Accounting data'!$I$2:$I$37002,"8*",'Accounting data'!$J$2:$J$37002,"23*",'Accounting data'!$K$2:$K$37002,"63*")+SUMIFS('Accounting data'!$G$2:$G$37002,'Accounting data'!$H$2:$H$37002,"9999*",'Accounting data'!$I$2:$I$37002,"9*",'Accounting data'!$J$2:$J$37002,"23*",'Accounting data'!$K$2:$K$37002,"63*")</f>
        <v>0</v>
      </c>
    </row>
    <row r="299" spans="1:5" x14ac:dyDescent="0.3">
      <c r="A299" s="519" t="s">
        <v>992</v>
      </c>
      <c r="B299" s="517" t="s">
        <v>993</v>
      </c>
      <c r="C299" s="517">
        <v>2300</v>
      </c>
      <c r="D299" s="517">
        <v>6400</v>
      </c>
      <c r="E299" s="518">
        <f>SUMIFS('Accounting data'!$G$2:$G$37002,'Accounting data'!$H$2:$H$37002,"9999*",'Accounting data'!$I$2:$I$37002,"7*",'Accounting data'!$J$2:$J$37002,"23*",'Accounting data'!$K$2:$K$37002,"64*")+SUMIFS('Accounting data'!$G$2:$G$37002,'Accounting data'!$H$2:$H$37002,"9999*",'Accounting data'!$I$2:$I$37002,"8*",'Accounting data'!$J$2:$J$37002,"23*",'Accounting data'!$K$2:$K$37002,"64*")+SUMIFS('Accounting data'!$G$2:$G$37002,'Accounting data'!$H$2:$H$37002,"9999*",'Accounting data'!$I$2:$I$37002,"9*",'Accounting data'!$J$2:$J$37002,"23*",'Accounting data'!$K$2:$K$37002,"64*")</f>
        <v>0</v>
      </c>
    </row>
    <row r="300" spans="1:5" x14ac:dyDescent="0.3">
      <c r="A300" s="519" t="s">
        <v>992</v>
      </c>
      <c r="B300" s="517" t="s">
        <v>993</v>
      </c>
      <c r="C300" s="517">
        <v>2300</v>
      </c>
      <c r="D300" s="517">
        <v>6500</v>
      </c>
      <c r="E300" s="518">
        <f>SUMIFS('Accounting data'!$G$2:$G$37002,'Accounting data'!$H$2:$H$37002,"9999*",'Accounting data'!$I$2:$I$37002,"7*",'Accounting data'!$J$2:$J$37002,"23*",'Accounting data'!$K$2:$K$37002,"65*")+SUMIFS('Accounting data'!$G$2:$G$37002,'Accounting data'!$H$2:$H$37002,"9999*",'Accounting data'!$I$2:$I$37002,"8*",'Accounting data'!$J$2:$J$37002,"23*",'Accounting data'!$K$2:$K$37002,"65*")+SUMIFS('Accounting data'!$G$2:$G$37002,'Accounting data'!$H$2:$H$37002,"9999*",'Accounting data'!$I$2:$I$37002,"9*",'Accounting data'!$J$2:$J$37002,"23*",'Accounting data'!$K$2:$K$37002,"65*")</f>
        <v>0</v>
      </c>
    </row>
    <row r="319" spans="1:5" x14ac:dyDescent="0.3">
      <c r="A319" s="520" t="s">
        <v>1027</v>
      </c>
      <c r="B319" s="520"/>
      <c r="C319" s="520"/>
      <c r="D319" s="520"/>
      <c r="E319" s="522">
        <f>((E293-E294-E295-E296-E297)+(E298+E299+E300+E301+E302+E303+E304+E305+E306))-((E307-E308-E309)+(E310+E311+E312))-((E313-E314-E315)+(E316+E317+E318))</f>
        <v>9240</v>
      </c>
    </row>
    <row r="320" spans="1:5" x14ac:dyDescent="0.3">
      <c r="A320" s="517" t="s">
        <v>991</v>
      </c>
      <c r="B320" s="517" t="s">
        <v>991</v>
      </c>
      <c r="C320" s="517">
        <v>2400</v>
      </c>
      <c r="D320" s="526" t="s">
        <v>1023</v>
      </c>
      <c r="E320" s="518">
        <f>SUMIFS('Accounting data'!$G$2:$G$37002,'Accounting data'!$J$2:$J$37002,"24*",'Accounting data'!$K$2:$K$37002,"63*")+SUMIFS('Accounting data'!$G$2:$G$37002,'Accounting data'!$J$2:$J$37002,"24*",'Accounting data'!$K$2:$K$37002,"64*")+SUMIFS('Accounting data'!$G$2:$G$37002,'Accounting data'!$J$2:$J$37002,"24*",'Accounting data'!$K$2:$K$37002,"65*")</f>
        <v>11835</v>
      </c>
    </row>
    <row r="321" spans="1:5" x14ac:dyDescent="0.3">
      <c r="A321" s="517" t="s">
        <v>992</v>
      </c>
      <c r="B321" s="517" t="s">
        <v>991</v>
      </c>
      <c r="C321" s="517">
        <v>2400</v>
      </c>
      <c r="D321" s="517">
        <v>6300</v>
      </c>
      <c r="E321" s="518">
        <f>SUMIFS('Accounting data'!$G$2:$G$37002,'Accounting data'!$H$2:$H$37002,"9999*",'Accounting data'!$J$2:$J$37002,"24*",'Accounting data'!$K$2:$K$37002,"63*")</f>
        <v>0</v>
      </c>
    </row>
    <row r="322" spans="1:5" x14ac:dyDescent="0.3">
      <c r="A322" s="517" t="s">
        <v>992</v>
      </c>
      <c r="B322" s="517" t="s">
        <v>991</v>
      </c>
      <c r="C322" s="517">
        <v>2400</v>
      </c>
      <c r="D322" s="517">
        <v>6400</v>
      </c>
      <c r="E322" s="518">
        <f>SUMIFS('Accounting data'!$G$2:$G$37002,'Accounting data'!$H$2:$H$37002,"9999*",'Accounting data'!$J$2:$J$37002,"24*",'Accounting data'!$K$2:$K$37002,"64*")</f>
        <v>0</v>
      </c>
    </row>
    <row r="323" spans="1:5" x14ac:dyDescent="0.3">
      <c r="A323" s="517" t="s">
        <v>992</v>
      </c>
      <c r="B323" s="517" t="s">
        <v>991</v>
      </c>
      <c r="C323" s="517">
        <v>2400</v>
      </c>
      <c r="D323" s="517">
        <v>6500</v>
      </c>
      <c r="E323" s="518">
        <f>SUMIFS('Accounting data'!$G$2:$G$37002,'Accounting data'!$H$2:$H$37002,"9999*",'Accounting data'!$J$2:$J$37002,"24*",'Accounting data'!$K$2:$K$37002,"65*")</f>
        <v>0</v>
      </c>
    </row>
    <row r="324" spans="1:5" x14ac:dyDescent="0.3">
      <c r="A324" s="517" t="s">
        <v>991</v>
      </c>
      <c r="B324" s="517" t="s">
        <v>993</v>
      </c>
      <c r="C324" s="517">
        <v>2400</v>
      </c>
      <c r="D324" s="526" t="s">
        <v>1023</v>
      </c>
      <c r="E324" s="518">
        <f>SUMIFS('Accounting data'!$G$2:$G$37002,'Accounting data'!$I$2:$I$37002,"7*",'Accounting data'!$J$2:$J$37002,"24*",'Accounting data'!$K$2:$K$37002,"63*")+SUMIFS('Accounting data'!$G$2:$G$37002,'Accounting data'!$I$2:$I$37002,"8*",'Accounting data'!$J$2:$J$37002,"24*",'Accounting data'!$K$2:$K$37002,"63*")+SUMIFS('Accounting data'!$G$2:$G$37002,'Accounting data'!$I$2:$I$37002,"9*",'Accounting data'!$J$2:$J$37002,"24*",'Accounting data'!$K$2:$K$37002,"63*")+SUMIFS('Accounting data'!$G$2:$G$37002,'Accounting data'!$I$2:$I$37002,"7*",'Accounting data'!$J$2:$J$37002,"24*",'Accounting data'!$K$2:$K$37002,"64*")+SUMIFS('Accounting data'!$G$2:$G$37002,'Accounting data'!$I$2:$I$37002,"8*",'Accounting data'!$J$2:$J$37002,"24*",'Accounting data'!$K$2:$K$37002,"64*")+SUMIFS('Accounting data'!$G$2:$G$37002,'Accounting data'!$I$2:$I$37002,"9*",'Accounting data'!$J$2:$J$37002,"24*",'Accounting data'!$K$2:$K$37002,"64*")+SUMIFS('Accounting data'!$G$2:$G$37002,'Accounting data'!$I$2:$I$37002,"7*",'Accounting data'!$J$2:$J$37002,"24*",'Accounting data'!$K$2:$K$37002,"65*")+SUMIFS('Accounting data'!$G$2:$G$37002,'Accounting data'!$I$2:$I$37002,"8*",'Accounting data'!$J$2:$J$37002,"24*",'Accounting data'!$K$2:$K$37002,"65*")+SUMIFS('Accounting data'!$G$2:$G$37002,'Accounting data'!$I$2:$I$37002,"9*",'Accounting data'!$J$2:$J$37002,"24*",'Accounting data'!$K$2:$K$37002,"65*")</f>
        <v>0</v>
      </c>
    </row>
    <row r="325" spans="1:5" x14ac:dyDescent="0.3">
      <c r="A325" s="519" t="s">
        <v>992</v>
      </c>
      <c r="B325" s="517" t="s">
        <v>993</v>
      </c>
      <c r="C325" s="517">
        <v>2400</v>
      </c>
      <c r="D325" s="517">
        <v>6300</v>
      </c>
      <c r="E325" s="518">
        <f>SUMIFS('Accounting data'!$G$2:$G$37002,'Accounting data'!$H$2:$H$37002,"9999*",'Accounting data'!$I$2:$I$37002,"7*",'Accounting data'!$J$2:$J$37002,"24*",'Accounting data'!$K$2:$K$37002,"63*")+SUMIFS('Accounting data'!$G$2:$G$37002,'Accounting data'!$H$2:$H$37002,"9999*",'Accounting data'!$I$2:$I$37002,"8*",'Accounting data'!$J$2:$J$37002,"24*",'Accounting data'!$K$2:$K$37002,"63*")+SUMIFS('Accounting data'!$G$2:$G$37002,'Accounting data'!$H$2:$H$37002,"9999*",'Accounting data'!$I$2:$I$37002,"9*",'Accounting data'!$J$2:$J$37002,"24*",'Accounting data'!$K$2:$K$37002,"63*")</f>
        <v>0</v>
      </c>
    </row>
    <row r="326" spans="1:5" x14ac:dyDescent="0.3">
      <c r="A326" s="519" t="s">
        <v>992</v>
      </c>
      <c r="B326" s="517" t="s">
        <v>993</v>
      </c>
      <c r="C326" s="517">
        <v>2400</v>
      </c>
      <c r="D326" s="517">
        <v>6400</v>
      </c>
      <c r="E326" s="518">
        <f>SUMIFS('Accounting data'!$G$2:$G$37002,'Accounting data'!$H$2:$H$37002,"9999*",'Accounting data'!$I$2:$I$37002,"7*",'Accounting data'!$J$2:$J$37002,"24*",'Accounting data'!$K$2:$K$37002,"64*")+SUMIFS('Accounting data'!$G$2:$G$37002,'Accounting data'!$H$2:$H$37002,"9999*",'Accounting data'!$I$2:$I$37002,"8*",'Accounting data'!$J$2:$J$37002,"24*",'Accounting data'!$K$2:$K$37002,"64*")+SUMIFS('Accounting data'!$G$2:$G$37002,'Accounting data'!$H$2:$H$37002,"9999*",'Accounting data'!$I$2:$I$37002,"9*",'Accounting data'!$J$2:$J$37002,"24*",'Accounting data'!$K$2:$K$37002,"64*")</f>
        <v>0</v>
      </c>
    </row>
    <row r="327" spans="1:5" x14ac:dyDescent="0.3">
      <c r="A327" s="519" t="s">
        <v>992</v>
      </c>
      <c r="B327" s="517" t="s">
        <v>993</v>
      </c>
      <c r="C327" s="517">
        <v>2400</v>
      </c>
      <c r="D327" s="517">
        <v>6500</v>
      </c>
      <c r="E327" s="518">
        <f>SUMIFS('Accounting data'!$G$2:$G$37002,'Accounting data'!$H$2:$H$37002,"9999*",'Accounting data'!$I$2:$I$37002,"7*",'Accounting data'!$J$2:$J$37002,"24*",'Accounting data'!$K$2:$K$37002,"65*")+SUMIFS('Accounting data'!$G$2:$G$37002,'Accounting data'!$H$2:$H$37002,"9999*",'Accounting data'!$I$2:$I$37002,"8*",'Accounting data'!$J$2:$J$37002,"24*",'Accounting data'!$K$2:$K$37002,"65*")+SUMIFS('Accounting data'!$G$2:$G$37002,'Accounting data'!$H$2:$H$37002,"9999*",'Accounting data'!$I$2:$I$37002,"9*",'Accounting data'!$J$2:$J$37002,"24*",'Accounting data'!$K$2:$K$37002,"65*")</f>
        <v>0</v>
      </c>
    </row>
    <row r="346" spans="1:5" x14ac:dyDescent="0.3">
      <c r="A346" s="520" t="s">
        <v>1028</v>
      </c>
      <c r="B346" s="520"/>
      <c r="C346" s="520"/>
      <c r="D346" s="520"/>
      <c r="E346" s="522">
        <f>((E320-E321-E322-E323-E324)+(E325+E326+E327+E328+E329+E330+E331+E332+E333))-((E334-E335-E336)+(E337+E338+E339))-((E340-E341-E342)+(E343+E344+E345))</f>
        <v>11835</v>
      </c>
    </row>
    <row r="347" spans="1:5" x14ac:dyDescent="0.3">
      <c r="A347" s="517" t="s">
        <v>991</v>
      </c>
      <c r="B347" s="517" t="s">
        <v>991</v>
      </c>
      <c r="C347" s="517">
        <v>2500</v>
      </c>
      <c r="D347" s="526" t="s">
        <v>1023</v>
      </c>
      <c r="E347" s="518">
        <f>SUMIFS('Accounting data'!$G$2:$G$37002,'Accounting data'!$J$2:$J$37002,"25*",'Accounting data'!$K$2:$K$37002,"63*")+SUMIFS('Accounting data'!$G$2:$G$37002,'Accounting data'!$J$2:$J$37002,"25*",'Accounting data'!$K$2:$K$37002,"64*")+SUMIFS('Accounting data'!$G$2:$G$37002,'Accounting data'!$J$2:$J$37002,"25*",'Accounting data'!$K$2:$K$37002,"65*")</f>
        <v>143479</v>
      </c>
    </row>
    <row r="348" spans="1:5" x14ac:dyDescent="0.3">
      <c r="A348" s="517" t="s">
        <v>992</v>
      </c>
      <c r="B348" s="517" t="s">
        <v>991</v>
      </c>
      <c r="C348" s="517">
        <v>2500</v>
      </c>
      <c r="D348" s="517">
        <v>6300</v>
      </c>
      <c r="E348" s="518">
        <f>SUMIFS('Accounting data'!$G$2:$G$37002,'Accounting data'!$H$2:$H$37002,"9999*",'Accounting data'!$J$2:$J$37002,"25*",'Accounting data'!$K$2:$K$37002,"63*")</f>
        <v>0</v>
      </c>
    </row>
    <row r="349" spans="1:5" x14ac:dyDescent="0.3">
      <c r="A349" s="517" t="s">
        <v>992</v>
      </c>
      <c r="B349" s="517" t="s">
        <v>991</v>
      </c>
      <c r="C349" s="517">
        <v>2500</v>
      </c>
      <c r="D349" s="517">
        <v>6400</v>
      </c>
      <c r="E349" s="518">
        <f>SUMIFS('Accounting data'!$G$2:$G$37002,'Accounting data'!$H$2:$H$37002,"9999*",'Accounting data'!$J$2:$J$37002,"25*",'Accounting data'!$K$2:$K$37002,"64*")</f>
        <v>0</v>
      </c>
    </row>
    <row r="350" spans="1:5" x14ac:dyDescent="0.3">
      <c r="A350" s="517" t="s">
        <v>992</v>
      </c>
      <c r="B350" s="517" t="s">
        <v>991</v>
      </c>
      <c r="C350" s="517">
        <v>2500</v>
      </c>
      <c r="D350" s="517">
        <v>6500</v>
      </c>
      <c r="E350" s="518">
        <f>SUMIFS('Accounting data'!$G$2:$G$37002,'Accounting data'!$H$2:$H$37002,"9999*",'Accounting data'!$J$2:$J$37002,"25*",'Accounting data'!$K$2:$K$37002,"65*")</f>
        <v>0</v>
      </c>
    </row>
    <row r="351" spans="1:5" x14ac:dyDescent="0.3">
      <c r="A351" s="517" t="s">
        <v>991</v>
      </c>
      <c r="B351" s="517" t="s">
        <v>993</v>
      </c>
      <c r="C351" s="517">
        <v>2500</v>
      </c>
      <c r="D351" s="526" t="s">
        <v>1023</v>
      </c>
      <c r="E351" s="518">
        <f>SUMIFS('Accounting data'!$G$2:$G$37002,'Accounting data'!$I$2:$I$37002,"7*",'Accounting data'!$J$2:$J$37002,"25*",'Accounting data'!$K$2:$K$37002,"63*")+SUMIFS('Accounting data'!$G$2:$G$37002,'Accounting data'!$I$2:$I$37002,"8*",'Accounting data'!$J$2:$J$37002,"25*",'Accounting data'!$K$2:$K$37002,"63*")+SUMIFS('Accounting data'!$G$2:$G$37002,'Accounting data'!$I$2:$I$37002,"9*",'Accounting data'!$J$2:$J$37002,"25*",'Accounting data'!$K$2:$K$37002,"63*")+SUMIFS('Accounting data'!$G$2:$G$37002,'Accounting data'!$I$2:$I$37002,"7*",'Accounting data'!$J$2:$J$37002,"25*",'Accounting data'!$K$2:$K$37002,"64*")+SUMIFS('Accounting data'!$G$2:$G$37002,'Accounting data'!$I$2:$I$37002,"8*",'Accounting data'!$J$2:$J$37002,"25*",'Accounting data'!$K$2:$K$37002,"64*")+SUMIFS('Accounting data'!$G$2:$G$37002,'Accounting data'!$I$2:$I$37002,"9*",'Accounting data'!$J$2:$J$37002,"25*",'Accounting data'!$K$2:$K$37002,"64*")+SUMIFS('Accounting data'!$G$2:$G$37002,'Accounting data'!$I$2:$I$37002,"7*",'Accounting data'!$J$2:$J$37002,"25*",'Accounting data'!$K$2:$K$37002,"65*")+SUMIFS('Accounting data'!$G$2:$G$37002,'Accounting data'!$I$2:$I$37002,"8*",'Accounting data'!$J$2:$J$37002,"25*",'Accounting data'!$K$2:$K$37002,"65*")+SUMIFS('Accounting data'!$G$2:$G$37002,'Accounting data'!$I$2:$I$37002,"9*",'Accounting data'!$J$2:$J$37002,"25*",'Accounting data'!$K$2:$K$37002,"65*")</f>
        <v>0</v>
      </c>
    </row>
    <row r="352" spans="1:5" x14ac:dyDescent="0.3">
      <c r="A352" s="519" t="s">
        <v>992</v>
      </c>
      <c r="B352" s="517" t="s">
        <v>993</v>
      </c>
      <c r="C352" s="517">
        <v>2500</v>
      </c>
      <c r="D352" s="517">
        <v>6300</v>
      </c>
      <c r="E352" s="518">
        <f>SUMIFS('Accounting data'!$G$2:$G$37002,'Accounting data'!$H$2:$H$37002,"9999*",'Accounting data'!$I$2:$I$37002,"7*",'Accounting data'!$J$2:$J$37002,"25*",'Accounting data'!$K$2:$K$37002,"63*")+SUMIFS('Accounting data'!$G$2:$G$37002,'Accounting data'!$H$2:$H$37002,"9999*",'Accounting data'!$I$2:$I$37002,"8*",'Accounting data'!$J$2:$J$37002,"25*",'Accounting data'!$K$2:$K$37002,"63*")+SUMIFS('Accounting data'!$G$2:$G$37002,'Accounting data'!$H$2:$H$37002,"9999*",'Accounting data'!$I$2:$I$37002,"9*",'Accounting data'!$J$2:$J$37002,"25*",'Accounting data'!$K$2:$K$37002,"63*")</f>
        <v>0</v>
      </c>
    </row>
    <row r="353" spans="1:5" x14ac:dyDescent="0.3">
      <c r="A353" s="519" t="s">
        <v>992</v>
      </c>
      <c r="B353" s="517" t="s">
        <v>993</v>
      </c>
      <c r="C353" s="517">
        <v>2500</v>
      </c>
      <c r="D353" s="517">
        <v>6400</v>
      </c>
      <c r="E353" s="518">
        <f>SUMIFS('Accounting data'!$G$2:$G$37002,'Accounting data'!$H$2:$H$37002,"9999*",'Accounting data'!$I$2:$I$37002,"7*",'Accounting data'!$J$2:$J$37002,"25*",'Accounting data'!$K$2:$K$37002,"64*")+SUMIFS('Accounting data'!$G$2:$G$37002,'Accounting data'!$H$2:$H$37002,"9999*",'Accounting data'!$I$2:$I$37002,"8*",'Accounting data'!$J$2:$J$37002,"25*",'Accounting data'!$K$2:$K$37002,"64*")+SUMIFS('Accounting data'!$G$2:$G$37002,'Accounting data'!$H$2:$H$37002,"9999*",'Accounting data'!$I$2:$I$37002,"9*",'Accounting data'!$J$2:$J$37002,"25*",'Accounting data'!$K$2:$K$37002,"64*")</f>
        <v>0</v>
      </c>
    </row>
    <row r="354" spans="1:5" x14ac:dyDescent="0.3">
      <c r="A354" s="519" t="s">
        <v>992</v>
      </c>
      <c r="B354" s="517" t="s">
        <v>993</v>
      </c>
      <c r="C354" s="517">
        <v>2500</v>
      </c>
      <c r="D354" s="517">
        <v>6500</v>
      </c>
      <c r="E354" s="518">
        <f>SUMIFS('Accounting data'!$G$2:$G$37002,'Accounting data'!$H$2:$H$37002,"9999*",'Accounting data'!$I$2:$I$37002,"7*",'Accounting data'!$J$2:$J$37002,"25*",'Accounting data'!$K$2:$K$37002,"65*")+SUMIFS('Accounting data'!$G$2:$G$37002,'Accounting data'!$H$2:$H$37002,"9999*",'Accounting data'!$I$2:$I$37002,"8*",'Accounting data'!$J$2:$J$37002,"25*",'Accounting data'!$K$2:$K$37002,"65*")+SUMIFS('Accounting data'!$G$2:$G$37002,'Accounting data'!$H$2:$H$37002,"9999*",'Accounting data'!$I$2:$I$37002,"9*",'Accounting data'!$J$2:$J$37002,"25*",'Accounting data'!$K$2:$K$37002,"65*")</f>
        <v>0</v>
      </c>
    </row>
    <row r="373" spans="1:5" x14ac:dyDescent="0.3">
      <c r="A373" s="520" t="s">
        <v>1029</v>
      </c>
      <c r="B373" s="520"/>
      <c r="C373" s="520"/>
      <c r="D373" s="520"/>
      <c r="E373" s="522">
        <f>((E347-E348-E349-E350-E351)+(E352+E353+E354+E355+E356+E357+E358+E359+E360))-((E361-E362-E363)+(E364+E365+E366))-((E367-E368-E369)+(E370+E371+E372))</f>
        <v>143479</v>
      </c>
    </row>
    <row r="374" spans="1:5" x14ac:dyDescent="0.3">
      <c r="A374" s="517" t="s">
        <v>991</v>
      </c>
      <c r="B374" s="517" t="s">
        <v>991</v>
      </c>
      <c r="C374" s="517">
        <v>2900</v>
      </c>
      <c r="D374" s="526" t="s">
        <v>1023</v>
      </c>
      <c r="E374" s="518">
        <f>SUMIFS('Accounting data'!$G$2:$G$37002,'Accounting data'!$J$2:$J$37002,"29*",'Accounting data'!$K$2:$K$37002,"63*")+SUMIFS('Accounting data'!$G$2:$G$37002,'Accounting data'!$J$2:$J$37002,"29*",'Accounting data'!$K$2:$K$37002,"64*")+SUMIFS('Accounting data'!$G$2:$G$37002,'Accounting data'!$J$2:$J$37002,"29*",'Accounting data'!$K$2:$K$37002,"65*")</f>
        <v>300</v>
      </c>
    </row>
    <row r="375" spans="1:5" x14ac:dyDescent="0.3">
      <c r="A375" s="517" t="s">
        <v>992</v>
      </c>
      <c r="B375" s="517" t="s">
        <v>991</v>
      </c>
      <c r="C375" s="517">
        <v>2900</v>
      </c>
      <c r="D375" s="517">
        <v>6300</v>
      </c>
      <c r="E375" s="518">
        <f>SUMIFS('Accounting data'!$G$2:$G$37002,'Accounting data'!$H$2:$H$37002,"9999*",'Accounting data'!$J$2:$J$37002,"29*",'Accounting data'!$K$2:$K$37002,"63*")</f>
        <v>0</v>
      </c>
    </row>
    <row r="376" spans="1:5" x14ac:dyDescent="0.3">
      <c r="A376" s="517" t="s">
        <v>992</v>
      </c>
      <c r="B376" s="517" t="s">
        <v>991</v>
      </c>
      <c r="C376" s="517">
        <v>2900</v>
      </c>
      <c r="D376" s="517">
        <v>6400</v>
      </c>
      <c r="E376" s="518">
        <f>SUMIFS('Accounting data'!$G$2:$G$37002,'Accounting data'!$H$2:$H$37002,"9999*",'Accounting data'!$J$2:$J$37002,"29*",'Accounting data'!$K$2:$K$37002,"64*")</f>
        <v>0</v>
      </c>
    </row>
    <row r="377" spans="1:5" x14ac:dyDescent="0.3">
      <c r="A377" s="517" t="s">
        <v>992</v>
      </c>
      <c r="B377" s="517" t="s">
        <v>991</v>
      </c>
      <c r="C377" s="517">
        <v>2900</v>
      </c>
      <c r="D377" s="517">
        <v>6500</v>
      </c>
      <c r="E377" s="518">
        <f>SUMIFS('Accounting data'!$G$2:$G$37002,'Accounting data'!$H$2:$H$37002,"9999*",'Accounting data'!$J$2:$J$37002,"29*",'Accounting data'!$K$2:$K$37002,"65*")</f>
        <v>0</v>
      </c>
    </row>
    <row r="378" spans="1:5" x14ac:dyDescent="0.3">
      <c r="A378" s="517" t="s">
        <v>991</v>
      </c>
      <c r="B378" s="517" t="s">
        <v>993</v>
      </c>
      <c r="C378" s="517">
        <v>2900</v>
      </c>
      <c r="D378" s="526" t="s">
        <v>1023</v>
      </c>
      <c r="E378" s="518">
        <f>SUMIFS('Accounting data'!$G$2:$G$37002,'Accounting data'!$I$2:$I$37002,"7*",'Accounting data'!$J$2:$J$37002,"29*",'Accounting data'!$K$2:$K$37002,"63*")+SUMIFS('Accounting data'!$G$2:$G$37002,'Accounting data'!$I$2:$I$37002,"8*",'Accounting data'!$J$2:$J$37002,"29*",'Accounting data'!$K$2:$K$37002,"63*")+SUMIFS('Accounting data'!$G$2:$G$37002,'Accounting data'!$I$2:$I$37002,"9*",'Accounting data'!$J$2:$J$37002,"29*",'Accounting data'!$K$2:$K$37002,"63*")+SUMIFS('Accounting data'!$G$2:$G$37002,'Accounting data'!$I$2:$I$37002,"7*",'Accounting data'!$J$2:$J$37002,"29*",'Accounting data'!$K$2:$K$37002,"64*")+SUMIFS('Accounting data'!$G$2:$G$37002,'Accounting data'!$I$2:$I$37002,"8*",'Accounting data'!$J$2:$J$37002,"29*",'Accounting data'!$K$2:$K$37002,"64*")+SUMIFS('Accounting data'!$G$2:$G$37002,'Accounting data'!$I$2:$I$37002,"9*",'Accounting data'!$J$2:$J$37002,"29*",'Accounting data'!$K$2:$K$37002,"64*")+SUMIFS('Accounting data'!$G$2:$G$37002,'Accounting data'!$I$2:$I$37002,"7*",'Accounting data'!$J$2:$J$37002,"29*",'Accounting data'!$K$2:$K$37002,"65*")+SUMIFS('Accounting data'!$G$2:$G$37002,'Accounting data'!$I$2:$I$37002,"8*",'Accounting data'!$J$2:$J$37002,"29*",'Accounting data'!$K$2:$K$37002,"65*")+SUMIFS('Accounting data'!$G$2:$G$37002,'Accounting data'!$I$2:$I$37002,"9*",'Accounting data'!$J$2:$J$37002,"29*",'Accounting data'!$K$2:$K$37002,"65*")</f>
        <v>0</v>
      </c>
    </row>
    <row r="379" spans="1:5" x14ac:dyDescent="0.3">
      <c r="A379" s="519" t="s">
        <v>992</v>
      </c>
      <c r="B379" s="517" t="s">
        <v>993</v>
      </c>
      <c r="C379" s="517">
        <v>2900</v>
      </c>
      <c r="D379" s="517">
        <v>6300</v>
      </c>
      <c r="E379" s="518">
        <f>SUMIFS('Accounting data'!$G$2:$G$37002,'Accounting data'!$H$2:$H$37002,"9999*",'Accounting data'!$I$2:$I$37002,"7*",'Accounting data'!$J$2:$J$37002,"29*",'Accounting data'!$K$2:$K$37002,"63*")+SUMIFS('Accounting data'!$G$2:$G$37002,'Accounting data'!$H$2:$H$37002,"9999*",'Accounting data'!$I$2:$I$37002,"8*",'Accounting data'!$J$2:$J$37002,"29*",'Accounting data'!$K$2:$K$37002,"63*")+SUMIFS('Accounting data'!$G$2:$G$37002,'Accounting data'!$H$2:$H$37002,"9999*",'Accounting data'!$I$2:$I$37002,"9*",'Accounting data'!$J$2:$J$37002,"29*",'Accounting data'!$K$2:$K$37002,"63*")</f>
        <v>0</v>
      </c>
    </row>
    <row r="380" spans="1:5" x14ac:dyDescent="0.3">
      <c r="A380" s="519" t="s">
        <v>992</v>
      </c>
      <c r="B380" s="517" t="s">
        <v>993</v>
      </c>
      <c r="C380" s="517">
        <v>2900</v>
      </c>
      <c r="D380" s="517">
        <v>6400</v>
      </c>
      <c r="E380" s="518">
        <f>SUMIFS('Accounting data'!$G$2:$G$37002,'Accounting data'!$H$2:$H$37002,"9999*",'Accounting data'!$I$2:$I$37002,"7*",'Accounting data'!$J$2:$J$37002,"29*",'Accounting data'!$K$2:$K$37002,"64*")+SUMIFS('Accounting data'!$G$2:$G$37002,'Accounting data'!$H$2:$H$37002,"9999*",'Accounting data'!$I$2:$I$37002,"8*",'Accounting data'!$J$2:$J$37002,"29*",'Accounting data'!$K$2:$K$37002,"64*")+SUMIFS('Accounting data'!$G$2:$G$37002,'Accounting data'!$H$2:$H$37002,"9999*",'Accounting data'!$I$2:$I$37002,"9*",'Accounting data'!$J$2:$J$37002,"29*",'Accounting data'!$K$2:$K$37002,"64*")</f>
        <v>0</v>
      </c>
    </row>
    <row r="381" spans="1:5" x14ac:dyDescent="0.3">
      <c r="A381" s="519" t="s">
        <v>992</v>
      </c>
      <c r="B381" s="517" t="s">
        <v>993</v>
      </c>
      <c r="C381" s="517">
        <v>2900</v>
      </c>
      <c r="D381" s="517">
        <v>6500</v>
      </c>
      <c r="E381" s="518">
        <f>SUMIFS('Accounting data'!$G$2:$G$37002,'Accounting data'!$H$2:$H$37002,"9999*",'Accounting data'!$I$2:$I$37002,"7*",'Accounting data'!$J$2:$J$37002,"29*",'Accounting data'!$K$2:$K$37002,"65*")+SUMIFS('Accounting data'!$G$2:$G$37002,'Accounting data'!$H$2:$H$37002,"9999*",'Accounting data'!$I$2:$I$37002,"8*",'Accounting data'!$J$2:$J$37002,"29*",'Accounting data'!$K$2:$K$37002,"65*")+SUMIFS('Accounting data'!$G$2:$G$37002,'Accounting data'!$H$2:$H$37002,"9999*",'Accounting data'!$I$2:$I$37002,"9*",'Accounting data'!$J$2:$J$37002,"29*",'Accounting data'!$K$2:$K$37002,"65*")</f>
        <v>0</v>
      </c>
    </row>
    <row r="400" spans="1:5" x14ac:dyDescent="0.3">
      <c r="A400" s="520" t="s">
        <v>1030</v>
      </c>
      <c r="B400" s="520"/>
      <c r="C400" s="520"/>
      <c r="D400" s="520"/>
      <c r="E400" s="522">
        <f>((E374-E375-E376-E377-E378)+(E379+E380+E381+E382+E383+E384+E385+E386+E387))-((E388-E389-E390)+(E391+E392+E393))-((E394-E395-E396)+(E397+E398+E399))</f>
        <v>300</v>
      </c>
    </row>
    <row r="401" spans="1:5" x14ac:dyDescent="0.3">
      <c r="A401" s="517" t="s">
        <v>991</v>
      </c>
      <c r="B401" s="517" t="s">
        <v>991</v>
      </c>
      <c r="C401" s="517">
        <v>2600</v>
      </c>
      <c r="D401" s="526" t="s">
        <v>1023</v>
      </c>
      <c r="E401" s="518">
        <f>SUMIFS('Accounting data'!$G$2:$G$37002,'Accounting data'!$J$2:$J$37002,"26*",'Accounting data'!$K$2:$K$37002,"63*")+SUMIFS('Accounting data'!$G$2:$G$37002,'Accounting data'!$J$2:$J$37002,"26*",'Accounting data'!$K$2:$K$37002,"64*")+SUMIFS('Accounting data'!$G$2:$G$37002,'Accounting data'!$J$2:$J$37002,"26*",'Accounting data'!$K$2:$K$37002,"65*")</f>
        <v>406134</v>
      </c>
    </row>
    <row r="402" spans="1:5" x14ac:dyDescent="0.3">
      <c r="A402" s="517" t="s">
        <v>992</v>
      </c>
      <c r="B402" s="517" t="s">
        <v>991</v>
      </c>
      <c r="C402" s="517">
        <v>2600</v>
      </c>
      <c r="D402" s="517">
        <v>6300</v>
      </c>
      <c r="E402" s="518">
        <f>SUMIFS('Accounting data'!$G$2:$G$37002,'Accounting data'!$H$2:$H$37002,"9999*",'Accounting data'!$J$2:$J$37002,"26*",'Accounting data'!$K$2:$K$37002,"63*")</f>
        <v>0</v>
      </c>
    </row>
    <row r="403" spans="1:5" x14ac:dyDescent="0.3">
      <c r="A403" s="517" t="s">
        <v>992</v>
      </c>
      <c r="B403" s="517" t="s">
        <v>991</v>
      </c>
      <c r="C403" s="517">
        <v>2600</v>
      </c>
      <c r="D403" s="517">
        <v>6400</v>
      </c>
      <c r="E403" s="518">
        <f>SUMIFS('Accounting data'!$G$2:$G$37002,'Accounting data'!$H$2:$H$37002,"9999*",'Accounting data'!$J$2:$J$37002,"26*",'Accounting data'!$K$2:$K$37002,"64*")</f>
        <v>0</v>
      </c>
    </row>
    <row r="404" spans="1:5" x14ac:dyDescent="0.3">
      <c r="A404" s="517" t="s">
        <v>992</v>
      </c>
      <c r="B404" s="517" t="s">
        <v>991</v>
      </c>
      <c r="C404" s="517">
        <v>2600</v>
      </c>
      <c r="D404" s="517">
        <v>6500</v>
      </c>
      <c r="E404" s="518">
        <f>SUMIFS('Accounting data'!$G$2:$G$37002,'Accounting data'!$H$2:$H$37002,"9999*",'Accounting data'!$J$2:$J$37002,"26*",'Accounting data'!$K$2:$K$37002,"65*")</f>
        <v>0</v>
      </c>
    </row>
    <row r="405" spans="1:5" x14ac:dyDescent="0.3">
      <c r="A405" s="517" t="s">
        <v>991</v>
      </c>
      <c r="B405" s="517" t="s">
        <v>993</v>
      </c>
      <c r="C405" s="517">
        <v>2600</v>
      </c>
      <c r="D405" s="526" t="s">
        <v>1023</v>
      </c>
      <c r="E405" s="518">
        <f>SUMIFS('Accounting data'!$G$2:$G$37002,'Accounting data'!$I$2:$I$37002,"7*",'Accounting data'!$J$2:$J$37002,"26*",'Accounting data'!$K$2:$K$37002,"63*")+SUMIFS('Accounting data'!$G$2:$G$37002,'Accounting data'!$I$2:$I$37002,"8*",'Accounting data'!$J$2:$J$37002,"26*",'Accounting data'!$K$2:$K$37002,"63*")+SUMIFS('Accounting data'!$G$2:$G$37002,'Accounting data'!$I$2:$I$37002,"9*",'Accounting data'!$J$2:$J$37002,"26*",'Accounting data'!$K$2:$K$37002,"63*")+SUMIFS('Accounting data'!$G$2:$G$37002,'Accounting data'!$I$2:$I$37002,"7*",'Accounting data'!$J$2:$J$37002,"26*",'Accounting data'!$K$2:$K$37002,"64*")+SUMIFS('Accounting data'!$G$2:$G$37002,'Accounting data'!$I$2:$I$37002,"8*",'Accounting data'!$J$2:$J$37002,"26*",'Accounting data'!$K$2:$K$37002,"64*")+SUMIFS('Accounting data'!$G$2:$G$37002,'Accounting data'!$I$2:$I$37002,"9*",'Accounting data'!$J$2:$J$37002,"26*",'Accounting data'!$K$2:$K$37002,"64*")+SUMIFS('Accounting data'!$G$2:$G$37002,'Accounting data'!$I$2:$I$37002,"7*",'Accounting data'!$J$2:$J$37002,"26*",'Accounting data'!$K$2:$K$37002,"65*")+SUMIFS('Accounting data'!$G$2:$G$37002,'Accounting data'!$I$2:$I$37002,"8*",'Accounting data'!$J$2:$J$37002,"26*",'Accounting data'!$K$2:$K$37002,"65*")+SUMIFS('Accounting data'!$G$2:$G$37002,'Accounting data'!$I$2:$I$37002,"9*",'Accounting data'!$J$2:$J$37002,"26*",'Accounting data'!$K$2:$K$37002,"65*")</f>
        <v>0</v>
      </c>
    </row>
    <row r="406" spans="1:5" x14ac:dyDescent="0.3">
      <c r="A406" s="519" t="s">
        <v>992</v>
      </c>
      <c r="B406" s="517" t="s">
        <v>993</v>
      </c>
      <c r="C406" s="517">
        <v>2600</v>
      </c>
      <c r="D406" s="517">
        <v>6300</v>
      </c>
      <c r="E406" s="518">
        <f>SUMIFS('Accounting data'!$G$2:$G$37002,'Accounting data'!$H$2:$H$37002,"9999*",'Accounting data'!$I$2:$I$37002,"7*",'Accounting data'!$J$2:$J$37002,"26*",'Accounting data'!$K$2:$K$37002,"63*")+SUMIFS('Accounting data'!$G$2:$G$37002,'Accounting data'!$H$2:$H$37002,"9999*",'Accounting data'!$I$2:$I$37002,"8*",'Accounting data'!$J$2:$J$37002,"26*",'Accounting data'!$K$2:$K$37002,"63*")+SUMIFS('Accounting data'!$G$2:$G$37002,'Accounting data'!$H$2:$H$37002,"9999*",'Accounting data'!$I$2:$I$37002,"9*",'Accounting data'!$J$2:$J$37002,"26*",'Accounting data'!$K$2:$K$37002,"63*")</f>
        <v>0</v>
      </c>
    </row>
    <row r="407" spans="1:5" x14ac:dyDescent="0.3">
      <c r="A407" s="519" t="s">
        <v>992</v>
      </c>
      <c r="B407" s="517" t="s">
        <v>993</v>
      </c>
      <c r="C407" s="517">
        <v>2600</v>
      </c>
      <c r="D407" s="517">
        <v>6400</v>
      </c>
      <c r="E407" s="518">
        <f>SUMIFS('Accounting data'!$G$2:$G$37002,'Accounting data'!$H$2:$H$37002,"9999*",'Accounting data'!$I$2:$I$37002,"7*",'Accounting data'!$J$2:$J$37002,"26*",'Accounting data'!$K$2:$K$37002,"64*")+SUMIFS('Accounting data'!$G$2:$G$37002,'Accounting data'!$H$2:$H$37002,"9999*",'Accounting data'!$I$2:$I$37002,"8*",'Accounting data'!$J$2:$J$37002,"26*",'Accounting data'!$K$2:$K$37002,"64*")+SUMIFS('Accounting data'!$G$2:$G$37002,'Accounting data'!$H$2:$H$37002,"9999*",'Accounting data'!$I$2:$I$37002,"9*",'Accounting data'!$J$2:$J$37002,"26*",'Accounting data'!$K$2:$K$37002,"64*")</f>
        <v>0</v>
      </c>
    </row>
    <row r="408" spans="1:5" x14ac:dyDescent="0.3">
      <c r="A408" s="519" t="s">
        <v>992</v>
      </c>
      <c r="B408" s="517" t="s">
        <v>993</v>
      </c>
      <c r="C408" s="517">
        <v>2600</v>
      </c>
      <c r="D408" s="517">
        <v>6500</v>
      </c>
      <c r="E408" s="518">
        <f>SUMIFS('Accounting data'!$G$2:$G$37002,'Accounting data'!$H$2:$H$37002,"9999*",'Accounting data'!$I$2:$I$37002,"7*",'Accounting data'!$J$2:$J$37002,"26*",'Accounting data'!$K$2:$K$37002,"65*")+SUMIFS('Accounting data'!$G$2:$G$37002,'Accounting data'!$H$2:$H$37002,"9999*",'Accounting data'!$I$2:$I$37002,"8*",'Accounting data'!$J$2:$J$37002,"26*",'Accounting data'!$K$2:$K$37002,"65*")+SUMIFS('Accounting data'!$G$2:$G$37002,'Accounting data'!$H$2:$H$37002,"9999*",'Accounting data'!$I$2:$I$37002,"9*",'Accounting data'!$J$2:$J$37002,"26*",'Accounting data'!$K$2:$K$37002,"65*")</f>
        <v>0</v>
      </c>
    </row>
    <row r="427" spans="1:5" x14ac:dyDescent="0.3">
      <c r="A427" s="520" t="s">
        <v>1031</v>
      </c>
      <c r="B427" s="520"/>
      <c r="C427" s="520"/>
      <c r="D427" s="520"/>
      <c r="E427" s="522">
        <f>((E401-E402-E403-E404-E405)+(E406+E407+E408+E409+E410+E411+E412+E413+E414))-((E415-E416-E417)+(E418+E419+E420))-((E421-E422-E423)+(E424+E425+E426))</f>
        <v>406134</v>
      </c>
    </row>
    <row r="428" spans="1:5" x14ac:dyDescent="0.3">
      <c r="A428" s="517" t="s">
        <v>991</v>
      </c>
      <c r="B428" s="517" t="s">
        <v>991</v>
      </c>
      <c r="C428" s="517">
        <v>2700</v>
      </c>
      <c r="D428" s="526" t="s">
        <v>1023</v>
      </c>
      <c r="E428" s="518">
        <f>SUMIFS('Accounting data'!$G$2:$G$37002,'Accounting data'!$J$2:$J$37002,"27*",'Accounting data'!$K$2:$K$37002,"63*")+SUMIFS('Accounting data'!$G$2:$G$37002,'Accounting data'!$J$2:$J$37002,"27*",'Accounting data'!$K$2:$K$37002,"64*")+SUMIFS('Accounting data'!$G$2:$G$37002,'Accounting data'!$J$2:$J$37002,"27*",'Accounting data'!$K$2:$K$37002,"65*")</f>
        <v>1877</v>
      </c>
    </row>
    <row r="429" spans="1:5" x14ac:dyDescent="0.3">
      <c r="A429" s="517" t="s">
        <v>992</v>
      </c>
      <c r="B429" s="517" t="s">
        <v>991</v>
      </c>
      <c r="C429" s="517">
        <v>2700</v>
      </c>
      <c r="D429" s="517">
        <v>6300</v>
      </c>
      <c r="E429" s="518">
        <f>SUMIFS('Accounting data'!$G$2:$G$37002,'Accounting data'!$H$2:$H$37002,"9999*",'Accounting data'!$J$2:$J$37002,"27*",'Accounting data'!$K$2:$K$37002,"63*")</f>
        <v>0</v>
      </c>
    </row>
    <row r="430" spans="1:5" x14ac:dyDescent="0.3">
      <c r="A430" s="517" t="s">
        <v>992</v>
      </c>
      <c r="B430" s="517" t="s">
        <v>991</v>
      </c>
      <c r="C430" s="517">
        <v>2700</v>
      </c>
      <c r="D430" s="517">
        <v>6400</v>
      </c>
      <c r="E430" s="518">
        <f>SUMIFS('Accounting data'!$G$2:$G$37002,'Accounting data'!$H$2:$H$37002,"9999*",'Accounting data'!$J$2:$J$37002,"27*",'Accounting data'!$K$2:$K$37002,"64*")</f>
        <v>0</v>
      </c>
    </row>
    <row r="431" spans="1:5" x14ac:dyDescent="0.3">
      <c r="A431" s="517" t="s">
        <v>992</v>
      </c>
      <c r="B431" s="517" t="s">
        <v>991</v>
      </c>
      <c r="C431" s="517">
        <v>2700</v>
      </c>
      <c r="D431" s="517">
        <v>6500</v>
      </c>
      <c r="E431" s="518">
        <f>SUMIFS('Accounting data'!$G$2:$G$37002,'Accounting data'!$H$2:$H$37002,"9999*",'Accounting data'!$J$2:$J$37002,"27*",'Accounting data'!$K$2:$K$37002,"65*")</f>
        <v>0</v>
      </c>
    </row>
    <row r="432" spans="1:5" x14ac:dyDescent="0.3">
      <c r="A432" s="517" t="s">
        <v>991</v>
      </c>
      <c r="B432" s="517" t="s">
        <v>993</v>
      </c>
      <c r="C432" s="517">
        <v>2700</v>
      </c>
      <c r="D432" s="526" t="s">
        <v>1023</v>
      </c>
      <c r="E432" s="518">
        <f>SUMIFS('Accounting data'!$G$2:$G$37002,'Accounting data'!$I$2:$I$37002,"7*",'Accounting data'!$J$2:$J$37002,"27*",'Accounting data'!$K$2:$K$37002,"63*")+SUMIFS('Accounting data'!$G$2:$G$37002,'Accounting data'!$I$2:$I$37002,"8*",'Accounting data'!$J$2:$J$37002,"27*",'Accounting data'!$K$2:$K$37002,"63*")+SUMIFS('Accounting data'!$G$2:$G$37002,'Accounting data'!$I$2:$I$37002,"9*",'Accounting data'!$J$2:$J$37002,"27*",'Accounting data'!$K$2:$K$37002,"63*")+SUMIFS('Accounting data'!$G$2:$G$37002,'Accounting data'!$I$2:$I$37002,"7*",'Accounting data'!$J$2:$J$37002,"27*",'Accounting data'!$K$2:$K$37002,"64*")+SUMIFS('Accounting data'!$G$2:$G$37002,'Accounting data'!$I$2:$I$37002,"8*",'Accounting data'!$J$2:$J$37002,"27*",'Accounting data'!$K$2:$K$37002,"64*")+SUMIFS('Accounting data'!$G$2:$G$37002,'Accounting data'!$I$2:$I$37002,"9*",'Accounting data'!$J$2:$J$37002,"27*",'Accounting data'!$K$2:$K$37002,"64*")+SUMIFS('Accounting data'!$G$2:$G$37002,'Accounting data'!$I$2:$I$37002,"7*",'Accounting data'!$J$2:$J$37002,"27*",'Accounting data'!$K$2:$K$37002,"65*")+SUMIFS('Accounting data'!$G$2:$G$37002,'Accounting data'!$I$2:$I$37002,"8*",'Accounting data'!$J$2:$J$37002,"27*",'Accounting data'!$K$2:$K$37002,"65*")+SUMIFS('Accounting data'!$G$2:$G$37002,'Accounting data'!$I$2:$I$37002,"9*",'Accounting data'!$J$2:$J$37002,"27*",'Accounting data'!$K$2:$K$37002,"65*")</f>
        <v>0</v>
      </c>
    </row>
    <row r="433" spans="1:5" x14ac:dyDescent="0.3">
      <c r="A433" s="519" t="s">
        <v>992</v>
      </c>
      <c r="B433" s="517" t="s">
        <v>993</v>
      </c>
      <c r="C433" s="517">
        <v>2700</v>
      </c>
      <c r="D433" s="517">
        <v>6300</v>
      </c>
      <c r="E433" s="518">
        <f>SUMIFS('Accounting data'!$G$2:$G$37002,'Accounting data'!$H$2:$H$37002,"9999*",'Accounting data'!$I$2:$I$37002,"7*",'Accounting data'!$J$2:$J$37002,"27*",'Accounting data'!$K$2:$K$37002,"63*")+SUMIFS('Accounting data'!$G$2:$G$37002,'Accounting data'!$H$2:$H$37002,"9999*",'Accounting data'!$I$2:$I$37002,"8*",'Accounting data'!$J$2:$J$37002,"27*",'Accounting data'!$K$2:$K$37002,"63*")+SUMIFS('Accounting data'!$G$2:$G$37002,'Accounting data'!$H$2:$H$37002,"9999*",'Accounting data'!$I$2:$I$37002,"9*",'Accounting data'!$J$2:$J$37002,"27*",'Accounting data'!$K$2:$K$37002,"63*")</f>
        <v>0</v>
      </c>
    </row>
    <row r="434" spans="1:5" x14ac:dyDescent="0.3">
      <c r="A434" s="519" t="s">
        <v>992</v>
      </c>
      <c r="B434" s="517" t="s">
        <v>993</v>
      </c>
      <c r="C434" s="517">
        <v>2700</v>
      </c>
      <c r="D434" s="517">
        <v>6400</v>
      </c>
      <c r="E434" s="518">
        <f>SUMIFS('Accounting data'!$G$2:$G$37002,'Accounting data'!$H$2:$H$37002,"9999*",'Accounting data'!$I$2:$I$37002,"7*",'Accounting data'!$J$2:$J$37002,"27*",'Accounting data'!$K$2:$K$37002,"64*")+SUMIFS('Accounting data'!$G$2:$G$37002,'Accounting data'!$H$2:$H$37002,"9999*",'Accounting data'!$I$2:$I$37002,"8*",'Accounting data'!$J$2:$J$37002,"27*",'Accounting data'!$K$2:$K$37002,"64*")+SUMIFS('Accounting data'!$G$2:$G$37002,'Accounting data'!$H$2:$H$37002,"9999*",'Accounting data'!$I$2:$I$37002,"9*",'Accounting data'!$J$2:$J$37002,"27*",'Accounting data'!$K$2:$K$37002,"64*")</f>
        <v>0</v>
      </c>
    </row>
    <row r="435" spans="1:5" x14ac:dyDescent="0.3">
      <c r="A435" s="519" t="s">
        <v>992</v>
      </c>
      <c r="B435" s="517" t="s">
        <v>993</v>
      </c>
      <c r="C435" s="517">
        <v>2700</v>
      </c>
      <c r="D435" s="517">
        <v>6500</v>
      </c>
      <c r="E435" s="518">
        <f>SUMIFS('Accounting data'!$G$2:$G$37002,'Accounting data'!$H$2:$H$37002,"9999*",'Accounting data'!$I$2:$I$37002,"7*",'Accounting data'!$J$2:$J$37002,"27*",'Accounting data'!$K$2:$K$37002,"65*")+SUMIFS('Accounting data'!$G$2:$G$37002,'Accounting data'!$H$2:$H$37002,"9999*",'Accounting data'!$I$2:$I$37002,"8*",'Accounting data'!$J$2:$J$37002,"27*",'Accounting data'!$K$2:$K$37002,"65*")+SUMIFS('Accounting data'!$G$2:$G$37002,'Accounting data'!$H$2:$H$37002,"9999*",'Accounting data'!$I$2:$I$37002,"9*",'Accounting data'!$J$2:$J$37002,"27*",'Accounting data'!$K$2:$K$37002,"65*")</f>
        <v>0</v>
      </c>
    </row>
    <row r="454" spans="1:5" x14ac:dyDescent="0.3">
      <c r="A454" s="520" t="s">
        <v>1032</v>
      </c>
      <c r="B454" s="520"/>
      <c r="C454" s="520"/>
      <c r="D454" s="520"/>
      <c r="E454" s="522">
        <f>((E428-E429-E430-E431-E432)+(E433+E434+E435+E436+E437+E438+E439+E440+E441))-((E442-E443-E444)+(E445+E446+E447))-((E448-E449-E450)+(E451+E452+E453))</f>
        <v>1877</v>
      </c>
    </row>
    <row r="455" spans="1:5" x14ac:dyDescent="0.3">
      <c r="A455" s="517" t="s">
        <v>991</v>
      </c>
      <c r="B455" s="517" t="s">
        <v>991</v>
      </c>
      <c r="C455" s="517">
        <v>3100</v>
      </c>
      <c r="D455" s="526" t="s">
        <v>1023</v>
      </c>
      <c r="E455" s="518">
        <f>SUMIFS('Accounting data'!$G$2:$G$37002,'Accounting data'!$J$2:$J$37002,"31*",'Accounting data'!$K$2:$K$37002,"63*")+SUMIFS('Accounting data'!$G$2:$G$37002,'Accounting data'!$J$2:$J$37002,"31*",'Accounting data'!$K$2:$K$37002,"64*")+SUMIFS('Accounting data'!$G$2:$G$37002,'Accounting data'!$J$2:$J$37002,"31*",'Accounting data'!$K$2:$K$37002,"65*")</f>
        <v>129611</v>
      </c>
    </row>
    <row r="456" spans="1:5" x14ac:dyDescent="0.3">
      <c r="A456" s="517" t="s">
        <v>992</v>
      </c>
      <c r="B456" s="517" t="s">
        <v>991</v>
      </c>
      <c r="C456" s="517">
        <v>3100</v>
      </c>
      <c r="D456" s="517">
        <v>6300</v>
      </c>
      <c r="E456" s="518">
        <f>SUMIFS('Accounting data'!$G$2:$G$37002,'Accounting data'!$H$2:$H$37002,"9999*",'Accounting data'!$J$2:$J$37002,"31*",'Accounting data'!$K$2:$K$37002,"63*")</f>
        <v>0</v>
      </c>
    </row>
    <row r="457" spans="1:5" x14ac:dyDescent="0.3">
      <c r="A457" s="517" t="s">
        <v>992</v>
      </c>
      <c r="B457" s="517" t="s">
        <v>991</v>
      </c>
      <c r="C457" s="517">
        <v>3100</v>
      </c>
      <c r="D457" s="517">
        <v>6400</v>
      </c>
      <c r="E457" s="518">
        <f>SUMIFS('Accounting data'!$G$2:$G$37002,'Accounting data'!$H$2:$H$37002,"9999*",'Accounting data'!$J$2:$J$37002,"31*",'Accounting data'!$K$2:$K$37002,"64*")</f>
        <v>0</v>
      </c>
    </row>
    <row r="458" spans="1:5" x14ac:dyDescent="0.3">
      <c r="A458" s="517" t="s">
        <v>992</v>
      </c>
      <c r="B458" s="517" t="s">
        <v>991</v>
      </c>
      <c r="C458" s="517">
        <v>3100</v>
      </c>
      <c r="D458" s="517">
        <v>6500</v>
      </c>
      <c r="E458" s="518">
        <f>SUMIFS('Accounting data'!$G$2:$G$37002,'Accounting data'!$H$2:$H$37002,"9999*",'Accounting data'!$J$2:$J$37002,"31*",'Accounting data'!$K$2:$K$37002,"65*")</f>
        <v>0</v>
      </c>
    </row>
    <row r="459" spans="1:5" x14ac:dyDescent="0.3">
      <c r="A459" s="517" t="s">
        <v>991</v>
      </c>
      <c r="B459" s="517" t="s">
        <v>993</v>
      </c>
      <c r="C459" s="517">
        <v>3100</v>
      </c>
      <c r="D459" s="526" t="s">
        <v>1023</v>
      </c>
      <c r="E459" s="518">
        <f>SUMIFS('Accounting data'!$G$2:$G$37002,'Accounting data'!$I$2:$I$37002,"7*",'Accounting data'!$J$2:$J$37002,"31*",'Accounting data'!$K$2:$K$37002,"63*")+SUMIFS('Accounting data'!$G$2:$G$37002,'Accounting data'!$I$2:$I$37002,"8*",'Accounting data'!$J$2:$J$37002,"31*",'Accounting data'!$K$2:$K$37002,"63*")+SUMIFS('Accounting data'!$G$2:$G$37002,'Accounting data'!$I$2:$I$37002,"9*",'Accounting data'!$J$2:$J$37002,"31*",'Accounting data'!$K$2:$K$37002,"63*")+SUMIFS('Accounting data'!$G$2:$G$37002,'Accounting data'!$I$2:$I$37002,"7*",'Accounting data'!$J$2:$J$37002,"31*",'Accounting data'!$K$2:$K$37002,"64*")+SUMIFS('Accounting data'!$G$2:$G$37002,'Accounting data'!$I$2:$I$37002,"8*",'Accounting data'!$J$2:$J$37002,"31*",'Accounting data'!$K$2:$K$37002,"64*")+SUMIFS('Accounting data'!$G$2:$G$37002,'Accounting data'!$I$2:$I$37002,"9*",'Accounting data'!$J$2:$J$37002,"31*",'Accounting data'!$K$2:$K$37002,"64*")+SUMIFS('Accounting data'!$G$2:$G$37002,'Accounting data'!$I$2:$I$37002,"7*",'Accounting data'!$J$2:$J$37002,"31*",'Accounting data'!$K$2:$K$37002,"65*")+SUMIFS('Accounting data'!$G$2:$G$37002,'Accounting data'!$I$2:$I$37002,"8*",'Accounting data'!$J$2:$J$37002,"31*",'Accounting data'!$K$2:$K$37002,"65*")+SUMIFS('Accounting data'!$G$2:$G$37002,'Accounting data'!$I$2:$I$37002,"9*",'Accounting data'!$J$2:$J$37002,"31*",'Accounting data'!$K$2:$K$37002,"65*")</f>
        <v>0</v>
      </c>
    </row>
    <row r="460" spans="1:5" x14ac:dyDescent="0.3">
      <c r="A460" s="519" t="s">
        <v>992</v>
      </c>
      <c r="B460" s="517" t="s">
        <v>993</v>
      </c>
      <c r="C460" s="517">
        <v>3100</v>
      </c>
      <c r="D460" s="517">
        <v>6300</v>
      </c>
      <c r="E460" s="518">
        <f>SUMIFS('Accounting data'!$G$2:$G$37002,'Accounting data'!$H$2:$H$37002,"9999*",'Accounting data'!$I$2:$I$37002,"7*",'Accounting data'!$J$2:$J$37002,"31*",'Accounting data'!$K$2:$K$37002,"63*")+SUMIFS('Accounting data'!$G$2:$G$37002,'Accounting data'!$H$2:$H$37002,"9999*",'Accounting data'!$I$2:$I$37002,"8*",'Accounting data'!$J$2:$J$37002,"31*",'Accounting data'!$K$2:$K$37002,"63*")+SUMIFS('Accounting data'!$G$2:$G$37002,'Accounting data'!$H$2:$H$37002,"9999*",'Accounting data'!$I$2:$I$37002,"9*",'Accounting data'!$J$2:$J$37002,"31*",'Accounting data'!$K$2:$K$37002,"63*")</f>
        <v>0</v>
      </c>
    </row>
    <row r="461" spans="1:5" x14ac:dyDescent="0.3">
      <c r="A461" s="519" t="s">
        <v>992</v>
      </c>
      <c r="B461" s="517" t="s">
        <v>993</v>
      </c>
      <c r="C461" s="517">
        <v>3100</v>
      </c>
      <c r="D461" s="517">
        <v>6400</v>
      </c>
      <c r="E461" s="518">
        <f>SUMIFS('Accounting data'!$G$2:$G$37002,'Accounting data'!$H$2:$H$37002,"9999*",'Accounting data'!$I$2:$I$37002,"7*",'Accounting data'!$J$2:$J$37002,"31*",'Accounting data'!$K$2:$K$37002,"64*")+SUMIFS('Accounting data'!$G$2:$G$37002,'Accounting data'!$H$2:$H$37002,"9999*",'Accounting data'!$I$2:$I$37002,"8*",'Accounting data'!$J$2:$J$37002,"31*",'Accounting data'!$K$2:$K$37002,"64*")+SUMIFS('Accounting data'!$G$2:$G$37002,'Accounting data'!$H$2:$H$37002,"9999*",'Accounting data'!$I$2:$I$37002,"9*",'Accounting data'!$J$2:$J$37002,"31*",'Accounting data'!$K$2:$K$37002,"64*")</f>
        <v>0</v>
      </c>
    </row>
    <row r="462" spans="1:5" x14ac:dyDescent="0.3">
      <c r="A462" s="519" t="s">
        <v>992</v>
      </c>
      <c r="B462" s="517" t="s">
        <v>993</v>
      </c>
      <c r="C462" s="517">
        <v>3100</v>
      </c>
      <c r="D462" s="517">
        <v>6500</v>
      </c>
      <c r="E462" s="518">
        <f>SUMIFS('Accounting data'!$G$2:$G$37002,'Accounting data'!$H$2:$H$37002,"9999*",'Accounting data'!$I$2:$I$37002,"7*",'Accounting data'!$J$2:$J$37002,"31*",'Accounting data'!$K$2:$K$37002,"65*")+SUMIFS('Accounting data'!$G$2:$G$37002,'Accounting data'!$H$2:$H$37002,"9999*",'Accounting data'!$I$2:$I$37002,"8*",'Accounting data'!$J$2:$J$37002,"31*",'Accounting data'!$K$2:$K$37002,"65*")+SUMIFS('Accounting data'!$G$2:$G$37002,'Accounting data'!$H$2:$H$37002,"9999*",'Accounting data'!$I$2:$I$37002,"9*",'Accounting data'!$J$2:$J$37002,"31*",'Accounting data'!$K$2:$K$37002,"65*")</f>
        <v>0</v>
      </c>
    </row>
    <row r="481" spans="1:5" x14ac:dyDescent="0.3">
      <c r="A481" s="520" t="s">
        <v>1033</v>
      </c>
      <c r="B481" s="520"/>
      <c r="C481" s="520"/>
      <c r="D481" s="520"/>
      <c r="E481" s="522">
        <f>((E455-E456-E457-E458-E459)+(E460+E461+E462+E463+E464+E465+E466+E467+E468))-((E469-E470-E471)+(E472+E473+E474))-((E475-E476-E477)+(E478+E479+E480))</f>
        <v>129611</v>
      </c>
    </row>
    <row r="509" spans="1:5" x14ac:dyDescent="0.3">
      <c r="A509" s="517" t="s">
        <v>991</v>
      </c>
      <c r="B509" s="517" t="s">
        <v>991</v>
      </c>
      <c r="C509" s="517">
        <v>3400</v>
      </c>
      <c r="D509" s="526" t="s">
        <v>1023</v>
      </c>
      <c r="E509" s="518">
        <f>SUMIFS('Accounting data'!$G$2:$G$37002,'Accounting data'!$J$2:$J$37002,"34*",'Accounting data'!$K$2:$K$37002,"63*")+SUMIFS('Accounting data'!$G$2:$G$37002,'Accounting data'!$J$2:$J$37002,"34*",'Accounting data'!$K$2:$K$37002,"64*")+SUMIFS('Accounting data'!$G$2:$G$37002,'Accounting data'!$J$2:$J$37002,"34*",'Accounting data'!$K$2:$K$37002,"65*")</f>
        <v>0</v>
      </c>
    </row>
    <row r="510" spans="1:5" x14ac:dyDescent="0.3">
      <c r="A510" s="517" t="s">
        <v>992</v>
      </c>
      <c r="B510" s="517" t="s">
        <v>991</v>
      </c>
      <c r="C510" s="517">
        <v>3400</v>
      </c>
      <c r="D510" s="517">
        <v>6300</v>
      </c>
      <c r="E510" s="518">
        <f>SUMIFS('Accounting data'!$G$2:$G$37002,'Accounting data'!$H$2:$H$37002,"9999*",'Accounting data'!$J$2:$J$37002,"34*",'Accounting data'!$K$2:$K$37002,"63*")</f>
        <v>0</v>
      </c>
    </row>
    <row r="511" spans="1:5" x14ac:dyDescent="0.3">
      <c r="A511" s="517" t="s">
        <v>992</v>
      </c>
      <c r="B511" s="517" t="s">
        <v>991</v>
      </c>
      <c r="C511" s="517">
        <v>3400</v>
      </c>
      <c r="D511" s="517">
        <v>6400</v>
      </c>
      <c r="E511" s="518">
        <f>SUMIFS('Accounting data'!$G$2:$G$37002,'Accounting data'!$H$2:$H$37002,"9999*",'Accounting data'!$J$2:$J$37002,"34*",'Accounting data'!$K$2:$K$37002,"64*")</f>
        <v>0</v>
      </c>
    </row>
    <row r="512" spans="1:5" x14ac:dyDescent="0.3">
      <c r="A512" s="517" t="s">
        <v>992</v>
      </c>
      <c r="B512" s="517" t="s">
        <v>991</v>
      </c>
      <c r="C512" s="517">
        <v>3400</v>
      </c>
      <c r="D512" s="517">
        <v>6500</v>
      </c>
      <c r="E512" s="518">
        <f>SUMIFS('Accounting data'!$G$2:$G$37002,'Accounting data'!$H$2:$H$37002,"9999*",'Accounting data'!$J$2:$J$37002,"34*",'Accounting data'!$K$2:$K$37002,"65*")</f>
        <v>0</v>
      </c>
    </row>
    <row r="513" spans="1:5" x14ac:dyDescent="0.3">
      <c r="A513" s="517" t="s">
        <v>991</v>
      </c>
      <c r="B513" s="517" t="s">
        <v>993</v>
      </c>
      <c r="C513" s="517">
        <v>3400</v>
      </c>
      <c r="D513" s="526" t="s">
        <v>1023</v>
      </c>
      <c r="E513" s="518">
        <f>SUMIFS('Accounting data'!$G$2:$G$37002,'Accounting data'!$I$2:$I$37002,"7*",'Accounting data'!$J$2:$J$37002,"34*",'Accounting data'!$K$2:$K$37002,"63*")+SUMIFS('Accounting data'!$G$2:$G$37002,'Accounting data'!$I$2:$I$37002,"8*",'Accounting data'!$J$2:$J$37002,"34*",'Accounting data'!$K$2:$K$37002,"63*")+SUMIFS('Accounting data'!$G$2:$G$37002,'Accounting data'!$I$2:$I$37002,"9*",'Accounting data'!$J$2:$J$37002,"34*",'Accounting data'!$K$2:$K$37002,"63*")+SUMIFS('Accounting data'!$G$2:$G$37002,'Accounting data'!$I$2:$I$37002,"7*",'Accounting data'!$J$2:$J$37002,"34*",'Accounting data'!$K$2:$K$37002,"64*")+SUMIFS('Accounting data'!$G$2:$G$37002,'Accounting data'!$I$2:$I$37002,"8*",'Accounting data'!$J$2:$J$37002,"34*",'Accounting data'!$K$2:$K$37002,"64*")+SUMIFS('Accounting data'!$G$2:$G$37002,'Accounting data'!$I$2:$I$37002,"9*",'Accounting data'!$J$2:$J$37002,"34*",'Accounting data'!$K$2:$K$37002,"64*")+SUMIFS('Accounting data'!$G$2:$G$37002,'Accounting data'!$I$2:$I$37002,"7*",'Accounting data'!$J$2:$J$37002,"34*",'Accounting data'!$K$2:$K$37002,"65*")+SUMIFS('Accounting data'!$G$2:$G$37002,'Accounting data'!$I$2:$I$37002,"8*",'Accounting data'!$J$2:$J$37002,"34*",'Accounting data'!$K$2:$K$37002,"65*")+SUMIFS('Accounting data'!$G$2:$G$37002,'Accounting data'!$I$2:$I$37002,"9*",'Accounting data'!$J$2:$J$37002,"34*",'Accounting data'!$K$2:$K$37002,"65*")</f>
        <v>0</v>
      </c>
    </row>
    <row r="514" spans="1:5" x14ac:dyDescent="0.3">
      <c r="A514" s="519" t="s">
        <v>992</v>
      </c>
      <c r="B514" s="517" t="s">
        <v>993</v>
      </c>
      <c r="C514" s="517">
        <v>3400</v>
      </c>
      <c r="D514" s="517">
        <v>6300</v>
      </c>
      <c r="E514" s="518">
        <f>SUMIFS('Accounting data'!$G$2:$G$37002,'Accounting data'!$H$2:$H$37002,"9999*",'Accounting data'!$I$2:$I$37002,"7*",'Accounting data'!$J$2:$J$37002,"34*",'Accounting data'!$K$2:$K$37002,"63*")+SUMIFS('Accounting data'!$G$2:$G$37002,'Accounting data'!$H$2:$H$37002,"9999*",'Accounting data'!$I$2:$I$37002,"8*",'Accounting data'!$J$2:$J$37002,"34*",'Accounting data'!$K$2:$K$37002,"63*")+SUMIFS('Accounting data'!$G$2:$G$37002,'Accounting data'!$H$2:$H$37002,"9999*",'Accounting data'!$I$2:$I$37002,"9*",'Accounting data'!$J$2:$J$37002,"34*",'Accounting data'!$K$2:$K$37002,"63*")</f>
        <v>0</v>
      </c>
    </row>
    <row r="515" spans="1:5" x14ac:dyDescent="0.3">
      <c r="A515" s="519" t="s">
        <v>992</v>
      </c>
      <c r="B515" s="517" t="s">
        <v>993</v>
      </c>
      <c r="C515" s="517">
        <v>3400</v>
      </c>
      <c r="D515" s="517">
        <v>6400</v>
      </c>
      <c r="E515" s="518">
        <f>SUMIFS('Accounting data'!$G$2:$G$37002,'Accounting data'!$H$2:$H$37002,"9999*",'Accounting data'!$I$2:$I$37002,"7*",'Accounting data'!$J$2:$J$37002,"34*",'Accounting data'!$K$2:$K$37002,"64*")+SUMIFS('Accounting data'!$G$2:$G$37002,'Accounting data'!$H$2:$H$37002,"9999*",'Accounting data'!$I$2:$I$37002,"8*",'Accounting data'!$J$2:$J$37002,"34*",'Accounting data'!$K$2:$K$37002,"64*")+SUMIFS('Accounting data'!$G$2:$G$37002,'Accounting data'!$H$2:$H$37002,"9999*",'Accounting data'!$I$2:$I$37002,"9*",'Accounting data'!$J$2:$J$37002,"34*",'Accounting data'!$K$2:$K$37002,"64*")</f>
        <v>0</v>
      </c>
    </row>
    <row r="516" spans="1:5" x14ac:dyDescent="0.3">
      <c r="A516" s="519" t="s">
        <v>992</v>
      </c>
      <c r="B516" s="517" t="s">
        <v>993</v>
      </c>
      <c r="C516" s="517">
        <v>3400</v>
      </c>
      <c r="D516" s="517">
        <v>6500</v>
      </c>
      <c r="E516" s="518">
        <f>SUMIFS('Accounting data'!$G$2:$G$37002,'Accounting data'!$H$2:$H$37002,"9999*",'Accounting data'!$I$2:$I$37002,"7*",'Accounting data'!$J$2:$J$37002,"34*",'Accounting data'!$K$2:$K$37002,"65*")+SUMIFS('Accounting data'!$G$2:$G$37002,'Accounting data'!$H$2:$H$37002,"9999*",'Accounting data'!$I$2:$I$37002,"8*",'Accounting data'!$J$2:$J$37002,"34*",'Accounting data'!$K$2:$K$37002,"65*")+SUMIFS('Accounting data'!$G$2:$G$37002,'Accounting data'!$H$2:$H$37002,"9999*",'Accounting data'!$I$2:$I$37002,"9*",'Accounting data'!$J$2:$J$37002,"34*",'Accounting data'!$K$2:$K$37002,"65*")</f>
        <v>0</v>
      </c>
    </row>
    <row r="535" spans="1:5" x14ac:dyDescent="0.3">
      <c r="A535" s="520" t="s">
        <v>1034</v>
      </c>
      <c r="B535" s="520"/>
      <c r="C535" s="520"/>
      <c r="D535" s="520"/>
      <c r="E535" s="522">
        <f>((E509-E510-E511-E512-E513)+(E514+E515+E516+E517+E518+E519+E520+E521+E522))-((E523-E524-E525)+(E526+E527+E528))-((E529-E530-E531)+(E532+E533+E534))</f>
        <v>0</v>
      </c>
    </row>
    <row r="536" spans="1:5" x14ac:dyDescent="0.3">
      <c r="A536" s="517" t="s">
        <v>991</v>
      </c>
      <c r="B536" s="517" t="s">
        <v>991</v>
      </c>
      <c r="C536" s="517">
        <v>4000</v>
      </c>
      <c r="D536" s="526" t="s">
        <v>1023</v>
      </c>
      <c r="E536" s="518">
        <f>SUMIFS('Accounting data'!$G$2:$G$37002,'Accounting data'!$J$2:$J$37002,"4*",'Accounting data'!$K$2:$K$37002,"63*")+SUMIFS('Accounting data'!$G$2:$G$37002,'Accounting data'!$J$2:$J$37002,"4*",'Accounting data'!$K$2:$K$37002,"64*")+SUMIFS('Accounting data'!$G$2:$G$37002,'Accounting data'!$J$2:$J$37002,"4*",'Accounting data'!$K$2:$K$37002,"65*")</f>
        <v>0</v>
      </c>
    </row>
    <row r="537" spans="1:5" x14ac:dyDescent="0.3">
      <c r="A537" s="517" t="s">
        <v>992</v>
      </c>
      <c r="B537" s="517" t="s">
        <v>991</v>
      </c>
      <c r="C537" s="517">
        <v>4000</v>
      </c>
      <c r="D537" s="517">
        <v>6300</v>
      </c>
      <c r="E537" s="518">
        <f>SUMIFS('Accounting data'!$G$2:$G$37002,'Accounting data'!$H$2:$H$37002,"9999*",'Accounting data'!$J$2:$J$37002,"4*",'Accounting data'!$K$2:$K$37002,"63*")</f>
        <v>0</v>
      </c>
    </row>
    <row r="538" spans="1:5" x14ac:dyDescent="0.3">
      <c r="A538" s="517" t="s">
        <v>992</v>
      </c>
      <c r="B538" s="517" t="s">
        <v>991</v>
      </c>
      <c r="C538" s="517">
        <v>4000</v>
      </c>
      <c r="D538" s="517">
        <v>6400</v>
      </c>
      <c r="E538" s="518">
        <f>SUMIFS('Accounting data'!$G$2:$G$37002,'Accounting data'!$H$2:$H$37002,"9999*",'Accounting data'!$J$2:$J$37002,"4*",'Accounting data'!$K$2:$K$37002,"64*")</f>
        <v>0</v>
      </c>
    </row>
    <row r="539" spans="1:5" x14ac:dyDescent="0.3">
      <c r="A539" s="517" t="s">
        <v>992</v>
      </c>
      <c r="B539" s="517" t="s">
        <v>991</v>
      </c>
      <c r="C539" s="517">
        <v>4000</v>
      </c>
      <c r="D539" s="517">
        <v>6500</v>
      </c>
      <c r="E539" s="518">
        <f>SUMIFS('Accounting data'!$G$2:$G$37002,'Accounting data'!$H$2:$H$37002,"9999*",'Accounting data'!$J$2:$J$37002,"4*",'Accounting data'!$K$2:$K$37002,"65*")</f>
        <v>0</v>
      </c>
    </row>
    <row r="540" spans="1:5" x14ac:dyDescent="0.3">
      <c r="A540" s="517" t="s">
        <v>991</v>
      </c>
      <c r="B540" s="517" t="s">
        <v>993</v>
      </c>
      <c r="C540" s="517">
        <v>4000</v>
      </c>
      <c r="D540" s="526" t="s">
        <v>1023</v>
      </c>
      <c r="E540" s="518">
        <f>SUMIFS('Accounting data'!$G$2:$G$37002,'Accounting data'!$I$2:$I$37002,"7*",'Accounting data'!$J$2:$J$37002,"4*",'Accounting data'!$K$2:$K$37002,"63*")+SUMIFS('Accounting data'!$G$2:$G$37002,'Accounting data'!$I$2:$I$37002,"8*",'Accounting data'!$J$2:$J$37002,"4*",'Accounting data'!$K$2:$K$37002,"63*")+SUMIFS('Accounting data'!$G$2:$G$37002,'Accounting data'!$I$2:$I$37002,"9*",'Accounting data'!$J$2:$J$37002,"4*",'Accounting data'!$K$2:$K$37002,"63*")+SUMIFS('Accounting data'!$G$2:$G$37002,'Accounting data'!$I$2:$I$37002,"7*",'Accounting data'!$J$2:$J$37002,"4*",'Accounting data'!$K$2:$K$37002,"64*")+SUMIFS('Accounting data'!$G$2:$G$37002,'Accounting data'!$I$2:$I$37002,"8*",'Accounting data'!$J$2:$J$37002,"4*",'Accounting data'!$K$2:$K$37002,"64*")+SUMIFS('Accounting data'!$G$2:$G$37002,'Accounting data'!$I$2:$I$37002,"9*",'Accounting data'!$J$2:$J$37002,"4*",'Accounting data'!$K$2:$K$37002,"64*")+SUMIFS('Accounting data'!$G$2:$G$37002,'Accounting data'!$I$2:$I$37002,"7*",'Accounting data'!$J$2:$J$37002,"4*",'Accounting data'!$K$2:$K$37002,"65*")+SUMIFS('Accounting data'!$G$2:$G$37002,'Accounting data'!$I$2:$I$37002,"8*",'Accounting data'!$J$2:$J$37002,"4*",'Accounting data'!$K$2:$K$37002,"65*")+SUMIFS('Accounting data'!$G$2:$G$37002,'Accounting data'!$I$2:$I$37002,"9*",'Accounting data'!$J$2:$J$37002,"4*",'Accounting data'!$K$2:$K$37002,"65*")</f>
        <v>0</v>
      </c>
    </row>
    <row r="541" spans="1:5" x14ac:dyDescent="0.3">
      <c r="A541" s="519" t="s">
        <v>992</v>
      </c>
      <c r="B541" s="517" t="s">
        <v>993</v>
      </c>
      <c r="C541" s="517">
        <v>4000</v>
      </c>
      <c r="D541" s="517">
        <v>6300</v>
      </c>
      <c r="E541" s="518">
        <f>SUMIFS('Accounting data'!$G$2:$G$37002,'Accounting data'!$H$2:$H$37002,"9999*",'Accounting data'!$I$2:$I$37002,"7*",'Accounting data'!$J$2:$J$37002,"4*",'Accounting data'!$K$2:$K$37002,"63*")+SUMIFS('Accounting data'!$G$2:$G$37002,'Accounting data'!$H$2:$H$37002,"9999*",'Accounting data'!$I$2:$I$37002,"8*",'Accounting data'!$J$2:$J$37002,"4*",'Accounting data'!$K$2:$K$37002,"63*")+SUMIFS('Accounting data'!$G$2:$G$37002,'Accounting data'!$H$2:$H$37002,"9999*",'Accounting data'!$I$2:$I$37002,"9*",'Accounting data'!$J$2:$J$37002,"4*",'Accounting data'!$K$2:$K$37002,"63*")</f>
        <v>0</v>
      </c>
    </row>
    <row r="542" spans="1:5" x14ac:dyDescent="0.3">
      <c r="A542" s="519" t="s">
        <v>992</v>
      </c>
      <c r="B542" s="517" t="s">
        <v>993</v>
      </c>
      <c r="C542" s="517">
        <v>4000</v>
      </c>
      <c r="D542" s="517">
        <v>6400</v>
      </c>
      <c r="E542" s="518">
        <f>SUMIFS('Accounting data'!$G$2:$G$37002,'Accounting data'!$H$2:$H$37002,"9999*",'Accounting data'!$I$2:$I$37002,"7*",'Accounting data'!$J$2:$J$37002,"4*",'Accounting data'!$K$2:$K$37002,"64*")+SUMIFS('Accounting data'!$G$2:$G$37002,'Accounting data'!$H$2:$H$37002,"9999*",'Accounting data'!$I$2:$I$37002,"8*",'Accounting data'!$J$2:$J$37002,"4*",'Accounting data'!$K$2:$K$37002,"64*")+SUMIFS('Accounting data'!$G$2:$G$37002,'Accounting data'!$H$2:$H$37002,"9999*",'Accounting data'!$I$2:$I$37002,"9*",'Accounting data'!$J$2:$J$37002,"4*",'Accounting data'!$K$2:$K$37002,"64*")</f>
        <v>0</v>
      </c>
    </row>
    <row r="543" spans="1:5" x14ac:dyDescent="0.3">
      <c r="A543" s="519" t="s">
        <v>992</v>
      </c>
      <c r="B543" s="517" t="s">
        <v>993</v>
      </c>
      <c r="C543" s="517">
        <v>4000</v>
      </c>
      <c r="D543" s="517">
        <v>6500</v>
      </c>
      <c r="E543" s="518">
        <f>SUMIFS('Accounting data'!$G$2:$G$37002,'Accounting data'!$H$2:$H$37002,"9999*",'Accounting data'!$I$2:$I$37002,"7*",'Accounting data'!$J$2:$J$37002,"4*",'Accounting data'!$K$2:$K$37002,"65*")+SUMIFS('Accounting data'!$G$2:$G$37002,'Accounting data'!$H$2:$H$37002,"9999*",'Accounting data'!$I$2:$I$37002,"8*",'Accounting data'!$J$2:$J$37002,"4*",'Accounting data'!$K$2:$K$37002,"65*")+SUMIFS('Accounting data'!$G$2:$G$37002,'Accounting data'!$H$2:$H$37002,"9999*",'Accounting data'!$I$2:$I$37002,"9*",'Accounting data'!$J$2:$J$37002,"4*",'Accounting data'!$K$2:$K$37002,"65*")</f>
        <v>0</v>
      </c>
    </row>
    <row r="562" spans="1:5" x14ac:dyDescent="0.3">
      <c r="A562" s="520" t="s">
        <v>1035</v>
      </c>
      <c r="B562" s="520"/>
      <c r="C562" s="520"/>
      <c r="D562" s="520"/>
      <c r="E562" s="522">
        <f>((E536-E537-E538-E539-E540)+(E541+E542+E543+E544+E545+E546+E547+E548+E549))-((E550-E551-E552)+(E553+E554+E555))-((E556-E557-E558)+(E559+E560+E561))</f>
        <v>0</v>
      </c>
    </row>
    <row r="563" spans="1:5" x14ac:dyDescent="0.3">
      <c r="A563" s="523" t="s">
        <v>1036</v>
      </c>
      <c r="B563" s="523"/>
      <c r="C563" s="523"/>
      <c r="D563" s="523"/>
      <c r="E563" s="527">
        <f>E238+E265+E292+E319+E346+E373+E400+E427+E454+E481+E508+E535</f>
        <v>789424</v>
      </c>
    </row>
    <row r="564" spans="1:5" ht="14.5" x14ac:dyDescent="0.35">
      <c r="A564" s="517" t="s">
        <v>1007</v>
      </c>
      <c r="B564" s="517" t="s">
        <v>991</v>
      </c>
      <c r="C564" s="517">
        <v>1000</v>
      </c>
      <c r="D564" s="517">
        <v>6300</v>
      </c>
      <c r="E564" s="525">
        <f>SUMIFS('Accounting data'!$G$2:$G$37002,'Accounting data'!$H$2:$H$37002,"11*",'Accounting data'!$J$2:$J$37002,"1*",'Accounting data'!$K$2:$K$37002,"63*")+SUMIFS('Accounting data'!$G$2:$G$37002,'Accounting data'!$H$2:$H$37002,"12*",'Accounting data'!$J$2:$J$37002,"1*",'Accounting data'!$K$2:$K$37002,"63*")+SUMIFS('Accounting data'!$G$2:$G$37002,'Accounting data'!$H$2:$H$37002,"13*",'Accounting data'!$J$2:$J$37002,"1*",'Accounting data'!$K$2:$K$37002,"63*")</f>
        <v>4118</v>
      </c>
    </row>
    <row r="565" spans="1:5" ht="14.5" x14ac:dyDescent="0.35">
      <c r="A565" s="517" t="s">
        <v>1007</v>
      </c>
      <c r="B565" s="517" t="s">
        <v>991</v>
      </c>
      <c r="C565" s="517">
        <v>2000</v>
      </c>
      <c r="D565" s="517">
        <v>6300</v>
      </c>
      <c r="E565" s="525">
        <f>SUMIFS('Accounting data'!$G$2:$G$37002,'Accounting data'!$H$2:$H$37002,"11*",'Accounting data'!$J$2:$J$37002,"2*",'Accounting data'!$K$2:$K$37002,"63*")+SUMIFS('Accounting data'!$G$2:$G$37002,'Accounting data'!$H$2:$H$37002,"12*",'Accounting data'!$J$2:$J$37002,"2*",'Accounting data'!$K$2:$K$37002,"63*")+SUMIFS('Accounting data'!$G$2:$G$37002,'Accounting data'!$H$2:$H$37002,"13*",'Accounting data'!$J$2:$J$37002,"2*",'Accounting data'!$K$2:$K$37002,"63*")</f>
        <v>46380</v>
      </c>
    </row>
    <row r="566" spans="1:5" ht="14.5" x14ac:dyDescent="0.35">
      <c r="A566" s="517" t="s">
        <v>1007</v>
      </c>
      <c r="B566" s="517" t="s">
        <v>991</v>
      </c>
      <c r="C566" s="517">
        <v>3000</v>
      </c>
      <c r="D566" s="517">
        <v>6300</v>
      </c>
      <c r="E566" s="525">
        <f>SUMIFS('Accounting data'!$G$2:$G$37002,'Accounting data'!$H$2:$H$37002,"11*",'Accounting data'!$J$2:$J$37002,"3*",'Accounting data'!$K$2:$K$37002,"63*")+SUMIFS('Accounting data'!$G$2:$G$37002,'Accounting data'!$H$2:$H$37002,"12*",'Accounting data'!$J$2:$J$37002,"3*",'Accounting data'!$K$2:$K$37002,"63*")+SUMIFS('Accounting data'!$G$2:$G$37002,'Accounting data'!$H$2:$H$37002,"13*",'Accounting data'!$J$2:$J$37002,"3*",'Accounting data'!$K$2:$K$37002,"63*")</f>
        <v>0</v>
      </c>
    </row>
    <row r="567" spans="1:5" ht="14.5" x14ac:dyDescent="0.35">
      <c r="A567" s="517" t="s">
        <v>1007</v>
      </c>
      <c r="B567" s="519">
        <v>700</v>
      </c>
      <c r="C567" s="517">
        <v>1000</v>
      </c>
      <c r="D567" s="517">
        <v>6300</v>
      </c>
      <c r="E567" s="525">
        <f>SUMIFS('Accounting data'!$G$2:$G$37002,'Accounting data'!$H$2:$H$37002,"11*",'Accounting data'!$I$2:$I$37002,"7*",'Accounting data'!$J$2:$J$37002,"1*",'Accounting data'!$K$2:$K$37002,"63*")+SUMIFS('Accounting data'!$G$2:$G$37002,'Accounting data'!$H$2:$H$37002,"12*",'Accounting data'!$I$2:$I$37002,"7*",'Accounting data'!$J$2:$J$37002,"1*",'Accounting data'!$K$2:$K$37002,"63*")+SUMIFS('Accounting data'!$G$2:$G$37002,'Accounting data'!$H$2:$H$37002,"13*",'Accounting data'!$I$2:$I$37002,"7*",'Accounting data'!$J$2:$J$37002,"1*",'Accounting data'!$K$2:$K$37002,"63*")</f>
        <v>0</v>
      </c>
    </row>
    <row r="568" spans="1:5" ht="14.5" x14ac:dyDescent="0.35">
      <c r="A568" s="517" t="s">
        <v>1007</v>
      </c>
      <c r="B568" s="519">
        <v>800</v>
      </c>
      <c r="C568" s="517">
        <v>1000</v>
      </c>
      <c r="D568" s="517">
        <v>6300</v>
      </c>
      <c r="E568" s="525">
        <f>SUMIFS('Accounting data'!$G$2:$G$37002,'Accounting data'!$H$2:$H$37002,"11*",'Accounting data'!$I$2:$I$37002,"8*",'Accounting data'!$J$2:$J$37002,"1*",'Accounting data'!$K$2:$K$37002,"63*")+SUMIFS('Accounting data'!$G$2:$G$37002,'Accounting data'!$H$2:$H$37002,"12*",'Accounting data'!$I$2:$I$37002,"8*",'Accounting data'!$J$2:$J$37002,"1*",'Accounting data'!$K$2:$K$37002,"63*")+SUMIFS('Accounting data'!$G$2:$G$37002,'Accounting data'!$H$2:$H$37002,"13*",'Accounting data'!$I$2:$I$37002,"8*",'Accounting data'!$J$2:$J$37002,"1*",'Accounting data'!$K$2:$K$37002,"63*")</f>
        <v>0</v>
      </c>
    </row>
    <row r="569" spans="1:5" ht="14.5" x14ac:dyDescent="0.35">
      <c r="A569" s="517" t="s">
        <v>1007</v>
      </c>
      <c r="B569" s="519">
        <v>900</v>
      </c>
      <c r="C569" s="517">
        <v>1000</v>
      </c>
      <c r="D569" s="517">
        <v>6300</v>
      </c>
      <c r="E569" s="525">
        <f>SUMIFS('Accounting data'!$G$2:$G$37002,'Accounting data'!$H$2:$H$37002,"11*",'Accounting data'!$I$2:$I$37002,"9*",'Accounting data'!$J$2:$J$37002,"1*",'Accounting data'!$K$2:$K$37002,"63*")+SUMIFS('Accounting data'!$G$2:$G$37002,'Accounting data'!$H$2:$H$37002,"12*",'Accounting data'!$I$2:$I$37002,"9*",'Accounting data'!$J$2:$J$37002,"1*",'Accounting data'!$K$2:$K$37002,"63*")+SUMIFS('Accounting data'!$G$2:$G$37002,'Accounting data'!$H$2:$H$37002,"13*",'Accounting data'!$I$2:$I$37002,"9*",'Accounting data'!$J$2:$J$37002,"1*",'Accounting data'!$K$2:$K$37002,"63*")</f>
        <v>0</v>
      </c>
    </row>
    <row r="570" spans="1:5" x14ac:dyDescent="0.3">
      <c r="A570" s="517" t="s">
        <v>1007</v>
      </c>
      <c r="B570" s="519">
        <v>700</v>
      </c>
      <c r="C570" s="517">
        <v>2000</v>
      </c>
      <c r="D570" s="517">
        <v>6300</v>
      </c>
      <c r="E570" s="518">
        <f>SUMIFS('Accounting data'!$G$2:$G$37002,'Accounting data'!$H$2:$H$37002,"11*",'Accounting data'!$I$2:$I$37002,"7*",'Accounting data'!$J$2:$J$37002,"2*",'Accounting data'!$K$2:$K$37002,"63*")+SUMIFS('Accounting data'!$G$2:$G$37002,'Accounting data'!$H$2:$H$37002,"12*",'Accounting data'!$I$2:$I$37002,"7*",'Accounting data'!$J$2:$J$37002,"2*",'Accounting data'!$K$2:$K$37002,"63*")+SUMIFS('Accounting data'!$G$2:$G$37002,'Accounting data'!$H$2:$H$37002,"13*",'Accounting data'!$I$2:$I$37002,"7*",'Accounting data'!$J$2:$J$37002,"2*",'Accounting data'!$K$2:$K$37002,"63*")</f>
        <v>0</v>
      </c>
    </row>
    <row r="571" spans="1:5" x14ac:dyDescent="0.3">
      <c r="A571" s="517" t="s">
        <v>1007</v>
      </c>
      <c r="B571" s="519">
        <v>800</v>
      </c>
      <c r="C571" s="517">
        <v>2000</v>
      </c>
      <c r="D571" s="517">
        <v>6300</v>
      </c>
      <c r="E571" s="518">
        <f>SUMIFS('Accounting data'!$G$2:$G$37002,'Accounting data'!$H$2:$H$37002,"11*",'Accounting data'!$I$2:$I$37002,"8*",'Accounting data'!$J$2:$J$37002,"2*",'Accounting data'!$K$2:$K$37002,"63*")+SUMIFS('Accounting data'!$G$2:$G$37002,'Accounting data'!$H$2:$H$37002,"12*",'Accounting data'!$I$2:$I$37002,"8*",'Accounting data'!$J$2:$J$37002,"2*",'Accounting data'!$K$2:$K$37002,"63*")+SUMIFS('Accounting data'!$G$2:$G$37002,'Accounting data'!$H$2:$H$37002,"13*",'Accounting data'!$I$2:$I$37002,"8*",'Accounting data'!$J$2:$J$37002,"2*",'Accounting data'!$K$2:$K$37002,"63*")</f>
        <v>0</v>
      </c>
    </row>
    <row r="572" spans="1:5" x14ac:dyDescent="0.3">
      <c r="A572" s="517" t="s">
        <v>1007</v>
      </c>
      <c r="B572" s="519">
        <v>900</v>
      </c>
      <c r="C572" s="517">
        <v>2000</v>
      </c>
      <c r="D572" s="517">
        <v>6300</v>
      </c>
      <c r="E572" s="518">
        <f>SUMIFS('Accounting data'!$G$2:$G$37002,'Accounting data'!$H$2:$H$37002,"11*",'Accounting data'!$I$2:$I$37002,"9*",'Accounting data'!$J$2:$J$37002,"2*",'Accounting data'!$K$2:$K$37002,"63*")+SUMIFS('Accounting data'!$G$2:$G$37002,'Accounting data'!$H$2:$H$37002,"12*",'Accounting data'!$I$2:$I$37002,"9*",'Accounting data'!$J$2:$J$37002,"2*",'Accounting data'!$K$2:$K$37002,"63*")+SUMIFS('Accounting data'!$G$2:$G$37002,'Accounting data'!$H$2:$H$37002,"13*",'Accounting data'!$I$2:$I$37002,"9*",'Accounting data'!$J$2:$J$37002,"2*",'Accounting data'!$K$2:$K$37002,"63*")</f>
        <v>0</v>
      </c>
    </row>
    <row r="573" spans="1:5" x14ac:dyDescent="0.3">
      <c r="A573" s="517" t="s">
        <v>1007</v>
      </c>
      <c r="B573" s="519">
        <v>700</v>
      </c>
      <c r="C573" s="517">
        <v>3000</v>
      </c>
      <c r="D573" s="517">
        <v>6300</v>
      </c>
      <c r="E573" s="518">
        <f>SUMIFS('Accounting data'!$G$2:$G$37002,'Accounting data'!$H$2:$H$37002,"11*",'Accounting data'!$I$2:$I$37002,"7*",'Accounting data'!$J$2:$J$37002,"3*",'Accounting data'!$K$2:$K$37002,"63*")+SUMIFS('Accounting data'!$G$2:$G$37002,'Accounting data'!$H$2:$H$37002,"12*",'Accounting data'!$I$2:$I$37002,"7*",'Accounting data'!$J$2:$J$37002,"3*",'Accounting data'!$K$2:$K$37002,"63*")+SUMIFS('Accounting data'!$G$2:$G$37002,'Accounting data'!$H$2:$H$37002,"13*",'Accounting data'!$I$2:$I$37002,"7*",'Accounting data'!$J$2:$J$37002,"3*",'Accounting data'!$K$2:$K$37002,"63*")</f>
        <v>0</v>
      </c>
    </row>
    <row r="574" spans="1:5" x14ac:dyDescent="0.3">
      <c r="A574" s="517" t="s">
        <v>1007</v>
      </c>
      <c r="B574" s="519">
        <v>800</v>
      </c>
      <c r="C574" s="517">
        <v>3000</v>
      </c>
      <c r="D574" s="517">
        <v>6300</v>
      </c>
      <c r="E574" s="518">
        <f>SUMIFS('Accounting data'!$G$2:$G$37002,'Accounting data'!$H$2:$H$37002,"11*",'Accounting data'!$I$2:$I$37002,"8*",'Accounting data'!$J$2:$J$37002,"3*",'Accounting data'!$K$2:$K$37002,"63*")+SUMIFS('Accounting data'!$G$2:$G$37002,'Accounting data'!$H$2:$H$37002,"12*",'Accounting data'!$I$2:$I$37002,"8*",'Accounting data'!$J$2:$J$37002,"3*",'Accounting data'!$K$2:$K$37002,"63*")+SUMIFS('Accounting data'!$G$2:$G$37002,'Accounting data'!$H$2:$H$37002,"13*",'Accounting data'!$I$2:$I$37002,"8*",'Accounting data'!$J$2:$J$37002,"3*",'Accounting data'!$K$2:$K$37002,"63*")</f>
        <v>0</v>
      </c>
    </row>
    <row r="575" spans="1:5" x14ac:dyDescent="0.3">
      <c r="A575" s="517" t="s">
        <v>1007</v>
      </c>
      <c r="B575" s="519">
        <v>900</v>
      </c>
      <c r="C575" s="517">
        <v>3000</v>
      </c>
      <c r="D575" s="517">
        <v>6300</v>
      </c>
      <c r="E575" s="518">
        <f>SUMIFS('Accounting data'!$G$2:$G$37002,'Accounting data'!$H$2:$H$37002,"11*",'Accounting data'!$I$2:$I$37002,"9*",'Accounting data'!$J$2:$J$37002,"3*",'Accounting data'!$K$2:$K$37002,"63*")+SUMIFS('Accounting data'!$G$2:$G$37002,'Accounting data'!$H$2:$H$37002,"12*",'Accounting data'!$I$2:$I$37002,"9*",'Accounting data'!$J$2:$J$37002,"3*",'Accounting data'!$K$2:$K$37002,"63*")+SUMIFS('Accounting data'!$G$2:$G$37002,'Accounting data'!$H$2:$H$37002,"13*",'Accounting data'!$I$2:$I$37002,"9*",'Accounting data'!$J$2:$J$37002,"3*",'Accounting data'!$K$2:$K$37002,"63*")</f>
        <v>0</v>
      </c>
    </row>
    <row r="576" spans="1:5" x14ac:dyDescent="0.3">
      <c r="A576" s="520" t="s">
        <v>1037</v>
      </c>
      <c r="B576" s="520"/>
      <c r="C576" s="520"/>
      <c r="D576" s="520"/>
      <c r="E576" s="522">
        <f>(E564+E565+E566)-(E567+E568+E569+E570+E571+E572+E573+E574+E575)</f>
        <v>50498</v>
      </c>
    </row>
    <row r="577" spans="1:5" x14ac:dyDescent="0.3">
      <c r="A577" s="517" t="s">
        <v>1007</v>
      </c>
      <c r="B577" s="517" t="s">
        <v>991</v>
      </c>
      <c r="C577" s="517">
        <v>1000</v>
      </c>
      <c r="D577" s="517">
        <v>6400</v>
      </c>
      <c r="E577" s="518">
        <f>SUMIFS('Accounting data'!$G$2:$G$37002,'Accounting data'!$H$2:$H$37002,"11*",'Accounting data'!$J$2:$J$37002,"1*",'Accounting data'!$K$2:$K$37002,"64*")+SUMIFS('Accounting data'!$G$2:$G$37002,'Accounting data'!$H$2:$H$37002,"12*",'Accounting data'!$J$2:$J$37002,"1*",'Accounting data'!$K$2:$K$37002,"64*")+SUMIFS('Accounting data'!$G$2:$G$37002,'Accounting data'!$H$2:$H$37002,"13*",'Accounting data'!$J$2:$J$37002,"1*",'Accounting data'!$K$2:$K$37002,"64*")</f>
        <v>0</v>
      </c>
    </row>
    <row r="578" spans="1:5" x14ac:dyDescent="0.3">
      <c r="A578" s="517" t="s">
        <v>1007</v>
      </c>
      <c r="B578" s="517" t="s">
        <v>991</v>
      </c>
      <c r="C578" s="517">
        <v>2000</v>
      </c>
      <c r="D578" s="517">
        <v>6400</v>
      </c>
      <c r="E578" s="518">
        <f>SUMIFS('Accounting data'!$G$2:$G$37002,'Accounting data'!$H$2:$H$37002,"11*",'Accounting data'!$J$2:$J$37002,"2*",'Accounting data'!$K$2:$K$37002,"64*")+SUMIFS('Accounting data'!$G$2:$G$37002,'Accounting data'!$H$2:$H$37002,"12*",'Accounting data'!$J$2:$J$37002,"2*",'Accounting data'!$K$2:$K$37002,"64*")+SUMIFS('Accounting data'!$G$2:$G$37002,'Accounting data'!$H$2:$H$37002,"13*",'Accounting data'!$J$2:$J$37002,"2*",'Accounting data'!$K$2:$K$37002,"64*")</f>
        <v>0</v>
      </c>
    </row>
    <row r="579" spans="1:5" x14ac:dyDescent="0.3">
      <c r="A579" s="517" t="s">
        <v>1007</v>
      </c>
      <c r="B579" s="517" t="s">
        <v>991</v>
      </c>
      <c r="C579" s="517">
        <v>3000</v>
      </c>
      <c r="D579" s="517">
        <v>6400</v>
      </c>
      <c r="E579" s="518">
        <f>SUMIFS('Accounting data'!$G$2:$G$37002,'Accounting data'!$H$2:$H$37002,"11*",'Accounting data'!$J$2:$J$37002,"3*",'Accounting data'!$K$2:$K$37002,"64*")+SUMIFS('Accounting data'!$G$2:$G$37002,'Accounting data'!$H$2:$H$37002,"12*",'Accounting data'!$J$2:$J$37002,"3*",'Accounting data'!$K$2:$K$37002,"64*")+SUMIFS('Accounting data'!$G$2:$G$37002,'Accounting data'!$H$2:$H$37002,"13*",'Accounting data'!$J$2:$J$37002,"3*",'Accounting data'!$K$2:$K$37002,"64*")</f>
        <v>0</v>
      </c>
    </row>
    <row r="580" spans="1:5" x14ac:dyDescent="0.3">
      <c r="A580" s="517" t="s">
        <v>1007</v>
      </c>
      <c r="B580" s="519">
        <v>700</v>
      </c>
      <c r="C580" s="517">
        <v>1000</v>
      </c>
      <c r="D580" s="517">
        <v>6400</v>
      </c>
      <c r="E580" s="518">
        <f>SUMIFS('Accounting data'!$G$2:$G$37002,'Accounting data'!$H$2:$H$37002,"11*",'Accounting data'!$I$2:$I$37002,"7*",'Accounting data'!$J$2:$J$37002,"1*",'Accounting data'!$K$2:$K$37002,"64*")+SUMIFS('Accounting data'!$G$2:$G$37002,'Accounting data'!$H$2:$H$37002,"12*",'Accounting data'!$I$2:$I$37002,"7*",'Accounting data'!$J$2:$J$37002,"1*",'Accounting data'!$K$2:$K$37002,"64*")+SUMIFS('Accounting data'!$G$2:$G$37002,'Accounting data'!$H$2:$H$37002,"13*",'Accounting data'!$I$2:$I$37002,"7*",'Accounting data'!$J$2:$J$37002,"1*",'Accounting data'!$K$2:$K$37002,"64*")</f>
        <v>0</v>
      </c>
    </row>
    <row r="581" spans="1:5" x14ac:dyDescent="0.3">
      <c r="A581" s="517" t="s">
        <v>1007</v>
      </c>
      <c r="B581" s="519">
        <v>800</v>
      </c>
      <c r="C581" s="517">
        <v>1000</v>
      </c>
      <c r="D581" s="517">
        <v>6400</v>
      </c>
      <c r="E581" s="518">
        <f>SUMIFS('Accounting data'!$G$2:$G$37002,'Accounting data'!$H$2:$H$37002,"11*",'Accounting data'!$I$2:$I$37002,"8*",'Accounting data'!$J$2:$J$37002,"1*",'Accounting data'!$K$2:$K$37002,"64*")+SUMIFS('Accounting data'!$G$2:$G$37002,'Accounting data'!$H$2:$H$37002,"12*",'Accounting data'!$I$2:$I$37002,"8*",'Accounting data'!$J$2:$J$37002,"1*",'Accounting data'!$K$2:$K$37002,"64*")+SUMIFS('Accounting data'!$G$2:$G$37002,'Accounting data'!$H$2:$H$37002,"13*",'Accounting data'!$I$2:$I$37002,"8*",'Accounting data'!$J$2:$J$37002,"1*",'Accounting data'!$K$2:$K$37002,"64*")</f>
        <v>0</v>
      </c>
    </row>
    <row r="582" spans="1:5" x14ac:dyDescent="0.3">
      <c r="A582" s="517" t="s">
        <v>1007</v>
      </c>
      <c r="B582" s="519">
        <v>900</v>
      </c>
      <c r="C582" s="517">
        <v>1000</v>
      </c>
      <c r="D582" s="517">
        <v>6400</v>
      </c>
      <c r="E582" s="518">
        <f>SUMIFS('Accounting data'!$G$2:$G$37002,'Accounting data'!$H$2:$H$37002,"11*",'Accounting data'!$I$2:$I$37002,"9*",'Accounting data'!$J$2:$J$37002,"1*",'Accounting data'!$K$2:$K$37002,"64*")+SUMIFS('Accounting data'!$G$2:$G$37002,'Accounting data'!$H$2:$H$37002,"12*",'Accounting data'!$I$2:$I$37002,"9*",'Accounting data'!$J$2:$J$37002,"1*",'Accounting data'!$K$2:$K$37002,"64*")+SUMIFS('Accounting data'!$G$2:$G$37002,'Accounting data'!$H$2:$H$37002,"13*",'Accounting data'!$I$2:$I$37002,"9*",'Accounting data'!$J$2:$J$37002,"1*",'Accounting data'!$K$2:$K$37002,"64*")</f>
        <v>0</v>
      </c>
    </row>
    <row r="583" spans="1:5" x14ac:dyDescent="0.3">
      <c r="A583" s="517" t="s">
        <v>1007</v>
      </c>
      <c r="B583" s="519">
        <v>700</v>
      </c>
      <c r="C583" s="517">
        <v>2000</v>
      </c>
      <c r="D583" s="517">
        <v>6400</v>
      </c>
      <c r="E583" s="518">
        <f>SUMIFS('Accounting data'!$G$2:$G$37002,'Accounting data'!$H$2:$H$37002,"11*",'Accounting data'!$I$2:$I$37002,"7*",'Accounting data'!$J$2:$J$37002,"2*",'Accounting data'!$K$2:$K$37002,"64*")+SUMIFS('Accounting data'!$G$2:$G$37002,'Accounting data'!$H$2:$H$37002,"12*",'Accounting data'!$I$2:$I$37002,"7*",'Accounting data'!$J$2:$J$37002,"2*",'Accounting data'!$K$2:$K$37002,"64*")+SUMIFS('Accounting data'!$G$2:$G$37002,'Accounting data'!$H$2:$H$37002,"13*",'Accounting data'!$I$2:$I$37002,"7*",'Accounting data'!$J$2:$J$37002,"2*",'Accounting data'!$K$2:$K$37002,"64*")</f>
        <v>0</v>
      </c>
    </row>
    <row r="584" spans="1:5" x14ac:dyDescent="0.3">
      <c r="A584" s="517" t="s">
        <v>1007</v>
      </c>
      <c r="B584" s="519">
        <v>800</v>
      </c>
      <c r="C584" s="517">
        <v>2000</v>
      </c>
      <c r="D584" s="517">
        <v>6400</v>
      </c>
      <c r="E584" s="518">
        <f>SUMIFS('Accounting data'!$G$2:$G$37002,'Accounting data'!$H$2:$H$37002,"11*",'Accounting data'!$I$2:$I$37002,"8*",'Accounting data'!$J$2:$J$37002,"2*",'Accounting data'!$K$2:$K$37002,"64*")+SUMIFS('Accounting data'!$G$2:$G$37002,'Accounting data'!$H$2:$H$37002,"12*",'Accounting data'!$I$2:$I$37002,"8*",'Accounting data'!$J$2:$J$37002,"2*",'Accounting data'!$K$2:$K$37002,"64*")+SUMIFS('Accounting data'!$G$2:$G$37002,'Accounting data'!$H$2:$H$37002,"13*",'Accounting data'!$I$2:$I$37002,"8*",'Accounting data'!$J$2:$J$37002,"2*",'Accounting data'!$K$2:$K$37002,"64*")</f>
        <v>0</v>
      </c>
    </row>
    <row r="585" spans="1:5" x14ac:dyDescent="0.3">
      <c r="A585" s="517" t="s">
        <v>1007</v>
      </c>
      <c r="B585" s="519">
        <v>900</v>
      </c>
      <c r="C585" s="517">
        <v>2000</v>
      </c>
      <c r="D585" s="517">
        <v>6400</v>
      </c>
      <c r="E585" s="518">
        <f>SUMIFS('Accounting data'!$G$2:$G$37002,'Accounting data'!$H$2:$H$37002,"11*",'Accounting data'!$I$2:$I$37002,"9*",'Accounting data'!$J$2:$J$37002,"2*",'Accounting data'!$K$2:$K$37002,"64*")+SUMIFS('Accounting data'!$G$2:$G$37002,'Accounting data'!$H$2:$H$37002,"12*",'Accounting data'!$I$2:$I$37002,"9*",'Accounting data'!$J$2:$J$37002,"2*",'Accounting data'!$K$2:$K$37002,"64*")+SUMIFS('Accounting data'!$G$2:$G$37002,'Accounting data'!$H$2:$H$37002,"13*",'Accounting data'!$I$2:$I$37002,"9*",'Accounting data'!$J$2:$J$37002,"2*",'Accounting data'!$K$2:$K$37002,"64*")</f>
        <v>0</v>
      </c>
    </row>
    <row r="586" spans="1:5" x14ac:dyDescent="0.3">
      <c r="A586" s="517" t="s">
        <v>1007</v>
      </c>
      <c r="B586" s="519">
        <v>700</v>
      </c>
      <c r="C586" s="517">
        <v>3000</v>
      </c>
      <c r="D586" s="517">
        <v>6400</v>
      </c>
      <c r="E586" s="518">
        <f>SUMIFS('Accounting data'!$G$2:$G$37002,'Accounting data'!$H$2:$H$37002,"11*",'Accounting data'!$I$2:$I$37002,"7*",'Accounting data'!$J$2:$J$37002,"3*",'Accounting data'!$K$2:$K$37002,"64*")+SUMIFS('Accounting data'!$G$2:$G$37002,'Accounting data'!$H$2:$H$37002,"12*",'Accounting data'!$I$2:$I$37002,"7*",'Accounting data'!$J$2:$J$37002,"3*",'Accounting data'!$K$2:$K$37002,"64*")+SUMIFS('Accounting data'!$G$2:$G$37002,'Accounting data'!$H$2:$H$37002,"13*",'Accounting data'!$I$2:$I$37002,"7*",'Accounting data'!$J$2:$J$37002,"3*",'Accounting data'!$K$2:$K$37002,"64*")</f>
        <v>0</v>
      </c>
    </row>
    <row r="587" spans="1:5" x14ac:dyDescent="0.3">
      <c r="A587" s="517" t="s">
        <v>1007</v>
      </c>
      <c r="B587" s="519">
        <v>800</v>
      </c>
      <c r="C587" s="517">
        <v>3000</v>
      </c>
      <c r="D587" s="517">
        <v>6400</v>
      </c>
      <c r="E587" s="518">
        <f>SUMIFS('Accounting data'!$G$2:$G$37002,'Accounting data'!$H$2:$H$37002,"11*",'Accounting data'!$I$2:$I$37002,"8*",'Accounting data'!$J$2:$J$37002,"3*",'Accounting data'!$K$2:$K$37002,"64*")+SUMIFS('Accounting data'!$G$2:$G$37002,'Accounting data'!$H$2:$H$37002,"12*",'Accounting data'!$I$2:$I$37002,"8*",'Accounting data'!$J$2:$J$37002,"3*",'Accounting data'!$K$2:$K$37002,"64*")+SUMIFS('Accounting data'!$G$2:$G$37002,'Accounting data'!$H$2:$H$37002,"13*",'Accounting data'!$I$2:$I$37002,"8*",'Accounting data'!$J$2:$J$37002,"3*",'Accounting data'!$K$2:$K$37002,"64*")</f>
        <v>0</v>
      </c>
    </row>
    <row r="588" spans="1:5" x14ac:dyDescent="0.3">
      <c r="A588" s="517" t="s">
        <v>1007</v>
      </c>
      <c r="B588" s="519">
        <v>900</v>
      </c>
      <c r="C588" s="517">
        <v>3000</v>
      </c>
      <c r="D588" s="517">
        <v>6400</v>
      </c>
      <c r="E588" s="518">
        <f>SUMIFS('Accounting data'!$G$2:$G$37002,'Accounting data'!$H$2:$H$37002,"11*",'Accounting data'!$I$2:$I$37002,"9*",'Accounting data'!$J$2:$J$37002,"3*",'Accounting data'!$K$2:$K$37002,"64*")+SUMIFS('Accounting data'!$G$2:$G$37002,'Accounting data'!$H$2:$H$37002,"12*",'Accounting data'!$I$2:$I$37002,"9*",'Accounting data'!$J$2:$J$37002,"3*",'Accounting data'!$K$2:$K$37002,"64*")+SUMIFS('Accounting data'!$G$2:$G$37002,'Accounting data'!$H$2:$H$37002,"13*",'Accounting data'!$I$2:$I$37002,"9*",'Accounting data'!$J$2:$J$37002,"3*",'Accounting data'!$K$2:$K$37002,"64*")</f>
        <v>0</v>
      </c>
    </row>
    <row r="589" spans="1:5" x14ac:dyDescent="0.3">
      <c r="A589" s="520" t="s">
        <v>1038</v>
      </c>
      <c r="B589" s="520"/>
      <c r="C589" s="520"/>
      <c r="D589" s="520"/>
      <c r="E589" s="522">
        <f>(E577+E578+E579)-(E580+E581+E582+E583+E584+E585+E586+E587+E588)</f>
        <v>0</v>
      </c>
    </row>
    <row r="590" spans="1:5" x14ac:dyDescent="0.3">
      <c r="A590" s="517" t="s">
        <v>1007</v>
      </c>
      <c r="B590" s="517" t="s">
        <v>991</v>
      </c>
      <c r="C590" s="517">
        <v>1000</v>
      </c>
      <c r="D590" s="517">
        <v>6500</v>
      </c>
      <c r="E590" s="518">
        <f>SUMIFS('Accounting data'!$G$2:$G$37002,'Accounting data'!$H$2:$H$37002,"11*",'Accounting data'!$J$2:$J$37002,"1*",'Accounting data'!$K$2:$K$37002,"65*")+SUMIFS('Accounting data'!$G$2:$G$37002,'Accounting data'!$H$2:$H$37002,"12*",'Accounting data'!$J$2:$J$37002,"1*",'Accounting data'!$K$2:$K$37002,"65*")+SUMIFS('Accounting data'!$G$2:$G$37002,'Accounting data'!$H$2:$H$37002,"13*",'Accounting data'!$J$2:$J$37002,"1*",'Accounting data'!$K$2:$K$37002,"65*")</f>
        <v>0</v>
      </c>
    </row>
    <row r="591" spans="1:5" x14ac:dyDescent="0.3">
      <c r="A591" s="517" t="s">
        <v>1007</v>
      </c>
      <c r="B591" s="517" t="s">
        <v>991</v>
      </c>
      <c r="C591" s="517">
        <v>2000</v>
      </c>
      <c r="D591" s="517">
        <v>6500</v>
      </c>
      <c r="E591" s="518">
        <f>SUMIFS('Accounting data'!$G$2:$G$37002,'Accounting data'!$H$2:$H$37002,"11*",'Accounting data'!$J$2:$J$37002,"2*",'Accounting data'!$K$2:$K$37002,"65*")+SUMIFS('Accounting data'!$G$2:$G$37002,'Accounting data'!$H$2:$H$37002,"12*",'Accounting data'!$J$2:$J$37002,"2*",'Accounting data'!$K$2:$K$37002,"65*")+SUMIFS('Accounting data'!$G$2:$G$37002,'Accounting data'!$H$2:$H$37002,"13*",'Accounting data'!$J$2:$J$37002,"2*",'Accounting data'!$K$2:$K$37002,"65*")</f>
        <v>0</v>
      </c>
    </row>
    <row r="592" spans="1:5" x14ac:dyDescent="0.3">
      <c r="A592" s="517" t="s">
        <v>1007</v>
      </c>
      <c r="B592" s="517" t="s">
        <v>991</v>
      </c>
      <c r="C592" s="517">
        <v>3000</v>
      </c>
      <c r="D592" s="517">
        <v>6500</v>
      </c>
      <c r="E592" s="518">
        <f>SUMIFS('Accounting data'!$G$2:$G$37002,'Accounting data'!$H$2:$H$37002,"11*",'Accounting data'!$J$2:$J$37002,"3*",'Accounting data'!$K$2:$K$37002,"65*")+SUMIFS('Accounting data'!$G$2:$G$37002,'Accounting data'!$H$2:$H$37002,"12*",'Accounting data'!$J$2:$J$37002,"3*",'Accounting data'!$K$2:$K$37002,"65*")+SUMIFS('Accounting data'!$G$2:$G$37002,'Accounting data'!$H$2:$H$37002,"13*",'Accounting data'!$J$2:$J$37002,"3*",'Accounting data'!$K$2:$K$37002,"65*")</f>
        <v>0</v>
      </c>
    </row>
    <row r="593" spans="1:5" x14ac:dyDescent="0.3">
      <c r="A593" s="517" t="s">
        <v>1007</v>
      </c>
      <c r="B593" s="519">
        <v>700</v>
      </c>
      <c r="C593" s="517">
        <v>1000</v>
      </c>
      <c r="D593" s="517">
        <v>6500</v>
      </c>
      <c r="E593" s="518">
        <f>SUMIFS('Accounting data'!$G$2:$G$37002,'Accounting data'!$H$2:$H$37002,"11*",'Accounting data'!$I$2:$I$37002,"7*",'Accounting data'!$J$2:$J$37002,"1*",'Accounting data'!$K$2:$K$37002,"65*")+SUMIFS('Accounting data'!$G$2:$G$37002,'Accounting data'!$H$2:$H$37002,"12*",'Accounting data'!$I$2:$I$37002,"7*",'Accounting data'!$J$2:$J$37002,"1*",'Accounting data'!$K$2:$K$37002,"65*")+SUMIFS('Accounting data'!$G$2:$G$37002,'Accounting data'!$H$2:$H$37002,"13*",'Accounting data'!$I$2:$I$37002,"7*",'Accounting data'!$J$2:$J$37002,"1*",'Accounting data'!$K$2:$K$37002,"65*")</f>
        <v>0</v>
      </c>
    </row>
    <row r="594" spans="1:5" x14ac:dyDescent="0.3">
      <c r="A594" s="517" t="s">
        <v>1007</v>
      </c>
      <c r="B594" s="519">
        <v>800</v>
      </c>
      <c r="C594" s="517">
        <v>1000</v>
      </c>
      <c r="D594" s="517">
        <v>6500</v>
      </c>
      <c r="E594" s="518">
        <f>SUMIFS('Accounting data'!$G$2:$G$37002,'Accounting data'!$H$2:$H$37002,"11*",'Accounting data'!$I$2:$I$37002,"8*",'Accounting data'!$J$2:$J$37002,"1*",'Accounting data'!$K$2:$K$37002,"65*")+SUMIFS('Accounting data'!$G$2:$G$37002,'Accounting data'!$H$2:$H$37002,"12*",'Accounting data'!$I$2:$I$37002,"8*",'Accounting data'!$J$2:$J$37002,"1*",'Accounting data'!$K$2:$K$37002,"65*")+SUMIFS('Accounting data'!$G$2:$G$37002,'Accounting data'!$H$2:$H$37002,"13*",'Accounting data'!$I$2:$I$37002,"8*",'Accounting data'!$J$2:$J$37002,"1*",'Accounting data'!$K$2:$K$37002,"65*")</f>
        <v>0</v>
      </c>
    </row>
    <row r="595" spans="1:5" x14ac:dyDescent="0.3">
      <c r="A595" s="517" t="s">
        <v>1007</v>
      </c>
      <c r="B595" s="519">
        <v>900</v>
      </c>
      <c r="C595" s="517">
        <v>1000</v>
      </c>
      <c r="D595" s="517">
        <v>6500</v>
      </c>
      <c r="E595" s="518">
        <f>SUMIFS('Accounting data'!$G$2:$G$37002,'Accounting data'!$H$2:$H$37002,"11*",'Accounting data'!$I$2:$I$37002,"9*",'Accounting data'!$J$2:$J$37002,"1*",'Accounting data'!$K$2:$K$37002,"65*")+SUMIFS('Accounting data'!$G$2:$G$37002,'Accounting data'!$H$2:$H$37002,"12*",'Accounting data'!$I$2:$I$37002,"9*",'Accounting data'!$J$2:$J$37002,"1*",'Accounting data'!$K$2:$K$37002,"65*")+SUMIFS('Accounting data'!$G$2:$G$37002,'Accounting data'!$H$2:$H$37002,"13*",'Accounting data'!$I$2:$I$37002,"9*",'Accounting data'!$J$2:$J$37002,"1*",'Accounting data'!$K$2:$K$37002,"65*")</f>
        <v>0</v>
      </c>
    </row>
    <row r="596" spans="1:5" x14ac:dyDescent="0.3">
      <c r="A596" s="517" t="s">
        <v>1007</v>
      </c>
      <c r="B596" s="519">
        <v>700</v>
      </c>
      <c r="C596" s="517">
        <v>2000</v>
      </c>
      <c r="D596" s="517">
        <v>6500</v>
      </c>
      <c r="E596" s="518">
        <f>SUMIFS('Accounting data'!$G$2:$G$37002,'Accounting data'!$H$2:$H$37002,"11*",'Accounting data'!$I$2:$I$37002,"7*",'Accounting data'!$J$2:$J$37002,"2*",'Accounting data'!$K$2:$K$37002,"65*")+SUMIFS('Accounting data'!$G$2:$G$37002,'Accounting data'!$H$2:$H$37002,"12*",'Accounting data'!$I$2:$I$37002,"7*",'Accounting data'!$J$2:$J$37002,"2*",'Accounting data'!$K$2:$K$37002,"65*")+SUMIFS('Accounting data'!$G$2:$G$37002,'Accounting data'!$H$2:$H$37002,"13*",'Accounting data'!$I$2:$I$37002,"7*",'Accounting data'!$J$2:$J$37002,"2*",'Accounting data'!$K$2:$K$37002,"65*")</f>
        <v>0</v>
      </c>
    </row>
    <row r="597" spans="1:5" x14ac:dyDescent="0.3">
      <c r="A597" s="517" t="s">
        <v>1007</v>
      </c>
      <c r="B597" s="519">
        <v>800</v>
      </c>
      <c r="C597" s="517">
        <v>2000</v>
      </c>
      <c r="D597" s="517">
        <v>6500</v>
      </c>
      <c r="E597" s="518">
        <f>SUMIFS('Accounting data'!$G$2:$G$37002,'Accounting data'!$H$2:$H$37002,"11*",'Accounting data'!$I$2:$I$37002,"8*",'Accounting data'!$J$2:$J$37002,"2*",'Accounting data'!$K$2:$K$37002,"65*")+SUMIFS('Accounting data'!$G$2:$G$37002,'Accounting data'!$H$2:$H$37002,"12*",'Accounting data'!$I$2:$I$37002,"8*",'Accounting data'!$J$2:$J$37002,"2*",'Accounting data'!$K$2:$K$37002,"65*")+SUMIFS('Accounting data'!$G$2:$G$37002,'Accounting data'!$H$2:$H$37002,"13*",'Accounting data'!$I$2:$I$37002,"8*",'Accounting data'!$J$2:$J$37002,"2*",'Accounting data'!$K$2:$K$37002,"65*")</f>
        <v>0</v>
      </c>
    </row>
    <row r="598" spans="1:5" x14ac:dyDescent="0.3">
      <c r="A598" s="517" t="s">
        <v>1007</v>
      </c>
      <c r="B598" s="519">
        <v>900</v>
      </c>
      <c r="C598" s="517">
        <v>2000</v>
      </c>
      <c r="D598" s="517">
        <v>6500</v>
      </c>
      <c r="E598" s="518">
        <f>SUMIFS('Accounting data'!$G$2:$G$37002,'Accounting data'!$H$2:$H$37002,"11*",'Accounting data'!$I$2:$I$37002,"9*",'Accounting data'!$J$2:$J$37002,"2*",'Accounting data'!$K$2:$K$37002,"65*")+SUMIFS('Accounting data'!$G$2:$G$37002,'Accounting data'!$H$2:$H$37002,"12*",'Accounting data'!$I$2:$I$37002,"9*",'Accounting data'!$J$2:$J$37002,"2*",'Accounting data'!$K$2:$K$37002,"65*")+SUMIFS('Accounting data'!$G$2:$G$37002,'Accounting data'!$H$2:$H$37002,"13*",'Accounting data'!$I$2:$I$37002,"9*",'Accounting data'!$J$2:$J$37002,"2*",'Accounting data'!$K$2:$K$37002,"65*")</f>
        <v>0</v>
      </c>
    </row>
    <row r="599" spans="1:5" x14ac:dyDescent="0.3">
      <c r="A599" s="517" t="s">
        <v>1007</v>
      </c>
      <c r="B599" s="519">
        <v>700</v>
      </c>
      <c r="C599" s="517">
        <v>3000</v>
      </c>
      <c r="D599" s="517">
        <v>6500</v>
      </c>
      <c r="E599" s="518">
        <f>SUMIFS('Accounting data'!$G$2:$G$37002,'Accounting data'!$H$2:$H$37002,"11*",'Accounting data'!$I$2:$I$37002,"7*",'Accounting data'!$J$2:$J$37002,"3*",'Accounting data'!$K$2:$K$37002,"65*")+SUMIFS('Accounting data'!$G$2:$G$37002,'Accounting data'!$H$2:$H$37002,"12*",'Accounting data'!$I$2:$I$37002,"7*",'Accounting data'!$J$2:$J$37002,"3*",'Accounting data'!$K$2:$K$37002,"65*")+SUMIFS('Accounting data'!$G$2:$G$37002,'Accounting data'!$H$2:$H$37002,"13*",'Accounting data'!$I$2:$I$37002,"7*",'Accounting data'!$J$2:$J$37002,"3*",'Accounting data'!$K$2:$K$37002,"65*")</f>
        <v>0</v>
      </c>
    </row>
    <row r="600" spans="1:5" x14ac:dyDescent="0.3">
      <c r="A600" s="517" t="s">
        <v>1007</v>
      </c>
      <c r="B600" s="519">
        <v>800</v>
      </c>
      <c r="C600" s="517">
        <v>3000</v>
      </c>
      <c r="D600" s="517">
        <v>6500</v>
      </c>
      <c r="E600" s="518">
        <f>SUMIFS('Accounting data'!$G$2:$G$37002,'Accounting data'!$H$2:$H$37002,"11*",'Accounting data'!$I$2:$I$37002,"8*",'Accounting data'!$J$2:$J$37002,"3*",'Accounting data'!$K$2:$K$37002,"65*")+SUMIFS('Accounting data'!$G$2:$G$37002,'Accounting data'!$H$2:$H$37002,"12*",'Accounting data'!$I$2:$I$37002,"8*",'Accounting data'!$J$2:$J$37002,"3*",'Accounting data'!$K$2:$K$37002,"65*")+SUMIFS('Accounting data'!$G$2:$G$37002,'Accounting data'!$H$2:$H$37002,"13*",'Accounting data'!$I$2:$I$37002,"8*",'Accounting data'!$J$2:$J$37002,"3*",'Accounting data'!$K$2:$K$37002,"65*")</f>
        <v>0</v>
      </c>
    </row>
    <row r="601" spans="1:5" x14ac:dyDescent="0.3">
      <c r="A601" s="517" t="s">
        <v>1007</v>
      </c>
      <c r="B601" s="519">
        <v>900</v>
      </c>
      <c r="C601" s="517">
        <v>3000</v>
      </c>
      <c r="D601" s="517">
        <v>6500</v>
      </c>
      <c r="E601" s="518">
        <f>SUMIFS('Accounting data'!$G$2:$G$37002,'Accounting data'!$H$2:$H$37002,"11*",'Accounting data'!$I$2:$I$37002,"9*",'Accounting data'!$J$2:$J$37002,"3*",'Accounting data'!$K$2:$K$37002,"65*")+SUMIFS('Accounting data'!$G$2:$G$37002,'Accounting data'!$H$2:$H$37002,"12*",'Accounting data'!$I$2:$I$37002,"9*",'Accounting data'!$J$2:$J$37002,"3*",'Accounting data'!$K$2:$K$37002,"65*")+SUMIFS('Accounting data'!$G$2:$G$37002,'Accounting data'!$H$2:$H$37002,"13*",'Accounting data'!$I$2:$I$37002,"9*",'Accounting data'!$J$2:$J$37002,"3*",'Accounting data'!$K$2:$K$37002,"65*")</f>
        <v>0</v>
      </c>
    </row>
    <row r="602" spans="1:5" x14ac:dyDescent="0.3">
      <c r="A602" s="520" t="s">
        <v>1039</v>
      </c>
      <c r="B602" s="520"/>
      <c r="C602" s="520"/>
      <c r="D602" s="520"/>
      <c r="E602" s="522">
        <f>(E590+E591+E592)-(E593+E594+E595+E596+E597+E598+E599+E600+E601)</f>
        <v>0</v>
      </c>
    </row>
    <row r="629" spans="1:5" x14ac:dyDescent="0.3">
      <c r="A629" s="523" t="s">
        <v>1040</v>
      </c>
      <c r="B629" s="523"/>
      <c r="C629" s="523"/>
      <c r="D629" s="523"/>
      <c r="E629" s="527">
        <f>(E576+E589+E602)-(E615+E628)</f>
        <v>50498</v>
      </c>
    </row>
    <row r="630" spans="1:5" x14ac:dyDescent="0.3">
      <c r="A630" s="517" t="s">
        <v>991</v>
      </c>
      <c r="B630" s="517" t="s">
        <v>991</v>
      </c>
      <c r="C630" s="517">
        <v>1000</v>
      </c>
      <c r="D630" s="517">
        <v>6600</v>
      </c>
      <c r="E630" s="518">
        <f>SUMIFS('Accounting data'!$G$2:$G$37002,'Accounting data'!$J$2:$J$37002,"1*",'Accounting data'!$K$2:$K$37002,"66*")</f>
        <v>41823</v>
      </c>
    </row>
    <row r="631" spans="1:5" x14ac:dyDescent="0.3">
      <c r="A631" s="517" t="s">
        <v>992</v>
      </c>
      <c r="B631" s="517" t="s">
        <v>991</v>
      </c>
      <c r="C631" s="517">
        <v>1000</v>
      </c>
      <c r="D631" s="517">
        <v>6600</v>
      </c>
      <c r="E631" s="518">
        <f>SUMIFS('Accounting data'!$G$2:$G$37002,'Accounting data'!$H$2:$H$37002,"9999*",'Accounting data'!$J$2:$J$37002,"1*",'Accounting data'!$K$2:$K$37002,"66*")</f>
        <v>0</v>
      </c>
    </row>
    <row r="632" spans="1:5" x14ac:dyDescent="0.3">
      <c r="A632" s="517" t="s">
        <v>991</v>
      </c>
      <c r="B632" s="517" t="s">
        <v>993</v>
      </c>
      <c r="C632" s="517">
        <v>1000</v>
      </c>
      <c r="D632" s="517">
        <v>6600</v>
      </c>
      <c r="E632" s="518">
        <f>SUMIFS('Accounting data'!$G$2:$G$37002,'Accounting data'!$I$2:$I$37002,"7*",'Accounting data'!$J$2:$J$37002,"1*",'Accounting data'!$K$2:$K$37002,"66*")+SUMIFS('Accounting data'!$G$2:$G$37002,'Accounting data'!$I$2:$I$37002,"8*",'Accounting data'!$J$2:$J$37002,"1*",'Accounting data'!$K$2:$K$37002,"66*")+SUMIFS('Accounting data'!$G$2:$G$37002,'Accounting data'!$I$2:$I$37002,"9*",'Accounting data'!$J$2:$J$37002,"1*",'Accounting data'!$K$2:$K$37002,"66*")</f>
        <v>0</v>
      </c>
    </row>
    <row r="633" spans="1:5" x14ac:dyDescent="0.3">
      <c r="A633" s="519" t="s">
        <v>992</v>
      </c>
      <c r="B633" s="517" t="s">
        <v>993</v>
      </c>
      <c r="C633" s="517">
        <v>1000</v>
      </c>
      <c r="D633" s="517">
        <v>6600</v>
      </c>
      <c r="E633" s="518">
        <f>SUMIFS('Accounting data'!$G$2:$G$37002,'Accounting data'!$H$2:$H$37002,"9999*",'Accounting data'!$I$2:$I$37002,"7*",'Accounting data'!$J$2:$J$37002,"1*",'Accounting data'!$K$2:$K$37002,"66*")+SUMIFS('Accounting data'!$G$2:$G$37002,'Accounting data'!$H$2:$H$37002,"9999*",'Accounting data'!$I$2:$I$37002,"8*",'Accounting data'!$J$2:$J$37002,"1*",'Accounting data'!$K$2:$K$37002,"66*")+SUMIFS('Accounting data'!$G$2:$G$37002,'Accounting data'!$H$2:$H$37002,"9999*",'Accounting data'!$I$2:$I$37002,"9*",'Accounting data'!$J$2:$J$37002,"1*",'Accounting data'!$K$2:$K$37002,"66*")</f>
        <v>0</v>
      </c>
    </row>
    <row r="634" spans="1:5" x14ac:dyDescent="0.3">
      <c r="A634" s="517"/>
      <c r="B634" s="517"/>
      <c r="C634" s="517"/>
      <c r="D634" s="517"/>
      <c r="E634" s="518"/>
    </row>
    <row r="635" spans="1:5" x14ac:dyDescent="0.3">
      <c r="A635" s="517"/>
      <c r="B635" s="517"/>
      <c r="C635" s="517"/>
      <c r="D635" s="517"/>
      <c r="E635" s="518"/>
    </row>
    <row r="636" spans="1:5" x14ac:dyDescent="0.3">
      <c r="A636" s="520" t="s">
        <v>1041</v>
      </c>
      <c r="B636" s="520"/>
      <c r="C636" s="520"/>
      <c r="D636" s="520"/>
      <c r="E636" s="522">
        <f>(E630-E631-E632)+(E633+E634+E635)</f>
        <v>41823</v>
      </c>
    </row>
    <row r="637" spans="1:5" x14ac:dyDescent="0.3">
      <c r="A637" s="517" t="s">
        <v>991</v>
      </c>
      <c r="B637" s="517" t="s">
        <v>991</v>
      </c>
      <c r="C637" s="517">
        <v>2100</v>
      </c>
      <c r="D637" s="517">
        <v>6600</v>
      </c>
      <c r="E637" s="518">
        <f>SUMIFS('Accounting data'!$G$2:$G$37002,'Accounting data'!$J$2:$J$37002,"21*",'Accounting data'!$K$2:$K$37002,"66*")</f>
        <v>16394</v>
      </c>
    </row>
    <row r="638" spans="1:5" x14ac:dyDescent="0.3">
      <c r="A638" s="517" t="s">
        <v>992</v>
      </c>
      <c r="B638" s="517" t="s">
        <v>991</v>
      </c>
      <c r="C638" s="517">
        <v>2100</v>
      </c>
      <c r="D638" s="517">
        <v>6600</v>
      </c>
      <c r="E638" s="518">
        <f>SUMIFS('Accounting data'!$G$2:$G$37002,'Accounting data'!$H$2:$H$37002,"9999*",'Accounting data'!$J$2:$J$37002,"21*",'Accounting data'!$K$2:$K$37002,"66*")</f>
        <v>0</v>
      </c>
    </row>
    <row r="639" spans="1:5" x14ac:dyDescent="0.3">
      <c r="A639" s="517" t="s">
        <v>991</v>
      </c>
      <c r="B639" s="517" t="s">
        <v>993</v>
      </c>
      <c r="C639" s="517">
        <v>2100</v>
      </c>
      <c r="D639" s="517">
        <v>6600</v>
      </c>
      <c r="E639" s="518">
        <f>SUMIFS('Accounting data'!$G$2:$G$37002,'Accounting data'!$I$2:$I$37002,"7*",'Accounting data'!$J$2:$J$37002,"21*",'Accounting data'!$K$2:$K$37002,"66*")+SUMIFS('Accounting data'!$G$2:$G$37002,'Accounting data'!$I$2:$I$37002,"8*",'Accounting data'!$J$2:$J$37002,"21*",'Accounting data'!$K$2:$K$37002,"66*")+SUMIFS('Accounting data'!$G$2:$G$37002,'Accounting data'!$I$2:$I$37002,"9*",'Accounting data'!$J$2:$J$37002,"21*",'Accounting data'!$K$2:$K$37002,"66*")</f>
        <v>0</v>
      </c>
    </row>
    <row r="640" spans="1:5" x14ac:dyDescent="0.3">
      <c r="A640" s="519" t="s">
        <v>992</v>
      </c>
      <c r="B640" s="517" t="s">
        <v>993</v>
      </c>
      <c r="C640" s="517">
        <v>2100</v>
      </c>
      <c r="D640" s="517">
        <v>6600</v>
      </c>
      <c r="E640" s="518">
        <f>SUMIFS('Accounting data'!$G$2:$G$37002,'Accounting data'!$H$2:$H$37002,"9999*",'Accounting data'!$I$2:$I$37002,"7*",'Accounting data'!$J$2:$J$37002,"21*",'Accounting data'!$K$2:$K$37002,"66*")+SUMIFS('Accounting data'!$G$2:$G$37002,'Accounting data'!$H$2:$H$37002,"9999*",'Accounting data'!$I$2:$I$37002,"8*",'Accounting data'!$J$2:$J$37002,"21*",'Accounting data'!$K$2:$K$37002,"66*")+SUMIFS('Accounting data'!$G$2:$G$37002,'Accounting data'!$H$2:$H$37002,"9999*",'Accounting data'!$I$2:$I$37002,"9*",'Accounting data'!$J$2:$J$37002,"21*",'Accounting data'!$K$2:$K$37002,"66*")</f>
        <v>0</v>
      </c>
    </row>
    <row r="643" spans="1:5" x14ac:dyDescent="0.3">
      <c r="A643" s="520" t="s">
        <v>1042</v>
      </c>
      <c r="B643" s="520"/>
      <c r="C643" s="520"/>
      <c r="D643" s="520"/>
      <c r="E643" s="522">
        <f>(E637-E638-E639)+(E640+E641+E642)</f>
        <v>16394</v>
      </c>
    </row>
    <row r="644" spans="1:5" x14ac:dyDescent="0.3">
      <c r="A644" s="517" t="s">
        <v>991</v>
      </c>
      <c r="B644" s="517" t="s">
        <v>991</v>
      </c>
      <c r="C644" s="517">
        <v>2200</v>
      </c>
      <c r="D644" s="517">
        <v>6600</v>
      </c>
      <c r="E644" s="518">
        <f>SUMIFS('Accounting data'!$G$2:$G$37002,'Accounting data'!$J$2:$J$37002,"22*",'Accounting data'!$K$2:$K$37002,"66*")</f>
        <v>8020</v>
      </c>
    </row>
    <row r="645" spans="1:5" x14ac:dyDescent="0.3">
      <c r="A645" s="517" t="s">
        <v>992</v>
      </c>
      <c r="B645" s="517" t="s">
        <v>991</v>
      </c>
      <c r="C645" s="517">
        <v>2200</v>
      </c>
      <c r="D645" s="517">
        <v>6600</v>
      </c>
      <c r="E645" s="518">
        <f>SUMIFS('Accounting data'!$G$2:$G$37002,'Accounting data'!$H$2:$H$37002,"9999*",'Accounting data'!$J$2:$J$37002,"22*",'Accounting data'!$K$2:$K$37002,"66*")</f>
        <v>0</v>
      </c>
    </row>
    <row r="646" spans="1:5" x14ac:dyDescent="0.3">
      <c r="A646" s="517" t="s">
        <v>991</v>
      </c>
      <c r="B646" s="517" t="s">
        <v>993</v>
      </c>
      <c r="C646" s="517">
        <v>2200</v>
      </c>
      <c r="D646" s="517">
        <v>6600</v>
      </c>
      <c r="E646" s="518">
        <f>SUMIFS('Accounting data'!$G$2:$G$37002,'Accounting data'!$I$2:$I$37002,"7*",'Accounting data'!$J$2:$J$37002,"22*",'Accounting data'!$K$2:$K$37002,"66*")+SUMIFS('Accounting data'!$G$2:$G$37002,'Accounting data'!$I$2:$I$37002,"8*",'Accounting data'!$J$2:$J$37002,"22*",'Accounting data'!$K$2:$K$37002,"66*")+SUMIFS('Accounting data'!$G$2:$G$37002,'Accounting data'!$I$2:$I$37002,"9*",'Accounting data'!$J$2:$J$37002,"22*",'Accounting data'!$K$2:$K$37002,"66*")</f>
        <v>0</v>
      </c>
    </row>
    <row r="647" spans="1:5" x14ac:dyDescent="0.3">
      <c r="A647" s="519" t="s">
        <v>992</v>
      </c>
      <c r="B647" s="517" t="s">
        <v>993</v>
      </c>
      <c r="C647" s="517">
        <v>2200</v>
      </c>
      <c r="D647" s="517">
        <v>6600</v>
      </c>
      <c r="E647" s="518">
        <f>SUMIFS('Accounting data'!$G$2:$G$37002,'Accounting data'!$H$2:$H$37002,"9999*",'Accounting data'!$I$2:$I$37002,"7*",'Accounting data'!$J$2:$J$37002,"22*",'Accounting data'!$K$2:$K$37002,"66*")+SUMIFS('Accounting data'!$G$2:$G$37002,'Accounting data'!$H$2:$H$37002,"9999*",'Accounting data'!$I$2:$I$37002,"8*",'Accounting data'!$J$2:$J$37002,"22*",'Accounting data'!$K$2:$K$37002,"66*")+SUMIFS('Accounting data'!$G$2:$G$37002,'Accounting data'!$H$2:$H$37002,"9999*",'Accounting data'!$I$2:$I$37002,"9*",'Accounting data'!$J$2:$J$37002,"22*",'Accounting data'!$K$2:$K$37002,"66*")</f>
        <v>0</v>
      </c>
    </row>
    <row r="648" spans="1:5" x14ac:dyDescent="0.3">
      <c r="A648" s="517"/>
      <c r="B648" s="517"/>
      <c r="C648" s="517"/>
      <c r="D648" s="517"/>
      <c r="E648" s="518"/>
    </row>
    <row r="649" spans="1:5" x14ac:dyDescent="0.3">
      <c r="A649" s="517"/>
      <c r="B649" s="517"/>
      <c r="C649" s="517"/>
      <c r="D649" s="517"/>
      <c r="E649" s="518"/>
    </row>
    <row r="650" spans="1:5" x14ac:dyDescent="0.3">
      <c r="A650" s="520" t="s">
        <v>1043</v>
      </c>
      <c r="B650" s="520"/>
      <c r="C650" s="520"/>
      <c r="D650" s="520"/>
      <c r="E650" s="522">
        <f>(E644-E645-E646)+(E647+E648+E649)</f>
        <v>8020</v>
      </c>
    </row>
    <row r="651" spans="1:5" x14ac:dyDescent="0.3">
      <c r="A651" s="517" t="s">
        <v>991</v>
      </c>
      <c r="B651" s="517" t="s">
        <v>991</v>
      </c>
      <c r="C651" s="517">
        <v>2300</v>
      </c>
      <c r="D651" s="517">
        <v>6600</v>
      </c>
      <c r="E651" s="518">
        <f>SUMIFS('Accounting data'!$G$2:$G$37002,'Accounting data'!$J$2:$J$37002,"23*",'Accounting data'!$K$2:$K$37002,"66*")</f>
        <v>0</v>
      </c>
    </row>
    <row r="652" spans="1:5" x14ac:dyDescent="0.3">
      <c r="A652" s="517" t="s">
        <v>992</v>
      </c>
      <c r="B652" s="517" t="s">
        <v>991</v>
      </c>
      <c r="C652" s="517">
        <v>2300</v>
      </c>
      <c r="D652" s="517">
        <v>6600</v>
      </c>
      <c r="E652" s="518">
        <f>SUMIFS('Accounting data'!$G$2:$G$37002,'Accounting data'!$H$2:$H$37002,"9999*",'Accounting data'!$J$2:$J$37002,"23*",'Accounting data'!$K$2:$K$37002,"66*")</f>
        <v>0</v>
      </c>
    </row>
    <row r="653" spans="1:5" x14ac:dyDescent="0.3">
      <c r="A653" s="517" t="s">
        <v>991</v>
      </c>
      <c r="B653" s="517" t="s">
        <v>993</v>
      </c>
      <c r="C653" s="517">
        <v>2300</v>
      </c>
      <c r="D653" s="517">
        <v>6600</v>
      </c>
      <c r="E653" s="518">
        <f>SUMIFS('Accounting data'!$G$2:$G$37002,'Accounting data'!$I$2:$I$37002,"7*",'Accounting data'!$J$2:$J$37002,"23*",'Accounting data'!$K$2:$K$37002,"66*")+SUMIFS('Accounting data'!$G$2:$G$37002,'Accounting data'!$I$2:$I$37002,"8*",'Accounting data'!$J$2:$J$37002,"23*",'Accounting data'!$K$2:$K$37002,"66*")+SUMIFS('Accounting data'!$G$2:$G$37002,'Accounting data'!$I$2:$I$37002,"9*",'Accounting data'!$J$2:$J$37002,"23*",'Accounting data'!$K$2:$K$37002,"66*")</f>
        <v>0</v>
      </c>
    </row>
    <row r="654" spans="1:5" x14ac:dyDescent="0.3">
      <c r="A654" s="519" t="s">
        <v>992</v>
      </c>
      <c r="B654" s="517" t="s">
        <v>993</v>
      </c>
      <c r="C654" s="517">
        <v>2300</v>
      </c>
      <c r="D654" s="517">
        <v>6600</v>
      </c>
      <c r="E654" s="518">
        <f>SUMIFS('Accounting data'!$G$2:$G$37002,'Accounting data'!$H$2:$H$37002,"9999*",'Accounting data'!$I$2:$I$37002,"7*",'Accounting data'!$J$2:$J$37002,"23*",'Accounting data'!$K$2:$K$37002,"66*")+SUMIFS('Accounting data'!$G$2:$G$37002,'Accounting data'!$H$2:$H$37002,"9999*",'Accounting data'!$I$2:$I$37002,"8*",'Accounting data'!$J$2:$J$37002,"23*",'Accounting data'!$K$2:$K$37002,"66*")+SUMIFS('Accounting data'!$G$2:$G$37002,'Accounting data'!$H$2:$H$37002,"9999*",'Accounting data'!$I$2:$I$37002,"9*",'Accounting data'!$J$2:$J$37002,"23*",'Accounting data'!$K$2:$K$37002,"66*")</f>
        <v>0</v>
      </c>
    </row>
    <row r="657" spans="1:5" x14ac:dyDescent="0.3">
      <c r="A657" s="520" t="s">
        <v>1044</v>
      </c>
      <c r="B657" s="520"/>
      <c r="C657" s="520"/>
      <c r="D657" s="520"/>
      <c r="E657" s="522">
        <f>(E651-E652-E653)+(E654+E655+E656)</f>
        <v>0</v>
      </c>
    </row>
    <row r="658" spans="1:5" x14ac:dyDescent="0.3">
      <c r="A658" s="517" t="s">
        <v>991</v>
      </c>
      <c r="B658" s="517" t="s">
        <v>991</v>
      </c>
      <c r="C658" s="517">
        <v>2400</v>
      </c>
      <c r="D658" s="517">
        <v>6600</v>
      </c>
      <c r="E658" s="518">
        <f>SUMIFS('Accounting data'!$G$2:$G$37002,'Accounting data'!$J$2:$J$37002,"24*",'Accounting data'!$K$2:$K$37002,"66*")</f>
        <v>16102</v>
      </c>
    </row>
    <row r="659" spans="1:5" x14ac:dyDescent="0.3">
      <c r="A659" s="517" t="s">
        <v>992</v>
      </c>
      <c r="B659" s="517" t="s">
        <v>991</v>
      </c>
      <c r="C659" s="517">
        <v>2400</v>
      </c>
      <c r="D659" s="517">
        <v>6600</v>
      </c>
      <c r="E659" s="518">
        <f>SUMIFS('Accounting data'!$G$2:$G$37002,'Accounting data'!$H$2:$H$37002,"9999*",'Accounting data'!$J$2:$J$37002,"24*",'Accounting data'!$K$2:$K$37002,"66*")</f>
        <v>0</v>
      </c>
    </row>
    <row r="660" spans="1:5" x14ac:dyDescent="0.3">
      <c r="A660" s="517" t="s">
        <v>991</v>
      </c>
      <c r="B660" s="517" t="s">
        <v>993</v>
      </c>
      <c r="C660" s="517">
        <v>2400</v>
      </c>
      <c r="D660" s="517">
        <v>6600</v>
      </c>
      <c r="E660" s="518">
        <f>SUMIFS('Accounting data'!$G$2:$G$37002,'Accounting data'!$I$2:$I$37002,"7*",'Accounting data'!$J$2:$J$37002,"24*",'Accounting data'!$K$2:$K$37002,"66*")+SUMIFS('Accounting data'!$G$2:$G$37002,'Accounting data'!$I$2:$I$37002,"8*",'Accounting data'!$J$2:$J$37002,"24*",'Accounting data'!$K$2:$K$37002,"66*")+SUMIFS('Accounting data'!$G$2:$G$37002,'Accounting data'!$I$2:$I$37002,"9*",'Accounting data'!$J$2:$J$37002,"24*",'Accounting data'!$K$2:$K$37002,"66*")</f>
        <v>0</v>
      </c>
    </row>
    <row r="661" spans="1:5" x14ac:dyDescent="0.3">
      <c r="A661" s="519" t="s">
        <v>992</v>
      </c>
      <c r="B661" s="517" t="s">
        <v>993</v>
      </c>
      <c r="C661" s="517">
        <v>2400</v>
      </c>
      <c r="D661" s="517">
        <v>6600</v>
      </c>
      <c r="E661" s="518">
        <f>SUMIFS('Accounting data'!$G$2:$G$37002,'Accounting data'!$H$2:$H$37002,"9999*",'Accounting data'!$I$2:$I$37002,"7*",'Accounting data'!$J$2:$J$37002,"24*",'Accounting data'!$K$2:$K$37002,"66*")+SUMIFS('Accounting data'!$G$2:$G$37002,'Accounting data'!$H$2:$H$37002,"9999*",'Accounting data'!$I$2:$I$37002,"8*",'Accounting data'!$J$2:$J$37002,"24*",'Accounting data'!$K$2:$K$37002,"66*")+SUMIFS('Accounting data'!$G$2:$G$37002,'Accounting data'!$H$2:$H$37002,"9999*",'Accounting data'!$I$2:$I$37002,"9*",'Accounting data'!$J$2:$J$37002,"24*",'Accounting data'!$K$2:$K$37002,"66*")</f>
        <v>0</v>
      </c>
    </row>
    <row r="662" spans="1:5" x14ac:dyDescent="0.3">
      <c r="A662" s="517"/>
      <c r="B662" s="517"/>
      <c r="C662" s="517"/>
      <c r="D662" s="517"/>
      <c r="E662" s="518"/>
    </row>
    <row r="663" spans="1:5" x14ac:dyDescent="0.3">
      <c r="A663" s="517"/>
      <c r="B663" s="517"/>
      <c r="C663" s="517"/>
      <c r="D663" s="517"/>
      <c r="E663" s="518"/>
    </row>
    <row r="664" spans="1:5" x14ac:dyDescent="0.3">
      <c r="A664" s="520" t="s">
        <v>1045</v>
      </c>
      <c r="B664" s="520"/>
      <c r="C664" s="520"/>
      <c r="D664" s="520"/>
      <c r="E664" s="522">
        <f>(E658-E659-E660)+(E661+E662+E663)</f>
        <v>16102</v>
      </c>
    </row>
    <row r="665" spans="1:5" x14ac:dyDescent="0.3">
      <c r="A665" s="517" t="s">
        <v>991</v>
      </c>
      <c r="B665" s="517" t="s">
        <v>991</v>
      </c>
      <c r="C665" s="517">
        <v>2500</v>
      </c>
      <c r="D665" s="517">
        <v>6600</v>
      </c>
      <c r="E665" s="518">
        <f>SUMIFS('Accounting data'!$G$2:$G$37002,'Accounting data'!$J$2:$J$37002,"25*",'Accounting data'!$K$2:$K$37002,"66*")</f>
        <v>6349</v>
      </c>
    </row>
    <row r="666" spans="1:5" x14ac:dyDescent="0.3">
      <c r="A666" s="517" t="s">
        <v>992</v>
      </c>
      <c r="B666" s="517" t="s">
        <v>991</v>
      </c>
      <c r="C666" s="517">
        <v>2500</v>
      </c>
      <c r="D666" s="517">
        <v>6600</v>
      </c>
      <c r="E666" s="518">
        <f>SUMIFS('Accounting data'!$G$2:$G$37002,'Accounting data'!$H$2:$H$37002,"9999*",'Accounting data'!$J$2:$J$37002,"25*",'Accounting data'!$K$2:$K$37002,"66*")</f>
        <v>0</v>
      </c>
    </row>
    <row r="667" spans="1:5" x14ac:dyDescent="0.3">
      <c r="A667" s="517" t="s">
        <v>991</v>
      </c>
      <c r="B667" s="517" t="s">
        <v>993</v>
      </c>
      <c r="C667" s="517">
        <v>2500</v>
      </c>
      <c r="D667" s="517">
        <v>6600</v>
      </c>
      <c r="E667" s="518">
        <f>SUMIFS('Accounting data'!$G$2:$G$37002,'Accounting data'!$I$2:$I$37002,"7*",'Accounting data'!$J$2:$J$37002,"25*",'Accounting data'!$K$2:$K$37002,"66*")+SUMIFS('Accounting data'!$G$2:$G$37002,'Accounting data'!$I$2:$I$37002,"8*",'Accounting data'!$J$2:$J$37002,"25*",'Accounting data'!$K$2:$K$37002,"66*")+SUMIFS('Accounting data'!$G$2:$G$37002,'Accounting data'!$I$2:$I$37002,"9*",'Accounting data'!$J$2:$J$37002,"25*",'Accounting data'!$K$2:$K$37002,"66*")</f>
        <v>0</v>
      </c>
    </row>
    <row r="668" spans="1:5" x14ac:dyDescent="0.3">
      <c r="A668" s="519" t="s">
        <v>992</v>
      </c>
      <c r="B668" s="517" t="s">
        <v>993</v>
      </c>
      <c r="C668" s="517">
        <v>2500</v>
      </c>
      <c r="D668" s="517">
        <v>6600</v>
      </c>
      <c r="E668" s="518">
        <f>SUMIFS('Accounting data'!$G$2:$G$37002,'Accounting data'!$H$2:$H$37002,"9999*",'Accounting data'!$I$2:$I$37002,"7*",'Accounting data'!$J$2:$J$37002,"25*",'Accounting data'!$K$2:$K$37002,"66*")+SUMIFS('Accounting data'!$G$2:$G$37002,'Accounting data'!$H$2:$H$37002,"9999*",'Accounting data'!$I$2:$I$37002,"8*",'Accounting data'!$J$2:$J$37002,"25*",'Accounting data'!$K$2:$K$37002,"66*")+SUMIFS('Accounting data'!$G$2:$G$37002,'Accounting data'!$H$2:$H$37002,"9999*",'Accounting data'!$I$2:$I$37002,"9*",'Accounting data'!$J$2:$J$37002,"25*",'Accounting data'!$K$2:$K$37002,"66*")</f>
        <v>0</v>
      </c>
    </row>
    <row r="669" spans="1:5" x14ac:dyDescent="0.3">
      <c r="A669" s="517"/>
      <c r="B669" s="517"/>
      <c r="C669" s="517"/>
      <c r="D669" s="517"/>
      <c r="E669" s="518"/>
    </row>
    <row r="670" spans="1:5" x14ac:dyDescent="0.3">
      <c r="A670" s="517"/>
      <c r="B670" s="517"/>
      <c r="C670" s="517"/>
      <c r="D670" s="517"/>
      <c r="E670" s="518"/>
    </row>
    <row r="671" spans="1:5" x14ac:dyDescent="0.3">
      <c r="A671" s="520" t="s">
        <v>1046</v>
      </c>
      <c r="B671" s="520"/>
      <c r="C671" s="520"/>
      <c r="D671" s="520"/>
      <c r="E671" s="522">
        <f>(E665-E666-E667)+(E668+E669+E670)</f>
        <v>6349</v>
      </c>
    </row>
    <row r="672" spans="1:5" x14ac:dyDescent="0.3">
      <c r="A672" s="517" t="s">
        <v>991</v>
      </c>
      <c r="B672" s="517" t="s">
        <v>991</v>
      </c>
      <c r="C672" s="517">
        <v>2900</v>
      </c>
      <c r="D672" s="517">
        <v>6600</v>
      </c>
      <c r="E672" s="518">
        <f>SUMIFS('Accounting data'!$G$2:$G$37002,'Accounting data'!$J$2:$J$37002,"29*",'Accounting data'!$K$2:$K$37002,"66*")</f>
        <v>0</v>
      </c>
    </row>
    <row r="673" spans="1:5" x14ac:dyDescent="0.3">
      <c r="A673" s="517" t="s">
        <v>992</v>
      </c>
      <c r="B673" s="517" t="s">
        <v>991</v>
      </c>
      <c r="C673" s="517">
        <v>2900</v>
      </c>
      <c r="D673" s="517">
        <v>6600</v>
      </c>
      <c r="E673" s="518">
        <f>SUMIFS('Accounting data'!$G$2:$G$37002,'Accounting data'!$H$2:$H$37002,"9999*",'Accounting data'!$J$2:$J$37002,"29*",'Accounting data'!$K$2:$K$37002,"66*")</f>
        <v>0</v>
      </c>
    </row>
    <row r="674" spans="1:5" x14ac:dyDescent="0.3">
      <c r="A674" s="517" t="s">
        <v>991</v>
      </c>
      <c r="B674" s="517" t="s">
        <v>993</v>
      </c>
      <c r="C674" s="517">
        <v>2900</v>
      </c>
      <c r="D674" s="517">
        <v>6600</v>
      </c>
      <c r="E674" s="518">
        <f>SUMIFS('Accounting data'!$G$2:$G$37002,'Accounting data'!$I$2:$I$37002,"7*",'Accounting data'!$J$2:$J$37002,"29*",'Accounting data'!$K$2:$K$37002,"66*")+SUMIFS('Accounting data'!$G$2:$G$37002,'Accounting data'!$I$2:$I$37002,"8*",'Accounting data'!$J$2:$J$37002,"29*",'Accounting data'!$K$2:$K$37002,"66*")+SUMIFS('Accounting data'!$G$2:$G$37002,'Accounting data'!$I$2:$I$37002,"9*",'Accounting data'!$J$2:$J$37002,"29*",'Accounting data'!$K$2:$K$37002,"66*")</f>
        <v>0</v>
      </c>
    </row>
    <row r="675" spans="1:5" x14ac:dyDescent="0.3">
      <c r="A675" s="519" t="s">
        <v>992</v>
      </c>
      <c r="B675" s="517" t="s">
        <v>993</v>
      </c>
      <c r="C675" s="517">
        <v>2900</v>
      </c>
      <c r="D675" s="517">
        <v>6600</v>
      </c>
      <c r="E675" s="518">
        <f>SUMIFS('Accounting data'!$G$2:$G$37002,'Accounting data'!$H$2:$H$37002,"9999*",'Accounting data'!$I$2:$I$37002,"7*",'Accounting data'!$J$2:$J$37002,"29*",'Accounting data'!$K$2:$K$37002,"66*")+SUMIFS('Accounting data'!$G$2:$G$37002,'Accounting data'!$H$2:$H$37002,"9999*",'Accounting data'!$I$2:$I$37002,"8*",'Accounting data'!$J$2:$J$37002,"29*",'Accounting data'!$K$2:$K$37002,"66*")+SUMIFS('Accounting data'!$G$2:$G$37002,'Accounting data'!$H$2:$H$37002,"9999*",'Accounting data'!$I$2:$I$37002,"9*",'Accounting data'!$J$2:$J$37002,"29*",'Accounting data'!$K$2:$K$37002,"66*")</f>
        <v>0</v>
      </c>
    </row>
    <row r="676" spans="1:5" x14ac:dyDescent="0.3">
      <c r="A676" s="517"/>
      <c r="B676" s="517"/>
      <c r="C676" s="517"/>
      <c r="D676" s="517"/>
      <c r="E676" s="518"/>
    </row>
    <row r="677" spans="1:5" x14ac:dyDescent="0.3">
      <c r="A677" s="517"/>
      <c r="B677" s="517"/>
      <c r="C677" s="517"/>
      <c r="D677" s="517"/>
      <c r="E677" s="518"/>
    </row>
    <row r="678" spans="1:5" x14ac:dyDescent="0.3">
      <c r="A678" s="520" t="s">
        <v>1047</v>
      </c>
      <c r="B678" s="520"/>
      <c r="C678" s="520"/>
      <c r="D678" s="520"/>
      <c r="E678" s="522">
        <f>(E672-E673-E674)+(E675+E676+E677)</f>
        <v>0</v>
      </c>
    </row>
    <row r="679" spans="1:5" x14ac:dyDescent="0.3">
      <c r="A679" s="517" t="s">
        <v>991</v>
      </c>
      <c r="B679" s="517" t="s">
        <v>991</v>
      </c>
      <c r="C679" s="517">
        <v>2600</v>
      </c>
      <c r="D679" s="517">
        <v>6600</v>
      </c>
      <c r="E679" s="518">
        <f>SUMIFS('Accounting data'!$G$2:$G$37002,'Accounting data'!$J$2:$J$37002,"26*",'Accounting data'!$K$2:$K$37002,"66*")</f>
        <v>74731</v>
      </c>
    </row>
    <row r="680" spans="1:5" x14ac:dyDescent="0.3">
      <c r="A680" s="517" t="s">
        <v>992</v>
      </c>
      <c r="B680" s="517" t="s">
        <v>991</v>
      </c>
      <c r="C680" s="517">
        <v>2600</v>
      </c>
      <c r="D680" s="517">
        <v>6600</v>
      </c>
      <c r="E680" s="518">
        <f>SUMIFS('Accounting data'!$G$2:$G$37002,'Accounting data'!$H$2:$H$37002,"9999*",'Accounting data'!$J$2:$J$37002,"26*",'Accounting data'!$K$2:$K$37002,"66*")</f>
        <v>0</v>
      </c>
    </row>
    <row r="681" spans="1:5" x14ac:dyDescent="0.3">
      <c r="A681" s="517" t="s">
        <v>991</v>
      </c>
      <c r="B681" s="517" t="s">
        <v>993</v>
      </c>
      <c r="C681" s="517">
        <v>2600</v>
      </c>
      <c r="D681" s="517">
        <v>6600</v>
      </c>
      <c r="E681" s="518">
        <f>SUMIFS('Accounting data'!$G$2:$G$37002,'Accounting data'!$I$2:$I$37002,"7*",'Accounting data'!$J$2:$J$37002,"26*",'Accounting data'!$K$2:$K$37002,"66*")+SUMIFS('Accounting data'!$G$2:$G$37002,'Accounting data'!$I$2:$I$37002,"8*",'Accounting data'!$J$2:$J$37002,"26*",'Accounting data'!$K$2:$K$37002,"66*")+SUMIFS('Accounting data'!$G$2:$G$37002,'Accounting data'!$I$2:$I$37002,"9*",'Accounting data'!$J$2:$J$37002,"26*",'Accounting data'!$K$2:$K$37002,"66*")</f>
        <v>0</v>
      </c>
    </row>
    <row r="682" spans="1:5" x14ac:dyDescent="0.3">
      <c r="A682" s="519" t="s">
        <v>992</v>
      </c>
      <c r="B682" s="517" t="s">
        <v>993</v>
      </c>
      <c r="C682" s="517">
        <v>2600</v>
      </c>
      <c r="D682" s="517">
        <v>6600</v>
      </c>
      <c r="E682" s="518">
        <f>SUMIFS('Accounting data'!$G$2:$G$37002,'Accounting data'!$H$2:$H$37002,"9999*",'Accounting data'!$I$2:$I$37002,"7*",'Accounting data'!$J$2:$J$37002,"26*",'Accounting data'!$K$2:$K$37002,"66*")+SUMIFS('Accounting data'!$G$2:$G$37002,'Accounting data'!$H$2:$H$37002,"9999*",'Accounting data'!$I$2:$I$37002,"8*",'Accounting data'!$J$2:$J$37002,"26*",'Accounting data'!$K$2:$K$37002,"66*")+SUMIFS('Accounting data'!$G$2:$G$37002,'Accounting data'!$H$2:$H$37002,"9999*",'Accounting data'!$I$2:$I$37002,"9*",'Accounting data'!$J$2:$J$37002,"26*",'Accounting data'!$K$2:$K$37002,"66*")</f>
        <v>0</v>
      </c>
    </row>
    <row r="683" spans="1:5" x14ac:dyDescent="0.3">
      <c r="A683" s="517"/>
      <c r="B683" s="517"/>
      <c r="C683" s="517"/>
      <c r="D683" s="517"/>
      <c r="E683" s="518"/>
    </row>
    <row r="684" spans="1:5" x14ac:dyDescent="0.3">
      <c r="A684" s="517"/>
      <c r="B684" s="517"/>
      <c r="C684" s="517"/>
      <c r="D684" s="517"/>
      <c r="E684" s="518"/>
    </row>
    <row r="685" spans="1:5" x14ac:dyDescent="0.3">
      <c r="A685" s="520" t="s">
        <v>1048</v>
      </c>
      <c r="B685" s="520"/>
      <c r="C685" s="520"/>
      <c r="D685" s="520"/>
      <c r="E685" s="522">
        <f>(E679-E680-E681)+(E682+E683+E684)</f>
        <v>74731</v>
      </c>
    </row>
    <row r="686" spans="1:5" x14ac:dyDescent="0.3">
      <c r="A686" s="517" t="s">
        <v>991</v>
      </c>
      <c r="B686" s="517" t="s">
        <v>991</v>
      </c>
      <c r="C686" s="517">
        <v>2700</v>
      </c>
      <c r="D686" s="517">
        <v>6600</v>
      </c>
      <c r="E686" s="518">
        <f>SUMIFS('Accounting data'!$G$2:$G$37002,'Accounting data'!$J$2:$J$37002,"27*",'Accounting data'!$K$2:$K$37002,"66*")</f>
        <v>3303</v>
      </c>
    </row>
    <row r="687" spans="1:5" x14ac:dyDescent="0.3">
      <c r="A687" s="517" t="s">
        <v>992</v>
      </c>
      <c r="B687" s="517" t="s">
        <v>991</v>
      </c>
      <c r="C687" s="517">
        <v>2700</v>
      </c>
      <c r="D687" s="517">
        <v>6600</v>
      </c>
      <c r="E687" s="518">
        <f>SUMIFS('Accounting data'!$G$2:$G$37002,'Accounting data'!$H$2:$H$37002,"9999*",'Accounting data'!$J$2:$J$37002,"27*",'Accounting data'!$K$2:$K$37002,"66*")</f>
        <v>0</v>
      </c>
    </row>
    <row r="688" spans="1:5" x14ac:dyDescent="0.3">
      <c r="A688" s="517" t="s">
        <v>991</v>
      </c>
      <c r="B688" s="517" t="s">
        <v>993</v>
      </c>
      <c r="C688" s="517">
        <v>2700</v>
      </c>
      <c r="D688" s="517">
        <v>6600</v>
      </c>
      <c r="E688" s="518">
        <f>SUMIFS('Accounting data'!$G$2:$G$37002,'Accounting data'!$I$2:$I$37002,"7*",'Accounting data'!$J$2:$J$37002,"27*",'Accounting data'!$K$2:$K$37002,"66*")+SUMIFS('Accounting data'!$G$2:$G$37002,'Accounting data'!$I$2:$I$37002,"8*",'Accounting data'!$J$2:$J$37002,"27*",'Accounting data'!$K$2:$K$37002,"66*")+SUMIFS('Accounting data'!$G$2:$G$37002,'Accounting data'!$I$2:$I$37002,"9*",'Accounting data'!$J$2:$J$37002,"27*",'Accounting data'!$K$2:$K$37002,"66*")</f>
        <v>0</v>
      </c>
    </row>
    <row r="689" spans="1:5" x14ac:dyDescent="0.3">
      <c r="A689" s="519" t="s">
        <v>992</v>
      </c>
      <c r="B689" s="517" t="s">
        <v>993</v>
      </c>
      <c r="C689" s="517">
        <v>2700</v>
      </c>
      <c r="D689" s="517">
        <v>6600</v>
      </c>
      <c r="E689" s="518">
        <f>SUMIFS('Accounting data'!$G$2:$G$37002,'Accounting data'!$H$2:$H$37002,"9999*",'Accounting data'!$I$2:$I$37002,"7*",'Accounting data'!$J$2:$J$37002,"27*",'Accounting data'!$K$2:$K$37002,"66*")+SUMIFS('Accounting data'!$G$2:$G$37002,'Accounting data'!$H$2:$H$37002,"9999*",'Accounting data'!$I$2:$I$37002,"8*",'Accounting data'!$J$2:$J$37002,"27*",'Accounting data'!$K$2:$K$37002,"66*")+SUMIFS('Accounting data'!$G$2:$G$37002,'Accounting data'!$H$2:$H$37002,"9999*",'Accounting data'!$I$2:$I$37002,"9*",'Accounting data'!$J$2:$J$37002,"27*",'Accounting data'!$K$2:$K$37002,"66*")</f>
        <v>0</v>
      </c>
    </row>
    <row r="690" spans="1:5" x14ac:dyDescent="0.3">
      <c r="A690" s="517"/>
      <c r="B690" s="517"/>
      <c r="C690" s="517"/>
      <c r="D690" s="517"/>
      <c r="E690" s="518"/>
    </row>
    <row r="691" spans="1:5" x14ac:dyDescent="0.3">
      <c r="A691" s="517"/>
      <c r="B691" s="517"/>
      <c r="C691" s="517"/>
      <c r="D691" s="517"/>
      <c r="E691" s="518"/>
    </row>
    <row r="692" spans="1:5" x14ac:dyDescent="0.3">
      <c r="A692" s="520" t="s">
        <v>1049</v>
      </c>
      <c r="B692" s="520"/>
      <c r="C692" s="520"/>
      <c r="D692" s="520"/>
      <c r="E692" s="522">
        <f>(E686-E687-E688)+(E689+E690+E691)</f>
        <v>3303</v>
      </c>
    </row>
    <row r="693" spans="1:5" x14ac:dyDescent="0.3">
      <c r="A693" s="517" t="s">
        <v>991</v>
      </c>
      <c r="B693" s="517" t="s">
        <v>991</v>
      </c>
      <c r="C693" s="517">
        <v>3100</v>
      </c>
      <c r="D693" s="517">
        <v>6600</v>
      </c>
      <c r="E693" s="518">
        <f>SUMIFS('Accounting data'!$G$2:$G$37002,'Accounting data'!$J$2:$J$37002,"31*",'Accounting data'!$K$2:$K$37002,"66*")</f>
        <v>114</v>
      </c>
    </row>
    <row r="694" spans="1:5" x14ac:dyDescent="0.3">
      <c r="A694" s="517" t="s">
        <v>992</v>
      </c>
      <c r="B694" s="517" t="s">
        <v>991</v>
      </c>
      <c r="C694" s="517">
        <v>3100</v>
      </c>
      <c r="D694" s="517">
        <v>6600</v>
      </c>
      <c r="E694" s="518">
        <f>SUMIFS('Accounting data'!$G$2:$G$37002,'Accounting data'!$H$2:$H$37002,"9999*",'Accounting data'!$J$2:$J$37002,"31*",'Accounting data'!$K$2:$K$37002,"66*")</f>
        <v>0</v>
      </c>
    </row>
    <row r="695" spans="1:5" x14ac:dyDescent="0.3">
      <c r="A695" s="517" t="s">
        <v>991</v>
      </c>
      <c r="B695" s="517" t="s">
        <v>993</v>
      </c>
      <c r="C695" s="517">
        <v>3100</v>
      </c>
      <c r="D695" s="517">
        <v>6600</v>
      </c>
      <c r="E695" s="518">
        <f>SUMIFS('Accounting data'!$G$2:$G$37002,'Accounting data'!$I$2:$I$37002,"7*",'Accounting data'!$J$2:$J$37002,"31*",'Accounting data'!$K$2:$K$37002,"66*")+SUMIFS('Accounting data'!$G$2:$G$37002,'Accounting data'!$I$2:$I$37002,"8*",'Accounting data'!$J$2:$J$37002,"31*",'Accounting data'!$K$2:$K$37002,"66*")+SUMIFS('Accounting data'!$G$2:$G$37002,'Accounting data'!$I$2:$I$37002,"9*",'Accounting data'!$J$2:$J$37002,"31*",'Accounting data'!$K$2:$K$37002,"66*")</f>
        <v>0</v>
      </c>
    </row>
    <row r="696" spans="1:5" x14ac:dyDescent="0.3">
      <c r="A696" s="519" t="s">
        <v>992</v>
      </c>
      <c r="B696" s="517" t="s">
        <v>993</v>
      </c>
      <c r="C696" s="517">
        <v>3100</v>
      </c>
      <c r="D696" s="517">
        <v>6600</v>
      </c>
      <c r="E696" s="518">
        <f>SUMIFS('Accounting data'!$G$2:$G$37002,'Accounting data'!$H$2:$H$37002,"9999*",'Accounting data'!$I$2:$I$37002,"7*",'Accounting data'!$J$2:$J$37002,"31*",'Accounting data'!$K$2:$K$37002,"66*")+SUMIFS('Accounting data'!$G$2:$G$37002,'Accounting data'!$H$2:$H$37002,"9999*",'Accounting data'!$I$2:$I$37002,"8*",'Accounting data'!$J$2:$J$37002,"31*",'Accounting data'!$K$2:$K$37002,"66*")+SUMIFS('Accounting data'!$G$2:$G$37002,'Accounting data'!$H$2:$H$37002,"9999*",'Accounting data'!$I$2:$I$37002,"9*",'Accounting data'!$J$2:$J$37002,"31*",'Accounting data'!$K$2:$K$37002,"66*")</f>
        <v>0</v>
      </c>
    </row>
    <row r="697" spans="1:5" x14ac:dyDescent="0.3">
      <c r="A697" s="517"/>
      <c r="B697" s="517"/>
      <c r="C697" s="517"/>
      <c r="D697" s="517"/>
      <c r="E697" s="518"/>
    </row>
    <row r="698" spans="1:5" x14ac:dyDescent="0.3">
      <c r="A698" s="517"/>
      <c r="B698" s="517"/>
      <c r="C698" s="517"/>
      <c r="D698" s="517"/>
      <c r="E698" s="518"/>
    </row>
    <row r="699" spans="1:5" x14ac:dyDescent="0.3">
      <c r="A699" s="520" t="s">
        <v>1050</v>
      </c>
      <c r="B699" s="520"/>
      <c r="C699" s="520"/>
      <c r="D699" s="520"/>
      <c r="E699" s="522">
        <f>(E693-E694-E695)+(E696+E697+E698)</f>
        <v>114</v>
      </c>
    </row>
    <row r="707" spans="1:5" x14ac:dyDescent="0.3">
      <c r="A707" s="517" t="s">
        <v>991</v>
      </c>
      <c r="B707" s="517" t="s">
        <v>991</v>
      </c>
      <c r="C707" s="517">
        <v>3400</v>
      </c>
      <c r="D707" s="517">
        <v>6600</v>
      </c>
      <c r="E707" s="518">
        <f>SUMIFS('Accounting data'!$G$2:$G$37002,'Accounting data'!$J$2:$J$37002,"34*",'Accounting data'!$K$2:$K$37002,"66*")</f>
        <v>0</v>
      </c>
    </row>
    <row r="708" spans="1:5" x14ac:dyDescent="0.3">
      <c r="A708" s="517" t="s">
        <v>992</v>
      </c>
      <c r="B708" s="517" t="s">
        <v>991</v>
      </c>
      <c r="C708" s="517">
        <v>3400</v>
      </c>
      <c r="D708" s="517">
        <v>6600</v>
      </c>
      <c r="E708" s="518">
        <f>SUMIFS('Accounting data'!$G$2:$G$37002,'Accounting data'!$H$2:$H$37002,"9999*",'Accounting data'!$J$2:$J$37002,"34*",'Accounting data'!$K$2:$K$37002,"66*")</f>
        <v>0</v>
      </c>
    </row>
    <row r="709" spans="1:5" x14ac:dyDescent="0.3">
      <c r="A709" s="517" t="s">
        <v>991</v>
      </c>
      <c r="B709" s="517" t="s">
        <v>993</v>
      </c>
      <c r="C709" s="517">
        <v>3400</v>
      </c>
      <c r="D709" s="517">
        <v>6600</v>
      </c>
      <c r="E709" s="518">
        <f>SUMIFS('Accounting data'!$G$2:$G$37002,'Accounting data'!$I$2:$I$37002,"7*",'Accounting data'!$J$2:$J$37002,"34*",'Accounting data'!$K$2:$K$37002,"66*")+SUMIFS('Accounting data'!$G$2:$G$37002,'Accounting data'!$I$2:$I$37002,"8*",'Accounting data'!$J$2:$J$37002,"34*",'Accounting data'!$K$2:$K$37002,"66*")+SUMIFS('Accounting data'!$G$2:$G$37002,'Accounting data'!$I$2:$I$37002,"9*",'Accounting data'!$J$2:$J$37002,"34*",'Accounting data'!$K$2:$K$37002,"66*")</f>
        <v>0</v>
      </c>
    </row>
    <row r="710" spans="1:5" x14ac:dyDescent="0.3">
      <c r="A710" s="519" t="s">
        <v>992</v>
      </c>
      <c r="B710" s="517" t="s">
        <v>993</v>
      </c>
      <c r="C710" s="517">
        <v>3400</v>
      </c>
      <c r="D710" s="517">
        <v>6600</v>
      </c>
      <c r="E710" s="518">
        <f>SUMIFS('Accounting data'!$G$2:$G$37002,'Accounting data'!$H$2:$H$37002,"9999*",'Accounting data'!$I$2:$I$37002,"7*",'Accounting data'!$J$2:$J$37002,"34*",'Accounting data'!$K$2:$K$37002,"66*")+SUMIFS('Accounting data'!$G$2:$G$37002,'Accounting data'!$H$2:$H$37002,"9999*",'Accounting data'!$I$2:$I$37002,"8*",'Accounting data'!$J$2:$J$37002,"34*",'Accounting data'!$K$2:$K$37002,"66*")+SUMIFS('Accounting data'!$G$2:$G$37002,'Accounting data'!$H$2:$H$37002,"9999*",'Accounting data'!$I$2:$I$37002,"9*",'Accounting data'!$J$2:$J$37002,"34*",'Accounting data'!$K$2:$K$37002,"66*")</f>
        <v>0</v>
      </c>
    </row>
    <row r="711" spans="1:5" x14ac:dyDescent="0.3">
      <c r="A711" s="517"/>
      <c r="B711" s="517"/>
      <c r="C711" s="517"/>
      <c r="D711" s="517"/>
      <c r="E711" s="518"/>
    </row>
    <row r="712" spans="1:5" x14ac:dyDescent="0.3">
      <c r="A712" s="517"/>
      <c r="B712" s="517"/>
      <c r="C712" s="517"/>
      <c r="D712" s="517"/>
      <c r="E712" s="518"/>
    </row>
    <row r="713" spans="1:5" x14ac:dyDescent="0.3">
      <c r="A713" s="520" t="s">
        <v>1051</v>
      </c>
      <c r="B713" s="520"/>
      <c r="C713" s="520"/>
      <c r="D713" s="520"/>
      <c r="E713" s="522">
        <f>(E707-E708-E709)+(E710+E711+E712)</f>
        <v>0</v>
      </c>
    </row>
    <row r="714" spans="1:5" x14ac:dyDescent="0.3">
      <c r="A714" s="517" t="s">
        <v>991</v>
      </c>
      <c r="B714" s="517" t="s">
        <v>991</v>
      </c>
      <c r="C714" s="517">
        <v>4000</v>
      </c>
      <c r="D714" s="517">
        <v>6600</v>
      </c>
      <c r="E714" s="518">
        <f>SUMIFS('Accounting data'!$G$2:$G$37002,'Accounting data'!$J$2:$J$37002,"4*",'Accounting data'!$K$2:$K$37002,"66*")</f>
        <v>0</v>
      </c>
    </row>
    <row r="715" spans="1:5" x14ac:dyDescent="0.3">
      <c r="A715" s="517" t="s">
        <v>992</v>
      </c>
      <c r="B715" s="517" t="s">
        <v>991</v>
      </c>
      <c r="C715" s="517">
        <v>4000</v>
      </c>
      <c r="D715" s="517">
        <v>6600</v>
      </c>
      <c r="E715" s="518">
        <f>SUMIFS('Accounting data'!$G$2:$G$37002,'Accounting data'!$H$2:$H$37002,"9999*",'Accounting data'!$J$2:$J$37002,"4*",'Accounting data'!$K$2:$K$37002,"66*")</f>
        <v>0</v>
      </c>
    </row>
    <row r="716" spans="1:5" x14ac:dyDescent="0.3">
      <c r="A716" s="517" t="s">
        <v>991</v>
      </c>
      <c r="B716" s="517" t="s">
        <v>993</v>
      </c>
      <c r="C716" s="517">
        <v>4000</v>
      </c>
      <c r="D716" s="517">
        <v>6600</v>
      </c>
      <c r="E716" s="518">
        <f>SUMIFS('Accounting data'!$G$2:$G$37002,'Accounting data'!$I$2:$I$37002,"7*",'Accounting data'!$J$2:$J$37002,"4*",'Accounting data'!$K$2:$K$37002,"66*")+SUMIFS('Accounting data'!$G$2:$G$37002,'Accounting data'!$I$2:$I$37002,"8*",'Accounting data'!$J$2:$J$37002,"4*",'Accounting data'!$K$2:$K$37002,"66*")+SUMIFS('Accounting data'!$G$2:$G$37002,'Accounting data'!$I$2:$I$37002,"9*",'Accounting data'!$J$2:$J$37002,"4*",'Accounting data'!$K$2:$K$37002,"66*")</f>
        <v>0</v>
      </c>
    </row>
    <row r="717" spans="1:5" x14ac:dyDescent="0.3">
      <c r="A717" s="519" t="s">
        <v>992</v>
      </c>
      <c r="B717" s="517" t="s">
        <v>993</v>
      </c>
      <c r="C717" s="517">
        <v>4000</v>
      </c>
      <c r="D717" s="517">
        <v>6600</v>
      </c>
      <c r="E717" s="518">
        <f>SUMIFS('Accounting data'!$G$2:$G$37002,'Accounting data'!$H$2:$H$37002,"9999*",'Accounting data'!$I$2:$I$37002,"7*",'Accounting data'!$J$2:$J$37002,"4*",'Accounting data'!$K$2:$K$37002,"66*")+SUMIFS('Accounting data'!$G$2:$G$37002,'Accounting data'!$H$2:$H$37002,"9999*",'Accounting data'!$I$2:$I$37002,"8*",'Accounting data'!$J$2:$J$37002,"4*",'Accounting data'!$K$2:$K$37002,"66*")+SUMIFS('Accounting data'!$G$2:$G$37002,'Accounting data'!$H$2:$H$37002,"9999*",'Accounting data'!$I$2:$I$37002,"9*",'Accounting data'!$J$2:$J$37002,"4*",'Accounting data'!$K$2:$K$37002,"66*")</f>
        <v>0</v>
      </c>
    </row>
    <row r="718" spans="1:5" x14ac:dyDescent="0.3">
      <c r="A718" s="517"/>
      <c r="B718" s="517"/>
      <c r="C718" s="517"/>
      <c r="D718" s="517"/>
      <c r="E718" s="518"/>
    </row>
    <row r="719" spans="1:5" x14ac:dyDescent="0.3">
      <c r="A719" s="517"/>
      <c r="B719" s="517"/>
      <c r="C719" s="517"/>
      <c r="D719" s="517"/>
      <c r="E719" s="518"/>
    </row>
    <row r="720" spans="1:5" x14ac:dyDescent="0.3">
      <c r="A720" s="520" t="s">
        <v>1052</v>
      </c>
      <c r="B720" s="520"/>
      <c r="C720" s="520"/>
      <c r="D720" s="520"/>
      <c r="E720" s="522">
        <f>(E714-E715-E716)+(E717+E718+E719)</f>
        <v>0</v>
      </c>
    </row>
    <row r="721" spans="1:5" x14ac:dyDescent="0.3">
      <c r="A721" s="528" t="s">
        <v>1053</v>
      </c>
      <c r="B721" s="528"/>
      <c r="C721" s="528"/>
      <c r="D721" s="528"/>
      <c r="E721" s="529">
        <f>E636+E643+E650+E657+E664+E671+E678+E685+E692+E699+E706+E713</f>
        <v>166836</v>
      </c>
    </row>
    <row r="722" spans="1:5" x14ac:dyDescent="0.3">
      <c r="A722" s="517" t="s">
        <v>1007</v>
      </c>
      <c r="B722" s="517" t="s">
        <v>991</v>
      </c>
      <c r="C722" s="517">
        <v>1000</v>
      </c>
      <c r="D722" s="517">
        <v>6600</v>
      </c>
      <c r="E722" s="518">
        <f>SUMIFS('Accounting data'!$G$2:$G$37002,'Accounting data'!$H$2:$H$37002,"11*",'Accounting data'!$J$2:$J$37002,"1*",'Accounting data'!$K$2:$K$37002,"66*")+SUMIFS('Accounting data'!$G$2:$G$37002,'Accounting data'!$H$2:$H$37002,"12*",'Accounting data'!$J$2:$J$37002,"1*",'Accounting data'!$K$2:$K$37002,"66*")+SUMIFS('Accounting data'!$G$2:$G$37002,'Accounting data'!$H$2:$H$37002,"13*",'Accounting data'!$J$2:$J$37002,"1*",'Accounting data'!$K$2:$K$37002,"66*")</f>
        <v>6080</v>
      </c>
    </row>
    <row r="723" spans="1:5" x14ac:dyDescent="0.3">
      <c r="A723" s="517" t="s">
        <v>1007</v>
      </c>
      <c r="B723" s="517" t="s">
        <v>991</v>
      </c>
      <c r="C723" s="517">
        <v>2000</v>
      </c>
      <c r="D723" s="517">
        <v>6600</v>
      </c>
      <c r="E723" s="518">
        <f>SUMIFS('Accounting data'!$G$2:$G$37002,'Accounting data'!$H$2:$H$37002,"11*",'Accounting data'!$J$2:$J$37002,"2*",'Accounting data'!$K$2:$K$37002,"66*")+SUMIFS('Accounting data'!$G$2:$G$37002,'Accounting data'!$H$2:$H$37002,"12*",'Accounting data'!$J$2:$J$37002,"2*",'Accounting data'!$K$2:$K$37002,"66*")+SUMIFS('Accounting data'!$G$2:$G$37002,'Accounting data'!$H$2:$H$37002,"13*",'Accounting data'!$J$2:$J$37002,"2*",'Accounting data'!$K$2:$K$37002,"66*")</f>
        <v>2210</v>
      </c>
    </row>
    <row r="724" spans="1:5" x14ac:dyDescent="0.3">
      <c r="A724" s="517" t="s">
        <v>1007</v>
      </c>
      <c r="B724" s="517" t="s">
        <v>991</v>
      </c>
      <c r="C724" s="517">
        <v>3000</v>
      </c>
      <c r="D724" s="517">
        <v>6600</v>
      </c>
      <c r="E724" s="518">
        <f>SUMIFS('Accounting data'!$G$2:$G$37002,'Accounting data'!$H$2:$H$37002,"11*",'Accounting data'!$J$2:$J$37002,"3*",'Accounting data'!$K$2:$K$37002,"66*")+SUMIFS('Accounting data'!$G$2:$G$37002,'Accounting data'!$H$2:$H$37002,"12*",'Accounting data'!$J$2:$J$37002,"3*",'Accounting data'!$K$2:$K$37002,"66*")+SUMIFS('Accounting data'!$G$2:$G$37002,'Accounting data'!$H$2:$H$37002,"13*",'Accounting data'!$J$2:$J$37002,"3*",'Accounting data'!$K$2:$K$37002,"66*")</f>
        <v>0</v>
      </c>
    </row>
    <row r="725" spans="1:5" x14ac:dyDescent="0.3">
      <c r="A725" s="517" t="s">
        <v>1007</v>
      </c>
      <c r="B725" s="519">
        <v>700</v>
      </c>
      <c r="C725" s="517">
        <v>1000</v>
      </c>
      <c r="D725" s="517">
        <v>6600</v>
      </c>
      <c r="E725" s="518">
        <f>SUMIFS('Accounting data'!$G$2:$G$37002,'Accounting data'!$H$2:$H$37002,"11*",'Accounting data'!$I$2:$I$37002,"7*",'Accounting data'!$J$2:$J$37002,"1*",'Accounting data'!$K$2:$K$37002,"66*")+SUMIFS('Accounting data'!$G$2:$G$37002,'Accounting data'!$H$2:$H$37002,"12*",'Accounting data'!$I$2:$I$37002,"7*",'Accounting data'!$J$2:$J$37002,"1*",'Accounting data'!$K$2:$K$37002,"66*")+SUMIFS('Accounting data'!$G$2:$G$37002,'Accounting data'!$H$2:$H$37002,"13*",'Accounting data'!$I$2:$I$37002,"7*",'Accounting data'!$J$2:$J$37002,"1*",'Accounting data'!$K$2:$K$37002,"66*")</f>
        <v>0</v>
      </c>
    </row>
    <row r="726" spans="1:5" x14ac:dyDescent="0.3">
      <c r="A726" s="517" t="s">
        <v>1007</v>
      </c>
      <c r="B726" s="519">
        <v>800</v>
      </c>
      <c r="C726" s="517">
        <v>1000</v>
      </c>
      <c r="D726" s="517">
        <v>6600</v>
      </c>
      <c r="E726" s="518">
        <f>SUMIFS('Accounting data'!$G$2:$G$37002,'Accounting data'!$H$2:$H$37002,"11*",'Accounting data'!$I$2:$I$37002,"8*",'Accounting data'!$J$2:$J$37002,"1*",'Accounting data'!$K$2:$K$37002,"66*")+SUMIFS('Accounting data'!$G$2:$G$37002,'Accounting data'!$H$2:$H$37002,"12*",'Accounting data'!$I$2:$I$37002,"8*",'Accounting data'!$J$2:$J$37002,"1*",'Accounting data'!$K$2:$K$37002,"66*")+SUMIFS('Accounting data'!$G$2:$G$37002,'Accounting data'!$H$2:$H$37002,"13*",'Accounting data'!$I$2:$I$37002,"8*",'Accounting data'!$J$2:$J$37002,"1*",'Accounting data'!$K$2:$K$37002,"66*")</f>
        <v>0</v>
      </c>
    </row>
    <row r="727" spans="1:5" x14ac:dyDescent="0.3">
      <c r="A727" s="517" t="s">
        <v>1007</v>
      </c>
      <c r="B727" s="519">
        <v>900</v>
      </c>
      <c r="C727" s="517">
        <v>1000</v>
      </c>
      <c r="D727" s="517">
        <v>6600</v>
      </c>
      <c r="E727" s="518">
        <f>SUMIFS('Accounting data'!$G$2:$G$37002,'Accounting data'!$H$2:$H$37002,"11*",'Accounting data'!$I$2:$I$37002,"9*",'Accounting data'!$J$2:$J$37002,"1*",'Accounting data'!$K$2:$K$37002,"66*")+SUMIFS('Accounting data'!$G$2:$G$37002,'Accounting data'!$H$2:$H$37002,"12*",'Accounting data'!$I$2:$I$37002,"9*",'Accounting data'!$J$2:$J$37002,"1*",'Accounting data'!$K$2:$K$37002,"66*")+SUMIFS('Accounting data'!$G$2:$G$37002,'Accounting data'!$H$2:$H$37002,"13*",'Accounting data'!$I$2:$I$37002,"9*",'Accounting data'!$J$2:$J$37002,"1*",'Accounting data'!$K$2:$K$37002,"66*")</f>
        <v>0</v>
      </c>
    </row>
    <row r="728" spans="1:5" x14ac:dyDescent="0.3">
      <c r="A728" s="517" t="s">
        <v>1007</v>
      </c>
      <c r="B728" s="519">
        <v>700</v>
      </c>
      <c r="C728" s="517">
        <v>2000</v>
      </c>
      <c r="D728" s="517">
        <v>6600</v>
      </c>
      <c r="E728" s="518">
        <f>SUMIFS('Accounting data'!$G$2:$G$37002,'Accounting data'!$H$2:$H$37002,"11*",'Accounting data'!$I$2:$I$37002,"7*",'Accounting data'!$J$2:$J$37002,"2*",'Accounting data'!$K$2:$K$37002,"66*")+SUMIFS('Accounting data'!$G$2:$G$37002,'Accounting data'!$H$2:$H$37002,"12*",'Accounting data'!$I$2:$I$37002,"7*",'Accounting data'!$J$2:$J$37002,"2*",'Accounting data'!$K$2:$K$37002,"66*")+SUMIFS('Accounting data'!$G$2:$G$37002,'Accounting data'!$H$2:$H$37002,"13*",'Accounting data'!$I$2:$I$37002,"7*",'Accounting data'!$J$2:$J$37002,"2*",'Accounting data'!$K$2:$K$37002,"66*")</f>
        <v>0</v>
      </c>
    </row>
    <row r="729" spans="1:5" x14ac:dyDescent="0.3">
      <c r="A729" s="517" t="s">
        <v>1007</v>
      </c>
      <c r="B729" s="519">
        <v>800</v>
      </c>
      <c r="C729" s="517">
        <v>2000</v>
      </c>
      <c r="D729" s="517">
        <v>6600</v>
      </c>
      <c r="E729" s="518">
        <f>SUMIFS('Accounting data'!$G$2:$G$37002,'Accounting data'!$H$2:$H$37002,"11*",'Accounting data'!$I$2:$I$37002,"8*",'Accounting data'!$J$2:$J$37002,"2*",'Accounting data'!$K$2:$K$37002,"66*")+SUMIFS('Accounting data'!$G$2:$G$37002,'Accounting data'!$H$2:$H$37002,"12*",'Accounting data'!$I$2:$I$37002,"8*",'Accounting data'!$J$2:$J$37002,"2*",'Accounting data'!$K$2:$K$37002,"66*")+SUMIFS('Accounting data'!$G$2:$G$37002,'Accounting data'!$H$2:$H$37002,"13*",'Accounting data'!$I$2:$I$37002,"8*",'Accounting data'!$J$2:$J$37002,"2*",'Accounting data'!$K$2:$K$37002,"66*")</f>
        <v>0</v>
      </c>
    </row>
    <row r="730" spans="1:5" x14ac:dyDescent="0.3">
      <c r="A730" s="517" t="s">
        <v>1007</v>
      </c>
      <c r="B730" s="519">
        <v>900</v>
      </c>
      <c r="C730" s="517">
        <v>2000</v>
      </c>
      <c r="D730" s="517">
        <v>6600</v>
      </c>
      <c r="E730" s="518">
        <f>SUMIFS('Accounting data'!$G$2:$G$37002,'Accounting data'!$H$2:$H$37002,"11*",'Accounting data'!$I$2:$I$37002,"9*",'Accounting data'!$J$2:$J$37002,"2*",'Accounting data'!$K$2:$K$37002,"66*")+SUMIFS('Accounting data'!$G$2:$G$37002,'Accounting data'!$H$2:$H$37002,"12*",'Accounting data'!$I$2:$I$37002,"9*",'Accounting data'!$J$2:$J$37002,"2*",'Accounting data'!$K$2:$K$37002,"66*")+SUMIFS('Accounting data'!$G$2:$G$37002,'Accounting data'!$H$2:$H$37002,"13*",'Accounting data'!$I$2:$I$37002,"9*",'Accounting data'!$J$2:$J$37002,"2*",'Accounting data'!$K$2:$K$37002,"66*")</f>
        <v>0</v>
      </c>
    </row>
    <row r="731" spans="1:5" x14ac:dyDescent="0.3">
      <c r="A731" s="517" t="s">
        <v>1007</v>
      </c>
      <c r="B731" s="519">
        <v>700</v>
      </c>
      <c r="C731" s="517">
        <v>3000</v>
      </c>
      <c r="D731" s="517">
        <v>6600</v>
      </c>
      <c r="E731" s="518">
        <f>SUMIFS('Accounting data'!$G$2:$G$37002,'Accounting data'!$H$2:$H$37002,"11*",'Accounting data'!$I$2:$I$37002,"7*",'Accounting data'!$J$2:$J$37002,"3*",'Accounting data'!$K$2:$K$37002,"66*")+SUMIFS('Accounting data'!$G$2:$G$37002,'Accounting data'!$H$2:$H$37002,"12*",'Accounting data'!$I$2:$I$37002,"7*",'Accounting data'!$J$2:$J$37002,"3*",'Accounting data'!$K$2:$K$37002,"66*")+SUMIFS('Accounting data'!$G$2:$G$37002,'Accounting data'!$H$2:$H$37002,"13*",'Accounting data'!$I$2:$I$37002,"7*",'Accounting data'!$J$2:$J$37002,"3*",'Accounting data'!$K$2:$K$37002,"66*")</f>
        <v>0</v>
      </c>
    </row>
    <row r="732" spans="1:5" x14ac:dyDescent="0.3">
      <c r="A732" s="517" t="s">
        <v>1007</v>
      </c>
      <c r="B732" s="519">
        <v>800</v>
      </c>
      <c r="C732" s="517">
        <v>3000</v>
      </c>
      <c r="D732" s="517">
        <v>6600</v>
      </c>
      <c r="E732" s="518">
        <f>SUMIFS('Accounting data'!$G$2:$G$37002,'Accounting data'!$H$2:$H$37002,"11*",'Accounting data'!$I$2:$I$37002,"8*",'Accounting data'!$J$2:$J$37002,"3*",'Accounting data'!$K$2:$K$37002,"66*")+SUMIFS('Accounting data'!$G$2:$G$37002,'Accounting data'!$H$2:$H$37002,"12*",'Accounting data'!$I$2:$I$37002,"8*",'Accounting data'!$J$2:$J$37002,"3*",'Accounting data'!$K$2:$K$37002,"66*")+SUMIFS('Accounting data'!$G$2:$G$37002,'Accounting data'!$H$2:$H$37002,"13*",'Accounting data'!$I$2:$I$37002,"8*",'Accounting data'!$J$2:$J$37002,"3*",'Accounting data'!$K$2:$K$37002,"66*")</f>
        <v>0</v>
      </c>
    </row>
    <row r="733" spans="1:5" x14ac:dyDescent="0.3">
      <c r="A733" s="517" t="s">
        <v>1007</v>
      </c>
      <c r="B733" s="519">
        <v>900</v>
      </c>
      <c r="C733" s="517">
        <v>3000</v>
      </c>
      <c r="D733" s="517">
        <v>6600</v>
      </c>
      <c r="E733" s="518">
        <f>SUMIFS('Accounting data'!$G$2:$G$37002,'Accounting data'!$H$2:$H$37002,"11*",'Accounting data'!$I$2:$I$37002,"9*",'Accounting data'!$J$2:$J$37002,"3*",'Accounting data'!$K$2:$K$37002,"66*")+SUMIFS('Accounting data'!$G$2:$G$37002,'Accounting data'!$H$2:$H$37002,"12*",'Accounting data'!$I$2:$I$37002,"9*",'Accounting data'!$J$2:$J$37002,"3*",'Accounting data'!$K$2:$K$37002,"66*")+SUMIFS('Accounting data'!$G$2:$G$37002,'Accounting data'!$H$2:$H$37002,"13*",'Accounting data'!$I$2:$I$37002,"9*",'Accounting data'!$J$2:$J$37002,"3*",'Accounting data'!$K$2:$K$37002,"66*")</f>
        <v>0</v>
      </c>
    </row>
    <row r="734" spans="1:5" x14ac:dyDescent="0.3">
      <c r="A734" s="520" t="s">
        <v>1054</v>
      </c>
      <c r="B734" s="520"/>
      <c r="C734" s="520"/>
      <c r="D734" s="520"/>
      <c r="E734" s="522">
        <f>(E722+E723+E724)-(E725+E726+E727+E728+E729+E730+E731+E732+E733)</f>
        <v>8290</v>
      </c>
    </row>
    <row r="945" spans="1:5" x14ac:dyDescent="0.3">
      <c r="A945" s="517" t="s">
        <v>991</v>
      </c>
      <c r="B945" s="517" t="s">
        <v>991</v>
      </c>
      <c r="C945" s="517">
        <v>1000</v>
      </c>
      <c r="D945" s="526">
        <v>6810</v>
      </c>
      <c r="E945" s="518">
        <f>SUMIFS('Accounting data'!$G$2:$G$37002,'Accounting data'!$J$2:$J$37002,"1*",'Accounting data'!$K$2:$K$37002,"681*")</f>
        <v>270</v>
      </c>
    </row>
    <row r="946" spans="1:5" x14ac:dyDescent="0.3">
      <c r="A946" s="517" t="s">
        <v>992</v>
      </c>
      <c r="B946" s="517" t="s">
        <v>991</v>
      </c>
      <c r="C946" s="517">
        <v>1000</v>
      </c>
      <c r="D946" s="526">
        <v>6810</v>
      </c>
      <c r="E946" s="518">
        <f>SUMIFS('Accounting data'!$G$2:$G$37002,'Accounting data'!$H$2:$H$37002,"9999*",'Accounting data'!$J$2:$J$37002,"1*",'Accounting data'!$K$2:$K$37002,"681*")</f>
        <v>0</v>
      </c>
    </row>
    <row r="947" spans="1:5" x14ac:dyDescent="0.3">
      <c r="A947" s="517" t="s">
        <v>991</v>
      </c>
      <c r="B947" s="517" t="s">
        <v>993</v>
      </c>
      <c r="C947" s="517">
        <v>1000</v>
      </c>
      <c r="D947" s="526">
        <v>6810</v>
      </c>
      <c r="E947" s="518">
        <f>SUMIFS('Accounting data'!$G$2:$G$37002,'Accounting data'!$I$2:$I$37002,"7*",'Accounting data'!$J$2:$J$37002,"1*",'Accounting data'!$K$2:$K$37002,"681*")+SUMIFS('Accounting data'!$G$2:$G$37002,'Accounting data'!$I$2:$I$37002,"8*",'Accounting data'!$J$2:$J$37002,"1*",'Accounting data'!$K$2:$K$37002,"681*")+SUMIFS('Accounting data'!$G$2:$G$37002,'Accounting data'!$I$2:$I$37002,"9*",'Accounting data'!$J$2:$J$37002,"1*",'Accounting data'!$K$2:$K$37002,"681*")</f>
        <v>0</v>
      </c>
    </row>
    <row r="948" spans="1:5" x14ac:dyDescent="0.3">
      <c r="A948" s="519" t="s">
        <v>992</v>
      </c>
      <c r="B948" s="517" t="s">
        <v>993</v>
      </c>
      <c r="C948" s="517">
        <v>1000</v>
      </c>
      <c r="D948" s="526">
        <v>6810</v>
      </c>
      <c r="E948" s="518">
        <f>SUMIFS('Accounting data'!$G$2:$G$37002,'Accounting data'!$H$2:$H$37002,"9999*",'Accounting data'!$I$2:$I$37002,"7*",'Accounting data'!$J$2:$J$37002,"1*",'Accounting data'!$K$2:$K$37002,"681*")+SUMIFS('Accounting data'!$G$2:$G$37002,'Accounting data'!$H$2:$H$37002,"9999*",'Accounting data'!$I$2:$I$37002,"8*",'Accounting data'!$J$2:$J$37002,"1*",'Accounting data'!$K$2:$K$37002,"681*")+SUMIFS('Accounting data'!$G$2:$G$37002,'Accounting data'!$H$2:$H$37002,"9999*",'Accounting data'!$I$2:$I$37002,"9*",'Accounting data'!$J$2:$J$37002,"1*",'Accounting data'!$K$2:$K$37002,"681*")</f>
        <v>0</v>
      </c>
    </row>
    <row r="949" spans="1:5" x14ac:dyDescent="0.3">
      <c r="A949" s="517"/>
      <c r="B949" s="517"/>
      <c r="C949" s="517"/>
      <c r="D949" s="526"/>
      <c r="E949" s="518"/>
    </row>
    <row r="950" spans="1:5" x14ac:dyDescent="0.3">
      <c r="A950" s="517"/>
      <c r="B950" s="517"/>
      <c r="C950" s="517"/>
      <c r="D950" s="526"/>
      <c r="E950" s="518"/>
    </row>
    <row r="951" spans="1:5" x14ac:dyDescent="0.3">
      <c r="A951" s="520" t="s">
        <v>1055</v>
      </c>
      <c r="B951" s="520"/>
      <c r="C951" s="520"/>
      <c r="D951" s="520"/>
      <c r="E951" s="522">
        <f>((E945-E946-E947)+(E948+E949+E950))</f>
        <v>270</v>
      </c>
    </row>
    <row r="952" spans="1:5" x14ac:dyDescent="0.3">
      <c r="A952" s="517" t="s">
        <v>991</v>
      </c>
      <c r="B952" s="517" t="s">
        <v>991</v>
      </c>
      <c r="C952" s="517">
        <v>2100</v>
      </c>
      <c r="D952" s="526">
        <v>6810</v>
      </c>
      <c r="E952" s="518">
        <f>SUMIFS('Accounting data'!$G$2:$G$37002,'Accounting data'!$J$2:$J$37002,"21*",'Accounting data'!$K$2:$K$37002,"681*")</f>
        <v>30</v>
      </c>
    </row>
    <row r="953" spans="1:5" x14ac:dyDescent="0.3">
      <c r="A953" s="517" t="s">
        <v>992</v>
      </c>
      <c r="B953" s="517" t="s">
        <v>991</v>
      </c>
      <c r="C953" s="517">
        <v>2100</v>
      </c>
      <c r="D953" s="526">
        <v>6810</v>
      </c>
      <c r="E953" s="518">
        <f>SUMIFS('Accounting data'!$G$2:$G$37002,'Accounting data'!$H$2:$H$37002,"9999*",'Accounting data'!$J$2:$J$37002,"21*",'Accounting data'!$K$2:$K$37002,"681*")</f>
        <v>0</v>
      </c>
    </row>
    <row r="954" spans="1:5" x14ac:dyDescent="0.3">
      <c r="A954" s="517" t="s">
        <v>991</v>
      </c>
      <c r="B954" s="517" t="s">
        <v>993</v>
      </c>
      <c r="C954" s="517">
        <v>2100</v>
      </c>
      <c r="D954" s="526">
        <v>6810</v>
      </c>
      <c r="E954" s="518">
        <f>SUMIFS('Accounting data'!$G$2:$G$37002,'Accounting data'!$I$2:$I$37002,"7*",'Accounting data'!$J$2:$J$37002,"21*",'Accounting data'!$K$2:$K$37002,"681*")+SUMIFS('Accounting data'!$G$2:$G$37002,'Accounting data'!$I$2:$I$37002,"8*",'Accounting data'!$J$2:$J$37002,"21*",'Accounting data'!$K$2:$K$37002,"681*")+SUMIFS('Accounting data'!$G$2:$G$37002,'Accounting data'!$I$2:$I$37002,"9*",'Accounting data'!$J$2:$J$37002,"21*",'Accounting data'!$K$2:$K$37002,"681*")</f>
        <v>0</v>
      </c>
    </row>
    <row r="955" spans="1:5" x14ac:dyDescent="0.3">
      <c r="A955" s="519" t="s">
        <v>992</v>
      </c>
      <c r="B955" s="517" t="s">
        <v>993</v>
      </c>
      <c r="C955" s="517">
        <v>2100</v>
      </c>
      <c r="D955" s="526">
        <v>6810</v>
      </c>
      <c r="E955" s="518">
        <f>SUMIFS('Accounting data'!$G$2:$G$37002,'Accounting data'!$H$2:$H$37002,"9999*",'Accounting data'!$I$2:$I$37002,"7*",'Accounting data'!$J$2:$J$37002,"21*",'Accounting data'!$K$2:$K$37002,"681*")+SUMIFS('Accounting data'!$G$2:$G$37002,'Accounting data'!$H$2:$H$37002,"9999*",'Accounting data'!$I$2:$I$37002,"8*",'Accounting data'!$J$2:$J$37002,"21*",'Accounting data'!$K$2:$K$37002,"681*")+SUMIFS('Accounting data'!$G$2:$G$37002,'Accounting data'!$H$2:$H$37002,"9999*",'Accounting data'!$I$2:$I$37002,"9*",'Accounting data'!$J$2:$J$37002,"21*",'Accounting data'!$K$2:$K$37002,"681*")</f>
        <v>0</v>
      </c>
    </row>
    <row r="956" spans="1:5" x14ac:dyDescent="0.3">
      <c r="A956" s="517"/>
      <c r="B956" s="517"/>
      <c r="C956" s="517"/>
      <c r="D956" s="526"/>
      <c r="E956" s="518"/>
    </row>
    <row r="957" spans="1:5" x14ac:dyDescent="0.3">
      <c r="A957" s="517"/>
      <c r="B957" s="517"/>
      <c r="C957" s="517"/>
      <c r="D957" s="526"/>
      <c r="E957" s="518"/>
    </row>
    <row r="958" spans="1:5" x14ac:dyDescent="0.3">
      <c r="A958" s="520" t="s">
        <v>1056</v>
      </c>
      <c r="B958" s="520"/>
      <c r="C958" s="520"/>
      <c r="D958" s="520"/>
      <c r="E958" s="522">
        <f>(E952-E953-E954)+(E955+E956+E957)</f>
        <v>30</v>
      </c>
    </row>
    <row r="959" spans="1:5" x14ac:dyDescent="0.3">
      <c r="A959" s="517" t="s">
        <v>991</v>
      </c>
      <c r="B959" s="517" t="s">
        <v>991</v>
      </c>
      <c r="C959" s="517">
        <v>2200</v>
      </c>
      <c r="D959" s="526">
        <v>6810</v>
      </c>
      <c r="E959" s="518">
        <f>SUMIFS('Accounting data'!$G$2:$G$37002,'Accounting data'!$J$2:$J$37002,"22*",'Accounting data'!$K$2:$K$37002,"681*")</f>
        <v>0</v>
      </c>
    </row>
    <row r="960" spans="1:5" x14ac:dyDescent="0.3">
      <c r="A960" s="517" t="s">
        <v>992</v>
      </c>
      <c r="B960" s="517" t="s">
        <v>991</v>
      </c>
      <c r="C960" s="517">
        <v>2200</v>
      </c>
      <c r="D960" s="526">
        <v>6810</v>
      </c>
      <c r="E960" s="518">
        <f>SUMIFS('Accounting data'!$G$2:$G$37002,'Accounting data'!$H$2:$H$37002,"9999*",'Accounting data'!$J$2:$J$37002,"22*",'Accounting data'!$K$2:$K$37002,"681*")</f>
        <v>0</v>
      </c>
    </row>
    <row r="961" spans="1:5" x14ac:dyDescent="0.3">
      <c r="A961" s="517" t="s">
        <v>991</v>
      </c>
      <c r="B961" s="517" t="s">
        <v>993</v>
      </c>
      <c r="C961" s="517">
        <v>2200</v>
      </c>
      <c r="D961" s="526">
        <v>6810</v>
      </c>
      <c r="E961" s="518">
        <f>SUMIFS('Accounting data'!$G$2:$G$37002,'Accounting data'!$I$2:$I$37002,"7*",'Accounting data'!$J$2:$J$37002,"22*",'Accounting data'!$K$2:$K$37002,"681*")+SUMIFS('Accounting data'!$G$2:$G$37002,'Accounting data'!$I$2:$I$37002,"8*",'Accounting data'!$J$2:$J$37002,"22*",'Accounting data'!$K$2:$K$37002,"681*")+SUMIFS('Accounting data'!$G$2:$G$37002,'Accounting data'!$I$2:$I$37002,"9*",'Accounting data'!$J$2:$J$37002,"22*",'Accounting data'!$K$2:$K$37002,"681*")</f>
        <v>0</v>
      </c>
    </row>
    <row r="962" spans="1:5" x14ac:dyDescent="0.3">
      <c r="A962" s="519" t="s">
        <v>992</v>
      </c>
      <c r="B962" s="517" t="s">
        <v>993</v>
      </c>
      <c r="C962" s="517">
        <v>2200</v>
      </c>
      <c r="D962" s="526">
        <v>6810</v>
      </c>
      <c r="E962" s="518">
        <f>SUMIFS('Accounting data'!$G$2:$G$37002,'Accounting data'!$H$2:$H$37002,"9999*",'Accounting data'!$I$2:$I$37002,"7*",'Accounting data'!$J$2:$J$37002,"22*",'Accounting data'!$K$2:$K$37002,"681*")+SUMIFS('Accounting data'!$G$2:$G$37002,'Accounting data'!$H$2:$H$37002,"9999*",'Accounting data'!$I$2:$I$37002,"8*",'Accounting data'!$J$2:$J$37002,"22*",'Accounting data'!$K$2:$K$37002,"681*")+SUMIFS('Accounting data'!$G$2:$G$37002,'Accounting data'!$H$2:$H$37002,"9999*",'Accounting data'!$I$2:$I$37002,"9*",'Accounting data'!$J$2:$J$37002,"22*",'Accounting data'!$K$2:$K$37002,"681*")</f>
        <v>0</v>
      </c>
    </row>
    <row r="963" spans="1:5" x14ac:dyDescent="0.3">
      <c r="A963" s="517"/>
      <c r="B963" s="517"/>
      <c r="C963" s="517"/>
      <c r="D963" s="526"/>
      <c r="E963" s="518"/>
    </row>
    <row r="964" spans="1:5" x14ac:dyDescent="0.3">
      <c r="A964" s="517"/>
      <c r="B964" s="517"/>
      <c r="C964" s="517"/>
      <c r="D964" s="526"/>
      <c r="E964" s="518"/>
    </row>
    <row r="965" spans="1:5" x14ac:dyDescent="0.3">
      <c r="A965" s="520" t="s">
        <v>1057</v>
      </c>
      <c r="B965" s="520"/>
      <c r="C965" s="520"/>
      <c r="D965" s="520"/>
      <c r="E965" s="522">
        <f>(E959-E960-E961)+(E962+E963+E964)</f>
        <v>0</v>
      </c>
    </row>
    <row r="966" spans="1:5" x14ac:dyDescent="0.3">
      <c r="A966" s="517" t="s">
        <v>991</v>
      </c>
      <c r="B966" s="517" t="s">
        <v>991</v>
      </c>
      <c r="C966" s="517">
        <v>2300</v>
      </c>
      <c r="D966" s="526">
        <v>6810</v>
      </c>
      <c r="E966" s="518">
        <f>SUMIFS('Accounting data'!$G$2:$G$37002,'Accounting data'!$J$2:$J$37002,"23*",'Accounting data'!$K$2:$K$37002,"681*")</f>
        <v>0</v>
      </c>
    </row>
    <row r="967" spans="1:5" x14ac:dyDescent="0.3">
      <c r="A967" s="517" t="s">
        <v>992</v>
      </c>
      <c r="B967" s="517" t="s">
        <v>991</v>
      </c>
      <c r="C967" s="517">
        <v>2300</v>
      </c>
      <c r="D967" s="526">
        <v>6810</v>
      </c>
      <c r="E967" s="518">
        <f>SUMIFS('Accounting data'!$G$2:$G$37002,'Accounting data'!$H$2:$H$37002,"9999*",'Accounting data'!$J$2:$J$37002,"23*",'Accounting data'!$K$2:$K$37002,"681*")</f>
        <v>0</v>
      </c>
    </row>
    <row r="968" spans="1:5" x14ac:dyDescent="0.3">
      <c r="A968" s="517" t="s">
        <v>991</v>
      </c>
      <c r="B968" s="517" t="s">
        <v>993</v>
      </c>
      <c r="C968" s="517">
        <v>2300</v>
      </c>
      <c r="D968" s="526">
        <v>6810</v>
      </c>
      <c r="E968" s="518">
        <f>SUMIFS('Accounting data'!$G$2:$G$37002,'Accounting data'!$I$2:$I$37002,"7*",'Accounting data'!$J$2:$J$37002,"23*",'Accounting data'!$K$2:$K$37002,"681*")+SUMIFS('Accounting data'!$G$2:$G$37002,'Accounting data'!$I$2:$I$37002,"8*",'Accounting data'!$J$2:$J$37002,"23*",'Accounting data'!$K$2:$K$37002,"681*")+SUMIFS('Accounting data'!$G$2:$G$37002,'Accounting data'!$I$2:$I$37002,"9*",'Accounting data'!$J$2:$J$37002,"23*",'Accounting data'!$K$2:$K$37002,"681*")</f>
        <v>0</v>
      </c>
    </row>
    <row r="969" spans="1:5" x14ac:dyDescent="0.3">
      <c r="A969" s="519" t="s">
        <v>992</v>
      </c>
      <c r="B969" s="517" t="s">
        <v>993</v>
      </c>
      <c r="C969" s="517">
        <v>2300</v>
      </c>
      <c r="D969" s="526">
        <v>6810</v>
      </c>
      <c r="E969" s="518">
        <f>SUMIFS('Accounting data'!$G$2:$G$37002,'Accounting data'!$H$2:$H$37002,"9999*",'Accounting data'!$I$2:$I$37002,"7*",'Accounting data'!$J$2:$J$37002,"23*",'Accounting data'!$K$2:$K$37002,"681*")+SUMIFS('Accounting data'!$G$2:$G$37002,'Accounting data'!$H$2:$H$37002,"9999*",'Accounting data'!$I$2:$I$37002,"8*",'Accounting data'!$J$2:$J$37002,"23*",'Accounting data'!$K$2:$K$37002,"681*")+SUMIFS('Accounting data'!$G$2:$G$37002,'Accounting data'!$H$2:$H$37002,"9999*",'Accounting data'!$I$2:$I$37002,"9*",'Accounting data'!$J$2:$J$37002,"23*",'Accounting data'!$K$2:$K$37002,"681*")</f>
        <v>0</v>
      </c>
    </row>
    <row r="970" spans="1:5" x14ac:dyDescent="0.3">
      <c r="A970" s="517"/>
      <c r="B970" s="517"/>
      <c r="C970" s="517"/>
      <c r="D970" s="526"/>
      <c r="E970" s="518"/>
    </row>
    <row r="971" spans="1:5" x14ac:dyDescent="0.3">
      <c r="A971" s="517"/>
      <c r="B971" s="517"/>
      <c r="C971" s="517"/>
      <c r="D971" s="526"/>
      <c r="E971" s="518"/>
    </row>
    <row r="972" spans="1:5" x14ac:dyDescent="0.3">
      <c r="A972" s="520" t="s">
        <v>1058</v>
      </c>
      <c r="B972" s="520"/>
      <c r="C972" s="520"/>
      <c r="D972" s="520"/>
      <c r="E972" s="522">
        <f>(E966-E967-E968)+(E969+E970+E971)</f>
        <v>0</v>
      </c>
    </row>
    <row r="973" spans="1:5" x14ac:dyDescent="0.3">
      <c r="A973" s="517" t="s">
        <v>991</v>
      </c>
      <c r="B973" s="517" t="s">
        <v>991</v>
      </c>
      <c r="C973" s="517">
        <v>2400</v>
      </c>
      <c r="D973" s="526">
        <v>6810</v>
      </c>
      <c r="E973" s="518">
        <f>SUMIFS('Accounting data'!$G$2:$G$37002,'Accounting data'!$J$2:$J$37002,"24*",'Accounting data'!$K$2:$K$37002,"681*")</f>
        <v>592</v>
      </c>
    </row>
    <row r="974" spans="1:5" x14ac:dyDescent="0.3">
      <c r="A974" s="517" t="s">
        <v>992</v>
      </c>
      <c r="B974" s="517" t="s">
        <v>991</v>
      </c>
      <c r="C974" s="517">
        <v>2400</v>
      </c>
      <c r="D974" s="526">
        <v>6810</v>
      </c>
      <c r="E974" s="518">
        <f>SUMIFS('Accounting data'!$G$2:$G$37002,'Accounting data'!$H$2:$H$37002,"9999*",'Accounting data'!$J$2:$J$37002,"24*",'Accounting data'!$K$2:$K$37002,"681*")</f>
        <v>0</v>
      </c>
    </row>
    <row r="975" spans="1:5" x14ac:dyDescent="0.3">
      <c r="A975" s="517" t="s">
        <v>991</v>
      </c>
      <c r="B975" s="517" t="s">
        <v>993</v>
      </c>
      <c r="C975" s="517">
        <v>2400</v>
      </c>
      <c r="D975" s="526">
        <v>6810</v>
      </c>
      <c r="E975" s="518">
        <f>SUMIFS('Accounting data'!$G$2:$G$37002,'Accounting data'!$I$2:$I$37002,"7*",'Accounting data'!$J$2:$J$37002,"24*",'Accounting data'!$K$2:$K$37002,"681*")+SUMIFS('Accounting data'!$G$2:$G$37002,'Accounting data'!$I$2:$I$37002,"8*",'Accounting data'!$J$2:$J$37002,"24*",'Accounting data'!$K$2:$K$37002,"681*")+SUMIFS('Accounting data'!$G$2:$G$37002,'Accounting data'!$I$2:$I$37002,"9*",'Accounting data'!$J$2:$J$37002,"24*",'Accounting data'!$K$2:$K$37002,"681*")</f>
        <v>0</v>
      </c>
    </row>
    <row r="976" spans="1:5" x14ac:dyDescent="0.3">
      <c r="A976" s="519" t="s">
        <v>992</v>
      </c>
      <c r="B976" s="517" t="s">
        <v>993</v>
      </c>
      <c r="C976" s="517">
        <v>2400</v>
      </c>
      <c r="D976" s="526">
        <v>6810</v>
      </c>
      <c r="E976" s="518">
        <f>SUMIFS('Accounting data'!$G$2:$G$37002,'Accounting data'!$H$2:$H$37002,"9999*",'Accounting data'!$I$2:$I$37002,"7*",'Accounting data'!$J$2:$J$37002,"24*",'Accounting data'!$K$2:$K$37002,"681*")+SUMIFS('Accounting data'!$G$2:$G$37002,'Accounting data'!$H$2:$H$37002,"9999*",'Accounting data'!$I$2:$I$37002,"8*",'Accounting data'!$J$2:$J$37002,"24*",'Accounting data'!$K$2:$K$37002,"681*")+SUMIFS('Accounting data'!$G$2:$G$37002,'Accounting data'!$H$2:$H$37002,"9999*",'Accounting data'!$I$2:$I$37002,"9*",'Accounting data'!$J$2:$J$37002,"24*",'Accounting data'!$K$2:$K$37002,"681*")</f>
        <v>0</v>
      </c>
    </row>
    <row r="979" spans="1:5" x14ac:dyDescent="0.3">
      <c r="A979" s="520" t="s">
        <v>1059</v>
      </c>
      <c r="B979" s="520"/>
      <c r="C979" s="520"/>
      <c r="D979" s="520"/>
      <c r="E979" s="522">
        <f>(E973-E974-E975)+(E976+E977+E978)</f>
        <v>592</v>
      </c>
    </row>
    <row r="980" spans="1:5" x14ac:dyDescent="0.3">
      <c r="A980" s="517" t="s">
        <v>991</v>
      </c>
      <c r="B980" s="517" t="s">
        <v>991</v>
      </c>
      <c r="C980" s="517">
        <v>2500</v>
      </c>
      <c r="D980" s="526">
        <v>6810</v>
      </c>
      <c r="E980" s="518">
        <f>SUMIFS('Accounting data'!$G$2:$G$37002,'Accounting data'!$J$2:$J$37002,"25*",'Accounting data'!$K$2:$K$37002,"681*")</f>
        <v>9253</v>
      </c>
    </row>
    <row r="981" spans="1:5" x14ac:dyDescent="0.3">
      <c r="A981" s="517" t="s">
        <v>992</v>
      </c>
      <c r="B981" s="517" t="s">
        <v>991</v>
      </c>
      <c r="C981" s="517">
        <v>2500</v>
      </c>
      <c r="D981" s="526">
        <v>6810</v>
      </c>
      <c r="E981" s="518">
        <f>SUMIFS('Accounting data'!$G$2:$G$37002,'Accounting data'!$H$2:$H$37002,"9999*",'Accounting data'!$J$2:$J$37002,"25*",'Accounting data'!$K$2:$K$37002,"681*")</f>
        <v>0</v>
      </c>
    </row>
    <row r="982" spans="1:5" x14ac:dyDescent="0.3">
      <c r="A982" s="517" t="s">
        <v>991</v>
      </c>
      <c r="B982" s="517" t="s">
        <v>993</v>
      </c>
      <c r="C982" s="517">
        <v>2500</v>
      </c>
      <c r="D982" s="526">
        <v>6810</v>
      </c>
      <c r="E982" s="518">
        <f>SUMIFS('Accounting data'!$G$2:$G$37002,'Accounting data'!$I$2:$I$37002,"7*",'Accounting data'!$J$2:$J$37002,"25*",'Accounting data'!$K$2:$K$37002,"681*")+SUMIFS('Accounting data'!$G$2:$G$37002,'Accounting data'!$I$2:$I$37002,"8*",'Accounting data'!$J$2:$J$37002,"25*",'Accounting data'!$K$2:$K$37002,"681*")+SUMIFS('Accounting data'!$G$2:$G$37002,'Accounting data'!$I$2:$I$37002,"9*",'Accounting data'!$J$2:$J$37002,"25*",'Accounting data'!$K$2:$K$37002,"681*")</f>
        <v>0</v>
      </c>
    </row>
    <row r="983" spans="1:5" x14ac:dyDescent="0.3">
      <c r="A983" s="519" t="s">
        <v>992</v>
      </c>
      <c r="B983" s="517" t="s">
        <v>993</v>
      </c>
      <c r="C983" s="517">
        <v>2500</v>
      </c>
      <c r="D983" s="526">
        <v>6810</v>
      </c>
      <c r="E983" s="518">
        <f>SUMIFS('Accounting data'!$G$2:$G$37002,'Accounting data'!$H$2:$H$37002,"9999*",'Accounting data'!$I$2:$I$37002,"7*",'Accounting data'!$J$2:$J$37002,"25*",'Accounting data'!$K$2:$K$37002,"681*")+SUMIFS('Accounting data'!$G$2:$G$37002,'Accounting data'!$H$2:$H$37002,"9999*",'Accounting data'!$I$2:$I$37002,"8*",'Accounting data'!$J$2:$J$37002,"25*",'Accounting data'!$K$2:$K$37002,"681*")+SUMIFS('Accounting data'!$G$2:$G$37002,'Accounting data'!$H$2:$H$37002,"9999*",'Accounting data'!$I$2:$I$37002,"9*",'Accounting data'!$J$2:$J$37002,"25*",'Accounting data'!$K$2:$K$37002,"681*")</f>
        <v>0</v>
      </c>
    </row>
    <row r="984" spans="1:5" x14ac:dyDescent="0.3">
      <c r="A984" s="517"/>
      <c r="B984" s="517"/>
      <c r="C984" s="517"/>
      <c r="D984" s="526"/>
      <c r="E984" s="518"/>
    </row>
    <row r="985" spans="1:5" x14ac:dyDescent="0.3">
      <c r="A985" s="517"/>
      <c r="B985" s="517"/>
      <c r="C985" s="517"/>
      <c r="D985" s="526"/>
      <c r="E985" s="518"/>
    </row>
    <row r="986" spans="1:5" x14ac:dyDescent="0.3">
      <c r="A986" s="520" t="s">
        <v>1060</v>
      </c>
      <c r="B986" s="520"/>
      <c r="C986" s="520"/>
      <c r="D986" s="520"/>
      <c r="E986" s="522">
        <f>(E980-E981-E982)+(E983+E984+E985)</f>
        <v>9253</v>
      </c>
    </row>
    <row r="987" spans="1:5" x14ac:dyDescent="0.3">
      <c r="A987" s="517" t="s">
        <v>991</v>
      </c>
      <c r="B987" s="517" t="s">
        <v>991</v>
      </c>
      <c r="C987" s="517">
        <v>2900</v>
      </c>
      <c r="D987" s="526">
        <v>6810</v>
      </c>
      <c r="E987" s="518">
        <f>SUMIFS('Accounting data'!$G$2:$G$37002,'Accounting data'!$J$2:$J$37002,"29*",'Accounting data'!$K$2:$K$37002,"681*")</f>
        <v>0</v>
      </c>
    </row>
    <row r="988" spans="1:5" x14ac:dyDescent="0.3">
      <c r="A988" s="517" t="s">
        <v>992</v>
      </c>
      <c r="B988" s="517" t="s">
        <v>991</v>
      </c>
      <c r="C988" s="517">
        <v>2900</v>
      </c>
      <c r="D988" s="526">
        <v>6810</v>
      </c>
      <c r="E988" s="518">
        <f>SUMIFS('Accounting data'!$G$2:$G$37002,'Accounting data'!$H$2:$H$37002,"9999*",'Accounting data'!$J$2:$J$37002,"29*",'Accounting data'!$K$2:$K$37002,"681*")</f>
        <v>0</v>
      </c>
    </row>
    <row r="989" spans="1:5" x14ac:dyDescent="0.3">
      <c r="A989" s="517" t="s">
        <v>991</v>
      </c>
      <c r="B989" s="517" t="s">
        <v>993</v>
      </c>
      <c r="C989" s="517">
        <v>2900</v>
      </c>
      <c r="D989" s="526">
        <v>6810</v>
      </c>
      <c r="E989" s="518">
        <f>SUMIFS('Accounting data'!$G$2:$G$37002,'Accounting data'!$I$2:$I$37002,"7*",'Accounting data'!$J$2:$J$37002,"29*",'Accounting data'!$K$2:$K$37002,"681*")+SUMIFS('Accounting data'!$G$2:$G$37002,'Accounting data'!$I$2:$I$37002,"8*",'Accounting data'!$J$2:$J$37002,"29*",'Accounting data'!$K$2:$K$37002,"681*")+SUMIFS('Accounting data'!$G$2:$G$37002,'Accounting data'!$I$2:$I$37002,"9*",'Accounting data'!$J$2:$J$37002,"29*",'Accounting data'!$K$2:$K$37002,"681*")</f>
        <v>0</v>
      </c>
    </row>
    <row r="990" spans="1:5" x14ac:dyDescent="0.3">
      <c r="A990" s="519" t="s">
        <v>992</v>
      </c>
      <c r="B990" s="517" t="s">
        <v>993</v>
      </c>
      <c r="C990" s="517">
        <v>2900</v>
      </c>
      <c r="D990" s="526">
        <v>6810</v>
      </c>
      <c r="E990" s="518">
        <f>SUMIFS('Accounting data'!$G$2:$G$37002,'Accounting data'!$H$2:$H$37002,"9999*",'Accounting data'!$I$2:$I$37002,"7*",'Accounting data'!$J$2:$J$37002,"29*",'Accounting data'!$K$2:$K$37002,"681*")+SUMIFS('Accounting data'!$G$2:$G$37002,'Accounting data'!$H$2:$H$37002,"9999*",'Accounting data'!$I$2:$I$37002,"8*",'Accounting data'!$J$2:$J$37002,"29*",'Accounting data'!$K$2:$K$37002,"681*")+SUMIFS('Accounting data'!$G$2:$G$37002,'Accounting data'!$H$2:$H$37002,"9999*",'Accounting data'!$I$2:$I$37002,"9*",'Accounting data'!$J$2:$J$37002,"29*",'Accounting data'!$K$2:$K$37002,"681*")</f>
        <v>0</v>
      </c>
    </row>
    <row r="993" spans="1:5" x14ac:dyDescent="0.3">
      <c r="A993" s="520" t="s">
        <v>1061</v>
      </c>
      <c r="B993" s="520"/>
      <c r="C993" s="520"/>
      <c r="D993" s="520"/>
      <c r="E993" s="522">
        <f>(E987-E988-E989)+(E990+E991+E992)</f>
        <v>0</v>
      </c>
    </row>
    <row r="994" spans="1:5" x14ac:dyDescent="0.3">
      <c r="A994" s="517" t="s">
        <v>991</v>
      </c>
      <c r="B994" s="517" t="s">
        <v>991</v>
      </c>
      <c r="C994" s="517">
        <v>2600</v>
      </c>
      <c r="D994" s="526">
        <v>6810</v>
      </c>
      <c r="E994" s="518">
        <f>SUMIFS('Accounting data'!$G$2:$G$37002,'Accounting data'!$J$2:$J$37002,"26*",'Accounting data'!$K$2:$K$37002,"681*")</f>
        <v>0</v>
      </c>
    </row>
    <row r="995" spans="1:5" x14ac:dyDescent="0.3">
      <c r="A995" s="517" t="s">
        <v>992</v>
      </c>
      <c r="B995" s="517" t="s">
        <v>991</v>
      </c>
      <c r="C995" s="517">
        <v>2600</v>
      </c>
      <c r="D995" s="526">
        <v>6810</v>
      </c>
      <c r="E995" s="518">
        <f>SUMIFS('Accounting data'!$G$2:$G$37002,'Accounting data'!$H$2:$H$37002,"9999*",'Accounting data'!$J$2:$J$37002,"26*",'Accounting data'!$K$2:$K$37002,"681*")</f>
        <v>0</v>
      </c>
    </row>
    <row r="996" spans="1:5" x14ac:dyDescent="0.3">
      <c r="A996" s="517" t="s">
        <v>991</v>
      </c>
      <c r="B996" s="517" t="s">
        <v>993</v>
      </c>
      <c r="C996" s="517">
        <v>2600</v>
      </c>
      <c r="D996" s="526">
        <v>6810</v>
      </c>
      <c r="E996" s="518">
        <f>SUMIFS('Accounting data'!$G$2:$G$37002,'Accounting data'!$I$2:$I$37002,"7*",'Accounting data'!$J$2:$J$37002,"26*",'Accounting data'!$K$2:$K$37002,"681*")+SUMIFS('Accounting data'!$G$2:$G$37002,'Accounting data'!$I$2:$I$37002,"8*",'Accounting data'!$J$2:$J$37002,"26*",'Accounting data'!$K$2:$K$37002,"681*")+SUMIFS('Accounting data'!$G$2:$G$37002,'Accounting data'!$I$2:$I$37002,"9*",'Accounting data'!$J$2:$J$37002,"26*",'Accounting data'!$K$2:$K$37002,"681*")</f>
        <v>0</v>
      </c>
    </row>
    <row r="997" spans="1:5" x14ac:dyDescent="0.3">
      <c r="A997" s="519" t="s">
        <v>992</v>
      </c>
      <c r="B997" s="517" t="s">
        <v>993</v>
      </c>
      <c r="C997" s="517">
        <v>2600</v>
      </c>
      <c r="D997" s="526">
        <v>6810</v>
      </c>
      <c r="E997" s="518">
        <f>SUMIFS('Accounting data'!$G$2:$G$37002,'Accounting data'!$H$2:$H$37002,"9999*",'Accounting data'!$I$2:$I$37002,"7*",'Accounting data'!$J$2:$J$37002,"26*",'Accounting data'!$K$2:$K$37002,"681*")+SUMIFS('Accounting data'!$G$2:$G$37002,'Accounting data'!$H$2:$H$37002,"9999*",'Accounting data'!$I$2:$I$37002,"8*",'Accounting data'!$J$2:$J$37002,"26*",'Accounting data'!$K$2:$K$37002,"681*")+SUMIFS('Accounting data'!$G$2:$G$37002,'Accounting data'!$H$2:$H$37002,"9999*",'Accounting data'!$I$2:$I$37002,"9*",'Accounting data'!$J$2:$J$37002,"26*",'Accounting data'!$K$2:$K$37002,"681*")</f>
        <v>0</v>
      </c>
    </row>
    <row r="998" spans="1:5" x14ac:dyDescent="0.3">
      <c r="A998" s="517"/>
      <c r="B998" s="517"/>
      <c r="C998" s="517"/>
      <c r="D998" s="526"/>
      <c r="E998" s="518"/>
    </row>
    <row r="999" spans="1:5" x14ac:dyDescent="0.3">
      <c r="A999" s="517"/>
      <c r="B999" s="517"/>
      <c r="C999" s="517"/>
      <c r="D999" s="526"/>
      <c r="E999" s="518"/>
    </row>
    <row r="1000" spans="1:5" x14ac:dyDescent="0.3">
      <c r="A1000" s="520" t="s">
        <v>1062</v>
      </c>
      <c r="B1000" s="520"/>
      <c r="C1000" s="520"/>
      <c r="D1000" s="520"/>
      <c r="E1000" s="522">
        <f>(E994-E995-E996)+(E997+E998+E999)</f>
        <v>0</v>
      </c>
    </row>
    <row r="1001" spans="1:5" x14ac:dyDescent="0.3">
      <c r="A1001" s="517" t="s">
        <v>991</v>
      </c>
      <c r="B1001" s="517" t="s">
        <v>991</v>
      </c>
      <c r="C1001" s="517">
        <v>2700</v>
      </c>
      <c r="D1001" s="526">
        <v>6810</v>
      </c>
      <c r="E1001" s="518">
        <f>SUMIFS('Accounting data'!$G$2:$G$37002,'Accounting data'!$J$2:$J$37002,"27*",'Accounting data'!$K$2:$K$37002,"681*")</f>
        <v>103</v>
      </c>
    </row>
    <row r="1002" spans="1:5" x14ac:dyDescent="0.3">
      <c r="A1002" s="517" t="s">
        <v>992</v>
      </c>
      <c r="B1002" s="517" t="s">
        <v>991</v>
      </c>
      <c r="C1002" s="517">
        <v>2700</v>
      </c>
      <c r="D1002" s="526">
        <v>6810</v>
      </c>
      <c r="E1002" s="518">
        <f>SUMIFS('Accounting data'!$G$2:$G$37002,'Accounting data'!$H$2:$H$37002,"9999*",'Accounting data'!$J$2:$J$37002,"27*",'Accounting data'!$K$2:$K$37002,"681*")</f>
        <v>0</v>
      </c>
    </row>
    <row r="1003" spans="1:5" x14ac:dyDescent="0.3">
      <c r="A1003" s="517" t="s">
        <v>991</v>
      </c>
      <c r="B1003" s="517" t="s">
        <v>993</v>
      </c>
      <c r="C1003" s="517">
        <v>2700</v>
      </c>
      <c r="D1003" s="526">
        <v>6810</v>
      </c>
      <c r="E1003" s="518">
        <f>SUMIFS('Accounting data'!$G$2:$G$37002,'Accounting data'!$I$2:$I$37002,"7*",'Accounting data'!$J$2:$J$37002,"27*",'Accounting data'!$K$2:$K$37002,"681*")+SUMIFS('Accounting data'!$G$2:$G$37002,'Accounting data'!$I$2:$I$37002,"8*",'Accounting data'!$J$2:$J$37002,"27*",'Accounting data'!$K$2:$K$37002,"681*")+SUMIFS('Accounting data'!$G$2:$G$37002,'Accounting data'!$I$2:$I$37002,"9*",'Accounting data'!$J$2:$J$37002,"27*",'Accounting data'!$K$2:$K$37002,"681*")</f>
        <v>0</v>
      </c>
    </row>
    <row r="1004" spans="1:5" x14ac:dyDescent="0.3">
      <c r="A1004" s="519" t="s">
        <v>992</v>
      </c>
      <c r="B1004" s="517" t="s">
        <v>993</v>
      </c>
      <c r="C1004" s="517">
        <v>2700</v>
      </c>
      <c r="D1004" s="526">
        <v>6810</v>
      </c>
      <c r="E1004" s="518">
        <f>SUMIFS('Accounting data'!$G$2:$G$37002,'Accounting data'!$H$2:$H$37002,"9999*",'Accounting data'!$I$2:$I$37002,"7*",'Accounting data'!$J$2:$J$37002,"27*",'Accounting data'!$K$2:$K$37002,"681*")+SUMIFS('Accounting data'!$G$2:$G$37002,'Accounting data'!$H$2:$H$37002,"9999*",'Accounting data'!$I$2:$I$37002,"8*",'Accounting data'!$J$2:$J$37002,"27*",'Accounting data'!$K$2:$K$37002,"681*")+SUMIFS('Accounting data'!$G$2:$G$37002,'Accounting data'!$H$2:$H$37002,"9999*",'Accounting data'!$I$2:$I$37002,"9*",'Accounting data'!$J$2:$J$37002,"27*",'Accounting data'!$K$2:$K$37002,"681*")</f>
        <v>0</v>
      </c>
    </row>
    <row r="1005" spans="1:5" x14ac:dyDescent="0.3">
      <c r="A1005" s="517"/>
      <c r="B1005" s="517"/>
      <c r="C1005" s="517"/>
      <c r="D1005" s="526"/>
      <c r="E1005" s="518"/>
    </row>
    <row r="1006" spans="1:5" x14ac:dyDescent="0.3">
      <c r="A1006" s="517"/>
      <c r="B1006" s="517"/>
      <c r="C1006" s="517"/>
      <c r="D1006" s="526"/>
      <c r="E1006" s="518"/>
    </row>
    <row r="1007" spans="1:5" x14ac:dyDescent="0.3">
      <c r="A1007" s="520" t="s">
        <v>1063</v>
      </c>
      <c r="B1007" s="520"/>
      <c r="C1007" s="520"/>
      <c r="D1007" s="520"/>
      <c r="E1007" s="522">
        <f>(E1001-E1002-E1003)+(E1004+E1005+E1006)</f>
        <v>103</v>
      </c>
    </row>
    <row r="1008" spans="1:5" x14ac:dyDescent="0.3">
      <c r="A1008" s="517" t="s">
        <v>991</v>
      </c>
      <c r="B1008" s="517" t="s">
        <v>991</v>
      </c>
      <c r="C1008" s="517">
        <v>3100</v>
      </c>
      <c r="D1008" s="526">
        <v>6810</v>
      </c>
      <c r="E1008" s="518">
        <f>SUMIFS('Accounting data'!$G$2:$G$37002,'Accounting data'!$J$2:$J$37002,"31*",'Accounting data'!$K$2:$K$37002,"681*")</f>
        <v>945</v>
      </c>
    </row>
    <row r="1009" spans="1:5" x14ac:dyDescent="0.3">
      <c r="A1009" s="517" t="s">
        <v>992</v>
      </c>
      <c r="B1009" s="517" t="s">
        <v>991</v>
      </c>
      <c r="C1009" s="517">
        <v>3100</v>
      </c>
      <c r="D1009" s="526">
        <v>6810</v>
      </c>
      <c r="E1009" s="518">
        <f>SUMIFS('Accounting data'!$G$2:$G$37002,'Accounting data'!$H$2:$H$37002,"9999*",'Accounting data'!$J$2:$J$37002,"31*",'Accounting data'!$K$2:$K$37002,"681*")</f>
        <v>0</v>
      </c>
    </row>
    <row r="1010" spans="1:5" x14ac:dyDescent="0.3">
      <c r="A1010" s="517" t="s">
        <v>991</v>
      </c>
      <c r="B1010" s="517" t="s">
        <v>993</v>
      </c>
      <c r="C1010" s="517">
        <v>3100</v>
      </c>
      <c r="D1010" s="526">
        <v>6810</v>
      </c>
      <c r="E1010" s="518">
        <f>SUMIFS('Accounting data'!$G$2:$G$37002,'Accounting data'!$I$2:$I$37002,"7*",'Accounting data'!$J$2:$J$37002,"31*",'Accounting data'!$K$2:$K$37002,"681*")+SUMIFS('Accounting data'!$G$2:$G$37002,'Accounting data'!$I$2:$I$37002,"8*",'Accounting data'!$J$2:$J$37002,"31*",'Accounting data'!$K$2:$K$37002,"681*")+SUMIFS('Accounting data'!$G$2:$G$37002,'Accounting data'!$I$2:$I$37002,"9*",'Accounting data'!$J$2:$J$37002,"31*",'Accounting data'!$K$2:$K$37002,"681*")</f>
        <v>0</v>
      </c>
    </row>
    <row r="1011" spans="1:5" x14ac:dyDescent="0.3">
      <c r="A1011" s="519" t="s">
        <v>992</v>
      </c>
      <c r="B1011" s="517" t="s">
        <v>993</v>
      </c>
      <c r="C1011" s="517">
        <v>3100</v>
      </c>
      <c r="D1011" s="526">
        <v>6810</v>
      </c>
      <c r="E1011" s="518">
        <f>SUMIFS('Accounting data'!$G$2:$G$37002,'Accounting data'!$H$2:$H$37002,"9999*",'Accounting data'!$I$2:$I$37002,"7*",'Accounting data'!$J$2:$J$37002,"31*",'Accounting data'!$K$2:$K$37002,"681*")+SUMIFS('Accounting data'!$G$2:$G$37002,'Accounting data'!$H$2:$H$37002,"9999*",'Accounting data'!$I$2:$I$37002,"8*",'Accounting data'!$J$2:$J$37002,"31*",'Accounting data'!$K$2:$K$37002,"681*")+SUMIFS('Accounting data'!$G$2:$G$37002,'Accounting data'!$H$2:$H$37002,"9999*",'Accounting data'!$I$2:$I$37002,"9*",'Accounting data'!$J$2:$J$37002,"31*",'Accounting data'!$K$2:$K$37002,"681*")</f>
        <v>0</v>
      </c>
    </row>
    <row r="1012" spans="1:5" x14ac:dyDescent="0.3">
      <c r="A1012" s="517"/>
      <c r="B1012" s="517"/>
      <c r="C1012" s="517"/>
      <c r="D1012" s="526"/>
      <c r="E1012" s="518"/>
    </row>
    <row r="1013" spans="1:5" x14ac:dyDescent="0.3">
      <c r="A1013" s="517"/>
      <c r="B1013" s="517"/>
      <c r="C1013" s="517"/>
      <c r="D1013" s="526"/>
      <c r="E1013" s="518"/>
    </row>
    <row r="1014" spans="1:5" x14ac:dyDescent="0.3">
      <c r="A1014" s="520" t="s">
        <v>1064</v>
      </c>
      <c r="B1014" s="520"/>
      <c r="C1014" s="520"/>
      <c r="D1014" s="520"/>
      <c r="E1014" s="522">
        <f>(E1008-E1009-E1010)+(E1011+E1012+E1013)</f>
        <v>945</v>
      </c>
    </row>
    <row r="1015" spans="1:5" x14ac:dyDescent="0.3">
      <c r="A1015" s="517"/>
      <c r="B1015" s="517"/>
      <c r="C1015" s="517"/>
      <c r="D1015" s="526"/>
      <c r="E1015" s="518"/>
    </row>
    <row r="1016" spans="1:5" x14ac:dyDescent="0.3">
      <c r="A1016" s="517"/>
      <c r="B1016" s="517"/>
      <c r="C1016" s="517"/>
      <c r="D1016" s="526"/>
      <c r="E1016" s="518"/>
    </row>
    <row r="1017" spans="1:5" x14ac:dyDescent="0.3">
      <c r="A1017" s="517"/>
      <c r="B1017" s="517"/>
      <c r="C1017" s="517"/>
      <c r="D1017" s="526"/>
      <c r="E1017" s="518"/>
    </row>
    <row r="1018" spans="1:5" x14ac:dyDescent="0.3">
      <c r="A1018" s="519"/>
      <c r="B1018" s="517"/>
      <c r="C1018" s="517"/>
      <c r="D1018" s="526"/>
      <c r="E1018" s="518"/>
    </row>
    <row r="1019" spans="1:5" x14ac:dyDescent="0.3">
      <c r="A1019" s="517"/>
      <c r="B1019" s="517"/>
      <c r="C1019" s="517"/>
      <c r="D1019" s="526"/>
      <c r="E1019" s="518"/>
    </row>
    <row r="1020" spans="1:5" x14ac:dyDescent="0.3">
      <c r="A1020" s="517"/>
      <c r="B1020" s="517"/>
      <c r="C1020" s="517"/>
      <c r="D1020" s="526"/>
      <c r="E1020" s="518"/>
    </row>
    <row r="1021" spans="1:5" x14ac:dyDescent="0.3">
      <c r="A1021" s="520"/>
      <c r="B1021" s="520"/>
      <c r="C1021" s="520"/>
      <c r="D1021" s="520"/>
      <c r="E1021" s="522"/>
    </row>
    <row r="1022" spans="1:5" x14ac:dyDescent="0.3">
      <c r="A1022" s="517" t="s">
        <v>991</v>
      </c>
      <c r="B1022" s="517" t="s">
        <v>991</v>
      </c>
      <c r="C1022" s="517">
        <v>3400</v>
      </c>
      <c r="D1022" s="526">
        <v>6810</v>
      </c>
      <c r="E1022" s="518">
        <f>SUMIFS('Accounting data'!$G$2:$G$37002,'Accounting data'!$J$2:$J$37002,"34*",'Accounting data'!$K$2:$K$37002,"681*")</f>
        <v>0</v>
      </c>
    </row>
    <row r="1023" spans="1:5" x14ac:dyDescent="0.3">
      <c r="A1023" s="517" t="s">
        <v>992</v>
      </c>
      <c r="B1023" s="517" t="s">
        <v>991</v>
      </c>
      <c r="C1023" s="517">
        <v>3400</v>
      </c>
      <c r="D1023" s="526">
        <v>6810</v>
      </c>
      <c r="E1023" s="518">
        <f>SUMIFS('Accounting data'!$G$2:$G$37002,'Accounting data'!$H$2:$H$37002,"9999*",'Accounting data'!$J$2:$J$37002,"34*",'Accounting data'!$K$2:$K$37002,"681*")</f>
        <v>0</v>
      </c>
    </row>
    <row r="1024" spans="1:5" x14ac:dyDescent="0.3">
      <c r="A1024" s="517" t="s">
        <v>991</v>
      </c>
      <c r="B1024" s="517" t="s">
        <v>993</v>
      </c>
      <c r="C1024" s="517">
        <v>3400</v>
      </c>
      <c r="D1024" s="526">
        <v>6810</v>
      </c>
      <c r="E1024" s="518">
        <f>SUMIFS('Accounting data'!$G$2:$G$37002,'Accounting data'!$I$2:$I$37002,"7*",'Accounting data'!$J$2:$J$37002,"34*",'Accounting data'!$K$2:$K$37002,"681*")+SUMIFS('Accounting data'!$G$2:$G$37002,'Accounting data'!$I$2:$I$37002,"8*",'Accounting data'!$J$2:$J$37002,"34*",'Accounting data'!$K$2:$K$37002,"681*")+SUMIFS('Accounting data'!$G$2:$G$37002,'Accounting data'!$I$2:$I$37002,"9*",'Accounting data'!$J$2:$J$37002,"34*",'Accounting data'!$K$2:$K$37002,"681*")</f>
        <v>0</v>
      </c>
    </row>
    <row r="1025" spans="1:5" x14ac:dyDescent="0.3">
      <c r="A1025" s="519" t="s">
        <v>992</v>
      </c>
      <c r="B1025" s="517" t="s">
        <v>993</v>
      </c>
      <c r="C1025" s="517">
        <v>3400</v>
      </c>
      <c r="D1025" s="526">
        <v>6810</v>
      </c>
      <c r="E1025" s="518">
        <f>SUMIFS('Accounting data'!$G$2:$G$37002,'Accounting data'!$H$2:$H$37002,"9999*",'Accounting data'!$I$2:$I$37002,"7*",'Accounting data'!$J$2:$J$37002,"34*",'Accounting data'!$K$2:$K$37002,"681*")+SUMIFS('Accounting data'!$G$2:$G$37002,'Accounting data'!$H$2:$H$37002,"9999*",'Accounting data'!$I$2:$I$37002,"8*",'Accounting data'!$J$2:$J$37002,"34*",'Accounting data'!$K$2:$K$37002,"681*")+SUMIFS('Accounting data'!$G$2:$G$37002,'Accounting data'!$H$2:$H$37002,"9999*",'Accounting data'!$I$2:$I$37002,"9*",'Accounting data'!$J$2:$J$37002,"34*",'Accounting data'!$K$2:$K$37002,"681*")</f>
        <v>0</v>
      </c>
    </row>
    <row r="1026" spans="1:5" x14ac:dyDescent="0.3">
      <c r="A1026" s="517"/>
      <c r="B1026" s="517"/>
      <c r="C1026" s="517"/>
      <c r="D1026" s="526"/>
      <c r="E1026" s="518"/>
    </row>
    <row r="1027" spans="1:5" x14ac:dyDescent="0.3">
      <c r="A1027" s="517"/>
      <c r="B1027" s="517"/>
      <c r="C1027" s="517"/>
      <c r="D1027" s="526"/>
      <c r="E1027" s="518"/>
    </row>
    <row r="1028" spans="1:5" x14ac:dyDescent="0.3">
      <c r="A1028" s="520" t="s">
        <v>1065</v>
      </c>
      <c r="B1028" s="520"/>
      <c r="C1028" s="520"/>
      <c r="D1028" s="520"/>
      <c r="E1028" s="522">
        <f>(E1022-E1023-E1024)+(E1025+E1026+E1027)</f>
        <v>0</v>
      </c>
    </row>
    <row r="1029" spans="1:5" x14ac:dyDescent="0.3">
      <c r="A1029" s="517" t="s">
        <v>991</v>
      </c>
      <c r="B1029" s="517" t="s">
        <v>991</v>
      </c>
      <c r="C1029" s="517">
        <v>4000</v>
      </c>
      <c r="D1029" s="526">
        <v>6810</v>
      </c>
      <c r="E1029" s="518">
        <f>SUMIFS('Accounting data'!$G$2:$G$37002,'Accounting data'!$J$2:$J$37002,"4*",'Accounting data'!$K$2:$K$37002,"681*")</f>
        <v>0</v>
      </c>
    </row>
    <row r="1030" spans="1:5" x14ac:dyDescent="0.3">
      <c r="A1030" s="517" t="s">
        <v>992</v>
      </c>
      <c r="B1030" s="517" t="s">
        <v>991</v>
      </c>
      <c r="C1030" s="517">
        <v>4000</v>
      </c>
      <c r="D1030" s="526">
        <v>6810</v>
      </c>
      <c r="E1030" s="518">
        <f>SUMIFS('Accounting data'!$G$2:$G$37002,'Accounting data'!$H$2:$H$37002,"9999*",'Accounting data'!$J$2:$J$37002,"4*",'Accounting data'!$K$2:$K$37002,"681*")</f>
        <v>0</v>
      </c>
    </row>
    <row r="1031" spans="1:5" x14ac:dyDescent="0.3">
      <c r="A1031" s="517" t="s">
        <v>991</v>
      </c>
      <c r="B1031" s="517" t="s">
        <v>993</v>
      </c>
      <c r="C1031" s="517">
        <v>4000</v>
      </c>
      <c r="D1031" s="526">
        <v>6810</v>
      </c>
      <c r="E1031" s="518">
        <f>SUMIFS('Accounting data'!$G$2:$G$37002,'Accounting data'!$I$2:$I$37002,"7*",'Accounting data'!$J$2:$J$37002,"4*",'Accounting data'!$K$2:$K$37002,"681*")+SUMIFS('Accounting data'!$G$2:$G$37002,'Accounting data'!$I$2:$I$37002,"8*",'Accounting data'!$J$2:$J$37002,"4*",'Accounting data'!$K$2:$K$37002,"681*")+SUMIFS('Accounting data'!$G$2:$G$37002,'Accounting data'!$I$2:$I$37002,"9*",'Accounting data'!$J$2:$J$37002,"4*",'Accounting data'!$K$2:$K$37002,"681*")</f>
        <v>0</v>
      </c>
    </row>
    <row r="1032" spans="1:5" x14ac:dyDescent="0.3">
      <c r="A1032" s="519" t="s">
        <v>992</v>
      </c>
      <c r="B1032" s="517" t="s">
        <v>993</v>
      </c>
      <c r="C1032" s="517">
        <v>4000</v>
      </c>
      <c r="D1032" s="526">
        <v>6810</v>
      </c>
      <c r="E1032" s="518">
        <f>SUMIFS('Accounting data'!$G$2:$G$37002,'Accounting data'!$H$2:$H$37002,"9999*",'Accounting data'!$I$2:$I$37002,"7*",'Accounting data'!$J$2:$J$37002,"4*",'Accounting data'!$K$2:$K$37002,"681*")+SUMIFS('Accounting data'!$G$2:$G$37002,'Accounting data'!$H$2:$H$37002,"9999*",'Accounting data'!$I$2:$I$37002,"8*",'Accounting data'!$J$2:$J$37002,"4*",'Accounting data'!$K$2:$K$37002,"681*")+SUMIFS('Accounting data'!$G$2:$G$37002,'Accounting data'!$H$2:$H$37002,"9999*",'Accounting data'!$I$2:$I$37002,"9*",'Accounting data'!$J$2:$J$37002,"4*",'Accounting data'!$K$2:$K$37002,"681*")</f>
        <v>0</v>
      </c>
    </row>
    <row r="1033" spans="1:5" x14ac:dyDescent="0.3">
      <c r="A1033" s="517"/>
      <c r="B1033" s="517"/>
      <c r="C1033" s="517"/>
      <c r="D1033" s="526"/>
      <c r="E1033" s="518"/>
    </row>
    <row r="1034" spans="1:5" x14ac:dyDescent="0.3">
      <c r="A1034" s="517"/>
      <c r="B1034" s="517"/>
      <c r="C1034" s="517"/>
      <c r="D1034" s="526"/>
      <c r="E1034" s="518"/>
    </row>
    <row r="1035" spans="1:5" x14ac:dyDescent="0.3">
      <c r="A1035" s="520" t="s">
        <v>1066</v>
      </c>
      <c r="B1035" s="520"/>
      <c r="C1035" s="520"/>
      <c r="D1035" s="520"/>
      <c r="E1035" s="522">
        <f>(E1029-E1030-E1031)+(E1032+E1033+E1034)</f>
        <v>0</v>
      </c>
    </row>
    <row r="1036" spans="1:5" x14ac:dyDescent="0.3">
      <c r="A1036" s="523" t="s">
        <v>1067</v>
      </c>
      <c r="B1036" s="523"/>
      <c r="C1036" s="523"/>
      <c r="D1036" s="523"/>
      <c r="E1036" s="527">
        <f>E951+E958+E965+E972+E979+E986+E993+E1000+E1007+E1014+E1021+E1028</f>
        <v>11193</v>
      </c>
    </row>
    <row r="1037" spans="1:5" x14ac:dyDescent="0.3">
      <c r="A1037" s="517" t="s">
        <v>1007</v>
      </c>
      <c r="B1037" s="517" t="s">
        <v>991</v>
      </c>
      <c r="C1037" s="517">
        <v>1000</v>
      </c>
      <c r="D1037" s="517">
        <v>6810</v>
      </c>
      <c r="E1037" s="518">
        <f>SUMIFS('Accounting data'!$G$2:$G$37002,'Accounting data'!$H$2:$H$37002,"11*",'Accounting data'!$J$2:$J$37002,"1*",'Accounting data'!$K$2:$K$37002,"681*")+SUMIFS('Accounting data'!$G$2:$G$37002,'Accounting data'!$H$2:$H$37002,"12*",'Accounting data'!$J$2:$J$37002,"1*",'Accounting data'!$K$2:$K$37002,"681*")+SUMIFS('Accounting data'!$G$2:$G$37002,'Accounting data'!$H$2:$H$37002,"13*",'Accounting data'!$J$2:$J$37002,"1*",'Accounting data'!$K$2:$K$37002,"681*")</f>
        <v>0</v>
      </c>
    </row>
    <row r="1038" spans="1:5" x14ac:dyDescent="0.3">
      <c r="A1038" s="517" t="s">
        <v>1007</v>
      </c>
      <c r="B1038" s="517" t="s">
        <v>991</v>
      </c>
      <c r="C1038" s="517">
        <v>2000</v>
      </c>
      <c r="D1038" s="517">
        <v>6810</v>
      </c>
      <c r="E1038" s="518">
        <f>SUMIFS('Accounting data'!$G$2:$G$37002,'Accounting data'!$H$2:$H$37002,"11*",'Accounting data'!$J$2:$J$37002,"2*",'Accounting data'!$K$2:$K$37002,"681*")+SUMIFS('Accounting data'!$G$2:$G$37002,'Accounting data'!$H$2:$H$37002,"12*",'Accounting data'!$J$2:$J$37002,"2*",'Accounting data'!$K$2:$K$37002,"681*")+SUMIFS('Accounting data'!$G$2:$G$37002,'Accounting data'!$H$2:$H$37002,"13*",'Accounting data'!$J$2:$J$37002,"2*",'Accounting data'!$K$2:$K$37002,"681*")</f>
        <v>0</v>
      </c>
    </row>
    <row r="1039" spans="1:5" x14ac:dyDescent="0.3">
      <c r="A1039" s="517" t="s">
        <v>1007</v>
      </c>
      <c r="B1039" s="517" t="s">
        <v>991</v>
      </c>
      <c r="C1039" s="517">
        <v>3000</v>
      </c>
      <c r="D1039" s="517">
        <v>6810</v>
      </c>
      <c r="E1039" s="518">
        <f>SUMIFS('Accounting data'!$G$2:$G$37002,'Accounting data'!$H$2:$H$37002,"11*",'Accounting data'!$J$2:$J$37002,"3*",'Accounting data'!$K$2:$K$37002,"681*")+SUMIFS('Accounting data'!$G$2:$G$37002,'Accounting data'!$H$2:$H$37002,"12*",'Accounting data'!$J$2:$J$37002,"3*",'Accounting data'!$K$2:$K$37002,"681*")+SUMIFS('Accounting data'!$G$2:$G$37002,'Accounting data'!$H$2:$H$37002,"13*",'Accounting data'!$J$2:$J$37002,"3*",'Accounting data'!$K$2:$K$37002,"681*")</f>
        <v>0</v>
      </c>
    </row>
    <row r="1040" spans="1:5" x14ac:dyDescent="0.3">
      <c r="A1040" s="517" t="s">
        <v>1007</v>
      </c>
      <c r="B1040" s="519">
        <v>700</v>
      </c>
      <c r="C1040" s="517">
        <v>1000</v>
      </c>
      <c r="D1040" s="517">
        <v>6810</v>
      </c>
      <c r="E1040" s="518">
        <f>SUMIFS('Accounting data'!$G$2:$G$37002,'Accounting data'!$H$2:$H$37002,"11*",'Accounting data'!$I$2:$I$37002,"7*",'Accounting data'!$J$2:$J$37002,"1*",'Accounting data'!$K$2:$K$37002,"681*")+SUMIFS('Accounting data'!$G$2:$G$37002,'Accounting data'!$H$2:$H$37002,"12*",'Accounting data'!$I$2:$I$37002,"7*",'Accounting data'!$J$2:$J$37002,"1*",'Accounting data'!$K$2:$K$37002,"681*")+SUMIFS('Accounting data'!$G$2:$G$37002,'Accounting data'!$H$2:$H$37002,"13*",'Accounting data'!$I$2:$I$37002,"7*",'Accounting data'!$J$2:$J$37002,"1*",'Accounting data'!$K$2:$K$37002,"681*")</f>
        <v>0</v>
      </c>
    </row>
    <row r="1041" spans="1:5" x14ac:dyDescent="0.3">
      <c r="A1041" s="517" t="s">
        <v>1007</v>
      </c>
      <c r="B1041" s="519">
        <v>800</v>
      </c>
      <c r="C1041" s="517">
        <v>1000</v>
      </c>
      <c r="D1041" s="517">
        <v>6810</v>
      </c>
      <c r="E1041" s="518">
        <f>SUMIFS('Accounting data'!$G$2:$G$37002,'Accounting data'!$H$2:$H$37002,"11*",'Accounting data'!$I$2:$I$37002,"8*",'Accounting data'!$J$2:$J$37002,"1*",'Accounting data'!$K$2:$K$37002,"681*")+SUMIFS('Accounting data'!$G$2:$G$37002,'Accounting data'!$H$2:$H$37002,"12*",'Accounting data'!$I$2:$I$37002,"8*",'Accounting data'!$J$2:$J$37002,"1*",'Accounting data'!$K$2:$K$37002,"681*")+SUMIFS('Accounting data'!$G$2:$G$37002,'Accounting data'!$H$2:$H$37002,"13*",'Accounting data'!$I$2:$I$37002,"8*",'Accounting data'!$J$2:$J$37002,"1*",'Accounting data'!$K$2:$K$37002,"681*")</f>
        <v>0</v>
      </c>
    </row>
    <row r="1042" spans="1:5" x14ac:dyDescent="0.3">
      <c r="A1042" s="517" t="s">
        <v>1007</v>
      </c>
      <c r="B1042" s="519">
        <v>900</v>
      </c>
      <c r="C1042" s="517">
        <v>1000</v>
      </c>
      <c r="D1042" s="517">
        <v>6810</v>
      </c>
      <c r="E1042" s="518">
        <f>SUMIFS('Accounting data'!$G$2:$G$37002,'Accounting data'!$H$2:$H$37002,"11*",'Accounting data'!$I$2:$I$37002,"9*",'Accounting data'!$J$2:$J$37002,"1*",'Accounting data'!$K$2:$K$37002,"681*")+SUMIFS('Accounting data'!$G$2:$G$37002,'Accounting data'!$H$2:$H$37002,"12*",'Accounting data'!$I$2:$I$37002,"9*",'Accounting data'!$J$2:$J$37002,"1*",'Accounting data'!$K$2:$K$37002,"681*")+SUMIFS('Accounting data'!$G$2:$G$37002,'Accounting data'!$H$2:$H$37002,"13*",'Accounting data'!$I$2:$I$37002,"9*",'Accounting data'!$J$2:$J$37002,"1*",'Accounting data'!$K$2:$K$37002,"681*")</f>
        <v>0</v>
      </c>
    </row>
    <row r="1043" spans="1:5" x14ac:dyDescent="0.3">
      <c r="A1043" s="517" t="s">
        <v>1007</v>
      </c>
      <c r="B1043" s="519">
        <v>700</v>
      </c>
      <c r="C1043" s="517">
        <v>2000</v>
      </c>
      <c r="D1043" s="517">
        <v>6810</v>
      </c>
      <c r="E1043" s="518">
        <f>SUMIFS('Accounting data'!$G$2:$G$37002,'Accounting data'!$H$2:$H$37002,"11*",'Accounting data'!$I$2:$I$37002,"7*",'Accounting data'!$J$2:$J$37002,"2*",'Accounting data'!$K$2:$K$37002,"681*")+SUMIFS('Accounting data'!$G$2:$G$37002,'Accounting data'!$H$2:$H$37002,"12*",'Accounting data'!$I$2:$I$37002,"7*",'Accounting data'!$J$2:$J$37002,"2*",'Accounting data'!$K$2:$K$37002,"681*")+SUMIFS('Accounting data'!$G$2:$G$37002,'Accounting data'!$H$2:$H$37002,"13*",'Accounting data'!$I$2:$I$37002,"7*",'Accounting data'!$J$2:$J$37002,"2*",'Accounting data'!$K$2:$K$37002,"681*")</f>
        <v>0</v>
      </c>
    </row>
    <row r="1044" spans="1:5" x14ac:dyDescent="0.3">
      <c r="A1044" s="517" t="s">
        <v>1007</v>
      </c>
      <c r="B1044" s="519">
        <v>800</v>
      </c>
      <c r="C1044" s="517">
        <v>2000</v>
      </c>
      <c r="D1044" s="517">
        <v>6810</v>
      </c>
      <c r="E1044" s="518">
        <f>SUMIFS('Accounting data'!$G$2:$G$37002,'Accounting data'!$H$2:$H$37002,"11*",'Accounting data'!$I$2:$I$37002,"8*",'Accounting data'!$J$2:$J$37002,"2*",'Accounting data'!$K$2:$K$37002,"681*")+SUMIFS('Accounting data'!$G$2:$G$37002,'Accounting data'!$H$2:$H$37002,"12*",'Accounting data'!$I$2:$I$37002,"8*",'Accounting data'!$J$2:$J$37002,"2*",'Accounting data'!$K$2:$K$37002,"681*")+SUMIFS('Accounting data'!$G$2:$G$37002,'Accounting data'!$H$2:$H$37002,"13*",'Accounting data'!$I$2:$I$37002,"8*",'Accounting data'!$J$2:$J$37002,"2*",'Accounting data'!$K$2:$K$37002,"681*")</f>
        <v>0</v>
      </c>
    </row>
    <row r="1045" spans="1:5" x14ac:dyDescent="0.3">
      <c r="A1045" s="517" t="s">
        <v>1007</v>
      </c>
      <c r="B1045" s="519">
        <v>900</v>
      </c>
      <c r="C1045" s="517">
        <v>2000</v>
      </c>
      <c r="D1045" s="517">
        <v>6810</v>
      </c>
      <c r="E1045" s="518">
        <f>SUMIFS('Accounting data'!$G$2:$G$37002,'Accounting data'!$H$2:$H$37002,"11*",'Accounting data'!$I$2:$I$37002,"9*",'Accounting data'!$J$2:$J$37002,"2*",'Accounting data'!$K$2:$K$37002,"681*")+SUMIFS('Accounting data'!$G$2:$G$37002,'Accounting data'!$H$2:$H$37002,"12*",'Accounting data'!$I$2:$I$37002,"9*",'Accounting data'!$J$2:$J$37002,"2*",'Accounting data'!$K$2:$K$37002,"681*")+SUMIFS('Accounting data'!$G$2:$G$37002,'Accounting data'!$H$2:$H$37002,"13*",'Accounting data'!$I$2:$I$37002,"9*",'Accounting data'!$J$2:$J$37002,"2*",'Accounting data'!$K$2:$K$37002,"681*")</f>
        <v>0</v>
      </c>
    </row>
    <row r="1046" spans="1:5" x14ac:dyDescent="0.3">
      <c r="A1046" s="517" t="s">
        <v>1007</v>
      </c>
      <c r="B1046" s="519">
        <v>700</v>
      </c>
      <c r="C1046" s="517">
        <v>3000</v>
      </c>
      <c r="D1046" s="517">
        <v>6810</v>
      </c>
      <c r="E1046" s="518">
        <f>SUMIFS('Accounting data'!$G$2:$G$37002,'Accounting data'!$H$2:$H$37002,"11*",'Accounting data'!$I$2:$I$37002,"7*",'Accounting data'!$J$2:$J$37002,"3*",'Accounting data'!$K$2:$K$37002,"681*")+SUMIFS('Accounting data'!$G$2:$G$37002,'Accounting data'!$H$2:$H$37002,"12*",'Accounting data'!$I$2:$I$37002,"7*",'Accounting data'!$J$2:$J$37002,"3*",'Accounting data'!$K$2:$K$37002,"681*")+SUMIFS('Accounting data'!$G$2:$G$37002,'Accounting data'!$H$2:$H$37002,"13*",'Accounting data'!$I$2:$I$37002,"7*",'Accounting data'!$J$2:$J$37002,"3*",'Accounting data'!$K$2:$K$37002,"681*")</f>
        <v>0</v>
      </c>
    </row>
    <row r="1047" spans="1:5" x14ac:dyDescent="0.3">
      <c r="A1047" s="517" t="s">
        <v>1007</v>
      </c>
      <c r="B1047" s="519">
        <v>800</v>
      </c>
      <c r="C1047" s="517">
        <v>3000</v>
      </c>
      <c r="D1047" s="517">
        <v>6810</v>
      </c>
      <c r="E1047" s="518">
        <f>SUMIFS('Accounting data'!$G$2:$G$37002,'Accounting data'!$H$2:$H$37002,"11*",'Accounting data'!$I$2:$I$37002,"8*",'Accounting data'!$J$2:$J$37002,"3*",'Accounting data'!$K$2:$K$37002,"681*")+SUMIFS('Accounting data'!$G$2:$G$37002,'Accounting data'!$H$2:$H$37002,"12*",'Accounting data'!$I$2:$I$37002,"8*",'Accounting data'!$J$2:$J$37002,"3*",'Accounting data'!$K$2:$K$37002,"681*")+SUMIFS('Accounting data'!$G$2:$G$37002,'Accounting data'!$H$2:$H$37002,"13*",'Accounting data'!$I$2:$I$37002,"8*",'Accounting data'!$J$2:$J$37002,"3*",'Accounting data'!$K$2:$K$37002,"681*")</f>
        <v>0</v>
      </c>
    </row>
    <row r="1048" spans="1:5" x14ac:dyDescent="0.3">
      <c r="A1048" s="517" t="s">
        <v>1007</v>
      </c>
      <c r="B1048" s="519">
        <v>900</v>
      </c>
      <c r="C1048" s="517">
        <v>3000</v>
      </c>
      <c r="D1048" s="517">
        <v>6810</v>
      </c>
      <c r="E1048" s="518">
        <f>SUMIFS('Accounting data'!$G$2:$G$37002,'Accounting data'!$H$2:$H$37002,"11*",'Accounting data'!$I$2:$I$37002,"9*",'Accounting data'!$J$2:$J$37002,"3*",'Accounting data'!$K$2:$K$37002,"681*")+SUMIFS('Accounting data'!$G$2:$G$37002,'Accounting data'!$H$2:$H$37002,"12*",'Accounting data'!$I$2:$I$37002,"9*",'Accounting data'!$J$2:$J$37002,"3*",'Accounting data'!$K$2:$K$37002,"681*")+SUMIFS('Accounting data'!$G$2:$G$37002,'Accounting data'!$H$2:$H$37002,"13*",'Accounting data'!$I$2:$I$37002,"9*",'Accounting data'!$J$2:$J$37002,"3*",'Accounting data'!$K$2:$K$37002,"681*")</f>
        <v>0</v>
      </c>
    </row>
    <row r="1049" spans="1:5" x14ac:dyDescent="0.3">
      <c r="A1049" s="520" t="s">
        <v>1068</v>
      </c>
      <c r="B1049" s="520"/>
      <c r="C1049" s="520"/>
      <c r="D1049" s="520"/>
      <c r="E1049" s="522">
        <f>(E1037+E1038+E1039)-(E1040+E1041+E1042+E1043+E1044+E1045+E1046+E1047+E1048)</f>
        <v>0</v>
      </c>
    </row>
    <row r="1050" spans="1:5" x14ac:dyDescent="0.3">
      <c r="A1050" s="517" t="s">
        <v>991</v>
      </c>
      <c r="B1050" s="517" t="s">
        <v>991</v>
      </c>
      <c r="C1050" s="517">
        <v>2300</v>
      </c>
      <c r="D1050" s="526">
        <v>6820</v>
      </c>
      <c r="E1050" s="518">
        <f>SUMIFS('Accounting data'!$G$2:$G$37002,'Accounting data'!$J$2:$J$37002,"23*",'Accounting data'!$K$2:$K$37002,"682*")</f>
        <v>0</v>
      </c>
    </row>
    <row r="1051" spans="1:5" x14ac:dyDescent="0.3">
      <c r="A1051" s="517" t="s">
        <v>992</v>
      </c>
      <c r="B1051" s="517" t="s">
        <v>991</v>
      </c>
      <c r="C1051" s="517">
        <v>2300</v>
      </c>
      <c r="D1051" s="526">
        <v>6820</v>
      </c>
      <c r="E1051" s="518">
        <f>SUMIFS('Accounting data'!$G$2:$G$37002,'Accounting data'!$H$2:$H$37002,"9999*",'Accounting data'!$J$2:$J$37002,"23*",'Accounting data'!$K$2:$K$37002,"682*")</f>
        <v>0</v>
      </c>
    </row>
    <row r="1052" spans="1:5" x14ac:dyDescent="0.3">
      <c r="A1052" s="517" t="s">
        <v>991</v>
      </c>
      <c r="B1052" s="517" t="s">
        <v>993</v>
      </c>
      <c r="C1052" s="517">
        <v>2300</v>
      </c>
      <c r="D1052" s="526">
        <v>6820</v>
      </c>
      <c r="E1052" s="518">
        <f>SUMIFS('Accounting data'!$G$2:$G$37002,'Accounting data'!$I$2:$I$37002,"7*",'Accounting data'!$J$2:$J$37002,"23*",'Accounting data'!$K$2:$K$37002,"682*")+SUMIFS('Accounting data'!$G$2:$G$37002,'Accounting data'!$I$2:$I$37002,"8*",'Accounting data'!$J$2:$J$37002,"23*",'Accounting data'!$K$2:$K$37002,"682*")+SUMIFS('Accounting data'!$G$2:$G$37002,'Accounting data'!$I$2:$I$37002,"9*",'Accounting data'!$J$2:$J$37002,"23*",'Accounting data'!$K$2:$K$37002,"682*")</f>
        <v>0</v>
      </c>
    </row>
    <row r="1053" spans="1:5" x14ac:dyDescent="0.3">
      <c r="A1053" s="519" t="s">
        <v>992</v>
      </c>
      <c r="B1053" s="517" t="s">
        <v>993</v>
      </c>
      <c r="C1053" s="517">
        <v>2300</v>
      </c>
      <c r="D1053" s="526">
        <v>6820</v>
      </c>
      <c r="E1053" s="518">
        <f>SUMIFS('Accounting data'!$G$2:$G$37002,'Accounting data'!$H$2:$H$37002,"9999*",'Accounting data'!$I$2:$I$37002,"7*",'Accounting data'!$J$2:$J$37002,"23*",'Accounting data'!$K$2:$K$37002,"682*")+SUMIFS('Accounting data'!$G$2:$G$37002,'Accounting data'!$H$2:$H$37002,"9999*",'Accounting data'!$I$2:$I$37002,"8*",'Accounting data'!$J$2:$J$37002,"23*",'Accounting data'!$K$2:$K$37002,"682*")+SUMIFS('Accounting data'!$G$2:$G$37002,'Accounting data'!$H$2:$H$37002,"9999*",'Accounting data'!$I$2:$I$37002,"9*",'Accounting data'!$J$2:$J$37002,"23*",'Accounting data'!$K$2:$K$37002,"682*")</f>
        <v>0</v>
      </c>
    </row>
    <row r="1054" spans="1:5" x14ac:dyDescent="0.3">
      <c r="A1054" s="517"/>
      <c r="B1054" s="517"/>
      <c r="C1054" s="517"/>
      <c r="D1054" s="526"/>
      <c r="E1054" s="518"/>
    </row>
    <row r="1055" spans="1:5" x14ac:dyDescent="0.3">
      <c r="A1055" s="517"/>
      <c r="B1055" s="517"/>
      <c r="C1055" s="517"/>
      <c r="D1055" s="526"/>
      <c r="E1055" s="518"/>
    </row>
    <row r="1056" spans="1:5" x14ac:dyDescent="0.3">
      <c r="A1056" s="520" t="s">
        <v>1069</v>
      </c>
      <c r="B1056" s="520"/>
      <c r="C1056" s="526"/>
      <c r="D1056" s="520"/>
      <c r="E1056" s="522">
        <f>(E1050-E1051-E1052)+(E1053+E1054+E1055)</f>
        <v>0</v>
      </c>
    </row>
    <row r="1057" spans="1:5" x14ac:dyDescent="0.3">
      <c r="A1057" s="517" t="s">
        <v>1007</v>
      </c>
      <c r="B1057" s="517" t="s">
        <v>991</v>
      </c>
      <c r="C1057" s="517">
        <v>2300</v>
      </c>
      <c r="D1057" s="517">
        <v>6820</v>
      </c>
      <c r="E1057" s="518">
        <f>SUMIFS('Accounting data'!$G$2:$G$37002,'Accounting data'!$H$2:$H$37002,"11*",'Accounting data'!$J$2:$J$37002,"23*",'Accounting data'!$K$2:$K$37002,"682*")+SUMIFS('Accounting data'!$G$2:$G$37002,'Accounting data'!$H$2:$H$37002,"12*",'Accounting data'!$J$2:$J$37002,"23*",'Accounting data'!$K$2:$K$37002,"682*")+SUMIFS('Accounting data'!$G$2:$G$37002,'Accounting data'!$H$2:$H$37002,"13*",'Accounting data'!$J$2:$J$37002,"23*",'Accounting data'!$K$2:$K$37002,"682*")+SUMIFS('Accounting data'!$G$2:$G$37002,'Accounting data'!$H$2:$H$37002,"639",'Accounting data'!$J$2:$J$37002,"23*",'Accounting data'!$K$2:$K$37002,"682*")+SUMIFS('Accounting data'!$G$2:$G$37002,'Accounting data'!$H$2:$H$37002,"699",'Accounting data'!$J$2:$J$37002,"23*",'Accounting data'!$K$2:$K$37002,"682*")+SUMIFS('Accounting data'!$G$2:$G$37002,'Accounting data'!$H$2:$H$37002,"72?",'Accounting data'!$J$2:$J$37002,"23*",'Accounting data'!$K$2:$K$37002,"682*")</f>
        <v>0</v>
      </c>
    </row>
    <row r="1058" spans="1:5" x14ac:dyDescent="0.3">
      <c r="A1058" s="517" t="s">
        <v>1007</v>
      </c>
      <c r="B1058" s="519">
        <v>700</v>
      </c>
      <c r="C1058" s="517">
        <v>2300</v>
      </c>
      <c r="D1058" s="517">
        <v>6820</v>
      </c>
      <c r="E1058" s="518">
        <f>SUMIFS('Accounting data'!$G$2:$G$37002,'Accounting data'!$H$2:$H$37002,"11*",'Accounting data'!$I$2:$I$37002,"7*",'Accounting data'!$J$2:$J$37002,"23*",'Accounting data'!$K$2:$K$37002,"682*")+SUMIFS('Accounting data'!$G$2:$G$37002,'Accounting data'!$H$2:$H$37002,"12*",'Accounting data'!$I$2:$I$37002,"7*",'Accounting data'!$J$2:$J$37002,"23*",'Accounting data'!$K$2:$K$37002,"682*")+SUMIFS('Accounting data'!$G$2:$G$37002,'Accounting data'!$H$2:$H$37002,"13*",'Accounting data'!$I$2:$I$37002,"7*",'Accounting data'!$J$2:$J$37002,"23*",'Accounting data'!$K$2:$K$37002,"682*")+SUMIFS('Accounting data'!$G$2:$G$37002,'Accounting data'!$H$2:$H$37002,"639",'Accounting data'!$I$2:$I$37002,"7*",'Accounting data'!$J$2:$J$37002,"23*",'Accounting data'!$K$2:$K$37002,"682*")+SUMIFS('Accounting data'!$G$2:$G$37002,'Accounting data'!$H$2:$H$37002,"699",'Accounting data'!$I$2:$I$37002,"7*",'Accounting data'!$J$2:$J$37002,"23*",'Accounting data'!$K$2:$K$37002,"682*")+SUMIFS('Accounting data'!$G$2:$G$37002,'Accounting data'!$H$2:$H$37002,"72?",'Accounting data'!$I$2:$I$37002,"7*",'Accounting data'!$J$2:$J$37002,"23*",'Accounting data'!$K$2:$K$37002,"682*")</f>
        <v>0</v>
      </c>
    </row>
    <row r="1059" spans="1:5" x14ac:dyDescent="0.3">
      <c r="A1059" s="517" t="s">
        <v>1007</v>
      </c>
      <c r="B1059" s="519">
        <v>800</v>
      </c>
      <c r="C1059" s="517">
        <v>2300</v>
      </c>
      <c r="D1059" s="517">
        <v>6820</v>
      </c>
      <c r="E1059" s="518">
        <f>SUMIFS('Accounting data'!$G$2:$G$37002,'Accounting data'!$H$2:$H$37002,"11*",'Accounting data'!$I$2:$I$37002,"8*",'Accounting data'!$J$2:$J$37002,"23*",'Accounting data'!$K$2:$K$37002,"682*")+SUMIFS('Accounting data'!$G$2:$G$37002,'Accounting data'!$H$2:$H$37002,"12*",'Accounting data'!$I$2:$I$37002,"8*",'Accounting data'!$J$2:$J$37002,"23*",'Accounting data'!$K$2:$K$37002,"682*")+SUMIFS('Accounting data'!$G$2:$G$37002,'Accounting data'!$H$2:$H$37002,"13*",'Accounting data'!$I$2:$I$37002,"8*",'Accounting data'!$J$2:$J$37002,"23*",'Accounting data'!$K$2:$K$37002,"682*")+SUMIFS('Accounting data'!$G$2:$G$37002,'Accounting data'!$H$2:$H$37002,"639",'Accounting data'!$I$2:$I$37002,"8*",'Accounting data'!$J$2:$J$37002,"23*",'Accounting data'!$K$2:$K$37002,"682*")+SUMIFS('Accounting data'!$G$2:$G$37002,'Accounting data'!$H$2:$H$37002,"699",'Accounting data'!$I$2:$I$37002,"8*",'Accounting data'!$J$2:$J$37002,"23*",'Accounting data'!$K$2:$K$37002,"682*")+SUMIFS('Accounting data'!$G$2:$G$37002,'Accounting data'!$H$2:$H$37002,"72?",'Accounting data'!$I$2:$I$37002,"8*",'Accounting data'!$J$2:$J$37002,"23*",'Accounting data'!$K$2:$K$37002,"682*")</f>
        <v>0</v>
      </c>
    </row>
    <row r="1060" spans="1:5" x14ac:dyDescent="0.3">
      <c r="A1060" s="517" t="s">
        <v>1007</v>
      </c>
      <c r="B1060" s="519">
        <v>900</v>
      </c>
      <c r="C1060" s="517">
        <v>2300</v>
      </c>
      <c r="D1060" s="517">
        <v>6820</v>
      </c>
      <c r="E1060" s="518">
        <f>SUMIFS('Accounting data'!$G$2:$G$37002,'Accounting data'!$H$2:$H$37002,"11*",'Accounting data'!$I$2:$I$37002,"9*",'Accounting data'!$J$2:$J$37002,"23*",'Accounting data'!$K$2:$K$37002,"682*")+SUMIFS('Accounting data'!$G$2:$G$37002,'Accounting data'!$H$2:$H$37002,"12*",'Accounting data'!$I$2:$I$37002,"9*",'Accounting data'!$J$2:$J$37002,"23*",'Accounting data'!$K$2:$K$37002,"682*")+SUMIFS('Accounting data'!$G$2:$G$37002,'Accounting data'!$H$2:$H$37002,"13*",'Accounting data'!$I$2:$I$37002,"9*",'Accounting data'!$J$2:$J$37002,"23*",'Accounting data'!$K$2:$K$37002,"682*")+SUMIFS('Accounting data'!$G$2:$G$37002,'Accounting data'!$H$2:$H$37002,"639",'Accounting data'!$I$2:$I$37002,"9*",'Accounting data'!$J$2:$J$37002,"23*",'Accounting data'!$K$2:$K$37002,"682*")+SUMIFS('Accounting data'!$G$2:$G$37002,'Accounting data'!$H$2:$H$37002,"699",'Accounting data'!$I$2:$I$37002,"9*",'Accounting data'!$J$2:$J$37002,"23*",'Accounting data'!$K$2:$K$37002,"682*")+SUMIFS('Accounting data'!$G$2:$G$37002,'Accounting data'!$H$2:$H$37002,"72?",'Accounting data'!$I$2:$I$37002,"9*",'Accounting data'!$J$2:$J$37002,"23*",'Accounting data'!$K$2:$K$37002,"682*")</f>
        <v>0</v>
      </c>
    </row>
    <row r="1061" spans="1:5" x14ac:dyDescent="0.3">
      <c r="A1061" s="520" t="s">
        <v>1070</v>
      </c>
      <c r="B1061" s="520"/>
      <c r="C1061" s="520"/>
      <c r="D1061" s="520"/>
      <c r="E1061" s="522">
        <f>E1057-E1058-E1059-E1060</f>
        <v>0</v>
      </c>
    </row>
    <row r="1076" spans="1:5" x14ac:dyDescent="0.3">
      <c r="A1076" s="517" t="s">
        <v>991</v>
      </c>
      <c r="B1076" s="517" t="s">
        <v>991</v>
      </c>
      <c r="C1076" s="517">
        <v>2500</v>
      </c>
      <c r="D1076" s="526">
        <v>6850</v>
      </c>
      <c r="E1076" s="518">
        <f>SUMIFS('Accounting data'!$G$2:$G$37002,'Accounting data'!$J$2:$J$37002,"25*",'Accounting data'!$K$2:$K$37002,"685*")</f>
        <v>87</v>
      </c>
    </row>
    <row r="1077" spans="1:5" x14ac:dyDescent="0.3">
      <c r="A1077" s="517" t="s">
        <v>992</v>
      </c>
      <c r="B1077" s="517" t="s">
        <v>991</v>
      </c>
      <c r="C1077" s="517">
        <v>2500</v>
      </c>
      <c r="D1077" s="526">
        <v>6850</v>
      </c>
      <c r="E1077" s="518">
        <f>SUMIFS('Accounting data'!$G$2:$G$37002,'Accounting data'!$H$2:$H$37002,"9999*",'Accounting data'!$J$2:$J$37002,"25*",'Accounting data'!$K$2:$K$37002,"685*")</f>
        <v>0</v>
      </c>
    </row>
    <row r="1078" spans="1:5" x14ac:dyDescent="0.3">
      <c r="A1078" s="517" t="s">
        <v>991</v>
      </c>
      <c r="B1078" s="517" t="s">
        <v>993</v>
      </c>
      <c r="C1078" s="517">
        <v>2500</v>
      </c>
      <c r="D1078" s="526">
        <v>6850</v>
      </c>
      <c r="E1078" s="518">
        <f>SUMIFS('Accounting data'!$G$2:$G$37002,'Accounting data'!$I$2:$I$37002,"7*",'Accounting data'!$J$2:$J$37002,"25*",'Accounting data'!$K$2:$K$37002,"685*")+SUMIFS('Accounting data'!$G$2:$G$37002,'Accounting data'!$I$2:$I$37002,"8*",'Accounting data'!$J$2:$J$37002,"25*",'Accounting data'!$K$2:$K$37002,"685*")+SUMIFS('Accounting data'!$G$2:$G$37002,'Accounting data'!$I$2:$I$37002,"9*",'Accounting data'!$J$2:$J$37002,"25*",'Accounting data'!$K$2:$K$37002,"685*")</f>
        <v>0</v>
      </c>
    </row>
    <row r="1079" spans="1:5" x14ac:dyDescent="0.3">
      <c r="A1079" s="519" t="s">
        <v>992</v>
      </c>
      <c r="B1079" s="517" t="s">
        <v>993</v>
      </c>
      <c r="C1079" s="517">
        <v>2500</v>
      </c>
      <c r="D1079" s="526">
        <v>6850</v>
      </c>
      <c r="E1079" s="518">
        <f>SUMIFS('Accounting data'!$G$2:$G$37002,'Accounting data'!$H$2:$H$37002,"9999*",'Accounting data'!$I$2:$I$37002,"7*",'Accounting data'!$J$2:$J$37002,"25*",'Accounting data'!$K$2:$K$37002,"685*")+SUMIFS('Accounting data'!$G$2:$G$37002,'Accounting data'!$H$2:$H$37002,"9999*",'Accounting data'!$I$2:$I$37002,"8*",'Accounting data'!$J$2:$J$37002,"25*",'Accounting data'!$K$2:$K$37002,"685*")+SUMIFS('Accounting data'!$G$2:$G$37002,'Accounting data'!$H$2:$H$37002,"9999*",'Accounting data'!$I$2:$I$37002,"9*",'Accounting data'!$J$2:$J$37002,"25*",'Accounting data'!$K$2:$K$37002,"685*")</f>
        <v>0</v>
      </c>
    </row>
    <row r="1080" spans="1:5" x14ac:dyDescent="0.3">
      <c r="A1080" s="517"/>
      <c r="B1080" s="517"/>
      <c r="C1080" s="517"/>
      <c r="D1080" s="526"/>
      <c r="E1080" s="518"/>
    </row>
    <row r="1081" spans="1:5" x14ac:dyDescent="0.3">
      <c r="A1081" s="517"/>
      <c r="B1081" s="517"/>
      <c r="C1081" s="517"/>
      <c r="D1081" s="526"/>
      <c r="E1081" s="518"/>
    </row>
    <row r="1082" spans="1:5" x14ac:dyDescent="0.3">
      <c r="A1082" s="520" t="s">
        <v>1071</v>
      </c>
      <c r="B1082" s="520"/>
      <c r="C1082" s="520"/>
      <c r="D1082" s="520"/>
      <c r="E1082" s="522">
        <f>(E1076-E1077-E1078)+(E1079+E1080+E1081)</f>
        <v>87</v>
      </c>
    </row>
    <row r="1105" spans="1:5" x14ac:dyDescent="0.3">
      <c r="A1105" s="517" t="s">
        <v>1007</v>
      </c>
      <c r="B1105" s="517" t="s">
        <v>991</v>
      </c>
      <c r="C1105" s="526">
        <v>2500</v>
      </c>
      <c r="D1105" s="517">
        <v>6850</v>
      </c>
      <c r="E1105" s="518">
        <f>SUMIFS('Accounting data'!$G$2:$G$37002,'Accounting data'!$H$2:$H$37002,"11*",'Accounting data'!$J$2:$J$37002,"25*",'Accounting data'!$K$2:$K$37002,"685*")+SUMIFS('Accounting data'!$G$2:$G$37002,'Accounting data'!$H$2:$H$37002,"12*",'Accounting data'!$J$2:$J$37002,"25*",'Accounting data'!$K$2:$K$37002,"685*")+SUMIFS('Accounting data'!$G$2:$G$37002,'Accounting data'!$H$2:$H$37002,"13*",'Accounting data'!$J$2:$J$37002,"25*",'Accounting data'!$K$2:$K$37002,"685*")</f>
        <v>0</v>
      </c>
    </row>
    <row r="1106" spans="1:5" x14ac:dyDescent="0.3">
      <c r="A1106" s="517" t="s">
        <v>1007</v>
      </c>
      <c r="B1106" s="519">
        <v>700</v>
      </c>
      <c r="C1106" s="517">
        <v>2500</v>
      </c>
      <c r="D1106" s="517">
        <v>6850</v>
      </c>
      <c r="E1106" s="518">
        <f>SUMIFS('Accounting data'!$G$2:$G$37002,'Accounting data'!$H$2:$H$37002,"11*",'Accounting data'!$I$2:$I$37002,"7*",'Accounting data'!$J$2:$J$37002,"25*",'Accounting data'!$K$2:$K$37002,"685*")+SUMIFS('Accounting data'!$G$2:$G$37002,'Accounting data'!$H$2:$H$37002,"12*",'Accounting data'!$I$2:$I$37002,"7*",'Accounting data'!$J$2:$J$37002,"25*",'Accounting data'!$K$2:$K$37002,"685*")+SUMIFS('Accounting data'!$G$2:$G$37002,'Accounting data'!$H$2:$H$37002,"13*",'Accounting data'!$I$2:$I$37002,"7*",'Accounting data'!$J$2:$J$37002,"25*",'Accounting data'!$K$2:$K$37002,"685*")</f>
        <v>0</v>
      </c>
    </row>
    <row r="1107" spans="1:5" x14ac:dyDescent="0.3">
      <c r="A1107" s="517" t="s">
        <v>1007</v>
      </c>
      <c r="B1107" s="519">
        <v>800</v>
      </c>
      <c r="C1107" s="517">
        <v>2500</v>
      </c>
      <c r="D1107" s="517">
        <v>6850</v>
      </c>
      <c r="E1107" s="518">
        <f>SUMIFS('Accounting data'!$G$2:$G$37002,'Accounting data'!$H$2:$H$37002,"11*",'Accounting data'!$I$2:$I$37002,"8*",'Accounting data'!$J$2:$J$37002,"25*",'Accounting data'!$K$2:$K$37002,"685*")+SUMIFS('Accounting data'!$G$2:$G$37002,'Accounting data'!$H$2:$H$37002,"12*",'Accounting data'!$I$2:$I$37002,"8*",'Accounting data'!$J$2:$J$37002,"25*",'Accounting data'!$K$2:$K$37002,"685*")+SUMIFS('Accounting data'!$G$2:$G$37002,'Accounting data'!$H$2:$H$37002,"13*",'Accounting data'!$I$2:$I$37002,"8*",'Accounting data'!$J$2:$J$37002,"25*",'Accounting data'!$K$2:$K$37002,"685*")</f>
        <v>0</v>
      </c>
    </row>
    <row r="1108" spans="1:5" x14ac:dyDescent="0.3">
      <c r="A1108" s="517" t="s">
        <v>1007</v>
      </c>
      <c r="B1108" s="519">
        <v>900</v>
      </c>
      <c r="C1108" s="517">
        <v>2500</v>
      </c>
      <c r="D1108" s="517">
        <v>6850</v>
      </c>
      <c r="E1108" s="518">
        <f>SUMIFS('Accounting data'!$G$2:$G$37002,'Accounting data'!$H$2:$H$37002,"11*",'Accounting data'!$I$2:$I$37002,"9*",'Accounting data'!$J$2:$J$37002,"25*",'Accounting data'!$K$2:$K$37002,"685*")+SUMIFS('Accounting data'!$G$2:$G$37002,'Accounting data'!$H$2:$H$37002,"12*",'Accounting data'!$I$2:$I$37002,"9*",'Accounting data'!$J$2:$J$37002,"25*",'Accounting data'!$K$2:$K$37002,"685*")+SUMIFS('Accounting data'!$G$2:$G$37002,'Accounting data'!$H$2:$H$37002,"13*",'Accounting data'!$I$2:$I$37002,"9*",'Accounting data'!$J$2:$J$37002,"25*",'Accounting data'!$K$2:$K$37002,"685*")</f>
        <v>0</v>
      </c>
    </row>
    <row r="1109" spans="1:5" x14ac:dyDescent="0.3">
      <c r="A1109" s="520" t="s">
        <v>1072</v>
      </c>
      <c r="B1109" s="520"/>
      <c r="C1109" s="520"/>
      <c r="D1109" s="520"/>
      <c r="E1109" s="522">
        <f>E1105-(E1106+E1107+E1108)</f>
        <v>0</v>
      </c>
    </row>
    <row r="1110" spans="1:5" x14ac:dyDescent="0.3">
      <c r="A1110" s="517" t="s">
        <v>991</v>
      </c>
      <c r="B1110" s="517" t="s">
        <v>991</v>
      </c>
      <c r="C1110" s="517">
        <v>1000</v>
      </c>
      <c r="D1110" s="526">
        <v>6890</v>
      </c>
      <c r="E1110" s="518">
        <f>SUMIFS('Accounting data'!$G$2:$G$37002,'Accounting data'!$J$2:$J$37002,"1*",'Accounting data'!$K$2:$K$37002,"689*")</f>
        <v>205</v>
      </c>
    </row>
    <row r="1111" spans="1:5" x14ac:dyDescent="0.3">
      <c r="A1111" s="517" t="s">
        <v>992</v>
      </c>
      <c r="B1111" s="517" t="s">
        <v>991</v>
      </c>
      <c r="C1111" s="517">
        <v>1000</v>
      </c>
      <c r="D1111" s="526">
        <v>6890</v>
      </c>
      <c r="E1111" s="518">
        <f>SUMIFS('Accounting data'!$G$2:$G$37002,'Accounting data'!$H$2:$H$37002,"9999*",'Accounting data'!$J$2:$J$37002,"1*",'Accounting data'!$K$2:$K$37002,"689*")</f>
        <v>0</v>
      </c>
    </row>
    <row r="1112" spans="1:5" x14ac:dyDescent="0.3">
      <c r="A1112" s="517" t="s">
        <v>991</v>
      </c>
      <c r="B1112" s="517" t="s">
        <v>993</v>
      </c>
      <c r="C1112" s="517">
        <v>1000</v>
      </c>
      <c r="D1112" s="526">
        <v>6890</v>
      </c>
      <c r="E1112" s="518">
        <f>SUMIFS('Accounting data'!$G$2:$G$37002,'Accounting data'!$I$2:$I$37002,"7*",'Accounting data'!$J$2:$J$37002,"1*",'Accounting data'!$K$2:$K$37002,"689*")+SUMIFS('Accounting data'!$G$2:$G$37002,'Accounting data'!$I$2:$I$37002,"8*",'Accounting data'!$J$2:$J$37002,"1*",'Accounting data'!$K$2:$K$37002,"689*")+SUMIFS('Accounting data'!$G$2:$G$37002,'Accounting data'!$I$2:$I$37002,"9*",'Accounting data'!$J$2:$J$37002,"1*",'Accounting data'!$K$2:$K$37002,"689*")</f>
        <v>0</v>
      </c>
    </row>
    <row r="1113" spans="1:5" x14ac:dyDescent="0.3">
      <c r="A1113" s="519" t="s">
        <v>992</v>
      </c>
      <c r="B1113" s="517" t="s">
        <v>993</v>
      </c>
      <c r="C1113" s="517">
        <v>1000</v>
      </c>
      <c r="D1113" s="526">
        <v>6890</v>
      </c>
      <c r="E1113" s="518">
        <f>SUMIFS('Accounting data'!$G$2:$G$37002,'Accounting data'!$H$2:$H$37002,"9999*",'Accounting data'!$I$2:$I$37002,"7*",'Accounting data'!$J$2:$J$37002,"1*",'Accounting data'!$K$2:$K$37002,"689*")+SUMIFS('Accounting data'!$G$2:$G$37002,'Accounting data'!$H$2:$H$37002,"9999*",'Accounting data'!$I$2:$I$37002,"8*",'Accounting data'!$J$2:$J$37002,"1*",'Accounting data'!$K$2:$K$37002,"689*")+SUMIFS('Accounting data'!$G$2:$G$37002,'Accounting data'!$H$2:$H$37002,"9999*",'Accounting data'!$I$2:$I$37002,"9*",'Accounting data'!$J$2:$J$37002,"1*",'Accounting data'!$K$2:$K$37002,"689*")</f>
        <v>0</v>
      </c>
    </row>
    <row r="1114" spans="1:5" x14ac:dyDescent="0.3">
      <c r="A1114" s="517"/>
      <c r="B1114" s="517"/>
      <c r="C1114" s="517"/>
      <c r="D1114" s="526"/>
      <c r="E1114" s="518"/>
    </row>
    <row r="1115" spans="1:5" x14ac:dyDescent="0.3">
      <c r="A1115" s="517"/>
      <c r="B1115" s="517"/>
      <c r="C1115" s="517"/>
      <c r="D1115" s="526"/>
      <c r="E1115" s="518"/>
    </row>
    <row r="1116" spans="1:5" x14ac:dyDescent="0.3">
      <c r="A1116" s="520" t="s">
        <v>1073</v>
      </c>
      <c r="B1116" s="520"/>
      <c r="C1116" s="520"/>
      <c r="D1116" s="520"/>
      <c r="E1116" s="522">
        <f>(E1110-E1111-E1112)+(E1113+E1114+E1115)</f>
        <v>205</v>
      </c>
    </row>
    <row r="1117" spans="1:5" x14ac:dyDescent="0.3">
      <c r="A1117" s="517" t="s">
        <v>991</v>
      </c>
      <c r="B1117" s="517" t="s">
        <v>991</v>
      </c>
      <c r="C1117" s="517">
        <v>2100</v>
      </c>
      <c r="D1117" s="526">
        <v>6890</v>
      </c>
      <c r="E1117" s="518">
        <f>SUMIFS('Accounting data'!$G$2:$G$37002,'Accounting data'!$J$2:$J$37002,"21*",'Accounting data'!$K$2:$K$37002,"689*")</f>
        <v>0</v>
      </c>
    </row>
    <row r="1118" spans="1:5" x14ac:dyDescent="0.3">
      <c r="A1118" s="517" t="s">
        <v>992</v>
      </c>
      <c r="B1118" s="517" t="s">
        <v>991</v>
      </c>
      <c r="C1118" s="517">
        <v>2100</v>
      </c>
      <c r="D1118" s="526">
        <v>6890</v>
      </c>
      <c r="E1118" s="518">
        <f>SUMIFS('Accounting data'!$G$2:$G$37002,'Accounting data'!$H$2:$H$37002,"9999*",'Accounting data'!$J$2:$J$37002,"21*",'Accounting data'!$K$2:$K$37002,"689*")</f>
        <v>0</v>
      </c>
    </row>
    <row r="1119" spans="1:5" x14ac:dyDescent="0.3">
      <c r="A1119" s="517" t="s">
        <v>991</v>
      </c>
      <c r="B1119" s="517" t="s">
        <v>993</v>
      </c>
      <c r="C1119" s="517">
        <v>2100</v>
      </c>
      <c r="D1119" s="526">
        <v>6890</v>
      </c>
      <c r="E1119" s="518">
        <f>SUMIFS('Accounting data'!$G$2:$G$37002,'Accounting data'!$H$2:$H$37002,"9999*",'Accounting data'!$J$2:$J$37002,"21*",'Accounting data'!$K$2:$K$37002,"689*")+SUMIFS('Accounting data'!$G$2:$G$37002,'Accounting data'!$H$2:$H$37002,"8*",'Accounting data'!$J$2:$J$37002,"21*",'Accounting data'!$K$2:$K$37002,"689*")+SUMIFS('Accounting data'!$G$2:$G$37002,'Accounting data'!$H$2:$H$37002,"9*",'Accounting data'!$J$2:$J$37002,"21*",'Accounting data'!$K$2:$K$37002,"689*")</f>
        <v>0</v>
      </c>
    </row>
    <row r="1120" spans="1:5" x14ac:dyDescent="0.3">
      <c r="A1120" s="519" t="s">
        <v>992</v>
      </c>
      <c r="B1120" s="517" t="s">
        <v>993</v>
      </c>
      <c r="C1120" s="517">
        <v>2100</v>
      </c>
      <c r="D1120" s="526">
        <v>6890</v>
      </c>
      <c r="E1120" s="518">
        <f>SUMIFS('Accounting data'!$G$2:$G$37002,'Accounting data'!$H$2:$H$37002,"9999*",'Accounting data'!$J$2:$J$37002,"21*",'Accounting data'!$K$2:$K$37002,"689*")+SUMIFS('Accounting data'!$G$2:$G$37002,'Accounting data'!$H$2:$H$37002,"8*",'Accounting data'!$J$2:$J$37002,"21*",'Accounting data'!$K$2:$K$37002,"689*")+SUMIFS('Accounting data'!$G$2:$G$37002,'Accounting data'!$H$2:$H$37002,"9*",'Accounting data'!$J$2:$J$37002,"21*",'Accounting data'!$K$2:$K$37002,"689*")</f>
        <v>0</v>
      </c>
    </row>
    <row r="1123" spans="1:5" x14ac:dyDescent="0.3">
      <c r="A1123" s="520" t="s">
        <v>1074</v>
      </c>
      <c r="B1123" s="520"/>
      <c r="C1123" s="520"/>
      <c r="D1123" s="520"/>
      <c r="E1123" s="522">
        <f>(E1117-E1118-E1119)+(E1120+E1121+E1122)</f>
        <v>0</v>
      </c>
    </row>
    <row r="1124" spans="1:5" x14ac:dyDescent="0.3">
      <c r="A1124" s="517" t="s">
        <v>991</v>
      </c>
      <c r="B1124" s="517" t="s">
        <v>991</v>
      </c>
      <c r="C1124" s="517">
        <v>2200</v>
      </c>
      <c r="D1124" s="526">
        <v>6890</v>
      </c>
      <c r="E1124" s="518">
        <f>SUMIFS('Accounting data'!$G$2:$G$37002,'Accounting data'!$J$2:$J$37002,"22*",'Accounting data'!$K$2:$K$37002,"689*")</f>
        <v>122</v>
      </c>
    </row>
    <row r="1125" spans="1:5" x14ac:dyDescent="0.3">
      <c r="A1125" s="517" t="s">
        <v>992</v>
      </c>
      <c r="B1125" s="517" t="s">
        <v>991</v>
      </c>
      <c r="C1125" s="517">
        <v>2200</v>
      </c>
      <c r="D1125" s="526">
        <v>6890</v>
      </c>
      <c r="E1125" s="518">
        <f>SUMIFS('Accounting data'!$G$2:$G$37002,'Accounting data'!$H$2:$H$37002,"9999*",'Accounting data'!$J$2:$J$37002,"22*",'Accounting data'!$K$2:$K$37002,"689*")</f>
        <v>0</v>
      </c>
    </row>
    <row r="1126" spans="1:5" x14ac:dyDescent="0.3">
      <c r="A1126" s="517" t="s">
        <v>991</v>
      </c>
      <c r="B1126" s="517" t="s">
        <v>993</v>
      </c>
      <c r="C1126" s="517">
        <v>2200</v>
      </c>
      <c r="D1126" s="526">
        <v>6890</v>
      </c>
      <c r="E1126" s="518">
        <f>SUMIFS('Accounting data'!$G$2:$G$37002,'Accounting data'!$I$2:$I$37002,"7*",'Accounting data'!$J$2:$J$37002,"22*",'Accounting data'!$K$2:$K$37002,"689*")+SUMIFS('Accounting data'!$G$2:$G$37002,'Accounting data'!$I$2:$I$37002,"8*",'Accounting data'!$J$2:$J$37002,"22*",'Accounting data'!$K$2:$K$37002,"689*")+SUMIFS('Accounting data'!$G$2:$G$37002,'Accounting data'!$I$2:$I$37002,"9*",'Accounting data'!$J$2:$J$37002,"22*",'Accounting data'!$K$2:$K$37002,"689*")</f>
        <v>0</v>
      </c>
    </row>
    <row r="1127" spans="1:5" x14ac:dyDescent="0.3">
      <c r="A1127" s="519" t="s">
        <v>992</v>
      </c>
      <c r="B1127" s="517" t="s">
        <v>993</v>
      </c>
      <c r="C1127" s="517">
        <v>2200</v>
      </c>
      <c r="D1127" s="526">
        <v>6890</v>
      </c>
      <c r="E1127" s="518">
        <f>SUMIFS('Accounting data'!$G$2:$G$37002,'Accounting data'!$H$2:$H$37002,"9999*",'Accounting data'!$I$2:$I$37002,"7*",'Accounting data'!$J$2:$J$37002,"22*",'Accounting data'!$K$2:$K$37002,"689*")+SUMIFS('Accounting data'!$G$2:$G$37002,'Accounting data'!$H$2:$H$37002,"9999*",'Accounting data'!$I$2:$I$37002,"8*",'Accounting data'!$J$2:$J$37002,"22*",'Accounting data'!$K$2:$K$37002,"689*")+SUMIFS('Accounting data'!$G$2:$G$37002,'Accounting data'!$H$2:$H$37002,"9999*",'Accounting data'!$I$2:$I$37002,"9*",'Accounting data'!$J$2:$J$37002,"22*",'Accounting data'!$K$2:$K$37002,"689*")</f>
        <v>0</v>
      </c>
    </row>
    <row r="1128" spans="1:5" x14ac:dyDescent="0.3">
      <c r="A1128" s="517"/>
      <c r="B1128" s="517"/>
      <c r="C1128" s="517"/>
      <c r="D1128" s="526"/>
      <c r="E1128" s="518"/>
    </row>
    <row r="1129" spans="1:5" x14ac:dyDescent="0.3">
      <c r="A1129" s="517"/>
      <c r="B1129" s="517"/>
      <c r="C1129" s="517"/>
      <c r="D1129" s="526"/>
      <c r="E1129" s="518"/>
    </row>
    <row r="1130" spans="1:5" x14ac:dyDescent="0.3">
      <c r="A1130" s="520" t="s">
        <v>1075</v>
      </c>
      <c r="B1130" s="520"/>
      <c r="C1130" s="520"/>
      <c r="D1130" s="520"/>
      <c r="E1130" s="522">
        <f>(E1124-E1125-E1126)+(E1127+E1128+E1129)</f>
        <v>122</v>
      </c>
    </row>
    <row r="1131" spans="1:5" x14ac:dyDescent="0.3">
      <c r="A1131" s="517" t="s">
        <v>991</v>
      </c>
      <c r="B1131" s="517" t="s">
        <v>991</v>
      </c>
      <c r="C1131" s="517">
        <v>2300</v>
      </c>
      <c r="D1131" s="526">
        <v>6890</v>
      </c>
      <c r="E1131" s="518">
        <f>SUMIFS('Accounting data'!$G$2:$G$37002,'Accounting data'!$J$2:$J$37002,"23*",'Accounting data'!$K$2:$K$37002,"689*")</f>
        <v>0</v>
      </c>
    </row>
    <row r="1132" spans="1:5" x14ac:dyDescent="0.3">
      <c r="A1132" s="517" t="s">
        <v>992</v>
      </c>
      <c r="B1132" s="517" t="s">
        <v>991</v>
      </c>
      <c r="C1132" s="517">
        <v>2300</v>
      </c>
      <c r="D1132" s="526">
        <v>6890</v>
      </c>
      <c r="E1132" s="518">
        <f>SUMIFS('Accounting data'!$G$2:$G$37002,'Accounting data'!$H$2:$H$37002,"9999*",'Accounting data'!$J$2:$J$37002,"23*",'Accounting data'!$K$2:$K$37002,"689*")</f>
        <v>0</v>
      </c>
    </row>
    <row r="1133" spans="1:5" x14ac:dyDescent="0.3">
      <c r="A1133" s="517" t="s">
        <v>991</v>
      </c>
      <c r="B1133" s="517" t="s">
        <v>993</v>
      </c>
      <c r="C1133" s="517">
        <v>2300</v>
      </c>
      <c r="D1133" s="526">
        <v>6890</v>
      </c>
      <c r="E1133" s="518">
        <f>SUMIFS('Accounting data'!$G$2:$G$37002,'Accounting data'!$I$2:$I$37002,"7*",'Accounting data'!$J$2:$J$37002,"23*",'Accounting data'!$K$2:$K$37002,"689*")+SUMIFS('Accounting data'!$G$2:$G$37002,'Accounting data'!$I$2:$I$37002,"8*",'Accounting data'!$J$2:$J$37002,"23*",'Accounting data'!$K$2:$K$37002,"689*")+SUMIFS('Accounting data'!$G$2:$G$37002,'Accounting data'!$I$2:$I$37002,"9*",'Accounting data'!$J$2:$J$37002,"23*",'Accounting data'!$K$2:$K$37002,"689*")</f>
        <v>0</v>
      </c>
    </row>
    <row r="1134" spans="1:5" x14ac:dyDescent="0.3">
      <c r="A1134" s="519" t="s">
        <v>992</v>
      </c>
      <c r="B1134" s="517" t="s">
        <v>993</v>
      </c>
      <c r="C1134" s="517">
        <v>2300</v>
      </c>
      <c r="D1134" s="526">
        <v>6890</v>
      </c>
      <c r="E1134" s="518">
        <f>SUMIFS('Accounting data'!$G$2:$G$37002,'Accounting data'!$H$2:$H$37002,"9999*",'Accounting data'!$I$2:$I$37002,"7*",'Accounting data'!$J$2:$J$37002,"23*",'Accounting data'!$K$2:$K$37002,"689*")+SUMIFS('Accounting data'!$G$2:$G$37002,'Accounting data'!$H$2:$H$37002,"9999*",'Accounting data'!$I$2:$I$37002,"8*",'Accounting data'!$J$2:$J$37002,"23*",'Accounting data'!$K$2:$K$37002,"689*")+SUMIFS('Accounting data'!$G$2:$G$37002,'Accounting data'!$H$2:$H$37002,"9999*",'Accounting data'!$I$2:$I$37002,"9*",'Accounting data'!$J$2:$J$37002,"23*",'Accounting data'!$K$2:$K$37002,"689*")</f>
        <v>0</v>
      </c>
    </row>
    <row r="1137" spans="1:5" x14ac:dyDescent="0.3">
      <c r="A1137" s="520" t="s">
        <v>1076</v>
      </c>
      <c r="B1137" s="520"/>
      <c r="C1137" s="520"/>
      <c r="D1137" s="520"/>
      <c r="E1137" s="522">
        <f>(E1131-E1132-E1133)+(E1134+E1135+E1136)</f>
        <v>0</v>
      </c>
    </row>
    <row r="1138" spans="1:5" x14ac:dyDescent="0.3">
      <c r="A1138" s="517" t="s">
        <v>991</v>
      </c>
      <c r="B1138" s="517" t="s">
        <v>991</v>
      </c>
      <c r="C1138" s="517">
        <v>2400</v>
      </c>
      <c r="D1138" s="526">
        <v>6890</v>
      </c>
      <c r="E1138" s="518">
        <f>SUMIFS('Accounting data'!$G$2:$G$37002,'Accounting data'!$J$2:$J$37002,"24*",'Accounting data'!$K$2:$K$37002,"689*")</f>
        <v>0</v>
      </c>
    </row>
    <row r="1139" spans="1:5" x14ac:dyDescent="0.3">
      <c r="A1139" s="517" t="s">
        <v>992</v>
      </c>
      <c r="B1139" s="517" t="s">
        <v>991</v>
      </c>
      <c r="C1139" s="517">
        <v>2400</v>
      </c>
      <c r="D1139" s="526">
        <v>6890</v>
      </c>
      <c r="E1139" s="518">
        <f>SUMIFS('Accounting data'!$G$2:$G$37002,'Accounting data'!$H$2:$H$37002,"9999*",'Accounting data'!$J$2:$J$37002,"24*",'Accounting data'!$K$2:$K$37002,"689*")</f>
        <v>0</v>
      </c>
    </row>
    <row r="1140" spans="1:5" x14ac:dyDescent="0.3">
      <c r="A1140" s="517" t="s">
        <v>991</v>
      </c>
      <c r="B1140" s="517" t="s">
        <v>993</v>
      </c>
      <c r="C1140" s="517">
        <v>2400</v>
      </c>
      <c r="D1140" s="526">
        <v>6890</v>
      </c>
      <c r="E1140" s="518">
        <f>SUMIFS('Accounting data'!$G$2:$G$37002,'Accounting data'!$I$2:$I$37002,"7*",'Accounting data'!$J$2:$J$37002,"24*",'Accounting data'!$K$2:$K$37002,"689*")+SUMIFS('Accounting data'!$G$2:$G$37002,'Accounting data'!$I$2:$I$37002,"8*",'Accounting data'!$J$2:$J$37002,"24*",'Accounting data'!$K$2:$K$37002,"689*")+SUMIFS('Accounting data'!$G$2:$G$37002,'Accounting data'!$I$2:$I$37002,"9*",'Accounting data'!$J$2:$J$37002,"24*",'Accounting data'!$K$2:$K$37002,"689*")</f>
        <v>0</v>
      </c>
    </row>
    <row r="1141" spans="1:5" x14ac:dyDescent="0.3">
      <c r="A1141" s="519" t="s">
        <v>992</v>
      </c>
      <c r="B1141" s="517" t="s">
        <v>993</v>
      </c>
      <c r="C1141" s="517">
        <v>2400</v>
      </c>
      <c r="D1141" s="526">
        <v>6890</v>
      </c>
      <c r="E1141" s="518">
        <f>SUMIFS('Accounting data'!$G$2:$G$37002,'Accounting data'!$H$2:$H$37002,"9999*",'Accounting data'!$I$2:$I$37002,"7*",'Accounting data'!$J$2:$J$37002,"24*",'Accounting data'!$K$2:$K$37002,"689*")+SUMIFS('Accounting data'!$G$2:$G$37002,'Accounting data'!$H$2:$H$37002,"9999*",'Accounting data'!$I$2:$I$37002,"8*",'Accounting data'!$J$2:$J$37002,"24*",'Accounting data'!$K$2:$K$37002,"689*")+SUMIFS('Accounting data'!$G$2:$G$37002,'Accounting data'!$H$2:$H$37002,"9999*",'Accounting data'!$I$2:$I$37002,"9*",'Accounting data'!$J$2:$J$37002,"24*",'Accounting data'!$K$2:$K$37002,"689*")</f>
        <v>0</v>
      </c>
    </row>
    <row r="1142" spans="1:5" x14ac:dyDescent="0.3">
      <c r="A1142" s="517"/>
      <c r="B1142" s="517"/>
      <c r="C1142" s="517"/>
      <c r="D1142" s="526"/>
      <c r="E1142" s="518"/>
    </row>
    <row r="1143" spans="1:5" x14ac:dyDescent="0.3">
      <c r="A1143" s="517"/>
      <c r="B1143" s="517"/>
      <c r="C1143" s="517"/>
      <c r="D1143" s="526"/>
      <c r="E1143" s="518"/>
    </row>
    <row r="1144" spans="1:5" x14ac:dyDescent="0.3">
      <c r="A1144" s="520" t="s">
        <v>1077</v>
      </c>
      <c r="B1144" s="520"/>
      <c r="C1144" s="520"/>
      <c r="D1144" s="520"/>
      <c r="E1144" s="522">
        <f>(E1138-E1139-E1140)+(E1141+E1142+E1143)</f>
        <v>0</v>
      </c>
    </row>
    <row r="1145" spans="1:5" x14ac:dyDescent="0.3">
      <c r="A1145" s="517" t="s">
        <v>991</v>
      </c>
      <c r="B1145" s="517" t="s">
        <v>991</v>
      </c>
      <c r="C1145" s="517">
        <v>2500</v>
      </c>
      <c r="D1145" s="526">
        <v>6890</v>
      </c>
      <c r="E1145" s="518">
        <f>SUMIFS('Accounting data'!$G$2:$G$37002,'Accounting data'!$J$2:$J$37002,"25*",'Accounting data'!$K$2:$K$37002,"689*")</f>
        <v>3474</v>
      </c>
    </row>
    <row r="1146" spans="1:5" x14ac:dyDescent="0.3">
      <c r="A1146" s="517" t="s">
        <v>992</v>
      </c>
      <c r="B1146" s="517" t="s">
        <v>991</v>
      </c>
      <c r="C1146" s="517">
        <v>2500</v>
      </c>
      <c r="D1146" s="526">
        <v>6890</v>
      </c>
      <c r="E1146" s="518">
        <f>SUMIFS('Accounting data'!$G$2:$G$37002,'Accounting data'!$H$2:$H$37002,"9999*",'Accounting data'!$J$2:$J$37002,"25*",'Accounting data'!$K$2:$K$37002,"689*")</f>
        <v>0</v>
      </c>
    </row>
    <row r="1147" spans="1:5" x14ac:dyDescent="0.3">
      <c r="A1147" s="517" t="s">
        <v>991</v>
      </c>
      <c r="B1147" s="517" t="s">
        <v>993</v>
      </c>
      <c r="C1147" s="517">
        <v>2500</v>
      </c>
      <c r="D1147" s="526">
        <v>6890</v>
      </c>
      <c r="E1147" s="518">
        <f>SUMIFS('Accounting data'!$G$2:$G$37002,'Accounting data'!$I$2:$I$37002,"7*",'Accounting data'!$J$2:$J$37002,"25*",'Accounting data'!$K$2:$K$37002,"689*")+SUMIFS('Accounting data'!$G$2:$G$37002,'Accounting data'!$I$2:$I$37002,"8*",'Accounting data'!$J$2:$J$37002,"25*",'Accounting data'!$K$2:$K$37002,"689*")+SUMIFS('Accounting data'!$G$2:$G$37002,'Accounting data'!$I$2:$I$37002,"9*",'Accounting data'!$J$2:$J$37002,"25*",'Accounting data'!$K$2:$K$37002,"689*")</f>
        <v>0</v>
      </c>
    </row>
    <row r="1148" spans="1:5" x14ac:dyDescent="0.3">
      <c r="A1148" s="519" t="s">
        <v>992</v>
      </c>
      <c r="B1148" s="517" t="s">
        <v>993</v>
      </c>
      <c r="C1148" s="517">
        <v>2500</v>
      </c>
      <c r="D1148" s="526">
        <v>6890</v>
      </c>
      <c r="E1148" s="518">
        <f>SUMIFS('Accounting data'!$G$2:$G$37002,'Accounting data'!$H$2:$H$37002,"9999*",'Accounting data'!$I$2:$I$37002,"7*",'Accounting data'!$J$2:$J$37002,"25*",'Accounting data'!$K$2:$K$37002,"689*")+SUMIFS('Accounting data'!$G$2:$G$37002,'Accounting data'!$H$2:$H$37002,"9999*",'Accounting data'!$I$2:$I$37002,"8*",'Accounting data'!$J$2:$J$37002,"25*",'Accounting data'!$K$2:$K$37002,"689*")+SUMIFS('Accounting data'!$G$2:$G$37002,'Accounting data'!$H$2:$H$37002,"9999*",'Accounting data'!$I$2:$I$37002,"9*",'Accounting data'!$J$2:$J$37002,"25*",'Accounting data'!$K$2:$K$37002,"689*")</f>
        <v>0</v>
      </c>
    </row>
    <row r="1149" spans="1:5" x14ac:dyDescent="0.3">
      <c r="A1149" s="517"/>
      <c r="B1149" s="517"/>
      <c r="C1149" s="517"/>
      <c r="D1149" s="526"/>
      <c r="E1149" s="518"/>
    </row>
    <row r="1150" spans="1:5" x14ac:dyDescent="0.3">
      <c r="A1150" s="517"/>
      <c r="B1150" s="517"/>
      <c r="C1150" s="517"/>
      <c r="D1150" s="526"/>
      <c r="E1150" s="518"/>
    </row>
    <row r="1151" spans="1:5" x14ac:dyDescent="0.3">
      <c r="A1151" s="520" t="s">
        <v>1078</v>
      </c>
      <c r="B1151" s="520"/>
      <c r="C1151" s="520"/>
      <c r="D1151" s="520"/>
      <c r="E1151" s="522">
        <f>(E1145-E1146-E1147)+(E1148+E1149+E1150)</f>
        <v>3474</v>
      </c>
    </row>
    <row r="1152" spans="1:5" x14ac:dyDescent="0.3">
      <c r="A1152" s="517" t="s">
        <v>991</v>
      </c>
      <c r="B1152" s="517" t="s">
        <v>991</v>
      </c>
      <c r="C1152" s="517">
        <v>2900</v>
      </c>
      <c r="D1152" s="526">
        <v>6890</v>
      </c>
      <c r="E1152" s="518">
        <f>SUMIFS('Accounting data'!$G$2:$G$37002,'Accounting data'!$J$2:$J$37002,"29*",'Accounting data'!$K$2:$K$37002,"689*")</f>
        <v>0</v>
      </c>
    </row>
    <row r="1153" spans="1:5" x14ac:dyDescent="0.3">
      <c r="A1153" s="517" t="s">
        <v>992</v>
      </c>
      <c r="B1153" s="517" t="s">
        <v>991</v>
      </c>
      <c r="C1153" s="517">
        <v>2900</v>
      </c>
      <c r="D1153" s="526">
        <v>6890</v>
      </c>
      <c r="E1153" s="518">
        <f>SUMIFS('Accounting data'!$G$2:$G$37002,'Accounting data'!$H$2:$H$37002,"9999*",'Accounting data'!$J$2:$J$37002,"29*",'Accounting data'!$K$2:$K$37002,"689*")</f>
        <v>0</v>
      </c>
    </row>
    <row r="1154" spans="1:5" x14ac:dyDescent="0.3">
      <c r="A1154" s="517" t="s">
        <v>991</v>
      </c>
      <c r="B1154" s="517" t="s">
        <v>993</v>
      </c>
      <c r="C1154" s="517">
        <v>2900</v>
      </c>
      <c r="D1154" s="526">
        <v>6890</v>
      </c>
      <c r="E1154" s="518">
        <f>SUMIFS('Accounting data'!$G$2:$G$37002,'Accounting data'!$I$2:$I$37002,"7*",'Accounting data'!$J$2:$J$37002,"29*",'Accounting data'!$K$2:$K$37002,"689*")+SUMIFS('Accounting data'!$G$2:$G$37002,'Accounting data'!$I$2:$I$37002,"8*",'Accounting data'!$J$2:$J$37002,"29*",'Accounting data'!$K$2:$K$37002,"689*")+SUMIFS('Accounting data'!$G$2:$G$37002,'Accounting data'!$I$2:$I$37002,"9*",'Accounting data'!$J$2:$J$37002,"29*",'Accounting data'!$K$2:$K$37002,"689*")</f>
        <v>0</v>
      </c>
    </row>
    <row r="1155" spans="1:5" x14ac:dyDescent="0.3">
      <c r="A1155" s="519" t="s">
        <v>992</v>
      </c>
      <c r="B1155" s="517" t="s">
        <v>993</v>
      </c>
      <c r="C1155" s="517">
        <v>2900</v>
      </c>
      <c r="D1155" s="526">
        <v>6890</v>
      </c>
      <c r="E1155" s="518">
        <f>SUMIFS('Accounting data'!$G$2:$G$37002,'Accounting data'!$H$2:$H$37002,"9999*",'Accounting data'!$I$2:$I$37002,"7*",'Accounting data'!$J$2:$J$37002,"29*",'Accounting data'!$K$2:$K$37002,"689*")+SUMIFS('Accounting data'!$G$2:$G$37002,'Accounting data'!$H$2:$H$37002,"9999*",'Accounting data'!$I$2:$I$37002,"8*",'Accounting data'!$J$2:$J$37002,"29*",'Accounting data'!$K$2:$K$37002,"689*")+SUMIFS('Accounting data'!$G$2:$G$37002,'Accounting data'!$H$2:$H$37002,"9999*",'Accounting data'!$I$2:$I$37002,"9*",'Accounting data'!$J$2:$J$37002,"29*",'Accounting data'!$K$2:$K$37002,"689*")</f>
        <v>0</v>
      </c>
    </row>
    <row r="1156" spans="1:5" x14ac:dyDescent="0.3">
      <c r="A1156" s="517"/>
      <c r="B1156" s="517"/>
      <c r="C1156" s="517"/>
      <c r="D1156" s="526"/>
      <c r="E1156" s="518"/>
    </row>
    <row r="1157" spans="1:5" x14ac:dyDescent="0.3">
      <c r="A1157" s="517"/>
      <c r="B1157" s="517"/>
      <c r="C1157" s="517"/>
      <c r="D1157" s="526"/>
      <c r="E1157" s="518"/>
    </row>
    <row r="1158" spans="1:5" x14ac:dyDescent="0.3">
      <c r="A1158" s="520" t="s">
        <v>1079</v>
      </c>
      <c r="B1158" s="520"/>
      <c r="C1158" s="520"/>
      <c r="D1158" s="520"/>
      <c r="E1158" s="522">
        <f>(E1152-E1153-E1154)+(E1155+E1156+E1157)</f>
        <v>0</v>
      </c>
    </row>
    <row r="1159" spans="1:5" x14ac:dyDescent="0.3">
      <c r="A1159" s="517" t="s">
        <v>991</v>
      </c>
      <c r="B1159" s="517" t="s">
        <v>991</v>
      </c>
      <c r="C1159" s="517">
        <v>2600</v>
      </c>
      <c r="D1159" s="526">
        <v>6890</v>
      </c>
      <c r="E1159" s="518">
        <f>SUMIFS('Accounting data'!$G$2:$G$37002,'Accounting data'!$J$2:$J$37002,"26*",'Accounting data'!$K$2:$K$37002,"689*")</f>
        <v>0</v>
      </c>
    </row>
    <row r="1160" spans="1:5" x14ac:dyDescent="0.3">
      <c r="A1160" s="517" t="s">
        <v>992</v>
      </c>
      <c r="B1160" s="517" t="s">
        <v>991</v>
      </c>
      <c r="C1160" s="517">
        <v>2600</v>
      </c>
      <c r="D1160" s="526">
        <v>6890</v>
      </c>
      <c r="E1160" s="518">
        <f>SUMIFS('Accounting data'!$G$2:$G$37002,'Accounting data'!$H$2:$H$37002,"9999*",'Accounting data'!$J$2:$J$37002,"26*",'Accounting data'!$K$2:$K$37002,"689*")</f>
        <v>0</v>
      </c>
    </row>
    <row r="1161" spans="1:5" x14ac:dyDescent="0.3">
      <c r="A1161" s="517" t="s">
        <v>991</v>
      </c>
      <c r="B1161" s="517" t="s">
        <v>993</v>
      </c>
      <c r="C1161" s="517">
        <v>2600</v>
      </c>
      <c r="D1161" s="526">
        <v>6890</v>
      </c>
      <c r="E1161" s="518">
        <f>SUMIFS('Accounting data'!$G$2:$G$37002,'Accounting data'!$I$2:$I$37002,"7*",'Accounting data'!$J$2:$J$37002,"26*",'Accounting data'!$K$2:$K$37002,"689*")+SUMIFS('Accounting data'!$G$2:$G$37002,'Accounting data'!$I$2:$I$37002,"8*",'Accounting data'!$J$2:$J$37002,"26*",'Accounting data'!$K$2:$K$37002,"689*")+SUMIFS('Accounting data'!$G$2:$G$37002,'Accounting data'!$I$2:$I$37002,"9*",'Accounting data'!$J$2:$J$37002,"26*",'Accounting data'!$K$2:$K$37002,"689*")</f>
        <v>0</v>
      </c>
    </row>
    <row r="1162" spans="1:5" x14ac:dyDescent="0.3">
      <c r="A1162" s="519" t="s">
        <v>992</v>
      </c>
      <c r="B1162" s="517" t="s">
        <v>993</v>
      </c>
      <c r="C1162" s="517">
        <v>2600</v>
      </c>
      <c r="D1162" s="526">
        <v>6890</v>
      </c>
      <c r="E1162" s="518">
        <f>SUMIFS('Accounting data'!$G$2:$G$37002,'Accounting data'!$H$2:$H$37002,"9999*",'Accounting data'!$I$2:$I$37002,"7*",'Accounting data'!$J$2:$J$37002,"26*",'Accounting data'!$K$2:$K$37002,"689*")+SUMIFS('Accounting data'!$G$2:$G$37002,'Accounting data'!$H$2:$H$37002,"9999*",'Accounting data'!$I$2:$I$37002,"8*",'Accounting data'!$J$2:$J$37002,"26*",'Accounting data'!$K$2:$K$37002,"689*")+SUMIFS('Accounting data'!$G$2:$G$37002,'Accounting data'!$H$2:$H$37002,"9999*",'Accounting data'!$I$2:$I$37002,"9*",'Accounting data'!$J$2:$J$37002,"26*",'Accounting data'!$K$2:$K$37002,"689*")</f>
        <v>0</v>
      </c>
    </row>
    <row r="1163" spans="1:5" x14ac:dyDescent="0.3">
      <c r="A1163" s="517"/>
      <c r="B1163" s="517"/>
      <c r="C1163" s="517"/>
      <c r="D1163" s="526"/>
      <c r="E1163" s="518"/>
    </row>
    <row r="1164" spans="1:5" x14ac:dyDescent="0.3">
      <c r="A1164" s="517"/>
      <c r="B1164" s="517"/>
      <c r="C1164" s="517"/>
      <c r="D1164" s="526"/>
      <c r="E1164" s="518"/>
    </row>
    <row r="1165" spans="1:5" x14ac:dyDescent="0.3">
      <c r="A1165" s="520" t="s">
        <v>1080</v>
      </c>
      <c r="B1165" s="520"/>
      <c r="C1165" s="520"/>
      <c r="D1165" s="520"/>
      <c r="E1165" s="522">
        <f>(E1159-E1160-E1161)+(E1162+E1163+E1164)</f>
        <v>0</v>
      </c>
    </row>
    <row r="1166" spans="1:5" x14ac:dyDescent="0.3">
      <c r="A1166" s="517" t="s">
        <v>991</v>
      </c>
      <c r="B1166" s="517" t="s">
        <v>991</v>
      </c>
      <c r="C1166" s="517">
        <v>2700</v>
      </c>
      <c r="D1166" s="526">
        <v>6890</v>
      </c>
      <c r="E1166" s="518">
        <f>SUMIFS('Accounting data'!$G$2:$G$37002,'Accounting data'!$J$2:$J$37002,"27*",'Accounting data'!$K$2:$K$37002,"689*")</f>
        <v>0</v>
      </c>
    </row>
    <row r="1167" spans="1:5" x14ac:dyDescent="0.3">
      <c r="A1167" s="517" t="s">
        <v>992</v>
      </c>
      <c r="B1167" s="517" t="s">
        <v>991</v>
      </c>
      <c r="C1167" s="517">
        <v>2700</v>
      </c>
      <c r="D1167" s="526">
        <v>6890</v>
      </c>
      <c r="E1167" s="518">
        <f>SUMIFS('Accounting data'!$G$2:$G$37002,'Accounting data'!$H$2:$H$37002,"9999*",'Accounting data'!$J$2:$J$37002,"27*",'Accounting data'!$K$2:$K$37002,"689*")</f>
        <v>0</v>
      </c>
    </row>
    <row r="1168" spans="1:5" x14ac:dyDescent="0.3">
      <c r="A1168" s="517" t="s">
        <v>991</v>
      </c>
      <c r="B1168" s="517" t="s">
        <v>993</v>
      </c>
      <c r="C1168" s="517">
        <v>2700</v>
      </c>
      <c r="D1168" s="526">
        <v>6890</v>
      </c>
      <c r="E1168" s="518">
        <f>SUMIFS('Accounting data'!$G$2:$G$37002,'Accounting data'!$I$2:$I$37002,"7*",'Accounting data'!$J$2:$J$37002,"27*",'Accounting data'!$K$2:$K$37002,"689*")+SUMIFS('Accounting data'!$G$2:$G$37002,'Accounting data'!$I$2:$I$37002,"8*",'Accounting data'!$J$2:$J$37002,"27*",'Accounting data'!$K$2:$K$37002,"689*")+SUMIFS('Accounting data'!$G$2:$G$37002,'Accounting data'!$I$2:$I$37002,"9*",'Accounting data'!$J$2:$J$37002,"27*",'Accounting data'!$K$2:$K$37002,"689*")</f>
        <v>0</v>
      </c>
    </row>
    <row r="1169" spans="1:5" x14ac:dyDescent="0.3">
      <c r="A1169" s="519" t="s">
        <v>992</v>
      </c>
      <c r="B1169" s="517" t="s">
        <v>993</v>
      </c>
      <c r="C1169" s="517">
        <v>2700</v>
      </c>
      <c r="D1169" s="526">
        <v>6890</v>
      </c>
      <c r="E1169" s="518">
        <f>SUMIFS('Accounting data'!$G$2:$G$37002,'Accounting data'!$H$2:$H$37002,"9999*",'Accounting data'!$I$2:$I$37002,"7*",'Accounting data'!$J$2:$J$37002,"27*",'Accounting data'!$K$2:$K$37002,"689*")+SUMIFS('Accounting data'!$G$2:$G$37002,'Accounting data'!$H$2:$H$37002,"9999*",'Accounting data'!$I$2:$I$37002,"8*",'Accounting data'!$J$2:$J$37002,"27*",'Accounting data'!$K$2:$K$37002,"689*")+SUMIFS('Accounting data'!$G$2:$G$37002,'Accounting data'!$H$2:$H$37002,"9999*",'Accounting data'!$I$2:$I$37002,"9*",'Accounting data'!$J$2:$J$37002,"27*",'Accounting data'!$K$2:$K$37002,"689*")</f>
        <v>0</v>
      </c>
    </row>
    <row r="1170" spans="1:5" x14ac:dyDescent="0.3">
      <c r="A1170" s="517"/>
      <c r="B1170" s="517"/>
      <c r="C1170" s="517"/>
      <c r="D1170" s="526"/>
      <c r="E1170" s="518"/>
    </row>
    <row r="1171" spans="1:5" x14ac:dyDescent="0.3">
      <c r="A1171" s="517"/>
      <c r="B1171" s="517"/>
      <c r="C1171" s="517"/>
      <c r="D1171" s="526"/>
      <c r="E1171" s="518"/>
    </row>
    <row r="1172" spans="1:5" x14ac:dyDescent="0.3">
      <c r="A1172" s="520" t="s">
        <v>1081</v>
      </c>
      <c r="B1172" s="520"/>
      <c r="C1172" s="520"/>
      <c r="D1172" s="520"/>
      <c r="E1172" s="522">
        <f>(E1166-E1167-E1168)+(E1169+E1170+E1171)</f>
        <v>0</v>
      </c>
    </row>
    <row r="1173" spans="1:5" x14ac:dyDescent="0.3">
      <c r="A1173" s="517" t="s">
        <v>991</v>
      </c>
      <c r="B1173" s="517" t="s">
        <v>991</v>
      </c>
      <c r="C1173" s="517">
        <v>3100</v>
      </c>
      <c r="D1173" s="526">
        <v>6890</v>
      </c>
      <c r="E1173" s="518">
        <f>SUMIFS('Accounting data'!$G$2:$G$37002,'Accounting data'!$J$2:$J$37002,"31*",'Accounting data'!$K$2:$K$37002,"689*")</f>
        <v>0</v>
      </c>
    </row>
    <row r="1174" spans="1:5" x14ac:dyDescent="0.3">
      <c r="A1174" s="517" t="s">
        <v>992</v>
      </c>
      <c r="B1174" s="517" t="s">
        <v>991</v>
      </c>
      <c r="C1174" s="517">
        <v>3100</v>
      </c>
      <c r="D1174" s="526">
        <v>6890</v>
      </c>
      <c r="E1174" s="518">
        <f>SUMIFS('Accounting data'!$G$2:$G$37002,'Accounting data'!$H$2:$H$37002,"9999*",'Accounting data'!$J$2:$J$37002,"31*",'Accounting data'!$K$2:$K$37002,"689*")</f>
        <v>0</v>
      </c>
    </row>
    <row r="1175" spans="1:5" x14ac:dyDescent="0.3">
      <c r="A1175" s="517" t="s">
        <v>991</v>
      </c>
      <c r="B1175" s="517" t="s">
        <v>993</v>
      </c>
      <c r="C1175" s="517">
        <v>3100</v>
      </c>
      <c r="D1175" s="526">
        <v>6890</v>
      </c>
      <c r="E1175" s="518">
        <f>SUMIFS('Accounting data'!$G$2:$G$37002,'Accounting data'!$I$2:$I$37002,"7*",'Accounting data'!$J$2:$J$37002,"31*",'Accounting data'!$K$2:$K$37002,"689*")+SUMIFS('Accounting data'!$G$2:$G$37002,'Accounting data'!$I$2:$I$37002,"8*",'Accounting data'!$J$2:$J$37002,"31*",'Accounting data'!$K$2:$K$37002,"689*")+SUMIFS('Accounting data'!$G$2:$G$37002,'Accounting data'!$I$2:$I$37002,"9*",'Accounting data'!$J$2:$J$37002,"31*",'Accounting data'!$K$2:$K$37002,"689*")</f>
        <v>0</v>
      </c>
    </row>
    <row r="1176" spans="1:5" x14ac:dyDescent="0.3">
      <c r="A1176" s="519" t="s">
        <v>992</v>
      </c>
      <c r="B1176" s="517" t="s">
        <v>993</v>
      </c>
      <c r="C1176" s="517">
        <v>3100</v>
      </c>
      <c r="D1176" s="526">
        <v>6890</v>
      </c>
      <c r="E1176" s="518">
        <f>SUMIFS('Accounting data'!$G$2:$G$37002,'Accounting data'!$H$2:$H$37002,"9999*",'Accounting data'!$I$2:$I$37002,"7*",'Accounting data'!$J$2:$J$37002,"31*",'Accounting data'!$K$2:$K$37002,"689*")+SUMIFS('Accounting data'!$G$2:$G$37002,'Accounting data'!$H$2:$H$37002,"9999*",'Accounting data'!$I$2:$I$37002,"8*",'Accounting data'!$J$2:$J$37002,"31*",'Accounting data'!$K$2:$K$37002,"689*")+SUMIFS('Accounting data'!$G$2:$G$37002,'Accounting data'!$H$2:$H$37002,"9999*",'Accounting data'!$I$2:$I$37002,"9*",'Accounting data'!$J$2:$J$37002,"31*",'Accounting data'!$K$2:$K$37002,"689*")</f>
        <v>0</v>
      </c>
    </row>
    <row r="1177" spans="1:5" x14ac:dyDescent="0.3">
      <c r="A1177" s="517"/>
      <c r="B1177" s="517"/>
      <c r="C1177" s="517"/>
      <c r="D1177" s="526"/>
      <c r="E1177" s="518"/>
    </row>
    <row r="1178" spans="1:5" x14ac:dyDescent="0.3">
      <c r="A1178" s="517"/>
      <c r="B1178" s="517"/>
      <c r="C1178" s="517"/>
      <c r="D1178" s="526"/>
      <c r="E1178" s="518"/>
    </row>
    <row r="1179" spans="1:5" x14ac:dyDescent="0.3">
      <c r="A1179" s="520" t="s">
        <v>1082</v>
      </c>
      <c r="B1179" s="520"/>
      <c r="C1179" s="520"/>
      <c r="D1179" s="520"/>
      <c r="E1179" s="522">
        <f>(E1173-E1174-E1175)+(E1176+E1177+E1178)</f>
        <v>0</v>
      </c>
    </row>
    <row r="1186" spans="1:5" x14ac:dyDescent="0.3">
      <c r="A1186" s="520" t="s">
        <v>1083</v>
      </c>
      <c r="B1186" s="520"/>
      <c r="C1186" s="520"/>
      <c r="D1186" s="520"/>
      <c r="E1186" s="522">
        <f>(E1180-E1181-E1182)+(E1183+E1184+E1185)</f>
        <v>0</v>
      </c>
    </row>
    <row r="1187" spans="1:5" x14ac:dyDescent="0.3">
      <c r="A1187" s="517" t="s">
        <v>991</v>
      </c>
      <c r="B1187" s="517" t="s">
        <v>991</v>
      </c>
      <c r="C1187" s="517">
        <v>3400</v>
      </c>
      <c r="D1187" s="526">
        <v>6890</v>
      </c>
      <c r="E1187" s="518">
        <f>SUMIFS('Accounting data'!$G$2:$G$37002,'Accounting data'!$J$2:$J$37002,"34*",'Accounting data'!$K$2:$K$37002,"689*")</f>
        <v>0</v>
      </c>
    </row>
    <row r="1188" spans="1:5" x14ac:dyDescent="0.3">
      <c r="A1188" s="517" t="s">
        <v>992</v>
      </c>
      <c r="B1188" s="517" t="s">
        <v>991</v>
      </c>
      <c r="C1188" s="517">
        <v>3400</v>
      </c>
      <c r="D1188" s="526">
        <v>6890</v>
      </c>
      <c r="E1188" s="518">
        <f>SUMIFS('Accounting data'!$G$2:$G$37002,'Accounting data'!$H$2:$H$37002,"9999*",'Accounting data'!$J$2:$J$37002,"34*",'Accounting data'!$K$2:$K$37002,"689*")</f>
        <v>0</v>
      </c>
    </row>
    <row r="1189" spans="1:5" x14ac:dyDescent="0.3">
      <c r="A1189" s="517" t="s">
        <v>991</v>
      </c>
      <c r="B1189" s="517" t="s">
        <v>993</v>
      </c>
      <c r="C1189" s="517">
        <v>3400</v>
      </c>
      <c r="D1189" s="526">
        <v>6890</v>
      </c>
      <c r="E1189" s="518">
        <f>SUMIFS('Accounting data'!$G$2:$G$37002,'Accounting data'!$I$2:$I$37002,"7*",'Accounting data'!$J$2:$J$37002,"34*",'Accounting data'!$K$2:$K$37002,"689*")+SUMIFS('Accounting data'!$G$2:$G$37002,'Accounting data'!$I$2:$I$37002,"8*",'Accounting data'!$J$2:$J$37002,"34*",'Accounting data'!$K$2:$K$37002,"689*")+SUMIFS('Accounting data'!$G$2:$G$37002,'Accounting data'!$I$2:$I$37002,"9*",'Accounting data'!$J$2:$J$37002,"34*",'Accounting data'!$K$2:$K$37002,"689*")</f>
        <v>0</v>
      </c>
    </row>
    <row r="1190" spans="1:5" x14ac:dyDescent="0.3">
      <c r="A1190" s="519" t="s">
        <v>992</v>
      </c>
      <c r="B1190" s="517" t="s">
        <v>993</v>
      </c>
      <c r="C1190" s="517">
        <v>3400</v>
      </c>
      <c r="D1190" s="526">
        <v>6890</v>
      </c>
      <c r="E1190" s="518">
        <f>SUMIFS('Accounting data'!$G$2:$G$37002,'Accounting data'!$H$2:$H$37002,"9999*",'Accounting data'!$I$2:$I$37002,"7*",'Accounting data'!$J$2:$J$37002,"34*",'Accounting data'!$K$2:$K$37002,"689*")+SUMIFS('Accounting data'!$G$2:$G$37002,'Accounting data'!$H$2:$H$37002,"9999*",'Accounting data'!$I$2:$I$37002,"8*",'Accounting data'!$J$2:$J$37002,"34*",'Accounting data'!$K$2:$K$37002,"689*")+SUMIFS('Accounting data'!$G$2:$G$37002,'Accounting data'!$H$2:$H$37002,"9999*",'Accounting data'!$I$2:$I$37002,"9*",'Accounting data'!$J$2:$J$37002,"34*",'Accounting data'!$K$2:$K$37002,"689*")</f>
        <v>0</v>
      </c>
    </row>
    <row r="1191" spans="1:5" x14ac:dyDescent="0.3">
      <c r="A1191" s="517"/>
      <c r="B1191" s="517"/>
      <c r="C1191" s="517"/>
      <c r="D1191" s="526"/>
      <c r="E1191" s="518"/>
    </row>
    <row r="1192" spans="1:5" x14ac:dyDescent="0.3">
      <c r="A1192" s="517"/>
      <c r="B1192" s="517"/>
      <c r="C1192" s="517"/>
      <c r="D1192" s="526"/>
      <c r="E1192" s="518"/>
    </row>
    <row r="1193" spans="1:5" x14ac:dyDescent="0.3">
      <c r="A1193" s="520" t="s">
        <v>1084</v>
      </c>
      <c r="B1193" s="520"/>
      <c r="C1193" s="520"/>
      <c r="D1193" s="520"/>
      <c r="E1193" s="522">
        <f>(E1187-E1188-E1189)+(E1190+E1191+E1192)</f>
        <v>0</v>
      </c>
    </row>
    <row r="1194" spans="1:5" x14ac:dyDescent="0.3">
      <c r="A1194" s="517" t="s">
        <v>991</v>
      </c>
      <c r="B1194" s="517" t="s">
        <v>991</v>
      </c>
      <c r="C1194" s="517">
        <v>4000</v>
      </c>
      <c r="D1194" s="526">
        <v>6890</v>
      </c>
      <c r="E1194" s="518">
        <f>SUMIFS('Accounting data'!$G$2:$G$37002,'Accounting data'!$J$2:$J$37002,"4*",'Accounting data'!$K$2:$K$37002,"689*")</f>
        <v>0</v>
      </c>
    </row>
    <row r="1195" spans="1:5" x14ac:dyDescent="0.3">
      <c r="A1195" s="517" t="s">
        <v>992</v>
      </c>
      <c r="B1195" s="517" t="s">
        <v>991</v>
      </c>
      <c r="C1195" s="517">
        <v>4000</v>
      </c>
      <c r="D1195" s="526">
        <v>6890</v>
      </c>
      <c r="E1195" s="518">
        <f>SUMIFS('Accounting data'!$G$2:$G$37002,'Accounting data'!$H$2:$H$37002,"9999*",'Accounting data'!$J$2:$J$37002,"4*",'Accounting data'!$K$2:$K$37002,"689*")</f>
        <v>0</v>
      </c>
    </row>
    <row r="1196" spans="1:5" x14ac:dyDescent="0.3">
      <c r="A1196" s="517" t="s">
        <v>991</v>
      </c>
      <c r="B1196" s="517" t="s">
        <v>993</v>
      </c>
      <c r="C1196" s="517">
        <v>4000</v>
      </c>
      <c r="D1196" s="526">
        <v>6890</v>
      </c>
      <c r="E1196" s="518">
        <f>SUMIFS('Accounting data'!$G$2:$G$37002,'Accounting data'!$I$2:$I$37002,"7*",'Accounting data'!$J$2:$J$37002,"4*",'Accounting data'!$K$2:$K$37002,"689*")+SUMIFS('Accounting data'!$G$2:$G$37002,'Accounting data'!$I$2:$I$37002,"8*",'Accounting data'!$J$2:$J$37002,"4*",'Accounting data'!$K$2:$K$37002,"689*")+SUMIFS('Accounting data'!$G$2:$G$37002,'Accounting data'!$I$2:$I$37002,"9*",'Accounting data'!$J$2:$J$37002,"4*",'Accounting data'!$K$2:$K$37002,"689*")</f>
        <v>0</v>
      </c>
    </row>
    <row r="1197" spans="1:5" x14ac:dyDescent="0.3">
      <c r="A1197" s="519" t="s">
        <v>992</v>
      </c>
      <c r="B1197" s="517" t="s">
        <v>993</v>
      </c>
      <c r="C1197" s="517">
        <v>4000</v>
      </c>
      <c r="D1197" s="526">
        <v>6890</v>
      </c>
      <c r="E1197" s="518">
        <f>SUMIFS('Accounting data'!$G$2:$G$37002,'Accounting data'!$H$2:$H$37002,"9999*",'Accounting data'!$I$2:$I$37002,"7*",'Accounting data'!$J$2:$J$37002,"4*",'Accounting data'!$K$2:$K$37002,"689*")+SUMIFS('Accounting data'!$G$2:$G$37002,'Accounting data'!$H$2:$H$37002,"9999*",'Accounting data'!$I$2:$I$37002,"8*",'Accounting data'!$J$2:$J$37002,"4*",'Accounting data'!$K$2:$K$37002,"689*")+SUMIFS('Accounting data'!$G$2:$G$37002,'Accounting data'!$H$2:$H$37002,"9999*",'Accounting data'!$I$2:$I$37002,"9*",'Accounting data'!$J$2:$J$37002,"4*",'Accounting data'!$K$2:$K$37002,"689*")</f>
        <v>0</v>
      </c>
    </row>
    <row r="1198" spans="1:5" x14ac:dyDescent="0.3">
      <c r="A1198" s="517"/>
      <c r="B1198" s="517"/>
      <c r="C1198" s="517"/>
      <c r="D1198" s="526"/>
      <c r="E1198" s="518"/>
    </row>
    <row r="1199" spans="1:5" x14ac:dyDescent="0.3">
      <c r="A1199" s="517"/>
      <c r="B1199" s="517"/>
      <c r="C1199" s="517"/>
      <c r="D1199" s="526"/>
      <c r="E1199" s="518"/>
    </row>
    <row r="1200" spans="1:5" x14ac:dyDescent="0.3">
      <c r="A1200" s="520" t="s">
        <v>1085</v>
      </c>
      <c r="B1200" s="520"/>
      <c r="C1200" s="520"/>
      <c r="D1200" s="520"/>
      <c r="E1200" s="522">
        <f>(E1194-E1195-E1196)+(E1197+E1198+E1199)</f>
        <v>0</v>
      </c>
    </row>
    <row r="1201" spans="1:5" x14ac:dyDescent="0.3">
      <c r="A1201" s="523" t="s">
        <v>1086</v>
      </c>
      <c r="B1201" s="523"/>
      <c r="C1201" s="523"/>
      <c r="D1201" s="523"/>
      <c r="E1201" s="527">
        <f>E1116+E1123+E1130+E1137+E1144+E1151+E1158+E1165+E1172+E1179+E1186+E1193</f>
        <v>3801</v>
      </c>
    </row>
    <row r="1202" spans="1:5" x14ac:dyDescent="0.3">
      <c r="A1202" s="517" t="s">
        <v>1007</v>
      </c>
      <c r="B1202" s="517" t="s">
        <v>991</v>
      </c>
      <c r="C1202" s="517">
        <v>1000</v>
      </c>
      <c r="D1202" s="517">
        <v>6890</v>
      </c>
      <c r="E1202" s="518">
        <f>SUMIFS('Accounting data'!$G$2:$G$37002,'Accounting data'!$H$2:$H$37002,"11*",'Accounting data'!$J$2:$J$37002,"1*",'Accounting data'!$K$2:$K$37002,"689*")+SUMIFS('Accounting data'!$G$2:$G$37002,'Accounting data'!$H$2:$H$37002,"12*",'Accounting data'!$J$2:$J$37002,"1*",'Accounting data'!$K$2:$K$37002,"689*")+SUMIFS('Accounting data'!$G$2:$G$37002,'Accounting data'!$H$2:$H$37002,"13*",'Accounting data'!$J$2:$J$37002,"1*",'Accounting data'!$K$2:$K$37002,"689*")</f>
        <v>0</v>
      </c>
    </row>
    <row r="1203" spans="1:5" x14ac:dyDescent="0.3">
      <c r="A1203" s="517" t="s">
        <v>1007</v>
      </c>
      <c r="B1203" s="517" t="s">
        <v>991</v>
      </c>
      <c r="C1203" s="517">
        <v>2000</v>
      </c>
      <c r="D1203" s="517">
        <v>6890</v>
      </c>
      <c r="E1203" s="518">
        <f>SUMIFS('Accounting data'!$G$2:$G$37002,'Accounting data'!$H$2:$H$37002,"11*",'Accounting data'!$J$2:$J$37002,"2*",'Accounting data'!$K$2:$K$37002,"689*")+SUMIFS('Accounting data'!$G$2:$G$37002,'Accounting data'!$H$2:$H$37002,"12*",'Accounting data'!$J$2:$J$37002,"2*",'Accounting data'!$K$2:$K$37002,"689*")+SUMIFS('Accounting data'!$G$2:$G$37002,'Accounting data'!$H$2:$H$37002,"13*",'Accounting data'!$J$2:$J$37002,"2*",'Accounting data'!$K$2:$K$37002,"689*")</f>
        <v>0</v>
      </c>
    </row>
    <row r="1204" spans="1:5" x14ac:dyDescent="0.3">
      <c r="A1204" s="517" t="s">
        <v>1007</v>
      </c>
      <c r="B1204" s="517" t="s">
        <v>991</v>
      </c>
      <c r="C1204" s="517">
        <v>3000</v>
      </c>
      <c r="D1204" s="517">
        <v>6890</v>
      </c>
      <c r="E1204" s="518">
        <f>SUMIFS('Accounting data'!$G$2:$G$37002,'Accounting data'!$H$2:$H$37002,"11*",'Accounting data'!$J$2:$J$37002,"3*",'Accounting data'!$K$2:$K$37002,"689*")+SUMIFS('Accounting data'!$G$2:$G$37002,'Accounting data'!$H$2:$H$37002,"12*",'Accounting data'!$J$2:$J$37002,"3*",'Accounting data'!$K$2:$K$37002,"689*")+SUMIFS('Accounting data'!$G$2:$G$37002,'Accounting data'!$H$2:$H$37002,"13*",'Accounting data'!$J$2:$J$37002,"3*",'Accounting data'!$K$2:$K$37002,"689*")</f>
        <v>0</v>
      </c>
    </row>
    <row r="1205" spans="1:5" x14ac:dyDescent="0.3">
      <c r="A1205" s="517" t="s">
        <v>1007</v>
      </c>
      <c r="B1205" s="519">
        <v>700</v>
      </c>
      <c r="C1205" s="517">
        <v>1000</v>
      </c>
      <c r="D1205" s="517">
        <v>6890</v>
      </c>
      <c r="E1205" s="518">
        <f>SUMIFS('Accounting data'!$G$2:$G$37002,'Accounting data'!$H$2:$H$37002,"11*",'Accounting data'!$I$2:$I$37002,"7*",'Accounting data'!$J$2:$J$37002,"1*",'Accounting data'!$K$2:$K$37002,"689*")+SUMIFS('Accounting data'!$G$2:$G$37002,'Accounting data'!$H$2:$H$37002,"12*",'Accounting data'!$I$2:$I$37002,"7*",'Accounting data'!$J$2:$J$37002,"1*",'Accounting data'!$K$2:$K$37002,"689*")+SUMIFS('Accounting data'!$G$2:$G$37002,'Accounting data'!$H$2:$H$37002,"13*",'Accounting data'!$I$2:$I$37002,"7*",'Accounting data'!$J$2:$J$37002,"1*",'Accounting data'!$K$2:$K$37002,"689*")</f>
        <v>0</v>
      </c>
    </row>
    <row r="1206" spans="1:5" x14ac:dyDescent="0.3">
      <c r="A1206" s="517" t="s">
        <v>1007</v>
      </c>
      <c r="B1206" s="519">
        <v>800</v>
      </c>
      <c r="C1206" s="517">
        <v>1000</v>
      </c>
      <c r="D1206" s="517">
        <v>6890</v>
      </c>
      <c r="E1206" s="518">
        <f>SUMIFS('Accounting data'!$G$2:$G$37002,'Accounting data'!$H$2:$H$37002,"11*",'Accounting data'!$I$2:$I$37002,"8*",'Accounting data'!$J$2:$J$37002,"1*",'Accounting data'!$K$2:$K$37002,"689*")+SUMIFS('Accounting data'!$G$2:$G$37002,'Accounting data'!$H$2:$H$37002,"12*",'Accounting data'!$I$2:$I$37002,"8*",'Accounting data'!$J$2:$J$37002,"1*",'Accounting data'!$K$2:$K$37002,"689*")+SUMIFS('Accounting data'!$G$2:$G$37002,'Accounting data'!$H$2:$H$37002,"13*",'Accounting data'!$I$2:$I$37002,"8*",'Accounting data'!$J$2:$J$37002,"1*",'Accounting data'!$K$2:$K$37002,"689*")</f>
        <v>0</v>
      </c>
    </row>
    <row r="1207" spans="1:5" x14ac:dyDescent="0.3">
      <c r="A1207" s="517" t="s">
        <v>1007</v>
      </c>
      <c r="B1207" s="519">
        <v>900</v>
      </c>
      <c r="C1207" s="517">
        <v>1000</v>
      </c>
      <c r="D1207" s="517">
        <v>6890</v>
      </c>
      <c r="E1207" s="518">
        <f>SUMIFS('Accounting data'!$G$2:$G$37002,'Accounting data'!$H$2:$H$37002,"11*",'Accounting data'!$I$2:$I$37002,"9*",'Accounting data'!$J$2:$J$37002,"1*",'Accounting data'!$K$2:$K$37002,"689*")+SUMIFS('Accounting data'!$G$2:$G$37002,'Accounting data'!$H$2:$H$37002,"12*",'Accounting data'!$I$2:$I$37002,"9*",'Accounting data'!$J$2:$J$37002,"1*",'Accounting data'!$K$2:$K$37002,"689*")+SUMIFS('Accounting data'!$G$2:$G$37002,'Accounting data'!$H$2:$H$37002,"13*",'Accounting data'!$I$2:$I$37002,"9*",'Accounting data'!$J$2:$J$37002,"1*",'Accounting data'!$K$2:$K$37002,"689*")</f>
        <v>0</v>
      </c>
    </row>
    <row r="1208" spans="1:5" x14ac:dyDescent="0.3">
      <c r="A1208" s="517" t="s">
        <v>1007</v>
      </c>
      <c r="B1208" s="519">
        <v>700</v>
      </c>
      <c r="C1208" s="517">
        <v>2000</v>
      </c>
      <c r="D1208" s="517">
        <v>6890</v>
      </c>
      <c r="E1208" s="518">
        <f>SUMIFS('Accounting data'!$G$2:$G$37002,'Accounting data'!$H$2:$H$37002,"11*",'Accounting data'!$I$2:$I$37002,"7*",'Accounting data'!$J$2:$J$37002,"2*",'Accounting data'!$K$2:$K$37002,"689*")+SUMIFS('Accounting data'!$G$2:$G$37002,'Accounting data'!$H$2:$H$37002,"12*",'Accounting data'!$I$2:$I$37002,"7*",'Accounting data'!$J$2:$J$37002,"2*",'Accounting data'!$K$2:$K$37002,"689*")+SUMIFS('Accounting data'!$G$2:$G$37002,'Accounting data'!$H$2:$H$37002,"13*",'Accounting data'!$I$2:$I$37002,"7*",'Accounting data'!$J$2:$J$37002,"2*",'Accounting data'!$K$2:$K$37002,"689*")</f>
        <v>0</v>
      </c>
    </row>
    <row r="1209" spans="1:5" x14ac:dyDescent="0.3">
      <c r="A1209" s="517" t="s">
        <v>1007</v>
      </c>
      <c r="B1209" s="519">
        <v>800</v>
      </c>
      <c r="C1209" s="517">
        <v>2000</v>
      </c>
      <c r="D1209" s="517">
        <v>6890</v>
      </c>
      <c r="E1209" s="518">
        <f>SUMIFS('Accounting data'!$G$2:$G$37002,'Accounting data'!$H$2:$H$37002,"11*",'Accounting data'!$I$2:$I$37002,"8*",'Accounting data'!$J$2:$J$37002,"2*",'Accounting data'!$K$2:$K$37002,"689*")+SUMIFS('Accounting data'!$G$2:$G$37002,'Accounting data'!$H$2:$H$37002,"12*",'Accounting data'!$I$2:$I$37002,"8*",'Accounting data'!$J$2:$J$37002,"2*",'Accounting data'!$K$2:$K$37002,"689*")+SUMIFS('Accounting data'!$G$2:$G$37002,'Accounting data'!$H$2:$H$37002,"13*",'Accounting data'!$I$2:$I$37002,"8*",'Accounting data'!$J$2:$J$37002,"2*",'Accounting data'!$K$2:$K$37002,"689*")</f>
        <v>0</v>
      </c>
    </row>
    <row r="1210" spans="1:5" x14ac:dyDescent="0.3">
      <c r="A1210" s="517" t="s">
        <v>1007</v>
      </c>
      <c r="B1210" s="519">
        <v>900</v>
      </c>
      <c r="C1210" s="517">
        <v>2000</v>
      </c>
      <c r="D1210" s="517">
        <v>6890</v>
      </c>
      <c r="E1210" s="518">
        <f>SUMIFS('Accounting data'!$G$2:$G$37002,'Accounting data'!$H$2:$H$37002,"11*",'Accounting data'!$I$2:$I$37002,"9*",'Accounting data'!$J$2:$J$37002,"2*",'Accounting data'!$K$2:$K$37002,"689*")+SUMIFS('Accounting data'!$G$2:$G$37002,'Accounting data'!$H$2:$H$37002,"12*",'Accounting data'!$I$2:$I$37002,"9*",'Accounting data'!$J$2:$J$37002,"2*",'Accounting data'!$K$2:$K$37002,"689*")+SUMIFS('Accounting data'!$G$2:$G$37002,'Accounting data'!$H$2:$H$37002,"13*",'Accounting data'!$I$2:$I$37002,"9*",'Accounting data'!$J$2:$J$37002,"2*",'Accounting data'!$K$2:$K$37002,"689*")</f>
        <v>0</v>
      </c>
    </row>
    <row r="1211" spans="1:5" x14ac:dyDescent="0.3">
      <c r="A1211" s="517" t="s">
        <v>1007</v>
      </c>
      <c r="B1211" s="519">
        <v>700</v>
      </c>
      <c r="C1211" s="517">
        <v>3000</v>
      </c>
      <c r="D1211" s="517">
        <v>6890</v>
      </c>
      <c r="E1211" s="518">
        <f>SUMIFS('Accounting data'!$G$2:$G$37002,'Accounting data'!$H$2:$H$37002,"11*",'Accounting data'!$I$2:$I$37002,"7*",'Accounting data'!$J$2:$J$37002,"3*",'Accounting data'!$K$2:$K$37002,"689*")+SUMIFS('Accounting data'!$G$2:$G$37002,'Accounting data'!$H$2:$H$37002,"12*",'Accounting data'!$I$2:$I$37002,"7*",'Accounting data'!$J$2:$J$37002,"3*",'Accounting data'!$K$2:$K$37002,"689*")+SUMIFS('Accounting data'!$G$2:$G$37002,'Accounting data'!$H$2:$H$37002,"13*",'Accounting data'!$I$2:$I$37002,"7*",'Accounting data'!$J$2:$J$37002,"3*",'Accounting data'!$K$2:$K$37002,"689*")</f>
        <v>0</v>
      </c>
    </row>
    <row r="1212" spans="1:5" x14ac:dyDescent="0.3">
      <c r="A1212" s="517" t="s">
        <v>1007</v>
      </c>
      <c r="B1212" s="519">
        <v>800</v>
      </c>
      <c r="C1212" s="517">
        <v>3000</v>
      </c>
      <c r="D1212" s="517">
        <v>6890</v>
      </c>
      <c r="E1212" s="518">
        <f>SUMIFS('Accounting data'!$G$2:$G$37002,'Accounting data'!$H$2:$H$37002,"11*",'Accounting data'!$I$2:$I$37002,"8*",'Accounting data'!$J$2:$J$37002,"3*",'Accounting data'!$K$2:$K$37002,"689*")+SUMIFS('Accounting data'!$G$2:$G$37002,'Accounting data'!$H$2:$H$37002,"12*",'Accounting data'!$I$2:$I$37002,"8*",'Accounting data'!$J$2:$J$37002,"3*",'Accounting data'!$K$2:$K$37002,"689*")+SUMIFS('Accounting data'!$G$2:$G$37002,'Accounting data'!$H$2:$H$37002,"13*",'Accounting data'!$I$2:$I$37002,"8*",'Accounting data'!$J$2:$J$37002,"3*",'Accounting data'!$K$2:$K$37002,"689*")</f>
        <v>0</v>
      </c>
    </row>
    <row r="1213" spans="1:5" x14ac:dyDescent="0.3">
      <c r="A1213" s="517" t="s">
        <v>1007</v>
      </c>
      <c r="B1213" s="519">
        <v>900</v>
      </c>
      <c r="C1213" s="517">
        <v>3000</v>
      </c>
      <c r="D1213" s="517">
        <v>6890</v>
      </c>
      <c r="E1213" s="518">
        <f>SUMIFS('Accounting data'!$G$2:$G$37002,'Accounting data'!$H$2:$H$37002,"11*",'Accounting data'!$I$2:$I$37002,"9*",'Accounting data'!$J$2:$J$37002,"3*",'Accounting data'!$K$2:$K$37002,"689*")+SUMIFS('Accounting data'!$G$2:$G$37002,'Accounting data'!$H$2:$H$37002,"12*",'Accounting data'!$I$2:$I$37002,"9*",'Accounting data'!$J$2:$J$37002,"3*",'Accounting data'!$K$2:$K$37002,"689*")+SUMIFS('Accounting data'!$G$2:$G$37002,'Accounting data'!$H$2:$H$37002,"13*",'Accounting data'!$I$2:$I$37002,"9*",'Accounting data'!$J$2:$J$37002,"3*",'Accounting data'!$K$2:$K$37002,"689*")</f>
        <v>0</v>
      </c>
    </row>
    <row r="1214" spans="1:5" x14ac:dyDescent="0.3">
      <c r="A1214" s="520" t="s">
        <v>1087</v>
      </c>
      <c r="B1214" s="520"/>
      <c r="C1214" s="520"/>
      <c r="D1214" s="520"/>
      <c r="E1214" s="522">
        <f>(E1202+E1203+E1204)-(E1205+E1206+E1207+E1208+E1209+E1210+E1211+E1212+E1213)</f>
        <v>0</v>
      </c>
    </row>
    <row r="1215" spans="1:5" x14ac:dyDescent="0.3">
      <c r="A1215" s="517" t="s">
        <v>991</v>
      </c>
      <c r="B1215" s="517" t="s">
        <v>993</v>
      </c>
      <c r="C1215" s="517">
        <v>1000</v>
      </c>
      <c r="D1215" s="517">
        <v>6000</v>
      </c>
      <c r="E1215" s="518">
        <f>SUMIFS('Accounting data'!$G$2:$G$37002,'Accounting data'!$I$2:$I$37002,"7*",'Accounting data'!$J$2:$J$37002,"1*",'Accounting data'!$K$2:$K$37002,"6*")+SUMIFS('Accounting data'!$G$2:$G$37002,'Accounting data'!$I$2:$I$37002,"8*",'Accounting data'!$J$2:$J$37002,"1*",'Accounting data'!$K$2:$K$37002,"6*")+SUMIFS('Accounting data'!$G$2:$G$37002,'Accounting data'!$I$2:$I$37002,"9*",'Accounting data'!$J$2:$J$37002,"1*",'Accounting data'!$K$2:$K$37002,"6*")</f>
        <v>0</v>
      </c>
    </row>
    <row r="1216" spans="1:5" x14ac:dyDescent="0.3">
      <c r="A1216" s="517" t="s">
        <v>991</v>
      </c>
      <c r="B1216" s="517" t="s">
        <v>993</v>
      </c>
      <c r="C1216" s="517">
        <v>1000</v>
      </c>
      <c r="D1216" s="517">
        <v>6900</v>
      </c>
      <c r="E1216" s="518">
        <f>SUMIFS('Accounting data'!$G$2:$G$37002,'Accounting data'!$I$2:$I$37002,"7*",'Accounting data'!$J$2:$J$37002,"1*",'Accounting data'!$K$2:$K$37002,"69*")+SUMIFS('Accounting data'!$G$2:$G$37002,'Accounting data'!$I$2:$I$37002,"8*",'Accounting data'!$J$2:$J$37002,"1*",'Accounting data'!$K$2:$K$37002,"69*")+SUMIFS('Accounting data'!$G$2:$G$37002,'Accounting data'!$I$2:$I$37002,"9*",'Accounting data'!$J$2:$J$37002,"1*",'Accounting data'!$K$2:$K$37002,"69*")</f>
        <v>0</v>
      </c>
    </row>
    <row r="1217" spans="1:5" x14ac:dyDescent="0.3">
      <c r="A1217" s="517" t="s">
        <v>991</v>
      </c>
      <c r="B1217" s="517" t="s">
        <v>993</v>
      </c>
      <c r="C1217" s="517">
        <v>1000</v>
      </c>
      <c r="D1217" s="526">
        <v>6700</v>
      </c>
      <c r="E1217" s="518">
        <f>SUMIFS('Accounting data'!$G$2:$G$37002,'Accounting data'!$I$2:$I$37002,"7*",'Accounting data'!$J$2:$J$37002,"1*",'Accounting data'!$K$2:$K$37002,"67*")+SUMIFS('Accounting data'!$G$2:$G$37002,'Accounting data'!$I$2:$I$37002,"8*",'Accounting data'!$J$2:$J$37002,"1*",'Accounting data'!$K$2:$K$37002,"67*")+SUMIFS('Accounting data'!$G$2:$G$37002,'Accounting data'!$I$2:$I$37002,"9*",'Accounting data'!$J$2:$J$37002,"1*",'Accounting data'!$K$2:$K$37002,"67*")</f>
        <v>0</v>
      </c>
    </row>
    <row r="1218" spans="1:5" x14ac:dyDescent="0.3">
      <c r="A1218" s="519" t="s">
        <v>992</v>
      </c>
      <c r="B1218" s="517" t="s">
        <v>993</v>
      </c>
      <c r="C1218" s="517">
        <v>1000</v>
      </c>
      <c r="D1218" s="517">
        <v>6000</v>
      </c>
      <c r="E1218" s="518">
        <f>SUMIFS('Accounting data'!$G$2:$G$37002,'Accounting data'!$H$2:$H$37002,"9999*",'Accounting data'!$I$2:$I$37002,"7*",'Accounting data'!$J$2:$J$37002,"1*",'Accounting data'!$K$2:$K$37002,"6*")+SUMIFS('Accounting data'!$G$2:$G$37002,'Accounting data'!$H$2:$H$37002,"9999*",'Accounting data'!$I$2:$I$37002,"8*",'Accounting data'!$J$2:$J$37002,"1*",'Accounting data'!$K$2:$K$37002,"6*")+SUMIFS('Accounting data'!$G$2:$G$37002,'Accounting data'!$H$2:$H$37002,"9999*",'Accounting data'!$I$2:$I$37002,"9*",'Accounting data'!$J$2:$J$37002,"1*",'Accounting data'!$K$2:$K$37002,"6*")</f>
        <v>0</v>
      </c>
    </row>
    <row r="1219" spans="1:5" x14ac:dyDescent="0.3">
      <c r="A1219" s="517"/>
      <c r="B1219" s="517"/>
      <c r="C1219" s="517"/>
      <c r="D1219" s="517"/>
      <c r="E1219" s="518"/>
    </row>
    <row r="1220" spans="1:5" x14ac:dyDescent="0.3">
      <c r="A1220" s="519" t="s">
        <v>992</v>
      </c>
      <c r="B1220" s="517" t="s">
        <v>993</v>
      </c>
      <c r="C1220" s="517">
        <v>1000</v>
      </c>
      <c r="D1220" s="517">
        <v>6900</v>
      </c>
      <c r="E1220" s="518">
        <f>SUMIFS('Accounting data'!$G$2:$G$37002,'Accounting data'!$H$2:$H$37002,"9999*",'Accounting data'!$I$2:$I$37002,"7*",'Accounting data'!$J$2:$J$37002,"1*",'Accounting data'!$K$2:$K$37002,"69*")+SUMIFS('Accounting data'!$G$2:$G$37002,'Accounting data'!$H$2:$H$37002,"9999*",'Accounting data'!$I$2:$I$37002,"8*",'Accounting data'!$J$2:$J$37002,"1*",'Accounting data'!$K$2:$K$37002,"69*")+SUMIFS('Accounting data'!$G$2:$G$37002,'Accounting data'!$H$2:$H$37002,"9999*",'Accounting data'!$I$2:$I$37002,"9*",'Accounting data'!$J$2:$J$37002,"1*",'Accounting data'!$K$2:$K$37002,"69*")</f>
        <v>0</v>
      </c>
    </row>
    <row r="1221" spans="1:5" x14ac:dyDescent="0.3">
      <c r="A1221" s="517"/>
      <c r="B1221" s="517"/>
      <c r="C1221" s="517"/>
      <c r="D1221" s="517"/>
      <c r="E1221" s="518"/>
    </row>
    <row r="1222" spans="1:5" x14ac:dyDescent="0.3">
      <c r="A1222" s="519" t="s">
        <v>992</v>
      </c>
      <c r="B1222" s="517" t="s">
        <v>993</v>
      </c>
      <c r="C1222" s="517">
        <v>1000</v>
      </c>
      <c r="D1222" s="526">
        <v>6700</v>
      </c>
      <c r="E1222" s="518">
        <f>SUMIFS('Accounting data'!$G$2:$G$37002,'Accounting data'!$H$2:$H$37002,"9999*",'Accounting data'!$I$2:$I$37002,"7*",'Accounting data'!$J$2:$J$37002,"1*",'Accounting data'!$K$2:$K$37002,"67*")+SUMIFS('Accounting data'!$G$2:$G$37002,'Accounting data'!$H$2:$H$37002,"9999*",'Accounting data'!$I$2:$I$37002,"8*",'Accounting data'!$J$2:$J$37002,"1*",'Accounting data'!$K$2:$K$37002,"67*")+SUMIFS('Accounting data'!$G$2:$G$37002,'Accounting data'!$H$2:$H$37002,"9999*",'Accounting data'!$I$2:$I$37002,"9*",'Accounting data'!$J$2:$J$37002,"1*",'Accounting data'!$K$2:$K$37002,"67*")</f>
        <v>0</v>
      </c>
    </row>
    <row r="1223" spans="1:5" x14ac:dyDescent="0.3">
      <c r="A1223" s="519"/>
      <c r="B1223" s="517"/>
      <c r="C1223" s="517"/>
      <c r="D1223" s="526"/>
      <c r="E1223" s="518"/>
    </row>
    <row r="1224" spans="1:5" x14ac:dyDescent="0.3">
      <c r="A1224" s="519"/>
      <c r="B1224" s="517"/>
      <c r="C1224" s="517"/>
      <c r="D1224" s="526"/>
      <c r="E1224" s="518"/>
    </row>
    <row r="1225" spans="1:5" x14ac:dyDescent="0.3">
      <c r="A1225" s="520" t="s">
        <v>1088</v>
      </c>
      <c r="B1225" s="520"/>
      <c r="C1225" s="520"/>
      <c r="D1225" s="520"/>
      <c r="E1225" s="522">
        <f>(E1215-E1216-E1217)-((E1218+E1219)-(E1220+E1221))-(E1222+E1223+E1224)</f>
        <v>0</v>
      </c>
    </row>
    <row r="1226" spans="1:5" x14ac:dyDescent="0.3">
      <c r="A1226" s="517" t="s">
        <v>991</v>
      </c>
      <c r="B1226" s="517" t="s">
        <v>993</v>
      </c>
      <c r="C1226" s="517">
        <v>2100</v>
      </c>
      <c r="D1226" s="517">
        <v>6000</v>
      </c>
      <c r="E1226" s="518">
        <f>SUMIFS('Accounting data'!$G$2:$G$37002,'Accounting data'!$I$2:$I$37002,"7*",'Accounting data'!$J$2:$J$37002,"21*",'Accounting data'!$K$2:$K$37002,"6*")+SUMIFS('Accounting data'!$G$2:$G$37002,'Accounting data'!$I$2:$I$37002,"8*",'Accounting data'!$J$2:$J$37002,"21*",'Accounting data'!$K$2:$K$37002,"6*")+SUMIFS('Accounting data'!$G$2:$G$37002,'Accounting data'!$I$2:$I$37002,"9*",'Accounting data'!$J$2:$J$37002,"21*",'Accounting data'!$K$2:$K$37002,"6*")</f>
        <v>0</v>
      </c>
    </row>
    <row r="1227" spans="1:5" x14ac:dyDescent="0.3">
      <c r="A1227" s="517" t="s">
        <v>991</v>
      </c>
      <c r="B1227" s="517" t="s">
        <v>993</v>
      </c>
      <c r="C1227" s="517">
        <v>2100</v>
      </c>
      <c r="D1227" s="517">
        <v>6900</v>
      </c>
      <c r="E1227" s="518">
        <f>SUMIFS('Accounting data'!$G$2:$G$37002,'Accounting data'!$I$2:$I$37002,"7*",'Accounting data'!$J$2:$J$37002,"21*",'Accounting data'!$K$2:$K$37002,"69*")+SUMIFS('Accounting data'!$G$2:$G$37002,'Accounting data'!$I$2:$I$37002,"8*",'Accounting data'!$J$2:$J$37002,"21*",'Accounting data'!$K$2:$K$37002,"69*")+SUMIFS('Accounting data'!$G$2:$G$37002,'Accounting data'!$I$2:$I$37002,"9*",'Accounting data'!$J$2:$J$37002,"21*",'Accounting data'!$K$2:$K$37002,"69*")</f>
        <v>0</v>
      </c>
    </row>
    <row r="1228" spans="1:5" x14ac:dyDescent="0.3">
      <c r="A1228" s="517" t="s">
        <v>991</v>
      </c>
      <c r="B1228" s="517" t="s">
        <v>993</v>
      </c>
      <c r="C1228" s="517">
        <v>2100</v>
      </c>
      <c r="D1228" s="526">
        <v>6700</v>
      </c>
      <c r="E1228" s="518">
        <f>SUMIFS('Accounting data'!$G$2:$G$37002,'Accounting data'!$I$2:$I$37002,"7*",'Accounting data'!$J$2:$J$37002,"21*",'Accounting data'!$K$2:$K$37002,"67*")+SUMIFS('Accounting data'!$G$2:$G$37002,'Accounting data'!$I$2:$I$37002,"8*",'Accounting data'!$J$2:$J$37002,"21*",'Accounting data'!$K$2:$K$37002,"67*")+SUMIFS('Accounting data'!$G$2:$G$37002,'Accounting data'!$I$2:$I$37002,"9*",'Accounting data'!$J$2:$J$37002,"21*",'Accounting data'!$K$2:$K$37002,"67*")</f>
        <v>0</v>
      </c>
    </row>
    <row r="1229" spans="1:5" x14ac:dyDescent="0.3">
      <c r="A1229" s="519" t="s">
        <v>992</v>
      </c>
      <c r="B1229" s="517" t="s">
        <v>993</v>
      </c>
      <c r="C1229" s="517">
        <v>2100</v>
      </c>
      <c r="D1229" s="517">
        <v>6000</v>
      </c>
      <c r="E1229" s="518">
        <f>SUMIFS('Accounting data'!$G$2:$G$37002,'Accounting data'!$H$2:$H$37002,"9999*",'Accounting data'!$I$2:$I$37002,"7*",'Accounting data'!$J$2:$J$37002,"21*",'Accounting data'!$K$2:$K$37002,"6*")+SUMIFS('Accounting data'!$G$2:$G$37002,'Accounting data'!$H$2:$H$37002,"9999*",'Accounting data'!$I$2:$I$37002,"8*",'Accounting data'!$J$2:$J$37002,"21*",'Accounting data'!$K$2:$K$37002,"6*")+SUMIFS('Accounting data'!$G$2:$G$37002,'Accounting data'!$H$2:$H$37002,"9999*",'Accounting data'!$I$2:$I$37002,"9*",'Accounting data'!$J$2:$J$37002,"21*",'Accounting data'!$K$2:$K$37002,"6*")</f>
        <v>0</v>
      </c>
    </row>
    <row r="1230" spans="1:5" x14ac:dyDescent="0.3">
      <c r="A1230" s="517"/>
      <c r="B1230" s="517"/>
      <c r="C1230" s="517"/>
      <c r="D1230" s="517"/>
      <c r="E1230" s="518"/>
    </row>
    <row r="1231" spans="1:5" x14ac:dyDescent="0.3">
      <c r="A1231" s="519" t="s">
        <v>992</v>
      </c>
      <c r="B1231" s="517" t="s">
        <v>993</v>
      </c>
      <c r="C1231" s="517">
        <v>2100</v>
      </c>
      <c r="D1231" s="517">
        <v>6900</v>
      </c>
      <c r="E1231" s="518">
        <f>SUMIFS('Accounting data'!$G$2:$G$37002,'Accounting data'!$H$2:$H$37002,"9999*",'Accounting data'!$I$2:$I$37002,"7*",'Accounting data'!$J$2:$J$37002,"21*",'Accounting data'!$K$2:$K$37002,"69*")+SUMIFS('Accounting data'!$G$2:$G$37002,'Accounting data'!$H$2:$H$37002,"9999*",'Accounting data'!$I$2:$I$37002,"8*",'Accounting data'!$J$2:$J$37002,"21*",'Accounting data'!$K$2:$K$37002,"69*")+SUMIFS('Accounting data'!$G$2:$G$37002,'Accounting data'!$H$2:$H$37002,"9999*",'Accounting data'!$I$2:$I$37002,"9*",'Accounting data'!$J$2:$J$37002,"21*",'Accounting data'!$K$2:$K$37002,"69*")</f>
        <v>0</v>
      </c>
    </row>
    <row r="1233" spans="1:5" x14ac:dyDescent="0.3">
      <c r="A1233" s="519" t="s">
        <v>992</v>
      </c>
      <c r="B1233" s="517" t="s">
        <v>993</v>
      </c>
      <c r="C1233" s="517">
        <v>2100</v>
      </c>
      <c r="D1233" s="526">
        <v>6700</v>
      </c>
      <c r="E1233" s="518">
        <f>SUMIFS('Accounting data'!$G$2:$G$37002,'Accounting data'!$H$2:$H$37002,"9999*",'Accounting data'!$I$2:$I$37002,"7*",'Accounting data'!$J$2:$J$37002,"21*",'Accounting data'!$K$2:$K$37002,"67*")+SUMIFS('Accounting data'!$G$2:$G$37002,'Accounting data'!$H$2:$H$37002,"9999*",'Accounting data'!$I$2:$I$37002,"8*",'Accounting data'!$J$2:$J$37002,"21*",'Accounting data'!$K$2:$K$37002,"67*")+SUMIFS('Accounting data'!$G$2:$G$37002,'Accounting data'!$H$2:$H$37002,"9999*",'Accounting data'!$I$2:$I$37002,"9*",'Accounting data'!$J$2:$J$37002,"21*",'Accounting data'!$K$2:$K$37002,"67*")</f>
        <v>0</v>
      </c>
    </row>
    <row r="1234" spans="1:5" x14ac:dyDescent="0.3">
      <c r="A1234" s="519"/>
      <c r="B1234" s="517"/>
      <c r="C1234" s="517"/>
      <c r="D1234" s="526"/>
      <c r="E1234" s="518"/>
    </row>
    <row r="1235" spans="1:5" x14ac:dyDescent="0.3">
      <c r="A1235" s="519"/>
      <c r="B1235" s="517"/>
      <c r="C1235" s="517"/>
      <c r="D1235" s="526"/>
      <c r="E1235" s="518"/>
    </row>
    <row r="1236" spans="1:5" x14ac:dyDescent="0.3">
      <c r="A1236" s="520" t="s">
        <v>1089</v>
      </c>
      <c r="B1236" s="520"/>
      <c r="C1236" s="520"/>
      <c r="D1236" s="520"/>
      <c r="E1236" s="522">
        <f>(E1226-E1227-E1228)-((E1229+E1230)-(E1231+E1232))-(E1233+E1234+E1235)</f>
        <v>0</v>
      </c>
    </row>
    <row r="1237" spans="1:5" x14ac:dyDescent="0.3">
      <c r="A1237" s="517" t="s">
        <v>991</v>
      </c>
      <c r="B1237" s="517" t="s">
        <v>993</v>
      </c>
      <c r="C1237" s="517">
        <v>2200</v>
      </c>
      <c r="D1237" s="517">
        <v>6000</v>
      </c>
      <c r="E1237" s="518">
        <f>SUMIFS('Accounting data'!$G$2:$G$37002,'Accounting data'!$I$2:$I$37002,"7*",'Accounting data'!$J$2:$J$37002,"22*",'Accounting data'!$K$2:$K$37002,"6*")+SUMIFS('Accounting data'!$G$2:$G$37002,'Accounting data'!$I$2:$I$37002,"8*",'Accounting data'!$J$2:$J$37002,"22*",'Accounting data'!$K$2:$K$37002,"6*")+SUMIFS('Accounting data'!$G$2:$G$37002,'Accounting data'!$I$2:$I$37002,"9*",'Accounting data'!$J$2:$J$37002,"22*",'Accounting data'!$K$2:$K$37002,"6*")</f>
        <v>0</v>
      </c>
    </row>
    <row r="1238" spans="1:5" x14ac:dyDescent="0.3">
      <c r="A1238" s="517" t="s">
        <v>991</v>
      </c>
      <c r="B1238" s="517" t="s">
        <v>993</v>
      </c>
      <c r="C1238" s="517">
        <v>2200</v>
      </c>
      <c r="D1238" s="517">
        <v>6900</v>
      </c>
      <c r="E1238" s="518">
        <f>SUMIFS('Accounting data'!$G$2:$G$37002,'Accounting data'!$I$2:$I$37002,"7*",'Accounting data'!$J$2:$J$37002,"22*",'Accounting data'!$K$2:$K$37002,"69*")+SUMIFS('Accounting data'!$G$2:$G$37002,'Accounting data'!$I$2:$I$37002,"8*",'Accounting data'!$J$2:$J$37002,"22*",'Accounting data'!$K$2:$K$37002,"69*")+SUMIFS('Accounting data'!$G$2:$G$37002,'Accounting data'!$I$2:$I$37002,"9*",'Accounting data'!$J$2:$J$37002,"22*",'Accounting data'!$K$2:$K$37002,"69*")</f>
        <v>0</v>
      </c>
    </row>
    <row r="1239" spans="1:5" x14ac:dyDescent="0.3">
      <c r="A1239" s="517" t="s">
        <v>991</v>
      </c>
      <c r="B1239" s="517" t="s">
        <v>993</v>
      </c>
      <c r="C1239" s="517">
        <v>2200</v>
      </c>
      <c r="D1239" s="526">
        <v>6700</v>
      </c>
      <c r="E1239" s="518">
        <f>SUMIFS('Accounting data'!$G$2:$G$37002,'Accounting data'!$I$2:$I$37002,"7*",'Accounting data'!$J$2:$J$37002,"22*",'Accounting data'!$K$2:$K$37002,"67*")+SUMIFS('Accounting data'!$G$2:$G$37002,'Accounting data'!$I$2:$I$37002,"8*",'Accounting data'!$J$2:$J$37002,"22*",'Accounting data'!$K$2:$K$37002,"67*")+SUMIFS('Accounting data'!$G$2:$G$37002,'Accounting data'!$I$2:$I$37002,"9*",'Accounting data'!$J$2:$J$37002,"22*",'Accounting data'!$K$2:$K$37002,"67*")</f>
        <v>0</v>
      </c>
    </row>
    <row r="1240" spans="1:5" x14ac:dyDescent="0.3">
      <c r="A1240" s="519" t="s">
        <v>992</v>
      </c>
      <c r="B1240" s="517" t="s">
        <v>993</v>
      </c>
      <c r="C1240" s="517">
        <v>2200</v>
      </c>
      <c r="D1240" s="517">
        <v>6000</v>
      </c>
      <c r="E1240" s="518">
        <f>SUMIFS('Accounting data'!$G$2:$G$37002,'Accounting data'!$H$2:$H$37002,"9999*",'Accounting data'!$I$2:$I$37002,"7*",'Accounting data'!$J$2:$J$37002,"22*",'Accounting data'!$K$2:$K$37002,"6*")+SUMIFS('Accounting data'!$G$2:$G$37002,'Accounting data'!$H$2:$H$37002,"9999*",'Accounting data'!$I$2:$I$37002,"8*",'Accounting data'!$J$2:$J$37002,"22*",'Accounting data'!$K$2:$K$37002,"6*")+SUMIFS('Accounting data'!$G$2:$G$37002,'Accounting data'!$H$2:$H$37002,"9999*",'Accounting data'!$I$2:$I$37002,"9*",'Accounting data'!$J$2:$J$37002,"22*",'Accounting data'!$K$2:$K$37002,"6*")</f>
        <v>0</v>
      </c>
    </row>
    <row r="1241" spans="1:5" x14ac:dyDescent="0.3">
      <c r="A1241" s="517"/>
      <c r="B1241" s="517"/>
      <c r="C1241" s="517"/>
      <c r="D1241" s="517"/>
      <c r="E1241" s="518"/>
    </row>
    <row r="1242" spans="1:5" x14ac:dyDescent="0.3">
      <c r="A1242" s="519" t="s">
        <v>992</v>
      </c>
      <c r="B1242" s="517" t="s">
        <v>993</v>
      </c>
      <c r="C1242" s="517">
        <v>2200</v>
      </c>
      <c r="D1242" s="517">
        <v>6900</v>
      </c>
      <c r="E1242" s="518">
        <f>SUMIFS('Accounting data'!$G$2:$G$37002,'Accounting data'!$H$2:$H$37002,"9999*",'Accounting data'!$I$2:$I$37002,"7*",'Accounting data'!$J$2:$J$37002,"22*",'Accounting data'!$K$2:$K$37002,"69*")+SUMIFS('Accounting data'!$G$2:$G$37002,'Accounting data'!$H$2:$H$37002,"9999*",'Accounting data'!$I$2:$I$37002,"8*",'Accounting data'!$J$2:$J$37002,"22*",'Accounting data'!$K$2:$K$37002,"69*")+SUMIFS('Accounting data'!$G$2:$G$37002,'Accounting data'!$H$2:$H$37002,"9999*",'Accounting data'!$I$2:$I$37002,"9*",'Accounting data'!$J$2:$J$37002,"22*",'Accounting data'!$K$2:$K$37002,"69*")</f>
        <v>0</v>
      </c>
    </row>
    <row r="1243" spans="1:5" x14ac:dyDescent="0.3">
      <c r="A1243" s="517"/>
      <c r="B1243" s="517"/>
      <c r="C1243" s="517"/>
      <c r="D1243" s="517"/>
      <c r="E1243" s="518"/>
    </row>
    <row r="1244" spans="1:5" x14ac:dyDescent="0.3">
      <c r="A1244" s="519" t="s">
        <v>992</v>
      </c>
      <c r="B1244" s="517" t="s">
        <v>993</v>
      </c>
      <c r="C1244" s="517">
        <v>2200</v>
      </c>
      <c r="D1244" s="526">
        <v>6700</v>
      </c>
      <c r="E1244" s="518">
        <f>SUMIFS('Accounting data'!$G$2:$G$37002,'Accounting data'!$H$2:$H$37002,"9999*",'Accounting data'!$I$2:$I$37002,"7*",'Accounting data'!$J$2:$J$37002,"22*",'Accounting data'!$K$2:$K$37002,"67*")+SUMIFS('Accounting data'!$G$2:$G$37002,'Accounting data'!$H$2:$H$37002,"9999*",'Accounting data'!$I$2:$I$37002,"8*",'Accounting data'!$J$2:$J$37002,"22*",'Accounting data'!$K$2:$K$37002,"67*")+SUMIFS('Accounting data'!$G$2:$G$37002,'Accounting data'!$H$2:$H$37002,"9999*",'Accounting data'!$I$2:$I$37002,"9*",'Accounting data'!$J$2:$J$37002,"22*",'Accounting data'!$K$2:$K$37002,"67*")</f>
        <v>0</v>
      </c>
    </row>
    <row r="1245" spans="1:5" x14ac:dyDescent="0.3">
      <c r="A1245" s="519"/>
      <c r="B1245" s="517"/>
      <c r="C1245" s="517"/>
      <c r="D1245" s="526"/>
      <c r="E1245" s="518"/>
    </row>
    <row r="1246" spans="1:5" x14ac:dyDescent="0.3">
      <c r="A1246" s="519"/>
      <c r="B1246" s="517"/>
      <c r="C1246" s="517"/>
      <c r="D1246" s="526"/>
      <c r="E1246" s="518"/>
    </row>
    <row r="1247" spans="1:5" x14ac:dyDescent="0.3">
      <c r="A1247" s="520" t="s">
        <v>1090</v>
      </c>
      <c r="B1247" s="520"/>
      <c r="C1247" s="520"/>
      <c r="D1247" s="520"/>
      <c r="E1247" s="522">
        <f>(E1237-E1238-E1239)-((E1240+E1241)-(E1242+E1243))-(E1244+E1245+E1246)</f>
        <v>0</v>
      </c>
    </row>
    <row r="1248" spans="1:5" x14ac:dyDescent="0.3">
      <c r="A1248" s="517" t="s">
        <v>991</v>
      </c>
      <c r="B1248" s="517" t="s">
        <v>993</v>
      </c>
      <c r="C1248" s="517">
        <v>2300</v>
      </c>
      <c r="D1248" s="517">
        <v>6000</v>
      </c>
      <c r="E1248" s="518">
        <f>SUMIFS('Accounting data'!$G$2:$G$37002,'Accounting data'!$I$2:$I$37002,"7*",'Accounting data'!$J$2:$J$37002,"23*",'Accounting data'!$K$2:$K$37002,"6*")+SUMIFS('Accounting data'!$G$2:$G$37002,'Accounting data'!$I$2:$I$37002,"8*",'Accounting data'!$J$2:$J$37002,"23*",'Accounting data'!$K$2:$K$37002,"6*")+SUMIFS('Accounting data'!$G$2:$G$37002,'Accounting data'!$I$2:$I$37002,"9*",'Accounting data'!$J$2:$J$37002,"23*",'Accounting data'!$K$2:$K$37002,"6*")</f>
        <v>0</v>
      </c>
    </row>
    <row r="1249" spans="1:5" x14ac:dyDescent="0.3">
      <c r="A1249" s="517" t="s">
        <v>991</v>
      </c>
      <c r="B1249" s="517" t="s">
        <v>993</v>
      </c>
      <c r="C1249" s="517">
        <v>2300</v>
      </c>
      <c r="D1249" s="517">
        <v>6900</v>
      </c>
      <c r="E1249" s="518">
        <f>SUMIFS('Accounting data'!$G$2:$G$37002,'Accounting data'!$I$2:$I$37002,"7*",'Accounting data'!$J$2:$J$37002,"23*",'Accounting data'!$K$2:$K$37002,"69*")+SUMIFS('Accounting data'!$G$2:$G$37002,'Accounting data'!$I$2:$I$37002,"8*",'Accounting data'!$J$2:$J$37002,"23*",'Accounting data'!$K$2:$K$37002,"69*")+SUMIFS('Accounting data'!$G$2:$G$37002,'Accounting data'!$I$2:$I$37002,"9*",'Accounting data'!$J$2:$J$37002,"23*",'Accounting data'!$K$2:$K$37002,"69*")</f>
        <v>0</v>
      </c>
    </row>
    <row r="1250" spans="1:5" x14ac:dyDescent="0.3">
      <c r="A1250" s="517" t="s">
        <v>991</v>
      </c>
      <c r="B1250" s="517" t="s">
        <v>993</v>
      </c>
      <c r="C1250" s="517">
        <v>2300</v>
      </c>
      <c r="D1250" s="526">
        <v>6700</v>
      </c>
      <c r="E1250" s="518">
        <f>SUMIFS('Accounting data'!$G$2:$G$37002,'Accounting data'!$I$2:$I$37002,"7*",'Accounting data'!$J$2:$J$37002,"23*",'Accounting data'!$K$2:$K$37002,"67*")+SUMIFS('Accounting data'!$G$2:$G$37002,'Accounting data'!$I$2:$I$37002,"8*",'Accounting data'!$J$2:$J$37002,"23*",'Accounting data'!$K$2:$K$37002,"67*")+SUMIFS('Accounting data'!$G$2:$G$37002,'Accounting data'!$I$2:$I$37002,"9*",'Accounting data'!$J$2:$J$37002,"23*",'Accounting data'!$K$2:$K$37002,"67*")</f>
        <v>0</v>
      </c>
    </row>
    <row r="1251" spans="1:5" x14ac:dyDescent="0.3">
      <c r="A1251" s="519" t="s">
        <v>992</v>
      </c>
      <c r="B1251" s="517" t="s">
        <v>993</v>
      </c>
      <c r="C1251" s="517">
        <v>2300</v>
      </c>
      <c r="D1251" s="517">
        <v>6000</v>
      </c>
      <c r="E1251" s="518">
        <f>SUMIFS('Accounting data'!$G$2:$G$37002,'Accounting data'!$H$2:$H$37002,"9999*",'Accounting data'!$I$2:$I$37002,"7*",'Accounting data'!$J$2:$J$37002,"23*",'Accounting data'!$K$2:$K$37002,"6*")+SUMIFS('Accounting data'!$G$2:$G$37002,'Accounting data'!$H$2:$H$37002,"9999*",'Accounting data'!$I$2:$I$37002,"8*",'Accounting data'!$J$2:$J$37002,"23*",'Accounting data'!$K$2:$K$37002,"6*")+SUMIFS('Accounting data'!$G$2:$G$37002,'Accounting data'!$H$2:$H$37002,"9999*",'Accounting data'!$I$2:$I$37002,"9*",'Accounting data'!$J$2:$J$37002,"23*",'Accounting data'!$K$2:$K$37002,"6*")</f>
        <v>0</v>
      </c>
    </row>
    <row r="1252" spans="1:5" x14ac:dyDescent="0.3">
      <c r="A1252" s="517"/>
      <c r="B1252" s="517"/>
      <c r="C1252" s="517"/>
      <c r="D1252" s="517"/>
      <c r="E1252" s="518"/>
    </row>
    <row r="1253" spans="1:5" x14ac:dyDescent="0.3">
      <c r="A1253" s="519" t="s">
        <v>992</v>
      </c>
      <c r="B1253" s="517" t="s">
        <v>993</v>
      </c>
      <c r="C1253" s="517">
        <v>2300</v>
      </c>
      <c r="D1253" s="517">
        <v>6900</v>
      </c>
      <c r="E1253" s="518">
        <f>SUMIFS('Accounting data'!$G$2:$G$37002,'Accounting data'!$H$2:$H$37002,"9999*",'Accounting data'!$I$2:$I$37002,"7*",'Accounting data'!$J$2:$J$37002,"23*",'Accounting data'!$K$2:$K$37002,"69*")+SUMIFS('Accounting data'!$G$2:$G$37002,'Accounting data'!$H$2:$H$37002,"9999*",'Accounting data'!$I$2:$I$37002,"8*",'Accounting data'!$J$2:$J$37002,"23*",'Accounting data'!$K$2:$K$37002,"69*")+SUMIFS('Accounting data'!$G$2:$G$37002,'Accounting data'!$H$2:$H$37002,"9999*",'Accounting data'!$I$2:$I$37002,"9*",'Accounting data'!$J$2:$J$37002,"23*",'Accounting data'!$K$2:$K$37002,"69*")</f>
        <v>0</v>
      </c>
    </row>
    <row r="1254" spans="1:5" x14ac:dyDescent="0.3">
      <c r="A1254" s="517"/>
      <c r="B1254" s="517"/>
      <c r="C1254" s="517"/>
      <c r="D1254" s="517"/>
      <c r="E1254" s="518"/>
    </row>
    <row r="1255" spans="1:5" x14ac:dyDescent="0.3">
      <c r="A1255" s="519" t="s">
        <v>992</v>
      </c>
      <c r="B1255" s="517" t="s">
        <v>993</v>
      </c>
      <c r="C1255" s="517">
        <v>2300</v>
      </c>
      <c r="D1255" s="526">
        <v>6700</v>
      </c>
      <c r="E1255" s="518">
        <f>SUMIFS('Accounting data'!$G$2:$G$37002,'Accounting data'!$H$2:$H$37002,"9999*",'Accounting data'!$I$2:$I$37002,"7*",'Accounting data'!$J$2:$J$37002,"23*",'Accounting data'!$K$2:$K$37002,"67*")+SUMIFS('Accounting data'!$G$2:$G$37002,'Accounting data'!$H$2:$H$37002,"9999*",'Accounting data'!$I$2:$I$37002,"8*",'Accounting data'!$J$2:$J$37002,"23*",'Accounting data'!$K$2:$K$37002,"67*")+SUMIFS('Accounting data'!$G$2:$G$37002,'Accounting data'!$H$2:$H$37002,"9999*",'Accounting data'!$I$2:$I$37002,"9*",'Accounting data'!$J$2:$J$37002,"23*",'Accounting data'!$K$2:$K$37002,"67*")</f>
        <v>0</v>
      </c>
    </row>
    <row r="1256" spans="1:5" x14ac:dyDescent="0.3">
      <c r="A1256" s="519"/>
      <c r="B1256" s="517"/>
      <c r="C1256" s="517"/>
      <c r="D1256" s="526"/>
      <c r="E1256" s="518"/>
    </row>
    <row r="1257" spans="1:5" x14ac:dyDescent="0.3">
      <c r="A1257" s="519"/>
      <c r="B1257" s="517"/>
      <c r="C1257" s="517"/>
      <c r="D1257" s="526"/>
      <c r="E1257" s="518"/>
    </row>
    <row r="1258" spans="1:5" x14ac:dyDescent="0.3">
      <c r="A1258" s="520" t="s">
        <v>1091</v>
      </c>
      <c r="B1258" s="520"/>
      <c r="C1258" s="520"/>
      <c r="D1258" s="520"/>
      <c r="E1258" s="522">
        <f>(E1248-E1249-E1250)-((E1251+E1252)-(E1253+E1254))-(E1255+E1256+E1257)</f>
        <v>0</v>
      </c>
    </row>
    <row r="1259" spans="1:5" x14ac:dyDescent="0.3">
      <c r="A1259" s="517" t="s">
        <v>991</v>
      </c>
      <c r="B1259" s="517" t="s">
        <v>993</v>
      </c>
      <c r="C1259" s="517">
        <v>2400</v>
      </c>
      <c r="D1259" s="517">
        <v>6000</v>
      </c>
      <c r="E1259" s="518">
        <f>SUMIFS('Accounting data'!$G$2:$G$37002,'Accounting data'!$I$2:$I$37002,"7*",'Accounting data'!$J$2:$J$37002,"24*",'Accounting data'!$K$2:$K$37002,"6*")+SUMIFS('Accounting data'!$G$2:$G$37002,'Accounting data'!$I$2:$I$37002,"8*",'Accounting data'!$J$2:$J$37002,"24*",'Accounting data'!$K$2:$K$37002,"6*")+SUMIFS('Accounting data'!$G$2:$G$37002,'Accounting data'!$I$2:$I$37002,"9*",'Accounting data'!$J$2:$J$37002,"24*",'Accounting data'!$K$2:$K$37002,"6*")</f>
        <v>0</v>
      </c>
    </row>
    <row r="1260" spans="1:5" x14ac:dyDescent="0.3">
      <c r="A1260" s="517" t="s">
        <v>991</v>
      </c>
      <c r="B1260" s="517" t="s">
        <v>993</v>
      </c>
      <c r="C1260" s="517">
        <v>2400</v>
      </c>
      <c r="D1260" s="517">
        <v>6900</v>
      </c>
      <c r="E1260" s="518">
        <f>SUMIFS('Accounting data'!$G$2:$G$37002,'Accounting data'!$I$2:$I$37002,"7*",'Accounting data'!$J$2:$J$37002,"24*",'Accounting data'!$K$2:$K$37002,"69*")+SUMIFS('Accounting data'!$G$2:$G$37002,'Accounting data'!$I$2:$I$37002,"8*",'Accounting data'!$J$2:$J$37002,"24*",'Accounting data'!$K$2:$K$37002,"69*")+SUMIFS('Accounting data'!$G$2:$G$37002,'Accounting data'!$I$2:$I$37002,"9*",'Accounting data'!$J$2:$J$37002,"24*",'Accounting data'!$K$2:$K$37002,"69*")</f>
        <v>0</v>
      </c>
    </row>
    <row r="1261" spans="1:5" x14ac:dyDescent="0.3">
      <c r="A1261" s="517" t="s">
        <v>991</v>
      </c>
      <c r="B1261" s="517" t="s">
        <v>993</v>
      </c>
      <c r="C1261" s="517">
        <v>2400</v>
      </c>
      <c r="D1261" s="526">
        <v>6700</v>
      </c>
      <c r="E1261" s="518">
        <f>SUMIFS('Accounting data'!$G$2:$G$37002,'Accounting data'!$I$2:$I$37002,"7*",'Accounting data'!$J$2:$J$37002,"24*",'Accounting data'!$K$2:$K$37002,"67*")+SUMIFS('Accounting data'!$G$2:$G$37002,'Accounting data'!$I$2:$I$37002,"8*",'Accounting data'!$J$2:$J$37002,"24*",'Accounting data'!$K$2:$K$37002,"67*")+SUMIFS('Accounting data'!$G$2:$G$37002,'Accounting data'!$I$2:$I$37002,"9*",'Accounting data'!$J$2:$J$37002,"24*",'Accounting data'!$K$2:$K$37002,"67*")</f>
        <v>0</v>
      </c>
    </row>
    <row r="1262" spans="1:5" x14ac:dyDescent="0.3">
      <c r="A1262" s="519" t="s">
        <v>992</v>
      </c>
      <c r="B1262" s="517" t="s">
        <v>993</v>
      </c>
      <c r="C1262" s="517">
        <v>2400</v>
      </c>
      <c r="D1262" s="517">
        <v>6000</v>
      </c>
      <c r="E1262" s="518">
        <f>SUMIFS('Accounting data'!$G$2:$G$37002,'Accounting data'!$H$2:$H$37002,"9999*",'Accounting data'!$I$2:$I$37002,"7*",'Accounting data'!$J$2:$J$37002,"24*",'Accounting data'!$K$2:$K$37002,"6*")+SUMIFS('Accounting data'!$G$2:$G$37002,'Accounting data'!$H$2:$H$37002,"9999*",'Accounting data'!$I$2:$I$37002,"8*",'Accounting data'!$J$2:$J$37002,"24*",'Accounting data'!$K$2:$K$37002,"6*")+SUMIFS('Accounting data'!$G$2:$G$37002,'Accounting data'!$H$2:$H$37002,"9999*",'Accounting data'!$I$2:$I$37002,"9*",'Accounting data'!$J$2:$J$37002,"24*",'Accounting data'!$K$2:$K$37002,"6*")</f>
        <v>0</v>
      </c>
    </row>
    <row r="1263" spans="1:5" x14ac:dyDescent="0.3">
      <c r="A1263" s="517"/>
      <c r="B1263" s="517"/>
      <c r="C1263" s="517"/>
      <c r="D1263" s="517"/>
      <c r="E1263" s="518"/>
    </row>
    <row r="1264" spans="1:5" x14ac:dyDescent="0.3">
      <c r="A1264" s="519" t="s">
        <v>992</v>
      </c>
      <c r="B1264" s="517" t="s">
        <v>993</v>
      </c>
      <c r="C1264" s="517">
        <v>2400</v>
      </c>
      <c r="D1264" s="517">
        <v>6900</v>
      </c>
      <c r="E1264" s="518">
        <f>SUMIFS('Accounting data'!$G$2:$G$37002,'Accounting data'!$H$2:$H$37002,"9999*",'Accounting data'!$I$2:$I$37002,"7*",'Accounting data'!$J$2:$J$37002,"24*",'Accounting data'!$K$2:$K$37002,"69*")+SUMIFS('Accounting data'!$G$2:$G$37002,'Accounting data'!$H$2:$H$37002,"9999*",'Accounting data'!$I$2:$I$37002,"8*",'Accounting data'!$J$2:$J$37002,"24*",'Accounting data'!$K$2:$K$37002,"69*")+SUMIFS('Accounting data'!$G$2:$G$37002,'Accounting data'!$H$2:$H$37002,"9999*",'Accounting data'!$I$2:$I$37002,"9*",'Accounting data'!$J$2:$J$37002,"24*",'Accounting data'!$K$2:$K$37002,"69*")</f>
        <v>0</v>
      </c>
    </row>
    <row r="1266" spans="1:5" x14ac:dyDescent="0.3">
      <c r="A1266" s="519" t="s">
        <v>992</v>
      </c>
      <c r="B1266" s="517" t="s">
        <v>993</v>
      </c>
      <c r="C1266" s="517">
        <v>2400</v>
      </c>
      <c r="D1266" s="526">
        <v>6700</v>
      </c>
      <c r="E1266" s="518">
        <f>SUMIFS('Accounting data'!$G$2:$G$37002,'Accounting data'!$H$2:$H$37002,"9999*",'Accounting data'!$I$2:$I$37002,"7*",'Accounting data'!$J$2:$J$37002,"24*",'Accounting data'!$K$2:$K$37002,"67*")+SUMIFS('Accounting data'!$G$2:$G$37002,'Accounting data'!$H$2:$H$37002,"9999*",'Accounting data'!$I$2:$I$37002,"8*",'Accounting data'!$J$2:$J$37002,"24*",'Accounting data'!$K$2:$K$37002,"67*")+SUMIFS('Accounting data'!$G$2:$G$37002,'Accounting data'!$H$2:$H$37002,"9999*",'Accounting data'!$I$2:$I$37002,"9*",'Accounting data'!$J$2:$J$37002,"24*",'Accounting data'!$K$2:$K$37002,"67*")</f>
        <v>0</v>
      </c>
    </row>
    <row r="1267" spans="1:5" x14ac:dyDescent="0.3">
      <c r="A1267" s="519"/>
      <c r="B1267" s="517"/>
      <c r="C1267" s="517"/>
      <c r="D1267" s="526"/>
      <c r="E1267" s="518"/>
    </row>
    <row r="1268" spans="1:5" x14ac:dyDescent="0.3">
      <c r="A1268" s="519"/>
      <c r="B1268" s="517"/>
      <c r="C1268" s="517"/>
      <c r="D1268" s="526"/>
      <c r="E1268" s="518"/>
    </row>
    <row r="1269" spans="1:5" x14ac:dyDescent="0.3">
      <c r="A1269" s="520" t="s">
        <v>1092</v>
      </c>
      <c r="B1269" s="520"/>
      <c r="C1269" s="520"/>
      <c r="D1269" s="520"/>
      <c r="E1269" s="522">
        <f>(E1259-E1260-E1261)-((E1262+E1263)-(E1264+E1265))-(E1266+E1267+E1268)</f>
        <v>0</v>
      </c>
    </row>
    <row r="1270" spans="1:5" x14ac:dyDescent="0.3">
      <c r="A1270" s="517" t="s">
        <v>991</v>
      </c>
      <c r="B1270" s="517" t="s">
        <v>993</v>
      </c>
      <c r="C1270" s="517">
        <v>2500</v>
      </c>
      <c r="D1270" s="517">
        <v>6000</v>
      </c>
      <c r="E1270" s="518">
        <f>SUMIFS('Accounting data'!$G$2:$G$37002,'Accounting data'!$I$2:$I$37002,"7*",'Accounting data'!$J$2:$J$37002,"25*",'Accounting data'!$K$2:$K$37002,"6*")+SUMIFS('Accounting data'!$G$2:$G$37002,'Accounting data'!$I$2:$I$37002,"8*",'Accounting data'!$J$2:$J$37002,"25*",'Accounting data'!$K$2:$K$37002,"6*")+SUMIFS('Accounting data'!$G$2:$G$37002,'Accounting data'!$I$2:$I$37002,"9*",'Accounting data'!$J$2:$J$37002,"25*",'Accounting data'!$K$2:$K$37002,"6*")</f>
        <v>0</v>
      </c>
    </row>
    <row r="1271" spans="1:5" x14ac:dyDescent="0.3">
      <c r="A1271" s="517" t="s">
        <v>991</v>
      </c>
      <c r="B1271" s="517" t="s">
        <v>993</v>
      </c>
      <c r="C1271" s="517">
        <v>2500</v>
      </c>
      <c r="D1271" s="517">
        <v>6900</v>
      </c>
      <c r="E1271" s="518">
        <f>SUMIFS('Accounting data'!$G$2:$G$37002,'Accounting data'!$I$2:$I$37002,"7*",'Accounting data'!$J$2:$J$37002,"25*",'Accounting data'!$K$2:$K$37002,"69*")+SUMIFS('Accounting data'!$G$2:$G$37002,'Accounting data'!$I$2:$I$37002,"8*",'Accounting data'!$J$2:$J$37002,"25*",'Accounting data'!$K$2:$K$37002,"69*")+SUMIFS('Accounting data'!$G$2:$G$37002,'Accounting data'!$I$2:$I$37002,"9*",'Accounting data'!$J$2:$J$37002,"25*",'Accounting data'!$K$2:$K$37002,"69*")</f>
        <v>0</v>
      </c>
    </row>
    <row r="1272" spans="1:5" x14ac:dyDescent="0.3">
      <c r="A1272" s="517" t="s">
        <v>991</v>
      </c>
      <c r="B1272" s="517" t="s">
        <v>993</v>
      </c>
      <c r="C1272" s="517">
        <v>2500</v>
      </c>
      <c r="D1272" s="526">
        <v>6700</v>
      </c>
      <c r="E1272" s="518">
        <f>SUMIFS('Accounting data'!$G$2:$G$37002,'Accounting data'!$I$2:$I$37002,"7*",'Accounting data'!$J$2:$J$37002,"25*",'Accounting data'!$K$2:$K$37002,"67*")+SUMIFS('Accounting data'!$G$2:$G$37002,'Accounting data'!$I$2:$I$37002,"8*",'Accounting data'!$J$2:$J$37002,"25*",'Accounting data'!$K$2:$K$37002,"67*")+SUMIFS('Accounting data'!$G$2:$G$37002,'Accounting data'!$I$2:$I$37002,"9*",'Accounting data'!$J$2:$J$37002,"25*",'Accounting data'!$K$2:$K$37002,"67*")</f>
        <v>0</v>
      </c>
    </row>
    <row r="1273" spans="1:5" x14ac:dyDescent="0.3">
      <c r="A1273" s="519" t="s">
        <v>992</v>
      </c>
      <c r="B1273" s="517" t="s">
        <v>993</v>
      </c>
      <c r="C1273" s="517">
        <v>2500</v>
      </c>
      <c r="D1273" s="517">
        <v>6000</v>
      </c>
      <c r="E1273" s="518">
        <f>SUMIFS('Accounting data'!$G$2:$G$37002,'Accounting data'!$H$2:$H$37002,"9999*",'Accounting data'!$I$2:$I$37002,"7*",'Accounting data'!$J$2:$J$37002,"25*",'Accounting data'!$K$2:$K$37002,"6*")+SUMIFS('Accounting data'!$G$2:$G$37002,'Accounting data'!$H$2:$H$37002,"9999*",'Accounting data'!$I$2:$I$37002,"8*",'Accounting data'!$J$2:$J$37002,"25*",'Accounting data'!$K$2:$K$37002,"6*")+SUMIFS('Accounting data'!$G$2:$G$37002,'Accounting data'!$H$2:$H$37002,"9999*",'Accounting data'!$I$2:$I$37002,"9*",'Accounting data'!$J$2:$J$37002,"25*",'Accounting data'!$K$2:$K$37002,"6*")</f>
        <v>0</v>
      </c>
    </row>
    <row r="1274" spans="1:5" x14ac:dyDescent="0.3">
      <c r="A1274" s="517"/>
      <c r="B1274" s="517"/>
      <c r="C1274" s="517"/>
      <c r="D1274" s="517"/>
      <c r="E1274" s="518"/>
    </row>
    <row r="1275" spans="1:5" x14ac:dyDescent="0.3">
      <c r="A1275" s="519" t="s">
        <v>992</v>
      </c>
      <c r="B1275" s="517" t="s">
        <v>993</v>
      </c>
      <c r="C1275" s="517">
        <v>2500</v>
      </c>
      <c r="D1275" s="517">
        <v>6900</v>
      </c>
      <c r="E1275" s="518">
        <f>SUMIFS('Accounting data'!$G$2:$G$37002,'Accounting data'!$H$2:$H$37002,"9999*",'Accounting data'!$I$2:$I$37002,"7*",'Accounting data'!$J$2:$J$37002,"25*",'Accounting data'!$K$2:$K$37002,"69*")+SUMIFS('Accounting data'!$G$2:$G$37002,'Accounting data'!$H$2:$H$37002,"9999*",'Accounting data'!$I$2:$I$37002,"8*",'Accounting data'!$J$2:$J$37002,"25*",'Accounting data'!$K$2:$K$37002,"69*")+SUMIFS('Accounting data'!$G$2:$G$37002,'Accounting data'!$H$2:$H$37002,"9999*",'Accounting data'!$I$2:$I$37002,"9*",'Accounting data'!$J$2:$J$37002,"25*",'Accounting data'!$K$2:$K$37002,"69*")</f>
        <v>0</v>
      </c>
    </row>
    <row r="1276" spans="1:5" x14ac:dyDescent="0.3">
      <c r="A1276" s="517"/>
      <c r="B1276" s="517"/>
      <c r="C1276" s="517"/>
      <c r="D1276" s="517"/>
      <c r="E1276" s="518"/>
    </row>
    <row r="1277" spans="1:5" x14ac:dyDescent="0.3">
      <c r="A1277" s="519" t="s">
        <v>992</v>
      </c>
      <c r="B1277" s="517" t="s">
        <v>993</v>
      </c>
      <c r="C1277" s="517">
        <v>2500</v>
      </c>
      <c r="D1277" s="526">
        <v>6700</v>
      </c>
      <c r="E1277" s="518">
        <f>SUMIFS('Accounting data'!$G$2:$G$37002,'Accounting data'!$H$2:$H$37002,"9999*",'Accounting data'!$I$2:$I$37002,"7*",'Accounting data'!$J$2:$J$37002,"25*",'Accounting data'!$K$2:$K$37002,"67*")+SUMIFS('Accounting data'!$G$2:$G$37002,'Accounting data'!$H$2:$H$37002,"9999*",'Accounting data'!$I$2:$I$37002,"8*",'Accounting data'!$J$2:$J$37002,"25*",'Accounting data'!$K$2:$K$37002,"67*")+SUMIFS('Accounting data'!$G$2:$G$37002,'Accounting data'!$H$2:$H$37002,"9999*",'Accounting data'!$I$2:$I$37002,"9*",'Accounting data'!$J$2:$J$37002,"25*",'Accounting data'!$K$2:$K$37002,"67*")</f>
        <v>0</v>
      </c>
    </row>
    <row r="1278" spans="1:5" x14ac:dyDescent="0.3">
      <c r="A1278" s="519"/>
      <c r="B1278" s="517"/>
      <c r="C1278" s="517"/>
      <c r="D1278" s="526"/>
      <c r="E1278" s="518"/>
    </row>
    <row r="1279" spans="1:5" x14ac:dyDescent="0.3">
      <c r="A1279" s="519"/>
      <c r="B1279" s="517"/>
      <c r="C1279" s="517"/>
      <c r="D1279" s="526"/>
      <c r="E1279" s="518"/>
    </row>
    <row r="1280" spans="1:5" x14ac:dyDescent="0.3">
      <c r="A1280" s="520" t="s">
        <v>1093</v>
      </c>
      <c r="B1280" s="520"/>
      <c r="C1280" s="520"/>
      <c r="D1280" s="520"/>
      <c r="E1280" s="522">
        <f>(E1270-E1271-E1272)-((E1273+E1274)-(E1275+E1276))-(E1277+E1278+E1279)</f>
        <v>0</v>
      </c>
    </row>
    <row r="1281" spans="1:5" x14ac:dyDescent="0.3">
      <c r="A1281" s="517" t="s">
        <v>991</v>
      </c>
      <c r="B1281" s="517" t="s">
        <v>993</v>
      </c>
      <c r="C1281" s="517">
        <v>2900</v>
      </c>
      <c r="D1281" s="517">
        <v>6000</v>
      </c>
      <c r="E1281" s="518">
        <f>SUMIFS('Accounting data'!$G$2:$G$37002,'Accounting data'!$I$2:$I$37002,"7*",'Accounting data'!$J$2:$J$37002,"29*",'Accounting data'!$K$2:$K$37002,"6*")+SUMIFS('Accounting data'!$G$2:$G$37002,'Accounting data'!$I$2:$I$37002,"8*",'Accounting data'!$J$2:$J$37002,"29*",'Accounting data'!$K$2:$K$37002,"6*")+SUMIFS('Accounting data'!$G$2:$G$37002,'Accounting data'!$I$2:$I$37002,"9*",'Accounting data'!$J$2:$J$37002,"29*",'Accounting data'!$K$2:$K$37002,"6*")</f>
        <v>0</v>
      </c>
    </row>
    <row r="1282" spans="1:5" x14ac:dyDescent="0.3">
      <c r="A1282" s="517" t="s">
        <v>991</v>
      </c>
      <c r="B1282" s="517" t="s">
        <v>993</v>
      </c>
      <c r="C1282" s="517">
        <v>2900</v>
      </c>
      <c r="D1282" s="517">
        <v>6900</v>
      </c>
      <c r="E1282" s="518">
        <f>SUMIFS('Accounting data'!$G$2:$G$37002,'Accounting data'!$I$2:$I$37002,"7*",'Accounting data'!$J$2:$J$37002,"29*",'Accounting data'!$K$2:$K$37002,"69*")+SUMIFS('Accounting data'!$G$2:$G$37002,'Accounting data'!$I$2:$I$37002,"8*",'Accounting data'!$J$2:$J$37002,"29*",'Accounting data'!$K$2:$K$37002,"69*")+SUMIFS('Accounting data'!$G$2:$G$37002,'Accounting data'!$I$2:$I$37002,"9*",'Accounting data'!$J$2:$J$37002,"29*",'Accounting data'!$K$2:$K$37002,"69*")</f>
        <v>0</v>
      </c>
    </row>
    <row r="1283" spans="1:5" x14ac:dyDescent="0.3">
      <c r="A1283" s="517" t="s">
        <v>991</v>
      </c>
      <c r="B1283" s="517" t="s">
        <v>993</v>
      </c>
      <c r="C1283" s="517">
        <v>2900</v>
      </c>
      <c r="D1283" s="526">
        <v>6700</v>
      </c>
      <c r="E1283" s="518">
        <f>SUMIFS('Accounting data'!$G$2:$G$37002,'Accounting data'!$I$2:$I$37002,"7*",'Accounting data'!$J$2:$J$37002,"29*",'Accounting data'!$K$2:$K$37002,"67*")+SUMIFS('Accounting data'!$G$2:$G$37002,'Accounting data'!$I$2:$I$37002,"8*",'Accounting data'!$J$2:$J$37002,"29*",'Accounting data'!$K$2:$K$37002,"67*")+SUMIFS('Accounting data'!$G$2:$G$37002,'Accounting data'!$I$2:$I$37002,"9*",'Accounting data'!$J$2:$J$37002,"29*",'Accounting data'!$K$2:$K$37002,"67*")</f>
        <v>0</v>
      </c>
    </row>
    <row r="1284" spans="1:5" x14ac:dyDescent="0.3">
      <c r="A1284" s="519" t="s">
        <v>992</v>
      </c>
      <c r="B1284" s="517" t="s">
        <v>993</v>
      </c>
      <c r="C1284" s="517">
        <v>2900</v>
      </c>
      <c r="D1284" s="517">
        <v>6000</v>
      </c>
      <c r="E1284" s="518">
        <f>SUMIFS('Accounting data'!$G$2:$G$37002,'Accounting data'!$H$2:$H$37002,"9999*",'Accounting data'!$I$2:$I$37002,"7*",'Accounting data'!$J$2:$J$37002,"29*",'Accounting data'!$K$2:$K$37002,"6*")+SUMIFS('Accounting data'!$G$2:$G$37002,'Accounting data'!$H$2:$H$37002,"9999*",'Accounting data'!$I$2:$I$37002,"8*",'Accounting data'!$J$2:$J$37002,"29*",'Accounting data'!$K$2:$K$37002,"6*")+SUMIFS('Accounting data'!$G$2:$G$37002,'Accounting data'!$H$2:$H$37002,"9999*",'Accounting data'!$I$2:$I$37002,"9*",'Accounting data'!$J$2:$J$37002,"29*",'Accounting data'!$K$2:$K$37002,"6*")</f>
        <v>0</v>
      </c>
    </row>
    <row r="1285" spans="1:5" x14ac:dyDescent="0.3">
      <c r="A1285" s="517"/>
      <c r="B1285" s="517"/>
      <c r="C1285" s="517"/>
      <c r="D1285" s="517"/>
      <c r="E1285" s="518"/>
    </row>
    <row r="1286" spans="1:5" x14ac:dyDescent="0.3">
      <c r="A1286" s="519" t="s">
        <v>992</v>
      </c>
      <c r="B1286" s="517" t="s">
        <v>993</v>
      </c>
      <c r="C1286" s="517">
        <v>2900</v>
      </c>
      <c r="D1286" s="517">
        <v>6900</v>
      </c>
      <c r="E1286" s="518">
        <f>SUMIFS('Accounting data'!$G$2:$G$37002,'Accounting data'!$H$2:$H$37002,"9999*",'Accounting data'!$I$2:$I$37002,"7*",'Accounting data'!$J$2:$J$37002,"29*",'Accounting data'!$K$2:$K$37002,"69*")+SUMIFS('Accounting data'!$G$2:$G$37002,'Accounting data'!$H$2:$H$37002,"9999*",'Accounting data'!$I$2:$I$37002,"8*",'Accounting data'!$J$2:$J$37002,"29*",'Accounting data'!$K$2:$K$37002,"69*")+SUMIFS('Accounting data'!$G$2:$G$37002,'Accounting data'!$H$2:$H$37002,"9999*",'Accounting data'!$I$2:$I$37002,"9*",'Accounting data'!$J$2:$J$37002,"29*",'Accounting data'!$K$2:$K$37002,"69*")</f>
        <v>0</v>
      </c>
    </row>
    <row r="1287" spans="1:5" x14ac:dyDescent="0.3">
      <c r="A1287" s="517"/>
      <c r="B1287" s="517"/>
      <c r="C1287" s="517"/>
      <c r="D1287" s="517"/>
      <c r="E1287" s="518"/>
    </row>
    <row r="1288" spans="1:5" x14ac:dyDescent="0.3">
      <c r="A1288" s="519" t="s">
        <v>992</v>
      </c>
      <c r="B1288" s="517" t="s">
        <v>993</v>
      </c>
      <c r="C1288" s="517">
        <v>2900</v>
      </c>
      <c r="D1288" s="526">
        <v>6700</v>
      </c>
      <c r="E1288" s="518">
        <f>SUMIFS('Accounting data'!$G$2:$G$37002,'Accounting data'!$H$2:$H$37002,"9999*",'Accounting data'!$I$2:$I$37002,"7*",'Accounting data'!$J$2:$J$37002,"29*",'Accounting data'!$K$2:$K$37002,"67*")+SUMIFS('Accounting data'!$G$2:$G$37002,'Accounting data'!$H$2:$H$37002,"9999*",'Accounting data'!$I$2:$I$37002,"8*",'Accounting data'!$J$2:$J$37002,"29*",'Accounting data'!$K$2:$K$37002,"67*")+SUMIFS('Accounting data'!$G$2:$G$37002,'Accounting data'!$H$2:$H$37002,"9999*",'Accounting data'!$I$2:$I$37002,"9*",'Accounting data'!$J$2:$J$37002,"29*",'Accounting data'!$K$2:$K$37002,"67*")</f>
        <v>0</v>
      </c>
    </row>
    <row r="1289" spans="1:5" x14ac:dyDescent="0.3">
      <c r="A1289" s="519"/>
      <c r="B1289" s="517"/>
      <c r="C1289" s="517"/>
      <c r="D1289" s="526"/>
      <c r="E1289" s="518"/>
    </row>
    <row r="1290" spans="1:5" x14ac:dyDescent="0.3">
      <c r="A1290" s="519"/>
      <c r="B1290" s="517"/>
      <c r="C1290" s="517"/>
      <c r="D1290" s="526"/>
      <c r="E1290" s="518"/>
    </row>
    <row r="1291" spans="1:5" x14ac:dyDescent="0.3">
      <c r="A1291" s="520" t="s">
        <v>1094</v>
      </c>
      <c r="B1291" s="520"/>
      <c r="C1291" s="520"/>
      <c r="D1291" s="520"/>
      <c r="E1291" s="522">
        <f>(E1281-E1282-E1283)-((E1284+E1285)-(E1286+E1287))-(E1288+E1289+E1290)</f>
        <v>0</v>
      </c>
    </row>
    <row r="1292" spans="1:5" x14ac:dyDescent="0.3">
      <c r="A1292" s="517" t="s">
        <v>991</v>
      </c>
      <c r="B1292" s="517" t="s">
        <v>993</v>
      </c>
      <c r="C1292" s="517">
        <v>2600</v>
      </c>
      <c r="D1292" s="517">
        <v>6000</v>
      </c>
      <c r="E1292" s="518">
        <f>SUMIFS('Accounting data'!$G$2:$G$37002,'Accounting data'!$I$2:$I$37002,"7*",'Accounting data'!$J$2:$J$37002,"26*",'Accounting data'!$K$2:$K$37002,"6*")+SUMIFS('Accounting data'!$G$2:$G$37002,'Accounting data'!$I$2:$I$37002,"8*",'Accounting data'!$J$2:$J$37002,"26*",'Accounting data'!$K$2:$K$37002,"6*")+SUMIFS('Accounting data'!$G$2:$G$37002,'Accounting data'!$I$2:$I$37002,"9*",'Accounting data'!$J$2:$J$37002,"26*",'Accounting data'!$K$2:$K$37002,"6*")</f>
        <v>0</v>
      </c>
    </row>
    <row r="1293" spans="1:5" x14ac:dyDescent="0.3">
      <c r="A1293" s="517" t="s">
        <v>991</v>
      </c>
      <c r="B1293" s="517" t="s">
        <v>993</v>
      </c>
      <c r="C1293" s="517">
        <v>2600</v>
      </c>
      <c r="D1293" s="517">
        <v>6900</v>
      </c>
      <c r="E1293" s="518">
        <f>SUMIFS('Accounting data'!$G$2:$G$37002,'Accounting data'!$I$2:$I$37002,"7*",'Accounting data'!$J$2:$J$37002,"26*",'Accounting data'!$K$2:$K$37002,"69*")+SUMIFS('Accounting data'!$G$2:$G$37002,'Accounting data'!$I$2:$I$37002,"8*",'Accounting data'!$J$2:$J$37002,"26*",'Accounting data'!$K$2:$K$37002,"69*")+SUMIFS('Accounting data'!$G$2:$G$37002,'Accounting data'!$I$2:$I$37002,"9*",'Accounting data'!$J$2:$J$37002,"26*",'Accounting data'!$K$2:$K$37002,"69*")</f>
        <v>0</v>
      </c>
    </row>
    <row r="1294" spans="1:5" x14ac:dyDescent="0.3">
      <c r="A1294" s="517" t="s">
        <v>991</v>
      </c>
      <c r="B1294" s="517" t="s">
        <v>993</v>
      </c>
      <c r="C1294" s="517">
        <v>2600</v>
      </c>
      <c r="D1294" s="526">
        <v>6700</v>
      </c>
      <c r="E1294" s="518">
        <f>SUMIFS('Accounting data'!$G$2:$G$37002,'Accounting data'!$I$2:$I$37002,"7*",'Accounting data'!$J$2:$J$37002,"26*",'Accounting data'!$K$2:$K$37002,"67*")+SUMIFS('Accounting data'!$G$2:$G$37002,'Accounting data'!$I$2:$I$37002,"8*",'Accounting data'!$J$2:$J$37002,"26*",'Accounting data'!$K$2:$K$37002,"67*")+SUMIFS('Accounting data'!$G$2:$G$37002,'Accounting data'!$I$2:$I$37002,"9*",'Accounting data'!$J$2:$J$37002,"26*",'Accounting data'!$K$2:$K$37002,"67*")</f>
        <v>0</v>
      </c>
    </row>
    <row r="1295" spans="1:5" x14ac:dyDescent="0.3">
      <c r="A1295" s="519" t="s">
        <v>992</v>
      </c>
      <c r="B1295" s="517" t="s">
        <v>993</v>
      </c>
      <c r="C1295" s="517">
        <v>2600</v>
      </c>
      <c r="D1295" s="517">
        <v>6000</v>
      </c>
      <c r="E1295" s="518">
        <f>SUMIFS('Accounting data'!$G$2:$G$37002,'Accounting data'!$H$2:$H$37002,"9999*",'Accounting data'!$I$2:$I$37002,"7*",'Accounting data'!$J$2:$J$37002,"26*",'Accounting data'!$K$2:$K$37002,"6*")+SUMIFS('Accounting data'!$G$2:$G$37002,'Accounting data'!$H$2:$H$37002,"9999*",'Accounting data'!$I$2:$I$37002,"8*",'Accounting data'!$J$2:$J$37002,"26*",'Accounting data'!$K$2:$K$37002,"6*")+SUMIFS('Accounting data'!$G$2:$G$37002,'Accounting data'!$H$2:$H$37002,"9999*",'Accounting data'!$I$2:$I$37002,"9*",'Accounting data'!$J$2:$J$37002,"26*",'Accounting data'!$K$2:$K$37002,"6*")</f>
        <v>0</v>
      </c>
    </row>
    <row r="1297" spans="1:5" x14ac:dyDescent="0.3">
      <c r="A1297" s="519" t="s">
        <v>992</v>
      </c>
      <c r="B1297" s="517" t="s">
        <v>993</v>
      </c>
      <c r="C1297" s="517">
        <v>2600</v>
      </c>
      <c r="D1297" s="517">
        <v>6900</v>
      </c>
      <c r="E1297" s="518">
        <f>SUMIFS('Accounting data'!$G$2:$G$37002,'Accounting data'!$H$2:$H$37002,"9999*",'Accounting data'!$I$2:$I$37002,"7*",'Accounting data'!$J$2:$J$37002,"26*",'Accounting data'!$K$2:$K$37002,"69*")+SUMIFS('Accounting data'!$G$2:$G$37002,'Accounting data'!$H$2:$H$37002,"9999*",'Accounting data'!$I$2:$I$37002,"8*",'Accounting data'!$J$2:$J$37002,"26*",'Accounting data'!$K$2:$K$37002,"69*")+SUMIFS('Accounting data'!$G$2:$G$37002,'Accounting data'!$H$2:$H$37002,"9999*",'Accounting data'!$I$2:$I$37002,"9*",'Accounting data'!$J$2:$J$37002,"26*",'Accounting data'!$K$2:$K$37002,"69*")</f>
        <v>0</v>
      </c>
    </row>
    <row r="1298" spans="1:5" x14ac:dyDescent="0.3">
      <c r="A1298" s="517"/>
      <c r="B1298" s="517"/>
      <c r="C1298" s="517"/>
      <c r="D1298" s="517"/>
      <c r="E1298" s="518"/>
    </row>
    <row r="1299" spans="1:5" x14ac:dyDescent="0.3">
      <c r="A1299" s="519" t="s">
        <v>992</v>
      </c>
      <c r="B1299" s="517" t="s">
        <v>993</v>
      </c>
      <c r="C1299" s="517">
        <v>2600</v>
      </c>
      <c r="D1299" s="526">
        <v>6700</v>
      </c>
      <c r="E1299" s="518">
        <f>SUMIFS('Accounting data'!$G$2:$G$37002,'Accounting data'!$H$2:$H$37002,"9999*",'Accounting data'!$I$2:$I$37002,"7*",'Accounting data'!$J$2:$J$37002,"26*",'Accounting data'!$K$2:$K$37002,"67*")+SUMIFS('Accounting data'!$G$2:$G$37002,'Accounting data'!$H$2:$H$37002,"9999*",'Accounting data'!$I$2:$I$37002,"8*",'Accounting data'!$J$2:$J$37002,"26*",'Accounting data'!$K$2:$K$37002,"67*")+SUMIFS('Accounting data'!$G$2:$G$37002,'Accounting data'!$H$2:$H$37002,"9999*",'Accounting data'!$I$2:$I$37002,"9*",'Accounting data'!$J$2:$J$37002,"26*",'Accounting data'!$K$2:$K$37002,"67*")</f>
        <v>0</v>
      </c>
    </row>
    <row r="1300" spans="1:5" x14ac:dyDescent="0.3">
      <c r="A1300" s="519"/>
      <c r="B1300" s="517"/>
      <c r="C1300" s="517"/>
      <c r="D1300" s="526"/>
      <c r="E1300" s="518"/>
    </row>
    <row r="1301" spans="1:5" x14ac:dyDescent="0.3">
      <c r="A1301" s="519"/>
      <c r="B1301" s="517"/>
      <c r="C1301" s="517"/>
      <c r="D1301" s="526"/>
      <c r="E1301" s="518"/>
    </row>
    <row r="1302" spans="1:5" x14ac:dyDescent="0.3">
      <c r="A1302" s="520" t="s">
        <v>1095</v>
      </c>
      <c r="B1302" s="520"/>
      <c r="C1302" s="520"/>
      <c r="D1302" s="520"/>
      <c r="E1302" s="522">
        <f>(E1292-E1293-E1294)-((E1295+E1296)-(E1297+E1298))-(E1299+E1300+E1301)</f>
        <v>0</v>
      </c>
    </row>
    <row r="1303" spans="1:5" x14ac:dyDescent="0.3">
      <c r="A1303" s="517" t="s">
        <v>991</v>
      </c>
      <c r="B1303" s="517" t="s">
        <v>993</v>
      </c>
      <c r="C1303" s="517">
        <v>3100</v>
      </c>
      <c r="D1303" s="517">
        <v>6000</v>
      </c>
      <c r="E1303" s="518">
        <f>SUMIFS('Accounting data'!$G$2:$G$37002,'Accounting data'!$I$2:$I$37002,"7*",'Accounting data'!$J$2:$J$37002,"31*",'Accounting data'!$K$2:$K$37002,"6*")+SUMIFS('Accounting data'!$G$2:$G$37002,'Accounting data'!$I$2:$I$37002,"8*",'Accounting data'!$J$2:$J$37002,"31*",'Accounting data'!$K$2:$K$37002,"6*")+SUMIFS('Accounting data'!$G$2:$G$37002,'Accounting data'!$I$2:$I$37002,"9*",'Accounting data'!$J$2:$J$37002,"31*",'Accounting data'!$K$2:$K$37002,"6*")</f>
        <v>0</v>
      </c>
    </row>
    <row r="1304" spans="1:5" x14ac:dyDescent="0.3">
      <c r="A1304" s="517" t="s">
        <v>991</v>
      </c>
      <c r="B1304" s="517" t="s">
        <v>993</v>
      </c>
      <c r="C1304" s="517">
        <v>3100</v>
      </c>
      <c r="D1304" s="517">
        <v>6900</v>
      </c>
      <c r="E1304" s="518">
        <f>SUMIFS('Accounting data'!$G$2:$G$37002,'Accounting data'!$I$2:$I$37002,"7*",'Accounting data'!$J$2:$J$37002,"31*",'Accounting data'!$K$2:$K$37002,"69*")+SUMIFS('Accounting data'!$G$2:$G$37002,'Accounting data'!$I$2:$I$37002,"8*",'Accounting data'!$J$2:$J$37002,"31*",'Accounting data'!$K$2:$K$37002,"69*")+SUMIFS('Accounting data'!$G$2:$G$37002,'Accounting data'!$I$2:$I$37002,"9*",'Accounting data'!$J$2:$J$37002,"31*",'Accounting data'!$K$2:$K$37002,"69*")</f>
        <v>0</v>
      </c>
    </row>
    <row r="1305" spans="1:5" x14ac:dyDescent="0.3">
      <c r="A1305" s="517" t="s">
        <v>991</v>
      </c>
      <c r="B1305" s="517" t="s">
        <v>993</v>
      </c>
      <c r="C1305" s="517">
        <v>3100</v>
      </c>
      <c r="D1305" s="526">
        <v>6700</v>
      </c>
      <c r="E1305" s="518">
        <f>SUMIFS('Accounting data'!$G$2:$G$37002,'Accounting data'!$I$2:$I$37002,"7*",'Accounting data'!$J$2:$J$37002,"31*",'Accounting data'!$K$2:$K$37002,"67*")+SUMIFS('Accounting data'!$G$2:$G$37002,'Accounting data'!$I$2:$I$37002,"8*",'Accounting data'!$J$2:$J$37002,"31*",'Accounting data'!$K$2:$K$37002,"67*")+SUMIFS('Accounting data'!$G$2:$G$37002,'Accounting data'!$I$2:$I$37002,"9*",'Accounting data'!$J$2:$J$37002,"31*",'Accounting data'!$K$2:$K$37002,"67*")</f>
        <v>0</v>
      </c>
    </row>
    <row r="1306" spans="1:5" x14ac:dyDescent="0.3">
      <c r="A1306" s="519" t="s">
        <v>992</v>
      </c>
      <c r="B1306" s="517" t="s">
        <v>993</v>
      </c>
      <c r="C1306" s="517">
        <v>3100</v>
      </c>
      <c r="D1306" s="517">
        <v>6000</v>
      </c>
      <c r="E1306" s="518">
        <f>SUMIFS('Accounting data'!$G$2:$G$37002,'Accounting data'!$H$2:$H$37002,"9999*",'Accounting data'!$I$2:$I$37002,"7*",'Accounting data'!$J$2:$J$37002,"31*",'Accounting data'!$K$2:$K$37002,"6*")+SUMIFS('Accounting data'!$G$2:$G$37002,'Accounting data'!$H$2:$H$37002,"9999*",'Accounting data'!$I$2:$I$37002,"8*",'Accounting data'!$J$2:$J$37002,"31*",'Accounting data'!$K$2:$K$37002,"6*")+SUMIFS('Accounting data'!$G$2:$G$37002,'Accounting data'!$H$2:$H$37002,"9999*",'Accounting data'!$I$2:$I$37002,"9*",'Accounting data'!$J$2:$J$37002,"31*",'Accounting data'!$K$2:$K$37002,"6*")</f>
        <v>0</v>
      </c>
    </row>
    <row r="1307" spans="1:5" x14ac:dyDescent="0.3">
      <c r="A1307" s="517"/>
      <c r="B1307" s="517"/>
      <c r="C1307" s="517"/>
      <c r="D1307" s="517"/>
      <c r="E1307" s="518"/>
    </row>
    <row r="1308" spans="1:5" x14ac:dyDescent="0.3">
      <c r="A1308" s="519" t="s">
        <v>992</v>
      </c>
      <c r="B1308" s="517" t="s">
        <v>993</v>
      </c>
      <c r="C1308" s="517">
        <v>3100</v>
      </c>
      <c r="D1308" s="517">
        <v>6900</v>
      </c>
      <c r="E1308" s="518">
        <f>SUMIFS('Accounting data'!$G$2:$G$37002,'Accounting data'!$H$2:$H$37002,"9999*",'Accounting data'!$I$2:$I$37002,"7*",'Accounting data'!$J$2:$J$37002,"31*",'Accounting data'!$K$2:$K$37002,"69*")+SUMIFS('Accounting data'!$G$2:$G$37002,'Accounting data'!$H$2:$H$37002,"9999*",'Accounting data'!$I$2:$I$37002,"8*",'Accounting data'!$J$2:$J$37002,"31*",'Accounting data'!$K$2:$K$37002,"69*")+SUMIFS('Accounting data'!$G$2:$G$37002,'Accounting data'!$H$2:$H$37002,"9999*",'Accounting data'!$I$2:$I$37002,"9*",'Accounting data'!$J$2:$J$37002,"31*",'Accounting data'!$K$2:$K$37002,"69*")</f>
        <v>0</v>
      </c>
    </row>
    <row r="1309" spans="1:5" x14ac:dyDescent="0.3">
      <c r="A1309" s="517"/>
      <c r="B1309" s="517"/>
      <c r="C1309" s="517"/>
      <c r="D1309" s="517"/>
      <c r="E1309" s="518"/>
    </row>
    <row r="1310" spans="1:5" x14ac:dyDescent="0.3">
      <c r="A1310" s="519" t="s">
        <v>992</v>
      </c>
      <c r="B1310" s="517" t="s">
        <v>993</v>
      </c>
      <c r="C1310" s="517">
        <v>3100</v>
      </c>
      <c r="D1310" s="526">
        <v>6700</v>
      </c>
      <c r="E1310" s="518">
        <f>SUMIFS('Accounting data'!$G$2:$G$37002,'Accounting data'!$H$2:$H$37002,"9999*",'Accounting data'!$I$2:$I$37002,"7*",'Accounting data'!$J$2:$J$37002,"31*",'Accounting data'!$K$2:$K$37002,"67*")+SUMIFS('Accounting data'!$G$2:$G$37002,'Accounting data'!$H$2:$H$37002,"9999*",'Accounting data'!$I$2:$I$37002,"8*",'Accounting data'!$J$2:$J$37002,"31*",'Accounting data'!$K$2:$K$37002,"67*")+SUMIFS('Accounting data'!$G$2:$G$37002,'Accounting data'!$H$2:$H$37002,"9999*",'Accounting data'!$I$2:$I$37002,"9*",'Accounting data'!$J$2:$J$37002,"31*",'Accounting data'!$K$2:$K$37002,"67*")</f>
        <v>0</v>
      </c>
    </row>
    <row r="1313" spans="1:5" x14ac:dyDescent="0.3">
      <c r="A1313" s="520" t="s">
        <v>1096</v>
      </c>
      <c r="B1313" s="520"/>
      <c r="C1313" s="520"/>
      <c r="D1313" s="520"/>
      <c r="E1313" s="522">
        <f>(E1303-E1304-E1305)-((E1306+E1307)-(E1308+E1309))-(E1310+E1311+E1312)</f>
        <v>0</v>
      </c>
    </row>
    <row r="1314" spans="1:5" x14ac:dyDescent="0.3">
      <c r="A1314" s="517"/>
      <c r="B1314" s="517"/>
      <c r="C1314" s="517"/>
      <c r="D1314" s="517"/>
      <c r="E1314" s="518"/>
    </row>
    <row r="1315" spans="1:5" x14ac:dyDescent="0.3">
      <c r="A1315" s="517"/>
      <c r="B1315" s="517"/>
      <c r="C1315" s="517"/>
      <c r="D1315" s="517"/>
      <c r="E1315" s="518"/>
    </row>
    <row r="1316" spans="1:5" x14ac:dyDescent="0.3">
      <c r="A1316" s="517"/>
      <c r="B1316" s="517"/>
      <c r="C1316" s="517"/>
      <c r="D1316" s="526"/>
      <c r="E1316" s="518"/>
    </row>
    <row r="1317" spans="1:5" x14ac:dyDescent="0.3">
      <c r="A1317" s="519"/>
      <c r="B1317" s="517"/>
      <c r="C1317" s="517"/>
      <c r="D1317" s="517"/>
      <c r="E1317" s="518"/>
    </row>
    <row r="1318" spans="1:5" x14ac:dyDescent="0.3">
      <c r="A1318" s="517"/>
      <c r="B1318" s="517"/>
      <c r="C1318" s="517"/>
      <c r="D1318" s="517"/>
      <c r="E1318" s="518"/>
    </row>
    <row r="1319" spans="1:5" x14ac:dyDescent="0.3">
      <c r="A1319" s="519"/>
      <c r="B1319" s="517"/>
      <c r="C1319" s="517"/>
      <c r="D1319" s="517"/>
      <c r="E1319" s="518"/>
    </row>
    <row r="1320" spans="1:5" x14ac:dyDescent="0.3">
      <c r="A1320" s="517"/>
      <c r="B1320" s="517"/>
      <c r="C1320" s="517"/>
      <c r="D1320" s="517"/>
      <c r="E1320" s="518"/>
    </row>
    <row r="1321" spans="1:5" x14ac:dyDescent="0.3">
      <c r="A1321" s="519"/>
      <c r="B1321" s="517"/>
      <c r="C1321" s="517"/>
      <c r="D1321" s="526"/>
      <c r="E1321" s="518"/>
    </row>
    <row r="1322" spans="1:5" x14ac:dyDescent="0.3">
      <c r="A1322" s="519"/>
      <c r="B1322" s="517"/>
      <c r="C1322" s="517"/>
      <c r="D1322" s="526"/>
      <c r="E1322" s="518"/>
    </row>
    <row r="1323" spans="1:5" x14ac:dyDescent="0.3">
      <c r="A1323" s="519"/>
      <c r="B1323" s="517"/>
      <c r="C1323" s="517"/>
      <c r="D1323" s="526"/>
      <c r="E1323" s="518"/>
    </row>
    <row r="1324" spans="1:5" x14ac:dyDescent="0.3">
      <c r="A1324" s="520"/>
      <c r="B1324" s="520"/>
      <c r="C1324" s="520"/>
      <c r="D1324" s="520"/>
      <c r="E1324" s="522"/>
    </row>
    <row r="1325" spans="1:5" x14ac:dyDescent="0.3">
      <c r="A1325" s="517" t="s">
        <v>991</v>
      </c>
      <c r="B1325" s="517" t="s">
        <v>993</v>
      </c>
      <c r="C1325" s="517">
        <v>3300</v>
      </c>
      <c r="D1325" s="517">
        <v>6000</v>
      </c>
      <c r="E1325" s="518">
        <f>SUMIFS('Accounting data'!$G$2:$G$37002,'Accounting data'!$I$2:$I$37002,"7*",'Accounting data'!$J$2:$J$37002,"33*",'Accounting data'!$K$2:$K$37002,"6*")+SUMIFS('Accounting data'!$G$2:$G$37002,'Accounting data'!$I$2:$I$37002,"8*",'Accounting data'!$J$2:$J$37002,"33*",'Accounting data'!$K$2:$K$37002,"6*")+SUMIFS('Accounting data'!$G$2:$G$37002,'Accounting data'!$I$2:$I$37002,"9*",'Accounting data'!$J$2:$J$37002,"33*",'Accounting data'!$K$2:$K$37002,"6*")</f>
        <v>0</v>
      </c>
    </row>
    <row r="1326" spans="1:5" x14ac:dyDescent="0.3">
      <c r="A1326" s="517" t="s">
        <v>991</v>
      </c>
      <c r="B1326" s="517" t="s">
        <v>993</v>
      </c>
      <c r="C1326" s="517">
        <v>3300</v>
      </c>
      <c r="D1326" s="517">
        <v>6900</v>
      </c>
      <c r="E1326" s="518">
        <f>SUMIFS('Accounting data'!$G$2:$G$37002,'Accounting data'!$I$2:$I$37002,"7*",'Accounting data'!$J$2:$J$37002,"33*",'Accounting data'!$K$2:$K$37002,"69*")+SUMIFS('Accounting data'!$G$2:$G$37002,'Accounting data'!$I$2:$I$37002,"8*",'Accounting data'!$J$2:$J$37002,"33*",'Accounting data'!$K$2:$K$37002,"69*")+SUMIFS('Accounting data'!$G$2:$G$37002,'Accounting data'!$I$2:$I$37002,"9*",'Accounting data'!$J$2:$J$37002,"33*",'Accounting data'!$K$2:$K$37002,"69*")</f>
        <v>0</v>
      </c>
    </row>
    <row r="1327" spans="1:5" x14ac:dyDescent="0.3">
      <c r="A1327" s="517" t="s">
        <v>991</v>
      </c>
      <c r="B1327" s="517" t="s">
        <v>993</v>
      </c>
      <c r="C1327" s="517">
        <v>3300</v>
      </c>
      <c r="D1327" s="526">
        <v>6700</v>
      </c>
      <c r="E1327" s="518">
        <f>SUMIFS('Accounting data'!$G$2:$G$37002,'Accounting data'!$I$2:$I$37002,"7*",'Accounting data'!$J$2:$J$37002,"33*",'Accounting data'!$K$2:$K$37002,"67*")+SUMIFS('Accounting data'!$G$2:$G$37002,'Accounting data'!$I$2:$I$37002,"8*",'Accounting data'!$J$2:$J$37002,"33*",'Accounting data'!$K$2:$K$37002,"67*")+SUMIFS('Accounting data'!$G$2:$G$37002,'Accounting data'!$I$2:$I$37002,"9*",'Accounting data'!$J$2:$J$37002,"33*",'Accounting data'!$K$2:$K$37002,"67*")</f>
        <v>0</v>
      </c>
    </row>
    <row r="1328" spans="1:5" x14ac:dyDescent="0.3">
      <c r="A1328" s="519" t="s">
        <v>992</v>
      </c>
      <c r="B1328" s="517" t="s">
        <v>993</v>
      </c>
      <c r="C1328" s="517">
        <v>3300</v>
      </c>
      <c r="D1328" s="517">
        <v>6000</v>
      </c>
      <c r="E1328" s="518">
        <f>SUMIFS('Accounting data'!$G$2:$G$37002,'Accounting data'!$H$2:$H$37002,"9999*",'Accounting data'!$I$2:$I$37002,"7*",'Accounting data'!$J$2:$J$37002,"33*",'Accounting data'!$K$2:$K$37002,"6*")+SUMIFS('Accounting data'!$G$2:$G$37002,'Accounting data'!$H$2:$H$37002,"9999*",'Accounting data'!$I$2:$I$37002,"8*",'Accounting data'!$J$2:$J$37002,"33*",'Accounting data'!$K$2:$K$37002,"6*")+SUMIFS('Accounting data'!$G$2:$G$37002,'Accounting data'!$H$2:$H$37002,"9999*",'Accounting data'!$I$2:$I$37002,"9*",'Accounting data'!$J$2:$J$37002,"33*",'Accounting data'!$K$2:$K$37002,"6*")</f>
        <v>0</v>
      </c>
    </row>
    <row r="1330" spans="1:5" x14ac:dyDescent="0.3">
      <c r="A1330" s="519" t="s">
        <v>992</v>
      </c>
      <c r="B1330" s="517" t="s">
        <v>993</v>
      </c>
      <c r="C1330" s="517">
        <v>3300</v>
      </c>
      <c r="D1330" s="517">
        <v>6900</v>
      </c>
      <c r="E1330" s="518">
        <f>SUMIFS('Accounting data'!$G$2:$G$37002,'Accounting data'!$H$2:$H$37002,"9999*",'Accounting data'!$I$2:$I$37002,"7*",'Accounting data'!$J$2:$J$37002,"33*",'Accounting data'!$K$2:$K$37002,"69*")+SUMIFS('Accounting data'!$G$2:$G$37002,'Accounting data'!$H$2:$H$37002,"9999*",'Accounting data'!$I$2:$I$37002,"8*",'Accounting data'!$J$2:$J$37002,"33*",'Accounting data'!$K$2:$K$37002,"69*")+SUMIFS('Accounting data'!$G$2:$G$37002,'Accounting data'!$H$2:$H$37002,"9999*",'Accounting data'!$I$2:$I$37002,"9*",'Accounting data'!$J$2:$J$37002,"33*",'Accounting data'!$K$2:$K$37002,"69*")</f>
        <v>0</v>
      </c>
    </row>
    <row r="1331" spans="1:5" x14ac:dyDescent="0.3">
      <c r="A1331" s="517"/>
      <c r="B1331" s="517"/>
      <c r="C1331" s="517"/>
      <c r="D1331" s="517"/>
      <c r="E1331" s="518"/>
    </row>
    <row r="1332" spans="1:5" x14ac:dyDescent="0.3">
      <c r="A1332" s="519" t="s">
        <v>992</v>
      </c>
      <c r="B1332" s="517" t="s">
        <v>993</v>
      </c>
      <c r="C1332" s="517">
        <v>3300</v>
      </c>
      <c r="D1332" s="526">
        <v>6700</v>
      </c>
      <c r="E1332" s="518">
        <f>SUMIFS('Accounting data'!$G$2:$G$37002,'Accounting data'!$H$2:$H$37002,"9999*",'Accounting data'!$I$2:$I$37002,"7*",'Accounting data'!$J$2:$J$37002,"33*",'Accounting data'!$K$2:$K$37002,"67*")+SUMIFS('Accounting data'!$G$2:$G$37002,'Accounting data'!$H$2:$H$37002,"9999*",'Accounting data'!$I$2:$I$37002,"8*",'Accounting data'!$J$2:$J$37002,"33*",'Accounting data'!$K$2:$K$37002,"67*")+SUMIFS('Accounting data'!$G$2:$G$37002,'Accounting data'!$H$2:$H$37002,"9999*",'Accounting data'!$I$2:$I$37002,"9*",'Accounting data'!$J$2:$J$37002,"33*",'Accounting data'!$K$2:$K$37002,"67*")</f>
        <v>0</v>
      </c>
    </row>
    <row r="1333" spans="1:5" x14ac:dyDescent="0.3">
      <c r="A1333" s="519"/>
      <c r="B1333" s="517"/>
      <c r="C1333" s="517"/>
      <c r="D1333" s="526"/>
      <c r="E1333" s="518"/>
    </row>
    <row r="1334" spans="1:5" x14ac:dyDescent="0.3">
      <c r="A1334" s="519"/>
      <c r="B1334" s="517"/>
      <c r="C1334" s="517"/>
      <c r="D1334" s="526"/>
      <c r="E1334" s="518"/>
    </row>
    <row r="1335" spans="1:5" x14ac:dyDescent="0.3">
      <c r="A1335" s="520" t="s">
        <v>1097</v>
      </c>
      <c r="B1335" s="520"/>
      <c r="C1335" s="520"/>
      <c r="D1335" s="520"/>
      <c r="E1335" s="522">
        <f>(E1325-E1326-E1327)-((E1328+E1329)-(E1330+E1331))-(E1332+E1333+E1334)</f>
        <v>0</v>
      </c>
    </row>
    <row r="1336" spans="1:5" x14ac:dyDescent="0.3">
      <c r="A1336" s="517" t="s">
        <v>991</v>
      </c>
      <c r="B1336" s="517" t="s">
        <v>993</v>
      </c>
      <c r="C1336" s="517">
        <v>3400</v>
      </c>
      <c r="D1336" s="517">
        <v>6000</v>
      </c>
      <c r="E1336" s="518">
        <f>SUMIFS('Accounting data'!$G$2:$G$37002,'Accounting data'!$I$2:$I$37002,"7*",'Accounting data'!$J$2:$J$37002,"34*",'Accounting data'!$K$2:$K$37002,"6*")+SUMIFS('Accounting data'!$G$2:$G$37002,'Accounting data'!$I$2:$I$37002,"8*",'Accounting data'!$J$2:$J$37002,"34*",'Accounting data'!$K$2:$K$37002,"6*")+SUMIFS('Accounting data'!$G$2:$G$37002,'Accounting data'!$I$2:$I$37002,"9*",'Accounting data'!$J$2:$J$37002,"34*",'Accounting data'!$K$2:$K$37002,"6*")</f>
        <v>0</v>
      </c>
    </row>
    <row r="1337" spans="1:5" x14ac:dyDescent="0.3">
      <c r="A1337" s="517" t="s">
        <v>991</v>
      </c>
      <c r="B1337" s="517" t="s">
        <v>993</v>
      </c>
      <c r="C1337" s="517">
        <v>3400</v>
      </c>
      <c r="D1337" s="517">
        <v>6900</v>
      </c>
      <c r="E1337" s="518">
        <f>SUMIFS('Accounting data'!$G$2:$G$37002,'Accounting data'!$I$2:$I$37002,"7*",'Accounting data'!$J$2:$J$37002,"34*",'Accounting data'!$K$2:$K$37002,"69*")+SUMIFS('Accounting data'!$G$2:$G$37002,'Accounting data'!$I$2:$I$37002,"8*",'Accounting data'!$J$2:$J$37002,"34*",'Accounting data'!$K$2:$K$37002,"69*")+SUMIFS('Accounting data'!$G$2:$G$37002,'Accounting data'!$I$2:$I$37002,"9*",'Accounting data'!$J$2:$J$37002,"34*",'Accounting data'!$K$2:$K$37002,"69*")</f>
        <v>0</v>
      </c>
    </row>
    <row r="1338" spans="1:5" x14ac:dyDescent="0.3">
      <c r="A1338" s="517" t="s">
        <v>991</v>
      </c>
      <c r="B1338" s="517" t="s">
        <v>993</v>
      </c>
      <c r="C1338" s="517">
        <v>3400</v>
      </c>
      <c r="D1338" s="526">
        <v>6700</v>
      </c>
      <c r="E1338" s="518">
        <f>SUMIFS('Accounting data'!$G$2:$G$37002,'Accounting data'!$I$2:$I$37002,"7*",'Accounting data'!$J$2:$J$37002,"34*",'Accounting data'!$K$2:$K$37002,"67*")+SUMIFS('Accounting data'!$G$2:$G$37002,'Accounting data'!$I$2:$I$37002,"8*",'Accounting data'!$J$2:$J$37002,"34*",'Accounting data'!$K$2:$K$37002,"67*")+SUMIFS('Accounting data'!$G$2:$G$37002,'Accounting data'!$I$2:$I$37002,"9*",'Accounting data'!$J$2:$J$37002,"34*",'Accounting data'!$K$2:$K$37002,"67*")</f>
        <v>0</v>
      </c>
    </row>
    <row r="1339" spans="1:5" x14ac:dyDescent="0.3">
      <c r="A1339" s="519" t="s">
        <v>992</v>
      </c>
      <c r="B1339" s="517" t="s">
        <v>993</v>
      </c>
      <c r="C1339" s="517">
        <v>3400</v>
      </c>
      <c r="D1339" s="517">
        <v>6000</v>
      </c>
      <c r="E1339" s="518">
        <f>SUMIFS('Accounting data'!$G$2:$G$37002,'Accounting data'!$H$2:$H$37002,"9999*",'Accounting data'!$I$2:$I$37002,"7*",'Accounting data'!$J$2:$J$37002,"34*",'Accounting data'!$K$2:$K$37002,"6*")+SUMIFS('Accounting data'!$G$2:$G$37002,'Accounting data'!$H$2:$H$37002,"9999*",'Accounting data'!$I$2:$I$37002,"8*",'Accounting data'!$J$2:$J$37002,"34*",'Accounting data'!$K$2:$K$37002,"6*")+SUMIFS('Accounting data'!$G$2:$G$37002,'Accounting data'!$H$2:$H$37002,"9999*",'Accounting data'!$I$2:$I$37002,"9*",'Accounting data'!$J$2:$J$37002,"34*",'Accounting data'!$K$2:$K$37002,"6*")</f>
        <v>0</v>
      </c>
    </row>
    <row r="1340" spans="1:5" x14ac:dyDescent="0.3">
      <c r="A1340" s="517"/>
      <c r="B1340" s="517"/>
      <c r="C1340" s="517"/>
      <c r="D1340" s="517"/>
      <c r="E1340" s="518"/>
    </row>
    <row r="1341" spans="1:5" x14ac:dyDescent="0.3">
      <c r="A1341" s="519" t="s">
        <v>992</v>
      </c>
      <c r="B1341" s="517" t="s">
        <v>993</v>
      </c>
      <c r="C1341" s="517">
        <v>3400</v>
      </c>
      <c r="D1341" s="517">
        <v>6900</v>
      </c>
      <c r="E1341" s="518">
        <f>SUMIFS('Accounting data'!$G$2:$G$37002,'Accounting data'!$H$2:$H$37002,"9999*",'Accounting data'!$I$2:$I$37002,"7*",'Accounting data'!$J$2:$J$37002,"34*",'Accounting data'!$K$2:$K$37002,"69*")+SUMIFS('Accounting data'!$G$2:$G$37002,'Accounting data'!$H$2:$H$37002,"9999*",'Accounting data'!$I$2:$I$37002,"8*",'Accounting data'!$J$2:$J$37002,"34*",'Accounting data'!$K$2:$K$37002,"69*")+SUMIFS('Accounting data'!$G$2:$G$37002,'Accounting data'!$H$2:$H$37002,"9999*",'Accounting data'!$I$2:$I$37002,"9*",'Accounting data'!$J$2:$J$37002,"34*",'Accounting data'!$K$2:$K$37002,"69*")</f>
        <v>0</v>
      </c>
    </row>
    <row r="1342" spans="1:5" x14ac:dyDescent="0.3">
      <c r="A1342" s="517"/>
      <c r="B1342" s="517"/>
      <c r="C1342" s="517"/>
      <c r="D1342" s="517"/>
      <c r="E1342" s="518"/>
    </row>
    <row r="1343" spans="1:5" x14ac:dyDescent="0.3">
      <c r="A1343" s="519" t="s">
        <v>992</v>
      </c>
      <c r="B1343" s="517" t="s">
        <v>993</v>
      </c>
      <c r="C1343" s="517">
        <v>3400</v>
      </c>
      <c r="D1343" s="526">
        <v>6700</v>
      </c>
      <c r="E1343" s="518">
        <f>SUMIFS('Accounting data'!$G$2:$G$37002,'Accounting data'!$H$2:$H$37002,"9999*",'Accounting data'!$I$2:$I$37002,"7*",'Accounting data'!$J$2:$J$37002,"34*",'Accounting data'!$K$2:$K$37002,"67*")+SUMIFS('Accounting data'!$G$2:$G$37002,'Accounting data'!$H$2:$H$37002,"9999*",'Accounting data'!$I$2:$I$37002,"8*",'Accounting data'!$J$2:$J$37002,"34*",'Accounting data'!$K$2:$K$37002,"67*")+SUMIFS('Accounting data'!$G$2:$G$37002,'Accounting data'!$H$2:$H$37002,"9999*",'Accounting data'!$I$2:$I$37002,"9*",'Accounting data'!$J$2:$J$37002,"34*",'Accounting data'!$K$2:$K$37002,"67*")</f>
        <v>0</v>
      </c>
    </row>
    <row r="1346" spans="1:5" x14ac:dyDescent="0.3">
      <c r="A1346" s="520" t="s">
        <v>1098</v>
      </c>
      <c r="B1346" s="520"/>
      <c r="C1346" s="520"/>
      <c r="D1346" s="520"/>
      <c r="E1346" s="522">
        <f>(E1336-E1337-E1338)-((E1339+E1340)-(E1341+E1342))-(E1343+E1344+E1345)</f>
        <v>0</v>
      </c>
    </row>
    <row r="1347" spans="1:5" x14ac:dyDescent="0.3">
      <c r="A1347" s="517" t="s">
        <v>991</v>
      </c>
      <c r="B1347" s="517" t="s">
        <v>993</v>
      </c>
      <c r="C1347" s="517">
        <v>4000</v>
      </c>
      <c r="D1347" s="517">
        <v>6000</v>
      </c>
      <c r="E1347" s="518">
        <f>SUMIFS('Accounting data'!$G$2:$G$37002,'Accounting data'!$I$2:$I$37002,"7*",'Accounting data'!$J$2:$J$37002,"4*",'Accounting data'!$K$2:$K$37002,"6*")+SUMIFS('Accounting data'!$G$2:$G$37002,'Accounting data'!$I$2:$I$37002,"8*",'Accounting data'!$J$2:$J$37002,"4*",'Accounting data'!$K$2:$K$37002,"6*")+SUMIFS('Accounting data'!$G$2:$G$37002,'Accounting data'!$I$2:$I$37002,"9*",'Accounting data'!$J$2:$J$37002,"4*",'Accounting data'!$K$2:$K$37002,"6*")</f>
        <v>0</v>
      </c>
    </row>
    <row r="1348" spans="1:5" x14ac:dyDescent="0.3">
      <c r="A1348" s="517" t="s">
        <v>991</v>
      </c>
      <c r="B1348" s="517" t="s">
        <v>993</v>
      </c>
      <c r="C1348" s="517">
        <v>4000</v>
      </c>
      <c r="D1348" s="517">
        <v>6900</v>
      </c>
      <c r="E1348" s="518">
        <f>SUMIFS('Accounting data'!$G$2:$G$37002,'Accounting data'!$I$2:$I$37002,"7*",'Accounting data'!$J$2:$J$37002,"4*",'Accounting data'!$K$2:$K$37002,"69*")+SUMIFS('Accounting data'!$G$2:$G$37002,'Accounting data'!$I$2:$I$37002,"8*",'Accounting data'!$J$2:$J$37002,"4*",'Accounting data'!$K$2:$K$37002,"69*")+SUMIFS('Accounting data'!$G$2:$G$37002,'Accounting data'!$I$2:$I$37002,"9*",'Accounting data'!$J$2:$J$37002,"4*",'Accounting data'!$K$2:$K$37002,"69*")</f>
        <v>0</v>
      </c>
    </row>
    <row r="1349" spans="1:5" x14ac:dyDescent="0.3">
      <c r="A1349" s="517" t="s">
        <v>991</v>
      </c>
      <c r="B1349" s="517" t="s">
        <v>993</v>
      </c>
      <c r="C1349" s="517">
        <v>4000</v>
      </c>
      <c r="D1349" s="526">
        <v>6700</v>
      </c>
      <c r="E1349" s="518">
        <f>SUMIFS('Accounting data'!$G$2:$G$37002,'Accounting data'!$I$2:$I$37002,"7*",'Accounting data'!$J$2:$J$37002,"4*",'Accounting data'!$K$2:$K$37002,"67*")+SUMIFS('Accounting data'!$G$2:$G$37002,'Accounting data'!$I$2:$I$37002,"8*",'Accounting data'!$J$2:$J$37002,"4*",'Accounting data'!$K$2:$K$37002,"67*")+SUMIFS('Accounting data'!$G$2:$G$37002,'Accounting data'!$I$2:$I$37002,"9*",'Accounting data'!$J$2:$J$37002,"4*",'Accounting data'!$K$2:$K$37002,"67*")</f>
        <v>0</v>
      </c>
    </row>
    <row r="1350" spans="1:5" x14ac:dyDescent="0.3">
      <c r="A1350" s="519" t="s">
        <v>992</v>
      </c>
      <c r="B1350" s="517" t="s">
        <v>993</v>
      </c>
      <c r="C1350" s="517">
        <v>4000</v>
      </c>
      <c r="D1350" s="517">
        <v>6000</v>
      </c>
      <c r="E1350" s="518">
        <f>SUMIFS('Accounting data'!$G$2:$G$37002,'Accounting data'!$H$2:$H$37002,"9999*",'Accounting data'!$I$2:$I$37002,"7*",'Accounting data'!$J$2:$J$37002,"4*",'Accounting data'!$K$2:$K$37002,"6*")+SUMIFS('Accounting data'!$G$2:$G$37002,'Accounting data'!$H$2:$H$37002,"9999*",'Accounting data'!$I$2:$I$37002,"8*",'Accounting data'!$J$2:$J$37002,"4*",'Accounting data'!$K$2:$K$37002,"6*")+SUMIFS('Accounting data'!$G$2:$G$37002,'Accounting data'!$H$2:$H$37002,"9999*",'Accounting data'!$I$2:$I$37002,"9*",'Accounting data'!$J$2:$J$37002,"4*",'Accounting data'!$K$2:$K$37002,"6*")</f>
        <v>0</v>
      </c>
    </row>
    <row r="1351" spans="1:5" x14ac:dyDescent="0.3">
      <c r="A1351" s="517"/>
      <c r="B1351" s="517"/>
      <c r="C1351" s="517"/>
      <c r="D1351" s="517"/>
      <c r="E1351" s="518"/>
    </row>
    <row r="1352" spans="1:5" x14ac:dyDescent="0.3">
      <c r="A1352" s="519" t="s">
        <v>992</v>
      </c>
      <c r="B1352" s="517" t="s">
        <v>993</v>
      </c>
      <c r="C1352" s="517">
        <v>4000</v>
      </c>
      <c r="D1352" s="517">
        <v>6900</v>
      </c>
      <c r="E1352" s="518">
        <f>SUMIFS('Accounting data'!$G$2:$G$37002,'Accounting data'!$H$2:$H$37002,"9999*",'Accounting data'!$I$2:$I$37002,"7*",'Accounting data'!$J$2:$J$37002,"4*",'Accounting data'!$K$2:$K$37002,"69*")+SUMIFS('Accounting data'!$G$2:$G$37002,'Accounting data'!$H$2:$H$37002,"9999*",'Accounting data'!$I$2:$I$37002,"8*",'Accounting data'!$J$2:$J$37002,"4*",'Accounting data'!$K$2:$K$37002,"69*")+SUMIFS('Accounting data'!$G$2:$G$37002,'Accounting data'!$H$2:$H$37002,"9999*",'Accounting data'!$I$2:$I$37002,"9*",'Accounting data'!$J$2:$J$37002,"4*",'Accounting data'!$K$2:$K$37002,"69*")</f>
        <v>0</v>
      </c>
    </row>
    <row r="1353" spans="1:5" x14ac:dyDescent="0.3">
      <c r="A1353" s="517"/>
      <c r="B1353" s="517"/>
      <c r="C1353" s="517"/>
      <c r="D1353" s="517"/>
      <c r="E1353" s="518"/>
    </row>
    <row r="1354" spans="1:5" x14ac:dyDescent="0.3">
      <c r="A1354" s="519" t="s">
        <v>992</v>
      </c>
      <c r="B1354" s="517" t="s">
        <v>993</v>
      </c>
      <c r="C1354" s="517">
        <v>4000</v>
      </c>
      <c r="D1354" s="526">
        <v>6700</v>
      </c>
      <c r="E1354" s="518">
        <f>SUMIFS('Accounting data'!$G$2:$G$37002,'Accounting data'!$H$2:$H$37002,"9999*",'Accounting data'!$I$2:$I$37002,"7*",'Accounting data'!$J$2:$J$37002,"4*",'Accounting data'!$K$2:$K$37002,"67*")+SUMIFS('Accounting data'!$G$2:$G$37002,'Accounting data'!$H$2:$H$37002,"9999*",'Accounting data'!$I$2:$I$37002,"8*",'Accounting data'!$J$2:$J$37002,"4*",'Accounting data'!$K$2:$K$37002,"67*")+SUMIFS('Accounting data'!$G$2:$G$37002,'Accounting data'!$H$2:$H$37002,"9999*",'Accounting data'!$I$2:$I$37002,"9*",'Accounting data'!$J$2:$J$37002,"4*",'Accounting data'!$K$2:$K$37002,"67*")</f>
        <v>0</v>
      </c>
    </row>
    <row r="1355" spans="1:5" x14ac:dyDescent="0.3">
      <c r="A1355" s="519"/>
      <c r="B1355" s="517"/>
      <c r="C1355" s="517"/>
      <c r="D1355" s="526"/>
      <c r="E1355" s="518"/>
    </row>
    <row r="1356" spans="1:5" x14ac:dyDescent="0.3">
      <c r="A1356" s="519"/>
      <c r="B1356" s="517"/>
      <c r="C1356" s="517"/>
      <c r="D1356" s="526"/>
      <c r="E1356" s="518"/>
    </row>
    <row r="1357" spans="1:5" x14ac:dyDescent="0.3">
      <c r="A1357" s="520" t="s">
        <v>1099</v>
      </c>
      <c r="B1357" s="520"/>
      <c r="C1357" s="520"/>
      <c r="D1357" s="520"/>
      <c r="E1357" s="522">
        <f>(E1347-E1348-E1349)-((E1350+E1351)-(E1352+E1353))-(E1354+E1355+E1356)</f>
        <v>0</v>
      </c>
    </row>
    <row r="1358" spans="1:5" x14ac:dyDescent="0.3">
      <c r="A1358" s="517" t="s">
        <v>991</v>
      </c>
      <c r="B1358" s="517" t="s">
        <v>993</v>
      </c>
      <c r="C1358" s="517">
        <v>5000</v>
      </c>
      <c r="D1358" s="517">
        <v>6000</v>
      </c>
      <c r="E1358" s="518">
        <f>SUMIFS('Accounting data'!$G$2:$G$37002,'Accounting data'!$I$2:$I$37002,"7*",'Accounting data'!$J$2:$J$37002,"5*",'Accounting data'!$K$2:$K$37002,"6*")+SUMIFS('Accounting data'!$G$2:$G$37002,'Accounting data'!$I$2:$I$37002,"8*",'Accounting data'!$J$2:$J$37002,"5*",'Accounting data'!$K$2:$K$37002,"6*")+SUMIFS('Accounting data'!$G$2:$G$37002,'Accounting data'!$I$2:$I$37002,"9*",'Accounting data'!$J$2:$J$37002,"5*",'Accounting data'!$K$2:$K$37002,"6*")</f>
        <v>0</v>
      </c>
    </row>
    <row r="1359" spans="1:5" x14ac:dyDescent="0.3">
      <c r="A1359" s="517" t="s">
        <v>991</v>
      </c>
      <c r="B1359" s="517" t="s">
        <v>993</v>
      </c>
      <c r="C1359" s="517">
        <v>5000</v>
      </c>
      <c r="D1359" s="517">
        <v>6900</v>
      </c>
      <c r="E1359" s="518">
        <f>SUMIFS('Accounting data'!$G$2:$G$37002,'Accounting data'!$I$2:$I$37002,"7*",'Accounting data'!$J$2:$J$37002,"5*",'Accounting data'!$K$2:$K$37002,"69*")+SUMIFS('Accounting data'!$G$2:$G$37002,'Accounting data'!$I$2:$I$37002,"8*",'Accounting data'!$J$2:$J$37002,"5*",'Accounting data'!$K$2:$K$37002,"69*")+SUMIFS('Accounting data'!$G$2:$G$37002,'Accounting data'!$I$2:$I$37002,"9*",'Accounting data'!$J$2:$J$37002,"5*",'Accounting data'!$K$2:$K$37002,"69*")</f>
        <v>0</v>
      </c>
    </row>
    <row r="1360" spans="1:5" x14ac:dyDescent="0.3">
      <c r="A1360" s="517" t="s">
        <v>991</v>
      </c>
      <c r="B1360" s="517" t="s">
        <v>993</v>
      </c>
      <c r="C1360" s="517">
        <v>5000</v>
      </c>
      <c r="D1360" s="526">
        <v>6700</v>
      </c>
      <c r="E1360" s="518">
        <f>SUMIFS('Accounting data'!$G$2:$G$37002,'Accounting data'!$I$2:$I$37002,"7*",'Accounting data'!$J$2:$J$37002,"5*",'Accounting data'!$K$2:$K$37002,"67*")+SUMIFS('Accounting data'!$G$2:$G$37002,'Accounting data'!$I$2:$I$37002,"8*",'Accounting data'!$J$2:$J$37002,"5*",'Accounting data'!$K$2:$K$37002,"67*")+SUMIFS('Accounting data'!$G$2:$G$37002,'Accounting data'!$I$2:$I$37002,"9*",'Accounting data'!$J$2:$J$37002,"5*",'Accounting data'!$K$2:$K$37002,"67*")</f>
        <v>0</v>
      </c>
    </row>
    <row r="1361" spans="1:5" x14ac:dyDescent="0.3">
      <c r="A1361" s="519" t="s">
        <v>992</v>
      </c>
      <c r="B1361" s="517" t="s">
        <v>993</v>
      </c>
      <c r="C1361" s="517">
        <v>5000</v>
      </c>
      <c r="D1361" s="517">
        <v>6000</v>
      </c>
      <c r="E1361" s="518">
        <f>SUMIFS('Accounting data'!$G$2:$G$37002,'Accounting data'!$H$2:$H$37002,"9999*",'Accounting data'!$I$2:$I$37002,"7*",'Accounting data'!$J$2:$J$37002,"5*",'Accounting data'!$K$2:$K$37002,"6*")+SUMIFS('Accounting data'!$G$2:$G$37002,'Accounting data'!$H$2:$H$37002,"9999*",'Accounting data'!$I$2:$I$37002,"8*",'Accounting data'!$J$2:$J$37002,"5*",'Accounting data'!$K$2:$K$37002,"6*")+SUMIFS('Accounting data'!$G$2:$G$37002,'Accounting data'!$H$2:$H$37002,"9999*",'Accounting data'!$I$2:$I$37002,"9*",'Accounting data'!$J$2:$J$37002,"5*",'Accounting data'!$K$2:$K$37002,"6*")</f>
        <v>0</v>
      </c>
    </row>
    <row r="1362" spans="1:5" x14ac:dyDescent="0.3">
      <c r="A1362" s="517"/>
      <c r="B1362" s="517"/>
      <c r="C1362" s="517"/>
      <c r="D1362" s="517"/>
      <c r="E1362" s="518"/>
    </row>
    <row r="1363" spans="1:5" x14ac:dyDescent="0.3">
      <c r="A1363" s="519" t="s">
        <v>992</v>
      </c>
      <c r="B1363" s="517" t="s">
        <v>993</v>
      </c>
      <c r="C1363" s="517">
        <v>5000</v>
      </c>
      <c r="D1363" s="517">
        <v>6900</v>
      </c>
      <c r="E1363" s="518">
        <f>SUMIFS('Accounting data'!$G$2:$G$37002,'Accounting data'!$H$2:$H$37002,"9999*",'Accounting data'!$I$2:$I$37002,"7*",'Accounting data'!$J$2:$J$37002,"5*",'Accounting data'!$K$2:$K$37002,"69*")+SUMIFS('Accounting data'!$G$2:$G$37002,'Accounting data'!$H$2:$H$37002,"9999*",'Accounting data'!$I$2:$I$37002,"8*",'Accounting data'!$J$2:$J$37002,"5*",'Accounting data'!$K$2:$K$37002,"69*")+SUMIFS('Accounting data'!$G$2:$G$37002,'Accounting data'!$H$2:$H$37002,"9999*",'Accounting data'!$I$2:$I$37002,"9*",'Accounting data'!$J$2:$J$37002,"5*",'Accounting data'!$K$2:$K$37002,"69*")</f>
        <v>0</v>
      </c>
    </row>
    <row r="1364" spans="1:5" x14ac:dyDescent="0.3">
      <c r="A1364" s="517"/>
      <c r="B1364" s="517"/>
      <c r="C1364" s="517"/>
      <c r="D1364" s="517"/>
      <c r="E1364" s="518"/>
    </row>
    <row r="1365" spans="1:5" x14ac:dyDescent="0.3">
      <c r="A1365" s="519" t="s">
        <v>992</v>
      </c>
      <c r="B1365" s="517" t="s">
        <v>993</v>
      </c>
      <c r="C1365" s="517">
        <v>5000</v>
      </c>
      <c r="D1365" s="526">
        <v>6700</v>
      </c>
      <c r="E1365" s="518">
        <f>SUMIFS('Accounting data'!$G$2:$G$37002,'Accounting data'!$H$2:$H$37002,"9999*",'Accounting data'!$I$2:$I$37002,"7*",'Accounting data'!$J$2:$J$37002,"5*",'Accounting data'!$K$2:$K$37002,"67*")+SUMIFS('Accounting data'!$G$2:$G$37002,'Accounting data'!$H$2:$H$37002,"9999*",'Accounting data'!$I$2:$I$37002,"8*",'Accounting data'!$J$2:$J$37002,"5*",'Accounting data'!$K$2:$K$37002,"67*")+SUMIFS('Accounting data'!$G$2:$G$37002,'Accounting data'!$H$2:$H$37002,"9999*",'Accounting data'!$I$2:$I$37002,"9*",'Accounting data'!$J$2:$J$37002,"5*",'Accounting data'!$K$2:$K$37002,"67*")</f>
        <v>0</v>
      </c>
    </row>
    <row r="1366" spans="1:5" x14ac:dyDescent="0.3">
      <c r="A1366" s="519"/>
      <c r="B1366" s="517"/>
      <c r="C1366" s="517"/>
      <c r="D1366" s="526"/>
      <c r="E1366" s="518"/>
    </row>
    <row r="1367" spans="1:5" x14ac:dyDescent="0.3">
      <c r="A1367" s="519"/>
      <c r="B1367" s="517"/>
      <c r="C1367" s="517"/>
      <c r="D1367" s="526"/>
      <c r="E1367" s="518"/>
    </row>
    <row r="1368" spans="1:5" x14ac:dyDescent="0.3">
      <c r="A1368" s="520" t="s">
        <v>1100</v>
      </c>
      <c r="B1368" s="520"/>
      <c r="C1368" s="520"/>
      <c r="D1368" s="520"/>
      <c r="E1368" s="522">
        <f>(E1358-E1359-E1360)-((E1361+E1362)-(E1363+E1364))-(E1365+E1366+E1367)</f>
        <v>0</v>
      </c>
    </row>
    <row r="1369" spans="1:5" x14ac:dyDescent="0.3">
      <c r="A1369" s="523" t="s">
        <v>1101</v>
      </c>
      <c r="B1369" s="523"/>
      <c r="C1369" s="523"/>
      <c r="D1369" s="523"/>
      <c r="E1369" s="527">
        <f>E1225+E1236+E1247+E1258+E1269+E1280+E1291+E1302+E1313+E1324+E1335+E1346</f>
        <v>0</v>
      </c>
    </row>
    <row r="1370" spans="1:5" x14ac:dyDescent="0.3">
      <c r="A1370" s="519" t="s">
        <v>1007</v>
      </c>
      <c r="B1370" s="519">
        <v>700</v>
      </c>
      <c r="C1370" s="526">
        <v>1000</v>
      </c>
      <c r="D1370" s="517">
        <v>6000</v>
      </c>
      <c r="E1370" s="518">
        <f>SUMIFS('Accounting data'!$G$2:$G$37002,'Accounting data'!$H$2:$H$37002,"11*",'Accounting data'!$I$2:$I$37002,"7*",'Accounting data'!$J$2:$J$37002,"1*",'Accounting data'!$K$2:$K$37002,"6*")+SUMIFS('Accounting data'!$G$2:$G$37002,'Accounting data'!$H$2:$H$37002,"12*",'Accounting data'!$I$2:$I$37002,"7*",'Accounting data'!$J$2:$J$37002,"1*",'Accounting data'!$K$2:$K$37002,"6*")+SUMIFS('Accounting data'!$G$2:$G$37002,'Accounting data'!$H$2:$H$37002,"13*",'Accounting data'!$I$2:$I$37002,"7*",'Accounting data'!$J$2:$J$37002,"1*",'Accounting data'!$K$2:$K$37002,"6*")</f>
        <v>0</v>
      </c>
    </row>
    <row r="1371" spans="1:5" x14ac:dyDescent="0.3">
      <c r="A1371" s="519" t="s">
        <v>1007</v>
      </c>
      <c r="B1371" s="519">
        <v>800</v>
      </c>
      <c r="C1371" s="526">
        <v>1000</v>
      </c>
      <c r="D1371" s="517">
        <v>6000</v>
      </c>
      <c r="E1371" s="518">
        <f>SUMIFS('Accounting data'!$G$2:$G$37002,'Accounting data'!$H$2:$H$37002,"11*",'Accounting data'!$I$2:$I$37002,"8*",'Accounting data'!$J$2:$J$37002,"1*",'Accounting data'!$K$2:$K$37002,"6*")+SUMIFS('Accounting data'!$G$2:$G$37002,'Accounting data'!$H$2:$H$37002,"12*",'Accounting data'!$I$2:$I$37002,"8*",'Accounting data'!$J$2:$J$37002,"1*",'Accounting data'!$K$2:$K$37002,"6*")+SUMIFS('Accounting data'!$G$2:$G$37002,'Accounting data'!$H$2:$H$37002,"13*",'Accounting data'!$I$2:$I$37002,"8*",'Accounting data'!$J$2:$J$37002,"1*",'Accounting data'!$K$2:$K$37002,"6*")</f>
        <v>0</v>
      </c>
    </row>
    <row r="1372" spans="1:5" x14ac:dyDescent="0.3">
      <c r="A1372" s="519" t="s">
        <v>1007</v>
      </c>
      <c r="B1372" s="519">
        <v>900</v>
      </c>
      <c r="C1372" s="526">
        <v>1000</v>
      </c>
      <c r="D1372" s="517">
        <v>6000</v>
      </c>
      <c r="E1372" s="518">
        <f>SUMIFS('Accounting data'!$G$2:$G$37002,'Accounting data'!$H$2:$H$37002,"11*",'Accounting data'!$I$2:$I$37002,"9*",'Accounting data'!$J$2:$J$37002,"1*",'Accounting data'!$K$2:$K$37002,"6*")+SUMIFS('Accounting data'!$G$2:$G$37002,'Accounting data'!$H$2:$H$37002,"12*",'Accounting data'!$I$2:$I$37002,"9*",'Accounting data'!$J$2:$J$37002,"1*",'Accounting data'!$K$2:$K$37002,"6*")+SUMIFS('Accounting data'!$G$2:$G$37002,'Accounting data'!$H$2:$H$37002,"13*",'Accounting data'!$I$2:$I$37002,"9*",'Accounting data'!$J$2:$J$37002,"1*",'Accounting data'!$K$2:$K$37002,"6*")</f>
        <v>0</v>
      </c>
    </row>
    <row r="1373" spans="1:5" x14ac:dyDescent="0.3">
      <c r="A1373" s="519" t="s">
        <v>1007</v>
      </c>
      <c r="B1373" s="519">
        <v>700</v>
      </c>
      <c r="C1373" s="526">
        <v>2000</v>
      </c>
      <c r="D1373" s="517">
        <v>6000</v>
      </c>
      <c r="E1373" s="518">
        <f>SUMIFS('Accounting data'!$G$2:$G$37002,'Accounting data'!$H$2:$H$37002,"11*",'Accounting data'!$I$2:$I$37002,"7*",'Accounting data'!$J$2:$J$37002,"2*",'Accounting data'!$K$2:$K$37002,"6*")+SUMIFS('Accounting data'!$G$2:$G$37002,'Accounting data'!$H$2:$H$37002,"12*",'Accounting data'!$I$2:$I$37002,"7*",'Accounting data'!$J$2:$J$37002,"2*",'Accounting data'!$K$2:$K$37002,"6*")+SUMIFS('Accounting data'!$G$2:$G$37002,'Accounting data'!$H$2:$H$37002,"13*",'Accounting data'!$I$2:$I$37002,"7*",'Accounting data'!$J$2:$J$37002,"2*",'Accounting data'!$K$2:$K$37002,"6*")</f>
        <v>0</v>
      </c>
    </row>
    <row r="1374" spans="1:5" x14ac:dyDescent="0.3">
      <c r="A1374" s="519" t="s">
        <v>1007</v>
      </c>
      <c r="B1374" s="519">
        <v>800</v>
      </c>
      <c r="C1374" s="526">
        <v>2000</v>
      </c>
      <c r="D1374" s="517">
        <v>6000</v>
      </c>
      <c r="E1374" s="518">
        <f>SUMIFS('Accounting data'!$G$2:$G$37002,'Accounting data'!$H$2:$H$37002,"11*",'Accounting data'!$I$2:$I$37002,"8*",'Accounting data'!$J$2:$J$37002,"2*",'Accounting data'!$K$2:$K$37002,"6*")+SUMIFS('Accounting data'!$G$2:$G$37002,'Accounting data'!$H$2:$H$37002,"12*",'Accounting data'!$I$2:$I$37002,"8*",'Accounting data'!$J$2:$J$37002,"2*",'Accounting data'!$K$2:$K$37002,"6*")+SUMIFS('Accounting data'!$G$2:$G$37002,'Accounting data'!$H$2:$H$37002,"13*",'Accounting data'!$I$2:$I$37002,"8*",'Accounting data'!$J$2:$J$37002,"2*",'Accounting data'!$K$2:$K$37002,"6*")</f>
        <v>0</v>
      </c>
    </row>
    <row r="1375" spans="1:5" x14ac:dyDescent="0.3">
      <c r="A1375" s="519" t="s">
        <v>1007</v>
      </c>
      <c r="B1375" s="519">
        <v>900</v>
      </c>
      <c r="C1375" s="526">
        <v>2000</v>
      </c>
      <c r="D1375" s="517">
        <v>6000</v>
      </c>
      <c r="E1375" s="518">
        <f>SUMIFS('Accounting data'!$G$2:$G$37002,'Accounting data'!$H$2:$H$37002,"11*",'Accounting data'!$I$2:$I$37002,"9*",'Accounting data'!$J$2:$J$37002,"2*",'Accounting data'!$K$2:$K$37002,"6*")+SUMIFS('Accounting data'!$G$2:$G$37002,'Accounting data'!$H$2:$H$37002,"12*",'Accounting data'!$I$2:$I$37002,"9*",'Accounting data'!$J$2:$J$37002,"2*",'Accounting data'!$K$2:$K$37002,"6*")+SUMIFS('Accounting data'!$G$2:$G$37002,'Accounting data'!$H$2:$H$37002,"13*",'Accounting data'!$I$2:$I$37002,"9*",'Accounting data'!$J$2:$J$37002,"2*",'Accounting data'!$K$2:$K$37002,"6*")</f>
        <v>0</v>
      </c>
    </row>
    <row r="1376" spans="1:5" x14ac:dyDescent="0.3">
      <c r="A1376" s="519" t="s">
        <v>1007</v>
      </c>
      <c r="B1376" s="519">
        <v>700</v>
      </c>
      <c r="C1376" s="526">
        <v>3000</v>
      </c>
      <c r="D1376" s="517">
        <v>6000</v>
      </c>
      <c r="E1376" s="518">
        <f>SUMIFS('Accounting data'!$G$2:$G$37002,'Accounting data'!$H$2:$H$37002,"11*",'Accounting data'!$I$2:$I$37002,"7*",'Accounting data'!$J$2:$J$37002,"3*",'Accounting data'!$K$2:$K$37002,"6*")+SUMIFS('Accounting data'!$G$2:$G$37002,'Accounting data'!$H$2:$H$37002,"12*",'Accounting data'!$I$2:$I$37002,"7*",'Accounting data'!$J$2:$J$37002,"3*",'Accounting data'!$K$2:$K$37002,"6*")+SUMIFS('Accounting data'!$G$2:$G$37002,'Accounting data'!$H$2:$H$37002,"13*",'Accounting data'!$I$2:$I$37002,"7*",'Accounting data'!$J$2:$J$37002,"3*",'Accounting data'!$K$2:$K$37002,"6*")</f>
        <v>0</v>
      </c>
    </row>
    <row r="1377" spans="1:5" x14ac:dyDescent="0.3">
      <c r="A1377" s="519" t="s">
        <v>1007</v>
      </c>
      <c r="B1377" s="519">
        <v>800</v>
      </c>
      <c r="C1377" s="526">
        <v>3000</v>
      </c>
      <c r="D1377" s="517">
        <v>6000</v>
      </c>
      <c r="E1377" s="518">
        <f>SUMIFS('Accounting data'!$G$2:$G$37002,'Accounting data'!$H$2:$H$37002,"11*",'Accounting data'!$I$2:$I$37002,"8*",'Accounting data'!$J$2:$J$37002,"3*",'Accounting data'!$K$2:$K$37002,"6*")+SUMIFS('Accounting data'!$G$2:$G$37002,'Accounting data'!$H$2:$H$37002,"12*",'Accounting data'!$I$2:$I$37002,"8*",'Accounting data'!$J$2:$J$37002,"3*",'Accounting data'!$K$2:$K$37002,"6*")+SUMIFS('Accounting data'!$G$2:$G$37002,'Accounting data'!$H$2:$H$37002,"13*",'Accounting data'!$I$2:$I$37002,"8*",'Accounting data'!$J$2:$J$37002,"3*",'Accounting data'!$K$2:$K$37002,"6*")</f>
        <v>0</v>
      </c>
    </row>
    <row r="1378" spans="1:5" x14ac:dyDescent="0.3">
      <c r="A1378" s="519" t="s">
        <v>1007</v>
      </c>
      <c r="B1378" s="519">
        <v>900</v>
      </c>
      <c r="C1378" s="526">
        <v>3000</v>
      </c>
      <c r="D1378" s="517">
        <v>6000</v>
      </c>
      <c r="E1378" s="518">
        <f>SUMIFS('Accounting data'!$G$2:$G$37002,'Accounting data'!$H$2:$H$37002,"11*",'Accounting data'!$I$2:$I$37002,"9*",'Accounting data'!$J$2:$J$37002,"3*",'Accounting data'!$K$2:$K$37002,"6*")+SUMIFS('Accounting data'!$G$2:$G$37002,'Accounting data'!$H$2:$H$37002,"12*",'Accounting data'!$I$2:$I$37002,"9*",'Accounting data'!$J$2:$J$37002,"3*",'Accounting data'!$K$2:$K$37002,"6*")+SUMIFS('Accounting data'!$G$2:$G$37002,'Accounting data'!$H$2:$H$37002,"13*",'Accounting data'!$I$2:$I$37002,"9*",'Accounting data'!$J$2:$J$37002,"3*",'Accounting data'!$K$2:$K$37002,"6*")</f>
        <v>0</v>
      </c>
    </row>
    <row r="1379" spans="1:5" x14ac:dyDescent="0.3">
      <c r="A1379" s="519" t="s">
        <v>1007</v>
      </c>
      <c r="B1379" s="519">
        <v>700</v>
      </c>
      <c r="C1379" s="526">
        <v>1000</v>
      </c>
      <c r="D1379" s="517">
        <v>6900</v>
      </c>
      <c r="E1379" s="518">
        <f>SUMIFS('Accounting data'!$G$2:$G$37002,'Accounting data'!$H$2:$H$37002,"11*",'Accounting data'!$I$2:$I$37002,"7*",'Accounting data'!$J$2:$J$37002,"1*",'Accounting data'!$K$2:$K$37002,"69*")+SUMIFS('Accounting data'!$G$2:$G$37002,'Accounting data'!$H$2:$H$37002,"12*",'Accounting data'!$I$2:$I$37002,"7*",'Accounting data'!$J$2:$J$37002,"1*",'Accounting data'!$K$2:$K$37002,"69*")+SUMIFS('Accounting data'!$G$2:$G$37002,'Accounting data'!$H$2:$H$37002,"13*",'Accounting data'!$I$2:$I$37002,"7*",'Accounting data'!$J$2:$J$37002,"1*",'Accounting data'!$K$2:$K$37002,"69*")</f>
        <v>0</v>
      </c>
    </row>
    <row r="1380" spans="1:5" x14ac:dyDescent="0.3">
      <c r="A1380" s="519" t="s">
        <v>1007</v>
      </c>
      <c r="B1380" s="519">
        <v>800</v>
      </c>
      <c r="C1380" s="526">
        <v>1000</v>
      </c>
      <c r="D1380" s="517">
        <v>6900</v>
      </c>
      <c r="E1380" s="518">
        <f>SUMIFS('Accounting data'!$G$2:$G$37002,'Accounting data'!$H$2:$H$37002,"11*",'Accounting data'!$I$2:$I$37002,"8*",'Accounting data'!$J$2:$J$37002,"1*",'Accounting data'!$K$2:$K$37002,"69*")+SUMIFS('Accounting data'!$G$2:$G$37002,'Accounting data'!$H$2:$H$37002,"12*",'Accounting data'!$I$2:$I$37002,"8*",'Accounting data'!$J$2:$J$37002,"1*",'Accounting data'!$K$2:$K$37002,"69*")+SUMIFS('Accounting data'!$G$2:$G$37002,'Accounting data'!$H$2:$H$37002,"13*",'Accounting data'!$I$2:$I$37002,"8*",'Accounting data'!$J$2:$J$37002,"1*",'Accounting data'!$K$2:$K$37002,"69*")</f>
        <v>0</v>
      </c>
    </row>
    <row r="1381" spans="1:5" x14ac:dyDescent="0.3">
      <c r="A1381" s="519" t="s">
        <v>1007</v>
      </c>
      <c r="B1381" s="519">
        <v>900</v>
      </c>
      <c r="C1381" s="526">
        <v>1000</v>
      </c>
      <c r="D1381" s="517">
        <v>6900</v>
      </c>
      <c r="E1381" s="518">
        <f>SUMIFS('Accounting data'!$G$2:$G$37002,'Accounting data'!$H$2:$H$37002,"11*",'Accounting data'!$I$2:$I$37002,"9*",'Accounting data'!$J$2:$J$37002,"1*",'Accounting data'!$K$2:$K$37002,"69*")+SUMIFS('Accounting data'!$G$2:$G$37002,'Accounting data'!$H$2:$H$37002,"12*",'Accounting data'!$I$2:$I$37002,"9*",'Accounting data'!$J$2:$J$37002,"1*",'Accounting data'!$K$2:$K$37002,"69*")+SUMIFS('Accounting data'!$G$2:$G$37002,'Accounting data'!$H$2:$H$37002,"13*",'Accounting data'!$I$2:$I$37002,"9*",'Accounting data'!$J$2:$J$37002,"1*",'Accounting data'!$K$2:$K$37002,"69*")</f>
        <v>0</v>
      </c>
    </row>
    <row r="1382" spans="1:5" x14ac:dyDescent="0.3">
      <c r="A1382" s="519" t="s">
        <v>1007</v>
      </c>
      <c r="B1382" s="519">
        <v>700</v>
      </c>
      <c r="C1382" s="526">
        <v>2000</v>
      </c>
      <c r="D1382" s="517">
        <v>6900</v>
      </c>
      <c r="E1382" s="518">
        <f>SUMIFS('Accounting data'!$G$2:$G$37002,'Accounting data'!$H$2:$H$37002,"11*",'Accounting data'!$I$2:$I$37002,"7*",'Accounting data'!$J$2:$J$37002,"2*",'Accounting data'!$K$2:$K$37002,"69*")+SUMIFS('Accounting data'!$G$2:$G$37002,'Accounting data'!$H$2:$H$37002,"12*",'Accounting data'!$I$2:$I$37002,"7*",'Accounting data'!$J$2:$J$37002,"2*",'Accounting data'!$K$2:$K$37002,"69*")+SUMIFS('Accounting data'!$G$2:$G$37002,'Accounting data'!$H$2:$H$37002,"13*",'Accounting data'!$I$2:$I$37002,"7*",'Accounting data'!$J$2:$J$37002,"2*",'Accounting data'!$K$2:$K$37002,"69*")</f>
        <v>0</v>
      </c>
    </row>
    <row r="1383" spans="1:5" x14ac:dyDescent="0.3">
      <c r="A1383" s="519" t="s">
        <v>1007</v>
      </c>
      <c r="B1383" s="519">
        <v>800</v>
      </c>
      <c r="C1383" s="526">
        <v>2000</v>
      </c>
      <c r="D1383" s="517">
        <v>6900</v>
      </c>
      <c r="E1383" s="518">
        <f>SUMIFS('Accounting data'!$G$2:$G$37002,'Accounting data'!$H$2:$H$37002,"11*",'Accounting data'!$I$2:$I$37002,"8*",'Accounting data'!$J$2:$J$37002,"2*",'Accounting data'!$K$2:$K$37002,"69*")+SUMIFS('Accounting data'!$G$2:$G$37002,'Accounting data'!$H$2:$H$37002,"12*",'Accounting data'!$I$2:$I$37002,"8*",'Accounting data'!$J$2:$J$37002,"2*",'Accounting data'!$K$2:$K$37002,"69*")+SUMIFS('Accounting data'!$G$2:$G$37002,'Accounting data'!$H$2:$H$37002,"13*",'Accounting data'!$I$2:$I$37002,"8*",'Accounting data'!$J$2:$J$37002,"2*",'Accounting data'!$K$2:$K$37002,"69*")</f>
        <v>0</v>
      </c>
    </row>
    <row r="1384" spans="1:5" x14ac:dyDescent="0.3">
      <c r="A1384" s="519" t="s">
        <v>1007</v>
      </c>
      <c r="B1384" s="519">
        <v>900</v>
      </c>
      <c r="C1384" s="526">
        <v>2000</v>
      </c>
      <c r="D1384" s="517">
        <v>6900</v>
      </c>
      <c r="E1384" s="518">
        <f>SUMIFS('Accounting data'!$G$2:$G$37002,'Accounting data'!$H$2:$H$37002,"11*",'Accounting data'!$I$2:$I$37002,"9*",'Accounting data'!$J$2:$J$37002,"2*",'Accounting data'!$K$2:$K$37002,"69*")+SUMIFS('Accounting data'!$G$2:$G$37002,'Accounting data'!$H$2:$H$37002,"12*",'Accounting data'!$I$2:$I$37002,"9*",'Accounting data'!$J$2:$J$37002,"2*",'Accounting data'!$K$2:$K$37002,"69*")+SUMIFS('Accounting data'!$G$2:$G$37002,'Accounting data'!$H$2:$H$37002,"13*",'Accounting data'!$I$2:$I$37002,"9*",'Accounting data'!$J$2:$J$37002,"2*",'Accounting data'!$K$2:$K$37002,"69*")</f>
        <v>0</v>
      </c>
    </row>
    <row r="1385" spans="1:5" x14ac:dyDescent="0.3">
      <c r="A1385" s="519" t="s">
        <v>1007</v>
      </c>
      <c r="B1385" s="519">
        <v>700</v>
      </c>
      <c r="C1385" s="526">
        <v>3000</v>
      </c>
      <c r="D1385" s="517">
        <v>6900</v>
      </c>
      <c r="E1385" s="518">
        <f>SUMIFS('Accounting data'!$G$2:$G$37002,'Accounting data'!$H$2:$H$37002,"11*",'Accounting data'!$I$2:$I$37002,"7*",'Accounting data'!$J$2:$J$37002,"3*",'Accounting data'!$K$2:$K$37002,"69*")+SUMIFS('Accounting data'!$G$2:$G$37002,'Accounting data'!$H$2:$H$37002,"12*",'Accounting data'!$I$2:$I$37002,"7*",'Accounting data'!$J$2:$J$37002,"3*",'Accounting data'!$K$2:$K$37002,"69*")+SUMIFS('Accounting data'!$G$2:$G$37002,'Accounting data'!$H$2:$H$37002,"13*",'Accounting data'!$I$2:$I$37002,"7*",'Accounting data'!$J$2:$J$37002,"3*",'Accounting data'!$K$2:$K$37002,"69*")</f>
        <v>0</v>
      </c>
    </row>
    <row r="1386" spans="1:5" x14ac:dyDescent="0.3">
      <c r="A1386" s="519" t="s">
        <v>1007</v>
      </c>
      <c r="B1386" s="519">
        <v>800</v>
      </c>
      <c r="C1386" s="526">
        <v>3000</v>
      </c>
      <c r="D1386" s="517">
        <v>6900</v>
      </c>
      <c r="E1386" s="518">
        <f>SUMIFS('Accounting data'!$G$2:$G$37002,'Accounting data'!$H$2:$H$37002,"11*",'Accounting data'!$I$2:$I$37002,"8*",'Accounting data'!$J$2:$J$37002,"3*",'Accounting data'!$K$2:$K$37002,"69*")+SUMIFS('Accounting data'!$G$2:$G$37002,'Accounting data'!$H$2:$H$37002,"12*",'Accounting data'!$I$2:$I$37002,"8*",'Accounting data'!$J$2:$J$37002,"3*",'Accounting data'!$K$2:$K$37002,"69*")+SUMIFS('Accounting data'!$G$2:$G$37002,'Accounting data'!$H$2:$H$37002,"13*",'Accounting data'!$I$2:$I$37002,"8*",'Accounting data'!$J$2:$J$37002,"3*",'Accounting data'!$K$2:$K$37002,"69*")</f>
        <v>0</v>
      </c>
    </row>
    <row r="1387" spans="1:5" x14ac:dyDescent="0.3">
      <c r="A1387" s="519" t="s">
        <v>1007</v>
      </c>
      <c r="B1387" s="519">
        <v>900</v>
      </c>
      <c r="C1387" s="526">
        <v>3000</v>
      </c>
      <c r="D1387" s="517">
        <v>6900</v>
      </c>
      <c r="E1387" s="518">
        <f>SUMIFS('Accounting data'!$G$2:$G$37002,'Accounting data'!$H$2:$H$37002,"11*",'Accounting data'!$I$2:$I$37002,"9*",'Accounting data'!$J$2:$J$37002,"3*",'Accounting data'!$K$2:$K$37002,"69*")+SUMIFS('Accounting data'!$G$2:$G$37002,'Accounting data'!$H$2:$H$37002,"12*",'Accounting data'!$I$2:$I$37002,"9*",'Accounting data'!$J$2:$J$37002,"3*",'Accounting data'!$K$2:$K$37002,"69*")+SUMIFS('Accounting data'!$G$2:$G$37002,'Accounting data'!$H$2:$H$37002,"13*",'Accounting data'!$I$2:$I$37002,"9*",'Accounting data'!$J$2:$J$37002,"3*",'Accounting data'!$K$2:$K$37002,"69*")</f>
        <v>0</v>
      </c>
    </row>
    <row r="1388" spans="1:5" x14ac:dyDescent="0.3">
      <c r="A1388" s="520" t="s">
        <v>1102</v>
      </c>
      <c r="B1388" s="520"/>
      <c r="C1388" s="520"/>
      <c r="D1388" s="520"/>
      <c r="E1388" s="522">
        <f>(E1370+E1371+E1372+E1373+E1374+E1375+E1376+E1377+E1378)-(E1379+E1380+E1381+E1382+E1383+E1384+E1385+E1386+E1387)</f>
        <v>0</v>
      </c>
    </row>
    <row r="1437" spans="1:5" x14ac:dyDescent="0.3">
      <c r="A1437" s="517" t="s">
        <v>1103</v>
      </c>
      <c r="B1437" s="517" t="s">
        <v>991</v>
      </c>
      <c r="C1437" s="517" t="s">
        <v>991</v>
      </c>
      <c r="D1437" s="517">
        <v>6000</v>
      </c>
      <c r="E1437" s="518">
        <f>SUMIFS('Accounting data'!$G$2:$G$37002,'Accounting data'!$H$2:$H$37002,"9*",'Accounting data'!$K$2:$K$37002,"6*")+SUMIFS('Accounting data'!$G$2:$G$37002,'Accounting data'!$H$2:$H$37002,"9*",'Accounting data'!$K$2:$K$37002,"6*")+SUMIFS('Accounting data'!$G$2:$G$37002,'Accounting data'!$H$2:$H$37002,"9*",'Accounting data'!$K$2:$K$37002,"6*")+SUMIFS('Accounting data'!$G$2:$G$37002,'Accounting data'!$H$2:$H$37002,"9*",'Accounting data'!$K$2:$K$37002,"6*")+SUMIFS('Accounting data'!$G$2:$G$37002,'Accounting data'!$H$2:$H$37002,"9*",'Accounting data'!$K$2:$K$37002,"6*")</f>
        <v>0</v>
      </c>
    </row>
    <row r="1438" spans="1:5" x14ac:dyDescent="0.3">
      <c r="A1438" s="520" t="s">
        <v>1104</v>
      </c>
      <c r="B1438" s="520"/>
      <c r="C1438" s="520"/>
      <c r="D1438" s="520"/>
      <c r="E1438" s="522">
        <f>E1437</f>
        <v>0</v>
      </c>
    </row>
    <row r="1445" spans="1:5" x14ac:dyDescent="0.3">
      <c r="A1445" s="517" t="s">
        <v>991</v>
      </c>
      <c r="B1445" s="517" t="s">
        <v>991</v>
      </c>
      <c r="C1445" s="517">
        <v>5000</v>
      </c>
      <c r="D1445" s="517">
        <v>6850</v>
      </c>
      <c r="E1445" s="518">
        <f>SUMIFS('Accounting data'!$G$2:$G$37002,'Accounting data'!$J$2:$J$37002,"5*",'Accounting data'!$K$2:$K$37002,"685*")</f>
        <v>0</v>
      </c>
    </row>
    <row r="1446" spans="1:5" x14ac:dyDescent="0.3">
      <c r="A1446" s="517" t="s">
        <v>992</v>
      </c>
      <c r="B1446" s="517" t="s">
        <v>991</v>
      </c>
      <c r="C1446" s="517">
        <v>5000</v>
      </c>
      <c r="D1446" s="517">
        <v>6850</v>
      </c>
      <c r="E1446" s="518">
        <f>SUMIFS('Accounting data'!$G$2:$G$37002,'Accounting data'!$H$2:$H$37002,"9999*",'Accounting data'!$J$2:$J$37002,"5*",'Accounting data'!$K$2:$K$37002,"685*")</f>
        <v>0</v>
      </c>
    </row>
    <row r="1447" spans="1:5" x14ac:dyDescent="0.3">
      <c r="A1447" s="517" t="s">
        <v>991</v>
      </c>
      <c r="B1447" s="517" t="s">
        <v>993</v>
      </c>
      <c r="C1447" s="517">
        <v>5000</v>
      </c>
      <c r="D1447" s="517">
        <v>6850</v>
      </c>
      <c r="E1447" s="518">
        <f>SUMIFS('Accounting data'!$G$2:$G$37002,'Accounting data'!$I$2:$I$37002,"7*",'Accounting data'!$J$2:$J$37002,"5*",'Accounting data'!$K$2:$K$37002,"685*")+SUMIFS('Accounting data'!$G$2:$G$37002,'Accounting data'!$I$2:$I$37002,"8*",'Accounting data'!$J$2:$J$37002,"5*",'Accounting data'!$K$2:$K$37002,"685*")+SUMIFS('Accounting data'!$G$2:$G$37002,'Accounting data'!$I$2:$I$37002,"9*",'Accounting data'!$J$2:$J$37002,"5*",'Accounting data'!$K$2:$K$37002,"685*")</f>
        <v>0</v>
      </c>
    </row>
    <row r="1448" spans="1:5" x14ac:dyDescent="0.3">
      <c r="A1448" s="519" t="s">
        <v>992</v>
      </c>
      <c r="B1448" s="517" t="s">
        <v>993</v>
      </c>
      <c r="C1448" s="517">
        <v>5000</v>
      </c>
      <c r="D1448" s="517">
        <v>6850</v>
      </c>
      <c r="E1448" s="518">
        <f>SUMIFS('Accounting data'!$G$2:$G$37002,'Accounting data'!$H$2:$H$37002,"9999*",'Accounting data'!$I$2:$I$37002,"7*",'Accounting data'!$J$2:$J$37002,"5*",'Accounting data'!$K$2:$K$37002,"685*")+SUMIFS('Accounting data'!$G$2:$G$37002,'Accounting data'!$H$2:$H$37002,"9999*",'Accounting data'!$I$2:$I$37002,"8*",'Accounting data'!$J$2:$J$37002,"5*",'Accounting data'!$K$2:$K$37002,"685*")+SUMIFS('Accounting data'!$G$2:$G$37002,'Accounting data'!$H$2:$H$37002,"9999*",'Accounting data'!$I$2:$I$37002,"9*",'Accounting data'!$J$2:$J$37002,"5*",'Accounting data'!$K$2:$K$37002,"685*")</f>
        <v>0</v>
      </c>
    </row>
    <row r="1449" spans="1:5" ht="14.5" x14ac:dyDescent="0.35">
      <c r="A1449" s="520" t="s">
        <v>1105</v>
      </c>
      <c r="B1449" s="520"/>
      <c r="C1449" s="520"/>
      <c r="D1449" s="520"/>
      <c r="E1449" s="521">
        <f>(E1445-E1446-E1447)+E1448</f>
        <v>0</v>
      </c>
    </row>
    <row r="1450" spans="1:5" x14ac:dyDescent="0.3">
      <c r="A1450" s="517" t="s">
        <v>991</v>
      </c>
      <c r="B1450" s="517" t="s">
        <v>991</v>
      </c>
      <c r="C1450" s="517">
        <v>1000</v>
      </c>
      <c r="D1450" s="517">
        <v>6800</v>
      </c>
      <c r="E1450" s="518">
        <f t="array" ref="E1450">SUMIFS('Accounting data'!$G$2:$G$37002,'Accounting data'!$J$2:$J$37002,"1*",'Accounting data'!$K$2:$K$37002,"68*")</f>
        <v>480</v>
      </c>
    </row>
    <row r="1451" spans="1:5" x14ac:dyDescent="0.3">
      <c r="A1451" s="517" t="s">
        <v>992</v>
      </c>
      <c r="B1451" s="517" t="s">
        <v>991</v>
      </c>
      <c r="C1451" s="517">
        <v>1000</v>
      </c>
      <c r="D1451" s="517">
        <v>6800</v>
      </c>
      <c r="E1451" s="518">
        <f t="array" ref="E1451">SUMIFS('Accounting data'!$G$2:$G$37002,'Accounting data'!$H$2:$H$37002,"9999*",'Accounting data'!$J$2:$J$37002,"1*",'Accounting data'!$K$2:$K$37002,"68*")</f>
        <v>0</v>
      </c>
    </row>
    <row r="1452" spans="1:5" x14ac:dyDescent="0.3">
      <c r="A1452" s="517" t="s">
        <v>991</v>
      </c>
      <c r="B1452" s="517" t="s">
        <v>993</v>
      </c>
      <c r="C1452" s="517">
        <v>1000</v>
      </c>
      <c r="D1452" s="517">
        <v>6800</v>
      </c>
      <c r="E1452" s="518">
        <f t="array" ref="E1452">SUMIFS('Accounting data'!$G$2:$G$37002,'Accounting data'!$I$2:$I$37002,"7*",'Accounting data'!$J$2:$J$37002,"1*",'Accounting data'!$K$2:$K$37002,"68*")+SUMIFS('Accounting data'!$G$2:$G$37002,'Accounting data'!$I$2:$I$37002,"8*",'Accounting data'!$J$2:$J$37002,"1*",'Accounting data'!$K$2:$K$37002,"68*")+SUMIFS('Accounting data'!$G$2:$G$37002,'Accounting data'!$I$2:$I$37002,"9*",'Accounting data'!$J$2:$J$37002,"1*",'Accounting data'!$K$2:$K$37002,"68*")</f>
        <v>0</v>
      </c>
    </row>
    <row r="1453" spans="1:5" x14ac:dyDescent="0.3">
      <c r="A1453" s="519" t="s">
        <v>992</v>
      </c>
      <c r="B1453" s="517" t="s">
        <v>993</v>
      </c>
      <c r="C1453" s="517">
        <v>1000</v>
      </c>
      <c r="D1453" s="517">
        <v>6800</v>
      </c>
      <c r="E1453" s="518">
        <f t="array" ref="E1453">SUMIFS('Accounting data'!$G$2:$G$37002,'Accounting data'!$H$2:$H$37002,"9999*",'Accounting data'!$I$2:$I$37002,"7*",'Accounting data'!$J$2:$J$37002,"1*",'Accounting data'!$K$2:$K$37002,"68*")+SUMIFS('Accounting data'!$G$2:$G$37002,'Accounting data'!$H$2:$H$37002,"9999*",'Accounting data'!$I$2:$I$37002,"8*",'Accounting data'!$J$2:$J$37002,"1*",'Accounting data'!$K$2:$K$37002,"68*")+SUMIFS('Accounting data'!$G$2:$G$37002,'Accounting data'!$H$2:$H$37002,"9999*",'Accounting data'!$I$2:$I$37002,"9*",'Accounting data'!$J$2:$J$37002,"1*",'Accounting data'!$K$2:$K$37002,"68*")</f>
        <v>0</v>
      </c>
    </row>
    <row r="1454" spans="1:5" ht="14.5" x14ac:dyDescent="0.35">
      <c r="A1454" s="520" t="s">
        <v>1106</v>
      </c>
      <c r="B1454" s="520"/>
      <c r="C1454" s="520"/>
      <c r="D1454" s="520"/>
      <c r="E1454" s="521">
        <f>(E1450-E1451-E1452)+E1453</f>
        <v>480</v>
      </c>
    </row>
    <row r="1455" spans="1:5" x14ac:dyDescent="0.3">
      <c r="A1455" s="517" t="s">
        <v>991</v>
      </c>
      <c r="B1455" s="517" t="s">
        <v>991</v>
      </c>
      <c r="C1455" s="517">
        <v>2100</v>
      </c>
      <c r="D1455" s="517">
        <v>6800</v>
      </c>
      <c r="E1455" s="518">
        <f t="array" ref="E1455">SUMIFS('Accounting data'!$G$2:$G$37002,'Accounting data'!$J$2:$J$37002,"21*",'Accounting data'!$K$2:$K$37002,"68*")</f>
        <v>1955</v>
      </c>
    </row>
    <row r="1456" spans="1:5" x14ac:dyDescent="0.3">
      <c r="A1456" s="517" t="s">
        <v>992</v>
      </c>
      <c r="B1456" s="517" t="s">
        <v>991</v>
      </c>
      <c r="C1456" s="517">
        <v>2100</v>
      </c>
      <c r="D1456" s="517">
        <v>6800</v>
      </c>
      <c r="E1456" s="518">
        <f t="array" ref="E1456">SUMIFS('Accounting data'!$G$2:$G$37002,'Accounting data'!$H$2:$H$37002,"9999*",'Accounting data'!$J$2:$J$37002,"21*",'Accounting data'!$K$2:$K$37002,"68*")</f>
        <v>0</v>
      </c>
    </row>
    <row r="1457" spans="1:5" x14ac:dyDescent="0.3">
      <c r="A1457" s="517" t="s">
        <v>991</v>
      </c>
      <c r="B1457" s="517" t="s">
        <v>993</v>
      </c>
      <c r="C1457" s="517">
        <v>2100</v>
      </c>
      <c r="D1457" s="517">
        <v>6800</v>
      </c>
      <c r="E1457" s="518">
        <f t="array" ref="E1457">SUMIFS('Accounting data'!$G$2:$G$37002,'Accounting data'!$I$2:$I$37002,"7*",'Accounting data'!$J$2:$J$37002,"21*",'Accounting data'!$K$2:$K$37002,"68*")+SUMIFS('Accounting data'!$G$2:$G$37002,'Accounting data'!$I$2:$I$37002,"8*",'Accounting data'!$J$2:$J$37002,"21*",'Accounting data'!$K$2:$K$37002,"68*")+SUMIFS('Accounting data'!$G$2:$G$37002,'Accounting data'!$I$2:$I$37002,"9*",'Accounting data'!$J$2:$J$37002,"21*",'Accounting data'!$K$2:$K$37002,"68*")</f>
        <v>0</v>
      </c>
    </row>
    <row r="1458" spans="1:5" x14ac:dyDescent="0.3">
      <c r="A1458" s="519" t="s">
        <v>992</v>
      </c>
      <c r="B1458" s="517" t="s">
        <v>993</v>
      </c>
      <c r="C1458" s="517">
        <v>2100</v>
      </c>
      <c r="D1458" s="517">
        <v>6800</v>
      </c>
      <c r="E1458" s="518">
        <f t="array" ref="E1458">SUMIFS('Accounting data'!$G$2:$G$37002,'Accounting data'!$H$2:$H$37002,"9999*",'Accounting data'!$I$2:$I$37002,"7*",'Accounting data'!$J$2:$J$37002,"21*",'Accounting data'!$K$2:$K$37002,"68*")+SUMIFS('Accounting data'!$G$2:$G$37002,'Accounting data'!$H$2:$H$37002,"9999*",'Accounting data'!$I$2:$I$37002,"8*",'Accounting data'!$J$2:$J$37002,"21*",'Accounting data'!$K$2:$K$37002,"68*")+SUMIFS('Accounting data'!$G$2:$G$37002,'Accounting data'!$H$2:$H$37002,"9999*",'Accounting data'!$I$2:$I$37002,"9*",'Accounting data'!$J$2:$J$37002,"21*",'Accounting data'!$K$2:$K$37002,"68*")</f>
        <v>0</v>
      </c>
    </row>
    <row r="1459" spans="1:5" ht="14.5" x14ac:dyDescent="0.35">
      <c r="A1459" s="520" t="s">
        <v>1107</v>
      </c>
      <c r="B1459" s="520"/>
      <c r="C1459" s="520"/>
      <c r="D1459" s="520"/>
      <c r="E1459" s="521">
        <f>(E1455-E1456-E1457)+E1458</f>
        <v>1955</v>
      </c>
    </row>
    <row r="1460" spans="1:5" x14ac:dyDescent="0.3">
      <c r="A1460" s="517" t="s">
        <v>991</v>
      </c>
      <c r="B1460" s="517" t="s">
        <v>991</v>
      </c>
      <c r="C1460" s="517">
        <v>2200</v>
      </c>
      <c r="D1460" s="517">
        <v>6800</v>
      </c>
      <c r="E1460" s="518">
        <f t="array" ref="E1460">SUMIFS('Accounting data'!$G$2:$G$37002,'Accounting data'!$J$2:$J$37002,"22*",'Accounting data'!$K$2:$K$37002,"68*")</f>
        <v>122</v>
      </c>
    </row>
    <row r="1461" spans="1:5" x14ac:dyDescent="0.3">
      <c r="A1461" s="517" t="s">
        <v>992</v>
      </c>
      <c r="B1461" s="517" t="s">
        <v>991</v>
      </c>
      <c r="C1461" s="517">
        <v>2200</v>
      </c>
      <c r="D1461" s="517">
        <v>6800</v>
      </c>
      <c r="E1461" s="518">
        <f t="array" ref="E1461">SUMIFS('Accounting data'!$G$2:$G$37002,'Accounting data'!$H$2:$H$37002,"9999*",'Accounting data'!$J$2:$J$37002,"22*",'Accounting data'!$K$2:$K$37002,"68*")</f>
        <v>0</v>
      </c>
    </row>
    <row r="1462" spans="1:5" x14ac:dyDescent="0.3">
      <c r="A1462" s="517" t="s">
        <v>991</v>
      </c>
      <c r="B1462" s="517" t="s">
        <v>993</v>
      </c>
      <c r="C1462" s="517">
        <v>2200</v>
      </c>
      <c r="D1462" s="517">
        <v>6800</v>
      </c>
      <c r="E1462" s="518">
        <f t="array" ref="E1462">SUMIFS('Accounting data'!$G$2:$G$37002,'Accounting data'!$I$2:$I$37002,"7*",'Accounting data'!$J$2:$J$37002,"22*",'Accounting data'!$K$2:$K$37002,"68*")+SUMIFS('Accounting data'!$G$2:$G$37002,'Accounting data'!$I$2:$I$37002,"8*",'Accounting data'!$J$2:$J$37002,"22*",'Accounting data'!$K$2:$K$37002,"68*")+SUMIFS('Accounting data'!$G$2:$G$37002,'Accounting data'!$I$2:$I$37002,"9*",'Accounting data'!$J$2:$J$37002,"22*",'Accounting data'!$K$2:$K$37002,"68*")</f>
        <v>0</v>
      </c>
    </row>
    <row r="1463" spans="1:5" x14ac:dyDescent="0.3">
      <c r="A1463" s="519" t="s">
        <v>992</v>
      </c>
      <c r="B1463" s="517" t="s">
        <v>993</v>
      </c>
      <c r="C1463" s="517">
        <v>2200</v>
      </c>
      <c r="D1463" s="517">
        <v>6800</v>
      </c>
      <c r="E1463" s="518">
        <f t="array" ref="E1463">SUMIFS('Accounting data'!$G$2:$G$37002,'Accounting data'!$H$2:$H$37002,"9999*",'Accounting data'!$I$2:$I$37002,"7*",'Accounting data'!$J$2:$J$37002,"22*",'Accounting data'!$K$2:$K$37002,"68*")+SUMIFS('Accounting data'!$G$2:$G$37002,'Accounting data'!$H$2:$H$37002,"9999*",'Accounting data'!$I$2:$I$37002,"8*",'Accounting data'!$J$2:$J$37002,"22*",'Accounting data'!$K$2:$K$37002,"68*")+SUMIFS('Accounting data'!$G$2:$G$37002,'Accounting data'!$H$2:$H$37002,"9999*",'Accounting data'!$I$2:$I$37002,"9*",'Accounting data'!$J$2:$J$37002,"22*",'Accounting data'!$K$2:$K$37002,"68*")</f>
        <v>0</v>
      </c>
    </row>
    <row r="1464" spans="1:5" ht="14.5" x14ac:dyDescent="0.35">
      <c r="A1464" s="520" t="s">
        <v>1108</v>
      </c>
      <c r="B1464" s="520"/>
      <c r="C1464" s="520"/>
      <c r="D1464" s="520"/>
      <c r="E1464" s="521">
        <f>(E1460-E1461-E1462)+E1463</f>
        <v>122</v>
      </c>
    </row>
    <row r="1465" spans="1:5" x14ac:dyDescent="0.3">
      <c r="A1465" s="517" t="s">
        <v>991</v>
      </c>
      <c r="B1465" s="517" t="s">
        <v>991</v>
      </c>
      <c r="C1465" s="517">
        <v>2300</v>
      </c>
      <c r="D1465" s="517">
        <v>6800</v>
      </c>
      <c r="E1465" s="518">
        <f t="array" ref="E1465">SUMIFS('Accounting data'!$G$2:$G$37002,'Accounting data'!$J$2:$J$37002,"23*",'Accounting data'!$K$2:$K$37002,"68*")</f>
        <v>0</v>
      </c>
    </row>
    <row r="1466" spans="1:5" x14ac:dyDescent="0.3">
      <c r="A1466" s="517" t="s">
        <v>992</v>
      </c>
      <c r="B1466" s="517" t="s">
        <v>991</v>
      </c>
      <c r="C1466" s="517">
        <v>2300</v>
      </c>
      <c r="D1466" s="517">
        <v>6800</v>
      </c>
      <c r="E1466" s="518">
        <f t="array" ref="E1466">SUMIFS('Accounting data'!$G$2:$G$37002,'Accounting data'!$H$2:$H$37002,"9999*",'Accounting data'!$J$2:$J$37002,"23*",'Accounting data'!$K$2:$K$37002,"68*")</f>
        <v>0</v>
      </c>
    </row>
    <row r="1467" spans="1:5" x14ac:dyDescent="0.3">
      <c r="A1467" s="517" t="s">
        <v>991</v>
      </c>
      <c r="B1467" s="517" t="s">
        <v>993</v>
      </c>
      <c r="C1467" s="517">
        <v>2300</v>
      </c>
      <c r="D1467" s="517">
        <v>6800</v>
      </c>
      <c r="E1467" s="518">
        <f t="array" ref="E1467">SUMIFS('Accounting data'!$G$2:$G$37002,'Accounting data'!$I$2:$I$37002,"7*",'Accounting data'!$J$2:$J$37002,"23*",'Accounting data'!$K$2:$K$37002,"68*")+SUMIFS('Accounting data'!$G$2:$G$37002,'Accounting data'!$I$2:$I$37002,"8*",'Accounting data'!$J$2:$J$37002,"23*",'Accounting data'!$K$2:$K$37002,"68*")+SUMIFS('Accounting data'!$G$2:$G$37002,'Accounting data'!$I$2:$I$37002,"9*",'Accounting data'!$J$2:$J$37002,"23*",'Accounting data'!$K$2:$K$37002,"68*")</f>
        <v>0</v>
      </c>
    </row>
    <row r="1468" spans="1:5" x14ac:dyDescent="0.3">
      <c r="A1468" s="519" t="s">
        <v>992</v>
      </c>
      <c r="B1468" s="517" t="s">
        <v>993</v>
      </c>
      <c r="C1468" s="517">
        <v>2300</v>
      </c>
      <c r="D1468" s="517">
        <v>6800</v>
      </c>
      <c r="E1468" s="518">
        <f t="array" ref="E1468">SUMIFS('Accounting data'!$G$2:$G$37002,'Accounting data'!$H$2:$H$37002,"9999*",'Accounting data'!$I$2:$I$37002,"7*",'Accounting data'!$J$2:$J$37002,"23*",'Accounting data'!$K$2:$K$37002,"68*")+SUMIFS('Accounting data'!$G$2:$G$37002,'Accounting data'!$H$2:$H$37002,"9999*",'Accounting data'!$I$2:$I$37002,"8*",'Accounting data'!$J$2:$J$37002,"23*",'Accounting data'!$K$2:$K$37002,"68*")+SUMIFS('Accounting data'!$G$2:$G$37002,'Accounting data'!$H$2:$H$37002,"9999*",'Accounting data'!$I$2:$I$37002,"9*",'Accounting data'!$J$2:$J$37002,"23*",'Accounting data'!$K$2:$K$37002,"68*")</f>
        <v>0</v>
      </c>
    </row>
    <row r="1469" spans="1:5" ht="14.5" x14ac:dyDescent="0.35">
      <c r="A1469" s="520" t="s">
        <v>1109</v>
      </c>
      <c r="B1469" s="520"/>
      <c r="C1469" s="520"/>
      <c r="D1469" s="520"/>
      <c r="E1469" s="521">
        <f>(E1465-E1466-E1467)+E1468</f>
        <v>0</v>
      </c>
    </row>
    <row r="1470" spans="1:5" x14ac:dyDescent="0.3">
      <c r="A1470" s="517" t="s">
        <v>991</v>
      </c>
      <c r="B1470" s="517" t="s">
        <v>991</v>
      </c>
      <c r="C1470" s="517">
        <v>2400</v>
      </c>
      <c r="D1470" s="517">
        <v>6800</v>
      </c>
      <c r="E1470" s="518">
        <f t="array" ref="E1470">SUMIFS('Accounting data'!$G$2:$G$37002,'Accounting data'!$J$2:$J$37002,"24*",'Accounting data'!$K$2:$K$37002,"68*")</f>
        <v>592</v>
      </c>
    </row>
    <row r="1471" spans="1:5" x14ac:dyDescent="0.3">
      <c r="A1471" s="517" t="s">
        <v>992</v>
      </c>
      <c r="B1471" s="517" t="s">
        <v>991</v>
      </c>
      <c r="C1471" s="517">
        <v>2400</v>
      </c>
      <c r="D1471" s="517">
        <v>6800</v>
      </c>
      <c r="E1471" s="518">
        <f t="array" ref="E1471">SUMIFS('Accounting data'!$G$2:$G$37002,'Accounting data'!$H$2:$H$37002,"9999*",'Accounting data'!$J$2:$J$37002,"24*",'Accounting data'!$K$2:$K$37002,"68*")</f>
        <v>0</v>
      </c>
    </row>
    <row r="1472" spans="1:5" x14ac:dyDescent="0.3">
      <c r="A1472" s="517" t="s">
        <v>991</v>
      </c>
      <c r="B1472" s="517" t="s">
        <v>993</v>
      </c>
      <c r="C1472" s="517">
        <v>2400</v>
      </c>
      <c r="D1472" s="517">
        <v>6800</v>
      </c>
      <c r="E1472" s="518">
        <f t="array" ref="E1472">SUMIFS('Accounting data'!$G$2:$G$37002,'Accounting data'!$I$2:$I$37002,"7*",'Accounting data'!$J$2:$J$37002,"24*",'Accounting data'!$K$2:$K$37002,"68*")+SUMIFS('Accounting data'!$G$2:$G$37002,'Accounting data'!$I$2:$I$37002,"8*",'Accounting data'!$J$2:$J$37002,"24*",'Accounting data'!$K$2:$K$37002,"68*")+SUMIFS('Accounting data'!$G$2:$G$37002,'Accounting data'!$I$2:$I$37002,"9*",'Accounting data'!$J$2:$J$37002,"24*",'Accounting data'!$K$2:$K$37002,"68*")</f>
        <v>0</v>
      </c>
    </row>
    <row r="1473" spans="1:5" x14ac:dyDescent="0.3">
      <c r="A1473" s="519" t="s">
        <v>992</v>
      </c>
      <c r="B1473" s="517" t="s">
        <v>993</v>
      </c>
      <c r="C1473" s="517">
        <v>2400</v>
      </c>
      <c r="D1473" s="517">
        <v>6800</v>
      </c>
      <c r="E1473" s="518">
        <f t="array" ref="E1473">SUMIFS('Accounting data'!$G$2:$G$37002,'Accounting data'!$H$2:$H$37002,"9999*",'Accounting data'!$I$2:$I$37002,"7*",'Accounting data'!$J$2:$J$37002,"24*",'Accounting data'!$K$2:$K$37002,"68*")+SUMIFS('Accounting data'!$G$2:$G$37002,'Accounting data'!$H$2:$H$37002,"9999*",'Accounting data'!$I$2:$I$37002,"8*",'Accounting data'!$J$2:$J$37002,"24*",'Accounting data'!$K$2:$K$37002,"68*")+SUMIFS('Accounting data'!$G$2:$G$37002,'Accounting data'!$H$2:$H$37002,"9999*",'Accounting data'!$I$2:$I$37002,"9*",'Accounting data'!$J$2:$J$37002,"24*",'Accounting data'!$K$2:$K$37002,"68*")</f>
        <v>0</v>
      </c>
    </row>
    <row r="1474" spans="1:5" ht="14.5" x14ac:dyDescent="0.35">
      <c r="A1474" s="520" t="s">
        <v>1110</v>
      </c>
      <c r="B1474" s="520"/>
      <c r="C1474" s="520"/>
      <c r="D1474" s="520"/>
      <c r="E1474" s="521">
        <f>(E1470-E1471-E1472)+E1473</f>
        <v>592</v>
      </c>
    </row>
    <row r="1475" spans="1:5" x14ac:dyDescent="0.3">
      <c r="A1475" s="517" t="s">
        <v>991</v>
      </c>
      <c r="B1475" s="517" t="s">
        <v>991</v>
      </c>
      <c r="C1475" s="517">
        <v>2500</v>
      </c>
      <c r="D1475" s="517">
        <v>6800</v>
      </c>
      <c r="E1475" s="518">
        <f t="array" ref="E1475">SUMIFS('Accounting data'!$G$2:$G$37002,'Accounting data'!$J$2:$J$37002,"25*",'Accounting data'!$K$2:$K$37002,"68*")</f>
        <v>12918</v>
      </c>
    </row>
    <row r="1476" spans="1:5" x14ac:dyDescent="0.3">
      <c r="A1476" s="517" t="s">
        <v>992</v>
      </c>
      <c r="B1476" s="517" t="s">
        <v>991</v>
      </c>
      <c r="C1476" s="517">
        <v>2500</v>
      </c>
      <c r="D1476" s="517">
        <v>6800</v>
      </c>
      <c r="E1476" s="518">
        <f t="array" ref="E1476">SUMIFS('Accounting data'!$G$2:$G$37002,'Accounting data'!$H$2:$H$37002,"9999*",'Accounting data'!$J$2:$J$37002,"25*",'Accounting data'!$K$2:$K$37002,"68*")</f>
        <v>0</v>
      </c>
    </row>
    <row r="1477" spans="1:5" x14ac:dyDescent="0.3">
      <c r="A1477" s="517" t="s">
        <v>991</v>
      </c>
      <c r="B1477" s="517" t="s">
        <v>993</v>
      </c>
      <c r="C1477" s="517">
        <v>2500</v>
      </c>
      <c r="D1477" s="517">
        <v>6800</v>
      </c>
      <c r="E1477" s="518">
        <f t="array" ref="E1477">SUMIFS('Accounting data'!$G$2:$G$37002,'Accounting data'!$I$2:$I$37002,"7*",'Accounting data'!$J$2:$J$37002,"25*",'Accounting data'!$K$2:$K$37002,"68*")+SUMIFS('Accounting data'!$G$2:$G$37002,'Accounting data'!$I$2:$I$37002,"8*",'Accounting data'!$J$2:$J$37002,"25*",'Accounting data'!$K$2:$K$37002,"68*")+SUMIFS('Accounting data'!$G$2:$G$37002,'Accounting data'!$I$2:$I$37002,"9*",'Accounting data'!$J$2:$J$37002,"25*",'Accounting data'!$K$2:$K$37002,"68*")</f>
        <v>0</v>
      </c>
    </row>
    <row r="1478" spans="1:5" x14ac:dyDescent="0.3">
      <c r="A1478" s="519" t="s">
        <v>992</v>
      </c>
      <c r="B1478" s="517" t="s">
        <v>993</v>
      </c>
      <c r="C1478" s="517">
        <v>2500</v>
      </c>
      <c r="D1478" s="517">
        <v>6800</v>
      </c>
      <c r="E1478" s="518">
        <f t="array" ref="E1478">SUMIFS('Accounting data'!$G$2:$G$37002,'Accounting data'!$H$2:$H$37002,"9999*",'Accounting data'!$I$2:$I$37002,"7*",'Accounting data'!$J$2:$J$37002,"25*",'Accounting data'!$K$2:$K$37002,"68*")+SUMIFS('Accounting data'!$G$2:$G$37002,'Accounting data'!$H$2:$H$37002,"9999*",'Accounting data'!$I$2:$I$37002,"8*",'Accounting data'!$J$2:$J$37002,"25*",'Accounting data'!$K$2:$K$37002,"68*")+SUMIFS('Accounting data'!$G$2:$G$37002,'Accounting data'!$H$2:$H$37002,"9999*",'Accounting data'!$I$2:$I$37002,"9*",'Accounting data'!$J$2:$J$37002,"25*",'Accounting data'!$K$2:$K$37002,"68*")</f>
        <v>0</v>
      </c>
    </row>
    <row r="1479" spans="1:5" ht="14.5" x14ac:dyDescent="0.35">
      <c r="A1479" s="520" t="s">
        <v>1111</v>
      </c>
      <c r="B1479" s="520"/>
      <c r="C1479" s="520"/>
      <c r="D1479" s="520"/>
      <c r="E1479" s="521">
        <f>(E1475-E1476-E1477)+E1478</f>
        <v>12918</v>
      </c>
    </row>
    <row r="1480" spans="1:5" x14ac:dyDescent="0.3">
      <c r="A1480" s="517" t="s">
        <v>991</v>
      </c>
      <c r="B1480" s="517" t="s">
        <v>991</v>
      </c>
      <c r="C1480" s="517">
        <v>2900</v>
      </c>
      <c r="D1480" s="517">
        <v>6800</v>
      </c>
      <c r="E1480" s="518">
        <f t="array" ref="E1480">SUMIFS('Accounting data'!$G$2:$G$37002,'Accounting data'!$J$2:$J$37002,"29*",'Accounting data'!$K$2:$K$37002,"68*")</f>
        <v>0</v>
      </c>
    </row>
    <row r="1481" spans="1:5" x14ac:dyDescent="0.3">
      <c r="A1481" s="517" t="s">
        <v>992</v>
      </c>
      <c r="B1481" s="517" t="s">
        <v>991</v>
      </c>
      <c r="C1481" s="517">
        <v>2900</v>
      </c>
      <c r="D1481" s="517">
        <v>6800</v>
      </c>
      <c r="E1481" s="518">
        <f t="array" ref="E1481">SUMIFS('Accounting data'!$G$2:$G$37002,'Accounting data'!$H$2:$H$37002,"9999*",'Accounting data'!$J$2:$J$37002,"29*",'Accounting data'!$K$2:$K$37002,"68*")</f>
        <v>0</v>
      </c>
    </row>
    <row r="1482" spans="1:5" x14ac:dyDescent="0.3">
      <c r="A1482" s="517" t="s">
        <v>991</v>
      </c>
      <c r="B1482" s="517" t="s">
        <v>993</v>
      </c>
      <c r="C1482" s="517">
        <v>2900</v>
      </c>
      <c r="D1482" s="517">
        <v>6800</v>
      </c>
      <c r="E1482" s="518">
        <f t="array" ref="E1482">SUMIFS('Accounting data'!$G$2:$G$37002,'Accounting data'!$I$2:$I$37002,"7*",'Accounting data'!$J$2:$J$37002,"29*",'Accounting data'!$K$2:$K$37002,"68*")+SUMIFS('Accounting data'!$G$2:$G$37002,'Accounting data'!$I$2:$I$37002,"8*",'Accounting data'!$J$2:$J$37002,"29*",'Accounting data'!$K$2:$K$37002,"68*")+SUMIFS('Accounting data'!$G$2:$G$37002,'Accounting data'!$I$2:$I$37002,"9*",'Accounting data'!$J$2:$J$37002,"29*",'Accounting data'!$K$2:$K$37002,"68*")</f>
        <v>0</v>
      </c>
    </row>
    <row r="1483" spans="1:5" x14ac:dyDescent="0.3">
      <c r="A1483" s="519" t="s">
        <v>992</v>
      </c>
      <c r="B1483" s="517" t="s">
        <v>993</v>
      </c>
      <c r="C1483" s="517">
        <v>2900</v>
      </c>
      <c r="D1483" s="517">
        <v>6800</v>
      </c>
      <c r="E1483" s="518">
        <f t="array" ref="E1483">SUMIFS('Accounting data'!$G$2:$G$37002,'Accounting data'!$H$2:$H$37002,"9999*",'Accounting data'!$I$2:$I$37002,"7*",'Accounting data'!$J$2:$J$37002,"29*",'Accounting data'!$K$2:$K$37002,"68*")+SUMIFS('Accounting data'!$G$2:$G$37002,'Accounting data'!$H$2:$H$37002,"9999*",'Accounting data'!$I$2:$I$37002,"8*",'Accounting data'!$J$2:$J$37002,"29*",'Accounting data'!$K$2:$K$37002,"68*")+SUMIFS('Accounting data'!$G$2:$G$37002,'Accounting data'!$H$2:$H$37002,"9999*",'Accounting data'!$I$2:$I$37002,"9*",'Accounting data'!$J$2:$J$37002,"29*",'Accounting data'!$K$2:$K$37002,"68*")</f>
        <v>0</v>
      </c>
    </row>
    <row r="1484" spans="1:5" ht="14.5" x14ac:dyDescent="0.35">
      <c r="A1484" s="520" t="s">
        <v>1112</v>
      </c>
      <c r="B1484" s="520"/>
      <c r="C1484" s="520"/>
      <c r="D1484" s="520"/>
      <c r="E1484" s="521">
        <f>(E1480-E1481-E1482)+E1483</f>
        <v>0</v>
      </c>
    </row>
    <row r="1485" spans="1:5" x14ac:dyDescent="0.3">
      <c r="A1485" s="517" t="s">
        <v>991</v>
      </c>
      <c r="B1485" s="517" t="s">
        <v>991</v>
      </c>
      <c r="C1485" s="517">
        <v>2600</v>
      </c>
      <c r="D1485" s="517">
        <v>6800</v>
      </c>
      <c r="E1485" s="518">
        <f t="array" ref="E1485">SUMIFS('Accounting data'!$G$2:$G$37002,'Accounting data'!$J$2:$J$37002,"26*",'Accounting data'!$K$2:$K$37002,"68*")</f>
        <v>0</v>
      </c>
    </row>
    <row r="1486" spans="1:5" x14ac:dyDescent="0.3">
      <c r="A1486" s="517" t="s">
        <v>992</v>
      </c>
      <c r="B1486" s="517" t="s">
        <v>991</v>
      </c>
      <c r="C1486" s="517">
        <v>2600</v>
      </c>
      <c r="D1486" s="517">
        <v>6800</v>
      </c>
      <c r="E1486" s="518">
        <f t="array" ref="E1486">SUMIFS('Accounting data'!$G$2:$G$37002,'Accounting data'!$H$2:$H$37002,"9999*",'Accounting data'!$J$2:$J$37002,"26*",'Accounting data'!$K$2:$K$37002,"68*")</f>
        <v>0</v>
      </c>
    </row>
    <row r="1487" spans="1:5" x14ac:dyDescent="0.3">
      <c r="A1487" s="517" t="s">
        <v>991</v>
      </c>
      <c r="B1487" s="517" t="s">
        <v>993</v>
      </c>
      <c r="C1487" s="517">
        <v>2600</v>
      </c>
      <c r="D1487" s="517">
        <v>6800</v>
      </c>
      <c r="E1487" s="518">
        <f t="array" ref="E1487">SUMIFS('Accounting data'!$G$2:$G$37002,'Accounting data'!$I$2:$I$37002,"7*",'Accounting data'!$J$2:$J$37002,"26*",'Accounting data'!$K$2:$K$37002,"68*")+SUMIFS('Accounting data'!$G$2:$G$37002,'Accounting data'!$I$2:$I$37002,"8*",'Accounting data'!$J$2:$J$37002,"26*",'Accounting data'!$K$2:$K$37002,"68*")+SUMIFS('Accounting data'!$G$2:$G$37002,'Accounting data'!$I$2:$I$37002,"9*",'Accounting data'!$J$2:$J$37002,"26*",'Accounting data'!$K$2:$K$37002,"68*")</f>
        <v>0</v>
      </c>
    </row>
    <row r="1488" spans="1:5" x14ac:dyDescent="0.3">
      <c r="A1488" s="519" t="s">
        <v>992</v>
      </c>
      <c r="B1488" s="517" t="s">
        <v>993</v>
      </c>
      <c r="C1488" s="517">
        <v>2600</v>
      </c>
      <c r="D1488" s="517">
        <v>6800</v>
      </c>
      <c r="E1488" s="518">
        <f t="array" ref="E1488">SUMIFS('Accounting data'!$G$2:$G$37002,'Accounting data'!$H$2:$H$37002,"9999*",'Accounting data'!$I$2:$I$37002,"7*",'Accounting data'!$J$2:$J$37002,"26*",'Accounting data'!$K$2:$K$37002,"68*")+SUMIFS('Accounting data'!$G$2:$G$37002,'Accounting data'!$H$2:$H$37002,"9999*",'Accounting data'!$I$2:$I$37002,"8*",'Accounting data'!$J$2:$J$37002,"26*",'Accounting data'!$K$2:$K$37002,"68*")+SUMIFS('Accounting data'!$G$2:$G$37002,'Accounting data'!$H$2:$H$37002,"9999*",'Accounting data'!$I$2:$I$37002,"9*",'Accounting data'!$J$2:$J$37002,"26*",'Accounting data'!$K$2:$K$37002,"68*")</f>
        <v>0</v>
      </c>
    </row>
    <row r="1489" spans="1:5" ht="14.5" x14ac:dyDescent="0.35">
      <c r="A1489" s="520" t="s">
        <v>1113</v>
      </c>
      <c r="B1489" s="520"/>
      <c r="C1489" s="520"/>
      <c r="D1489" s="520"/>
      <c r="E1489" s="521">
        <f>(E1485-E1486-E1487)+E1488</f>
        <v>0</v>
      </c>
    </row>
    <row r="1490" spans="1:5" x14ac:dyDescent="0.3">
      <c r="A1490" s="517" t="s">
        <v>991</v>
      </c>
      <c r="B1490" s="517" t="s">
        <v>991</v>
      </c>
      <c r="C1490" s="517">
        <v>2700</v>
      </c>
      <c r="D1490" s="517">
        <v>6800</v>
      </c>
      <c r="E1490" s="518">
        <f t="array" ref="E1490">SUMIFS('Accounting data'!$G$2:$G$37002,'Accounting data'!$J$2:$J$37002,"27*",'Accounting data'!$K$2:$K$37002,"68*")</f>
        <v>103</v>
      </c>
    </row>
    <row r="1491" spans="1:5" x14ac:dyDescent="0.3">
      <c r="A1491" s="517" t="s">
        <v>992</v>
      </c>
      <c r="B1491" s="517" t="s">
        <v>991</v>
      </c>
      <c r="C1491" s="517">
        <v>2700</v>
      </c>
      <c r="D1491" s="517">
        <v>6800</v>
      </c>
      <c r="E1491" s="518">
        <f t="array" ref="E1491">SUMIFS('Accounting data'!$G$2:$G$37002,'Accounting data'!$H$2:$H$37002,"9999*",'Accounting data'!$J$2:$J$37002,"27*",'Accounting data'!$K$2:$K$37002,"68*")</f>
        <v>0</v>
      </c>
    </row>
    <row r="1492" spans="1:5" x14ac:dyDescent="0.3">
      <c r="A1492" s="517" t="s">
        <v>991</v>
      </c>
      <c r="B1492" s="517" t="s">
        <v>993</v>
      </c>
      <c r="C1492" s="517">
        <v>2700</v>
      </c>
      <c r="D1492" s="517">
        <v>6800</v>
      </c>
      <c r="E1492" s="518">
        <f t="array" ref="E1492">SUMIFS('Accounting data'!$G$2:$G$37002,'Accounting data'!$I$2:$I$37002,"7*",'Accounting data'!$J$2:$J$37002,"27*",'Accounting data'!$K$2:$K$37002,"68*")+SUMIFS('Accounting data'!$G$2:$G$37002,'Accounting data'!$I$2:$I$37002,"8*",'Accounting data'!$J$2:$J$37002,"27*",'Accounting data'!$K$2:$K$37002,"68*")+SUMIFS('Accounting data'!$G$2:$G$37002,'Accounting data'!$I$2:$I$37002,"9*",'Accounting data'!$J$2:$J$37002,"27*",'Accounting data'!$K$2:$K$37002,"68*")</f>
        <v>0</v>
      </c>
    </row>
    <row r="1493" spans="1:5" x14ac:dyDescent="0.3">
      <c r="A1493" s="519" t="s">
        <v>992</v>
      </c>
      <c r="B1493" s="517" t="s">
        <v>993</v>
      </c>
      <c r="C1493" s="517">
        <v>2700</v>
      </c>
      <c r="D1493" s="517">
        <v>6800</v>
      </c>
      <c r="E1493" s="518">
        <f t="array" ref="E1493">SUMIFS('Accounting data'!$G$2:$G$37002,'Accounting data'!$H$2:$H$37002,"9999*",'Accounting data'!$I$2:$I$37002,"7*",'Accounting data'!$J$2:$J$37002,"27*",'Accounting data'!$K$2:$K$37002,"68*")+SUMIFS('Accounting data'!$G$2:$G$37002,'Accounting data'!$H$2:$H$37002,"9999*",'Accounting data'!$I$2:$I$37002,"8*",'Accounting data'!$J$2:$J$37002,"27*",'Accounting data'!$K$2:$K$37002,"68*")+SUMIFS('Accounting data'!$G$2:$G$37002,'Accounting data'!$H$2:$H$37002,"9999*",'Accounting data'!$I$2:$I$37002,"9*",'Accounting data'!$J$2:$J$37002,"27*",'Accounting data'!$K$2:$K$37002,"68*")</f>
        <v>0</v>
      </c>
    </row>
    <row r="1494" spans="1:5" ht="14.5" x14ac:dyDescent="0.35">
      <c r="A1494" s="520" t="s">
        <v>1114</v>
      </c>
      <c r="B1494" s="520"/>
      <c r="C1494" s="520"/>
      <c r="D1494" s="520"/>
      <c r="E1494" s="521">
        <f>(E1490-E1491-E1492)+E1493</f>
        <v>103</v>
      </c>
    </row>
    <row r="1495" spans="1:5" x14ac:dyDescent="0.3">
      <c r="A1495" s="517" t="s">
        <v>991</v>
      </c>
      <c r="B1495" s="517" t="s">
        <v>991</v>
      </c>
      <c r="C1495" s="517">
        <v>3100</v>
      </c>
      <c r="D1495" s="517">
        <v>6800</v>
      </c>
      <c r="E1495" s="518">
        <f t="array" ref="E1495">SUMIFS('Accounting data'!$G$2:$G$37002,'Accounting data'!$J$2:$J$37002,"31*",'Accounting data'!$K$2:$K$37002,"68*")</f>
        <v>945</v>
      </c>
    </row>
    <row r="1496" spans="1:5" x14ac:dyDescent="0.3">
      <c r="A1496" s="517" t="s">
        <v>992</v>
      </c>
      <c r="B1496" s="517" t="s">
        <v>991</v>
      </c>
      <c r="C1496" s="517">
        <v>3100</v>
      </c>
      <c r="D1496" s="517">
        <v>6800</v>
      </c>
      <c r="E1496" s="518">
        <f t="array" ref="E1496">SUMIFS('Accounting data'!$G$2:$G$37002,'Accounting data'!$H$2:$H$37002,"9999*",'Accounting data'!$J$2:$J$37002,"31*",'Accounting data'!$K$2:$K$37002,"68*")</f>
        <v>0</v>
      </c>
    </row>
    <row r="1497" spans="1:5" x14ac:dyDescent="0.3">
      <c r="A1497" s="517" t="s">
        <v>991</v>
      </c>
      <c r="B1497" s="517" t="s">
        <v>993</v>
      </c>
      <c r="C1497" s="517">
        <v>3100</v>
      </c>
      <c r="D1497" s="517">
        <v>6800</v>
      </c>
      <c r="E1497" s="518">
        <f t="array" ref="E1497">SUMIFS('Accounting data'!$G$2:$G$37002,'Accounting data'!$I$2:$I$37002,"7*",'Accounting data'!$J$2:$J$37002,"31*",'Accounting data'!$K$2:$K$37002,"68*")+SUMIFS('Accounting data'!$G$2:$G$37002,'Accounting data'!$I$2:$I$37002,"8*",'Accounting data'!$J$2:$J$37002,"31*",'Accounting data'!$K$2:$K$37002,"68*")+SUMIFS('Accounting data'!$G$2:$G$37002,'Accounting data'!$I$2:$I$37002,"9*",'Accounting data'!$J$2:$J$37002,"31*",'Accounting data'!$K$2:$K$37002,"68*")</f>
        <v>0</v>
      </c>
    </row>
    <row r="1498" spans="1:5" x14ac:dyDescent="0.3">
      <c r="A1498" s="519" t="s">
        <v>992</v>
      </c>
      <c r="B1498" s="517" t="s">
        <v>993</v>
      </c>
      <c r="C1498" s="517">
        <v>3100</v>
      </c>
      <c r="D1498" s="517">
        <v>6800</v>
      </c>
      <c r="E1498" s="518">
        <f t="array" ref="E1498">SUMIFS('Accounting data'!$G$2:$G$37002,'Accounting data'!$H$2:$H$37002,"9999*",'Accounting data'!$I$2:$I$37002,"7*",'Accounting data'!$J$2:$J$37002,"31*",'Accounting data'!$K$2:$K$37002,"68*")+SUMIFS('Accounting data'!$G$2:$G$37002,'Accounting data'!$H$2:$H$37002,"9999*",'Accounting data'!$I$2:$I$37002,"8*",'Accounting data'!$J$2:$J$37002,"31*",'Accounting data'!$K$2:$K$37002,"68*")+SUMIFS('Accounting data'!$G$2:$G$37002,'Accounting data'!$H$2:$H$37002,"9999*",'Accounting data'!$I$2:$I$37002,"9*",'Accounting data'!$J$2:$J$37002,"31*",'Accounting data'!$K$2:$K$37002,"68*")</f>
        <v>0</v>
      </c>
    </row>
    <row r="1499" spans="1:5" ht="14.5" x14ac:dyDescent="0.35">
      <c r="A1499" s="520" t="s">
        <v>1115</v>
      </c>
      <c r="B1499" s="520"/>
      <c r="C1499" s="520"/>
      <c r="D1499" s="520"/>
      <c r="E1499" s="521">
        <f>(E1495-E1496-E1497)+E1498</f>
        <v>945</v>
      </c>
    </row>
    <row r="1500" spans="1:5" x14ac:dyDescent="0.3">
      <c r="A1500" s="517" t="s">
        <v>991</v>
      </c>
      <c r="B1500" s="517" t="s">
        <v>991</v>
      </c>
      <c r="C1500" s="517">
        <v>3400</v>
      </c>
      <c r="D1500" s="517">
        <v>6800</v>
      </c>
      <c r="E1500" s="518">
        <f t="array" ref="E1500">SUMIFS('Accounting data'!$G$2:$G$37002,'Accounting data'!$J$2:$J$37002,"34*",'Accounting data'!$K$2:$K$37002,"68*")</f>
        <v>0</v>
      </c>
    </row>
    <row r="1501" spans="1:5" x14ac:dyDescent="0.3">
      <c r="A1501" s="517" t="s">
        <v>992</v>
      </c>
      <c r="B1501" s="517" t="s">
        <v>991</v>
      </c>
      <c r="C1501" s="517">
        <v>3400</v>
      </c>
      <c r="D1501" s="517">
        <v>6800</v>
      </c>
      <c r="E1501" s="518">
        <f t="array" ref="E1501">SUMIFS('Accounting data'!$G$2:$G$37002,'Accounting data'!$H$2:$H$37002,"9999*",'Accounting data'!$J$2:$J$37002,"34*",'Accounting data'!$K$2:$K$37002,"68*")</f>
        <v>0</v>
      </c>
    </row>
    <row r="1502" spans="1:5" x14ac:dyDescent="0.3">
      <c r="A1502" s="517" t="s">
        <v>991</v>
      </c>
      <c r="B1502" s="517" t="s">
        <v>993</v>
      </c>
      <c r="C1502" s="517">
        <v>3400</v>
      </c>
      <c r="D1502" s="517">
        <v>6800</v>
      </c>
      <c r="E1502" s="518">
        <f t="array" ref="E1502">SUMIFS('Accounting data'!$G$2:$G$37002,'Accounting data'!$I$2:$I$37002,"7*",'Accounting data'!$J$2:$J$37002,"34*",'Accounting data'!$K$2:$K$37002,"68*")+SUMIFS('Accounting data'!$G$2:$G$37002,'Accounting data'!$I$2:$I$37002,"8*",'Accounting data'!$J$2:$J$37002,"34*",'Accounting data'!$K$2:$K$37002,"68*")+SUMIFS('Accounting data'!$G$2:$G$37002,'Accounting data'!$I$2:$I$37002,"9*",'Accounting data'!$J$2:$J$37002,"34*",'Accounting data'!$K$2:$K$37002,"68*")</f>
        <v>0</v>
      </c>
    </row>
    <row r="1503" spans="1:5" x14ac:dyDescent="0.3">
      <c r="A1503" s="519" t="s">
        <v>992</v>
      </c>
      <c r="B1503" s="517" t="s">
        <v>993</v>
      </c>
      <c r="C1503" s="517">
        <v>3400</v>
      </c>
      <c r="D1503" s="517">
        <v>6800</v>
      </c>
      <c r="E1503" s="518">
        <f t="array" ref="E1503">SUMIFS('Accounting data'!$G$2:$G$37002,'Accounting data'!$H$2:$H$37002,"9999*",'Accounting data'!$I$2:$I$37002,"7*",'Accounting data'!$J$2:$J$37002,"34*",'Accounting data'!$K$2:$K$37002,"68*")+SUMIFS('Accounting data'!$G$2:$G$37002,'Accounting data'!$H$2:$H$37002,"9999*",'Accounting data'!$I$2:$I$37002,"8*",'Accounting data'!$J$2:$J$37002,"34*",'Accounting data'!$K$2:$K$37002,"68*")+SUMIFS('Accounting data'!$G$2:$G$37002,'Accounting data'!$H$2:$H$37002,"9999*",'Accounting data'!$I$2:$I$37002,"9*",'Accounting data'!$J$2:$J$37002,"34*",'Accounting data'!$K$2:$K$37002,"68*")</f>
        <v>0</v>
      </c>
    </row>
    <row r="1504" spans="1:5" ht="14.5" x14ac:dyDescent="0.35">
      <c r="A1504" s="520" t="s">
        <v>1116</v>
      </c>
      <c r="B1504" s="520"/>
      <c r="C1504" s="520"/>
      <c r="D1504" s="520"/>
      <c r="E1504" s="521">
        <f>(E1500-E1501-E1502)+E1503</f>
        <v>0</v>
      </c>
    </row>
    <row r="1505" spans="1:5" ht="14.5" x14ac:dyDescent="0.35">
      <c r="A1505" s="523" t="s">
        <v>1117</v>
      </c>
      <c r="B1505" s="523"/>
      <c r="C1505" s="523"/>
      <c r="D1505" s="523"/>
      <c r="E1505" s="524">
        <f>E1454+E1459+E1464+E1469+E1474+E1479+E1484+E1489+E1494+E1499+E1504</f>
        <v>17115</v>
      </c>
    </row>
    <row r="1506" spans="1:5" x14ac:dyDescent="0.3">
      <c r="A1506" s="517" t="s">
        <v>1007</v>
      </c>
      <c r="B1506" s="517" t="s">
        <v>991</v>
      </c>
      <c r="C1506" s="517">
        <v>1000</v>
      </c>
      <c r="D1506" s="517">
        <v>6800</v>
      </c>
      <c r="E1506" s="518">
        <f>SUMIFS('Accounting data'!$G$2:$G$37002,'Accounting data'!$H$2:$H$37002,"11*",'Accounting data'!$J$2:$J$37002,"1*",'Accounting data'!$K$2:$K$37002,"68*")+SUMIFS('Accounting data'!$G$2:$G$37002,'Accounting data'!$H$2:$H$37002,"12*",'Accounting data'!$J$2:$J$37002,"1*",'Accounting data'!$K$2:$K$37002,"68*")+SUMIFS('Accounting data'!$G$2:$G$37002,'Accounting data'!$H$2:$H$37002,"13*",'Accounting data'!$J$2:$J$37002,"1*",'Accounting data'!$K$2:$K$37002,"68*")</f>
        <v>0</v>
      </c>
    </row>
    <row r="1507" spans="1:5" x14ac:dyDescent="0.3">
      <c r="A1507" s="517" t="s">
        <v>1007</v>
      </c>
      <c r="B1507" s="517" t="s">
        <v>991</v>
      </c>
      <c r="C1507" s="517">
        <v>2000</v>
      </c>
      <c r="D1507" s="517">
        <v>6800</v>
      </c>
      <c r="E1507" s="518">
        <f>SUMIFS('Accounting data'!$G$2:$G$37002,'Accounting data'!$H$2:$H$37002,"11*",'Accounting data'!$J$2:$J$37002,"2*",'Accounting data'!$K$2:$K$37002,"68*")+SUMIFS('Accounting data'!$G$2:$G$37002,'Accounting data'!$H$2:$H$37002,"12*",'Accounting data'!$J$2:$J$37002,"2*",'Accounting data'!$K$2:$K$37002,"68*")+SUMIFS('Accounting data'!$G$2:$G$37002,'Accounting data'!$H$2:$H$37002,"13*",'Accounting data'!$J$2:$J$37002,"2*",'Accounting data'!$K$2:$K$37002,"68*")</f>
        <v>0</v>
      </c>
    </row>
    <row r="1508" spans="1:5" x14ac:dyDescent="0.3">
      <c r="A1508" s="517" t="s">
        <v>1007</v>
      </c>
      <c r="B1508" s="517" t="s">
        <v>991</v>
      </c>
      <c r="C1508" s="517">
        <v>3000</v>
      </c>
      <c r="D1508" s="517">
        <v>6800</v>
      </c>
      <c r="E1508" s="518">
        <f>SUMIFS('Accounting data'!$G$2:$G$37002,'Accounting data'!$H$2:$H$37002,"11*",'Accounting data'!$J$2:$J$37002,"3*",'Accounting data'!$K$2:$K$37002,"68*")+SUMIFS('Accounting data'!$G$2:$G$37002,'Accounting data'!$H$2:$H$37002,"12*",'Accounting data'!$J$2:$J$37002,"3*",'Accounting data'!$K$2:$K$37002,"68*")+SUMIFS('Accounting data'!$G$2:$G$37002,'Accounting data'!$H$2:$H$37002,"13*",'Accounting data'!$J$2:$J$37002,"3*",'Accounting data'!$K$2:$K$37002,"68*")</f>
        <v>0</v>
      </c>
    </row>
    <row r="1509" spans="1:5" x14ac:dyDescent="0.3">
      <c r="A1509" s="517" t="s">
        <v>1007</v>
      </c>
      <c r="B1509" s="519">
        <v>700</v>
      </c>
      <c r="C1509" s="517">
        <v>1000</v>
      </c>
      <c r="D1509" s="517">
        <v>6800</v>
      </c>
      <c r="E1509" s="518">
        <f>SUMIFS('Accounting data'!$G$2:$G$37002,'Accounting data'!$H$2:$H$37002,"11*",'Accounting data'!$I$2:$I$37002,"7*",'Accounting data'!$J$2:$J$37002,"1*",'Accounting data'!$K$2:$K$37002,"68*")+SUMIFS('Accounting data'!$G$2:$G$37002,'Accounting data'!$H$2:$H$37002,"12*",'Accounting data'!$I$2:$I$37002,"7*",'Accounting data'!$J$2:$J$37002,"1*",'Accounting data'!$K$2:$K$37002,"68*")+SUMIFS('Accounting data'!$G$2:$G$37002,'Accounting data'!$H$2:$H$37002,"13*",'Accounting data'!$I$2:$I$37002,"7*",'Accounting data'!$J$2:$J$37002,"1*",'Accounting data'!$K$2:$K$37002,"68*")</f>
        <v>0</v>
      </c>
    </row>
    <row r="1510" spans="1:5" x14ac:dyDescent="0.3">
      <c r="A1510" s="517" t="s">
        <v>1007</v>
      </c>
      <c r="B1510" s="519">
        <v>800</v>
      </c>
      <c r="C1510" s="517">
        <v>1000</v>
      </c>
      <c r="D1510" s="517">
        <v>6800</v>
      </c>
      <c r="E1510" s="518">
        <f>SUMIFS('Accounting data'!$G$2:$G$37002,'Accounting data'!$H$2:$H$37002,"11*",'Accounting data'!$I$2:$I$37002,"8*",'Accounting data'!$J$2:$J$37002,"1*",'Accounting data'!$K$2:$K$37002,"68*")+SUMIFS('Accounting data'!$G$2:$G$37002,'Accounting data'!$H$2:$H$37002,"12*",'Accounting data'!$I$2:$I$37002,"8*",'Accounting data'!$J$2:$J$37002,"1*",'Accounting data'!$K$2:$K$37002,"68*")+SUMIFS('Accounting data'!$G$2:$G$37002,'Accounting data'!$H$2:$H$37002,"13*",'Accounting data'!$I$2:$I$37002,"8*",'Accounting data'!$J$2:$J$37002,"1*",'Accounting data'!$K$2:$K$37002,"68*")</f>
        <v>0</v>
      </c>
    </row>
    <row r="1511" spans="1:5" x14ac:dyDescent="0.3">
      <c r="A1511" s="517" t="s">
        <v>1007</v>
      </c>
      <c r="B1511" s="519">
        <v>900</v>
      </c>
      <c r="C1511" s="517">
        <v>1000</v>
      </c>
      <c r="D1511" s="517">
        <v>6800</v>
      </c>
      <c r="E1511" s="518">
        <f>SUMIFS('Accounting data'!$G$2:$G$37002,'Accounting data'!$H$2:$H$37002,"11*",'Accounting data'!$I$2:$I$37002,"9*",'Accounting data'!$J$2:$J$37002,"1*",'Accounting data'!$K$2:$K$37002,"68*")+SUMIFS('Accounting data'!$G$2:$G$37002,'Accounting data'!$H$2:$H$37002,"12*",'Accounting data'!$I$2:$I$37002,"9*",'Accounting data'!$J$2:$J$37002,"1*",'Accounting data'!$K$2:$K$37002,"68*")+SUMIFS('Accounting data'!$G$2:$G$37002,'Accounting data'!$H$2:$H$37002,"13*",'Accounting data'!$I$2:$I$37002,"9*",'Accounting data'!$J$2:$J$37002,"1*",'Accounting data'!$K$2:$K$37002,"68*")</f>
        <v>0</v>
      </c>
    </row>
    <row r="1512" spans="1:5" x14ac:dyDescent="0.3">
      <c r="A1512" s="517" t="s">
        <v>1007</v>
      </c>
      <c r="B1512" s="519">
        <v>700</v>
      </c>
      <c r="C1512" s="517">
        <v>2000</v>
      </c>
      <c r="D1512" s="517">
        <v>6800</v>
      </c>
      <c r="E1512" s="518">
        <f>SUMIFS('Accounting data'!$G$2:$G$37002,'Accounting data'!$H$2:$H$37002,"11*",'Accounting data'!$I$2:$I$37002,"7*",'Accounting data'!$J$2:$J$37002,"2*",'Accounting data'!$K$2:$K$37002,"68*")+SUMIFS('Accounting data'!$G$2:$G$37002,'Accounting data'!$H$2:$H$37002,"12*",'Accounting data'!$I$2:$I$37002,"7*",'Accounting data'!$J$2:$J$37002,"2*",'Accounting data'!$K$2:$K$37002,"68*")+SUMIFS('Accounting data'!$G$2:$G$37002,'Accounting data'!$H$2:$H$37002,"13*",'Accounting data'!$I$2:$I$37002,"7*",'Accounting data'!$J$2:$J$37002,"2*",'Accounting data'!$K$2:$K$37002,"68*")</f>
        <v>0</v>
      </c>
    </row>
    <row r="1513" spans="1:5" x14ac:dyDescent="0.3">
      <c r="A1513" s="517" t="s">
        <v>1007</v>
      </c>
      <c r="B1513" s="519">
        <v>800</v>
      </c>
      <c r="C1513" s="517">
        <v>2000</v>
      </c>
      <c r="D1513" s="517">
        <v>6800</v>
      </c>
      <c r="E1513" s="518">
        <f>SUMIFS('Accounting data'!$G$2:$G$37002,'Accounting data'!$H$2:$H$37002,"11*",'Accounting data'!$I$2:$I$37002,"8*",'Accounting data'!$J$2:$J$37002,"2*",'Accounting data'!$K$2:$K$37002,"68*")+SUMIFS('Accounting data'!$G$2:$G$37002,'Accounting data'!$H$2:$H$37002,"12*",'Accounting data'!$I$2:$I$37002,"8*",'Accounting data'!$J$2:$J$37002,"2*",'Accounting data'!$K$2:$K$37002,"68*")+SUMIFS('Accounting data'!$G$2:$G$37002,'Accounting data'!$H$2:$H$37002,"13*",'Accounting data'!$I$2:$I$37002,"8*",'Accounting data'!$J$2:$J$37002,"2*",'Accounting data'!$K$2:$K$37002,"68*")</f>
        <v>0</v>
      </c>
    </row>
    <row r="1514" spans="1:5" x14ac:dyDescent="0.3">
      <c r="A1514" s="517" t="s">
        <v>1007</v>
      </c>
      <c r="B1514" s="519">
        <v>900</v>
      </c>
      <c r="C1514" s="517">
        <v>2000</v>
      </c>
      <c r="D1514" s="517">
        <v>6800</v>
      </c>
      <c r="E1514" s="518">
        <f>SUMIFS('Accounting data'!$G$2:$G$37002,'Accounting data'!$H$2:$H$37002,"11*",'Accounting data'!$I$2:$I$37002,"9*",'Accounting data'!$J$2:$J$37002,"2*",'Accounting data'!$K$2:$K$37002,"68*")+SUMIFS('Accounting data'!$G$2:$G$37002,'Accounting data'!$H$2:$H$37002,"12*",'Accounting data'!$I$2:$I$37002,"9*",'Accounting data'!$J$2:$J$37002,"2*",'Accounting data'!$K$2:$K$37002,"68*")+SUMIFS('Accounting data'!$G$2:$G$37002,'Accounting data'!$H$2:$H$37002,"13*",'Accounting data'!$I$2:$I$37002,"9*",'Accounting data'!$J$2:$J$37002,"2*",'Accounting data'!$K$2:$K$37002,"68*")</f>
        <v>0</v>
      </c>
    </row>
    <row r="1515" spans="1:5" x14ac:dyDescent="0.3">
      <c r="A1515" s="517" t="s">
        <v>1007</v>
      </c>
      <c r="B1515" s="519">
        <v>700</v>
      </c>
      <c r="C1515" s="517">
        <v>3000</v>
      </c>
      <c r="D1515" s="517">
        <v>6800</v>
      </c>
      <c r="E1515" s="518">
        <f>SUMIFS('Accounting data'!$G$2:$G$37002,'Accounting data'!$H$2:$H$37002,"11*",'Accounting data'!$I$2:$I$37002,"7*",'Accounting data'!$J$2:$J$37002,"3*",'Accounting data'!$K$2:$K$37002,"68*")+SUMIFS('Accounting data'!$G$2:$G$37002,'Accounting data'!$H$2:$H$37002,"12*",'Accounting data'!$I$2:$I$37002,"7*",'Accounting data'!$J$2:$J$37002,"3*",'Accounting data'!$K$2:$K$37002,"68*")+SUMIFS('Accounting data'!$G$2:$G$37002,'Accounting data'!$H$2:$H$37002,"13*",'Accounting data'!$I$2:$I$37002,"7*",'Accounting data'!$J$2:$J$37002,"3*",'Accounting data'!$K$2:$K$37002,"68*")</f>
        <v>0</v>
      </c>
    </row>
    <row r="1516" spans="1:5" x14ac:dyDescent="0.3">
      <c r="A1516" s="517" t="s">
        <v>1007</v>
      </c>
      <c r="B1516" s="519">
        <v>800</v>
      </c>
      <c r="C1516" s="517">
        <v>3000</v>
      </c>
      <c r="D1516" s="517">
        <v>6800</v>
      </c>
      <c r="E1516" s="518">
        <f>SUMIFS('Accounting data'!$G$2:$G$37002,'Accounting data'!$H$2:$H$37002,"11*",'Accounting data'!$I$2:$I$37002,"8*",'Accounting data'!$J$2:$J$37002,"3*",'Accounting data'!$K$2:$K$37002,"68*")+SUMIFS('Accounting data'!$G$2:$G$37002,'Accounting data'!$H$2:$H$37002,"12*",'Accounting data'!$I$2:$I$37002,"8*",'Accounting data'!$J$2:$J$37002,"3*",'Accounting data'!$K$2:$K$37002,"68*")+SUMIFS('Accounting data'!$G$2:$G$37002,'Accounting data'!$H$2:$H$37002,"13*",'Accounting data'!$I$2:$I$37002,"8*",'Accounting data'!$J$2:$J$37002,"3*",'Accounting data'!$K$2:$K$37002,"68*")</f>
        <v>0</v>
      </c>
    </row>
    <row r="1517" spans="1:5" x14ac:dyDescent="0.3">
      <c r="A1517" s="517" t="s">
        <v>1007</v>
      </c>
      <c r="B1517" s="519">
        <v>900</v>
      </c>
      <c r="C1517" s="517">
        <v>3000</v>
      </c>
      <c r="D1517" s="517">
        <v>6800</v>
      </c>
      <c r="E1517" s="518">
        <f>SUMIFS('Accounting data'!$G$2:$G$37002,'Accounting data'!$H$2:$H$37002,"11*",'Accounting data'!$I$2:$I$37002,"9*",'Accounting data'!$J$2:$J$37002,"3*",'Accounting data'!$K$2:$K$37002,"68*")+SUMIFS('Accounting data'!$G$2:$G$37002,'Accounting data'!$H$2:$H$37002,"12*",'Accounting data'!$I$2:$I$37002,"9*",'Accounting data'!$J$2:$J$37002,"3*",'Accounting data'!$K$2:$K$37002,"68*")+SUMIFS('Accounting data'!$G$2:$G$37002,'Accounting data'!$H$2:$H$37002,"13*",'Accounting data'!$I$2:$I$37002,"9*",'Accounting data'!$J$2:$J$37002,"3*",'Accounting data'!$K$2:$K$37002,"68*")</f>
        <v>0</v>
      </c>
    </row>
    <row r="1518" spans="1:5" x14ac:dyDescent="0.3">
      <c r="A1518" s="520" t="s">
        <v>1118</v>
      </c>
      <c r="B1518" s="520"/>
      <c r="C1518" s="520"/>
      <c r="D1518" s="520"/>
      <c r="E1518" s="530">
        <f>(E1506+E1507+E1508)-(E1509+E1510+E1511+E1512+E1513+E1514+E1515+E1516+E1517)</f>
        <v>0</v>
      </c>
    </row>
    <row r="1519" spans="1:5" x14ac:dyDescent="0.3">
      <c r="A1519" s="517" t="s">
        <v>991</v>
      </c>
      <c r="B1519" s="517" t="s">
        <v>991</v>
      </c>
      <c r="C1519" s="517">
        <v>4000</v>
      </c>
      <c r="D1519" s="517">
        <v>6800</v>
      </c>
      <c r="E1519" s="518">
        <f>SUMIFS('Accounting data'!G$2:G$37002,'Accounting data'!J$2:J$37002,"4*",'Accounting data'!K$2:K$37002,"68*")</f>
        <v>0</v>
      </c>
    </row>
    <row r="1520" spans="1:5" x14ac:dyDescent="0.3">
      <c r="A1520" s="517" t="s">
        <v>992</v>
      </c>
      <c r="B1520" s="517" t="s">
        <v>991</v>
      </c>
      <c r="C1520" s="517">
        <v>4000</v>
      </c>
      <c r="D1520" s="517">
        <v>6800</v>
      </c>
      <c r="E1520" s="518">
        <f t="array" ref="E1520">SUMIFS('Accounting data'!$G$2:$G$37002,'Accounting data'!$H$2:$H$37002,"9999*",'Accounting data'!$J$2:$J$37002,"4*",'Accounting data'!$K$2:$K$37002,"68*")</f>
        <v>0</v>
      </c>
    </row>
    <row r="1521" spans="1:5" x14ac:dyDescent="0.3">
      <c r="A1521" s="517" t="s">
        <v>991</v>
      </c>
      <c r="B1521" s="517" t="s">
        <v>993</v>
      </c>
      <c r="C1521" s="517">
        <v>4000</v>
      </c>
      <c r="D1521" s="517">
        <v>6800</v>
      </c>
      <c r="E1521" s="518">
        <f t="array" ref="E1521">SUMIFS('Accounting data'!$G$2:$G$37002,'Accounting data'!$I$2:$I$37002,"7*",'Accounting data'!$J$2:$J$37002,"4*",'Accounting data'!$K$2:$K$37002,"68*")+SUMIFS('Accounting data'!$G$2:$G$37002,'Accounting data'!$I$2:$I$37002,"8*",'Accounting data'!$J$2:$J$37002,"4*",'Accounting data'!$K$2:$K$37002,"68*")+SUMIFS('Accounting data'!$G$2:$G$37002,'Accounting data'!$I$2:$I$37002,"9*",'Accounting data'!$J$2:$J$37002,"4*",'Accounting data'!$K$2:$K$37002,"68*")</f>
        <v>0</v>
      </c>
    </row>
    <row r="1522" spans="1:5" x14ac:dyDescent="0.3">
      <c r="A1522" s="519" t="s">
        <v>992</v>
      </c>
      <c r="B1522" s="517" t="s">
        <v>993</v>
      </c>
      <c r="C1522" s="517">
        <v>4000</v>
      </c>
      <c r="D1522" s="517">
        <v>6800</v>
      </c>
      <c r="E1522" s="518">
        <f t="array" ref="E1522">SUMIFS('Accounting data'!$G$2:$G$37002,'Accounting data'!$H$2:$H$37002,"9999*",'Accounting data'!$I$2:$I$37002,"7*",'Accounting data'!$J$2:$J$37002,"4*",'Accounting data'!$K$2:$K$37002,"68*")+SUMIFS('Accounting data'!$G$2:$G$37002,'Accounting data'!$H$2:$H$37002,"9999*",'Accounting data'!$I$2:$I$37002,"8*",'Accounting data'!$J$2:$J$37002,"4*",'Accounting data'!$K$2:$K$37002,"68*")+SUMIFS('Accounting data'!$G$2:$G$37002,'Accounting data'!$H$2:$H$37002,"9999*",'Accounting data'!$I$2:$I$37002,"9*",'Accounting data'!$J$2:$J$37002,"4*",'Accounting data'!$K$2:$K$37002,"68*")</f>
        <v>0</v>
      </c>
    </row>
    <row r="1523" spans="1:5" ht="14.5" x14ac:dyDescent="0.35">
      <c r="A1523" s="520" t="s">
        <v>1119</v>
      </c>
      <c r="B1523" s="520"/>
      <c r="C1523" s="520"/>
      <c r="D1523" s="520"/>
      <c r="E1523" s="521">
        <f>(E1519-E1520-E1521)+E1522</f>
        <v>0</v>
      </c>
    </row>
    <row r="1524" spans="1:5" x14ac:dyDescent="0.3">
      <c r="A1524" s="517" t="s">
        <v>991</v>
      </c>
      <c r="B1524" s="517" t="s">
        <v>991</v>
      </c>
      <c r="C1524" s="517">
        <v>1900</v>
      </c>
      <c r="D1524" s="517">
        <v>6100</v>
      </c>
      <c r="E1524" s="518">
        <f>SUMIFS('Accounting data'!$G$2:$G$37002,'Accounting data'!$J$2:$J$37002,"19*",'Accounting data'!$K$2:$K$37002,"61*")</f>
        <v>83330</v>
      </c>
    </row>
    <row r="1525" spans="1:5" x14ac:dyDescent="0.3">
      <c r="A1525" s="517" t="s">
        <v>992</v>
      </c>
      <c r="B1525" s="517" t="s">
        <v>991</v>
      </c>
      <c r="C1525" s="517">
        <v>1900</v>
      </c>
      <c r="D1525" s="517">
        <v>6100</v>
      </c>
      <c r="E1525" s="518">
        <f>SUMIFS('Accounting data'!$G$2:$G$37002,'Accounting data'!$H$2:$H$37002,"9999*",'Accounting data'!$J$2:$J$37002,"19*",'Accounting data'!$K$2:$K$37002,"61*")</f>
        <v>0</v>
      </c>
    </row>
    <row r="1526" spans="1:5" x14ac:dyDescent="0.3">
      <c r="A1526" s="517" t="s">
        <v>991</v>
      </c>
      <c r="B1526" s="517" t="s">
        <v>993</v>
      </c>
      <c r="C1526" s="517">
        <v>1900</v>
      </c>
      <c r="D1526" s="517">
        <v>6100</v>
      </c>
      <c r="E1526" s="518">
        <f>SUMIFS('Accounting data'!$G$2:$G$37002,'Accounting data'!$I$2:$I$37002,"7*",'Accounting data'!$J$2:$J$37002,"19*",'Accounting data'!$K$2:$K$37002,"61*")+SUMIFS('Accounting data'!$G$2:$G$37002,'Accounting data'!$I$2:$I$37002,"8*",'Accounting data'!$J$2:$J$37002,"19*",'Accounting data'!$K$2:$K$37002,"61*")+SUMIFS('Accounting data'!$G$2:$G$37002,'Accounting data'!$I$2:$I$37002,"9*",'Accounting data'!$J$2:$J$37002,"19*",'Accounting data'!$K$2:$K$37002,"61*")</f>
        <v>0</v>
      </c>
    </row>
    <row r="1527" spans="1:5" x14ac:dyDescent="0.3">
      <c r="A1527" s="519" t="s">
        <v>992</v>
      </c>
      <c r="B1527" s="517" t="s">
        <v>993</v>
      </c>
      <c r="C1527" s="517">
        <v>1900</v>
      </c>
      <c r="D1527" s="517">
        <v>6100</v>
      </c>
      <c r="E1527" s="518">
        <f>SUMIFS('Accounting data'!$G$2:$G$37002,'Accounting data'!$H$2:$H$37002,"9999*",'Accounting data'!$I$2:$I$37002,"7*",'Accounting data'!$J$2:$J$37002,"19*",'Accounting data'!$K$2:$K$37002,"61*")+SUMIFS('Accounting data'!$G$2:$G$37002,'Accounting data'!$H$2:$H$37002,"9999*",'Accounting data'!$I$2:$I$37002,"8*",'Accounting data'!$J$2:$J$37002,"19*",'Accounting data'!$K$2:$K$37002,"61*")+SUMIFS('Accounting data'!$G$2:$G$37002,'Accounting data'!$H$2:$H$37002,"9999*",'Accounting data'!$I$2:$I$37002,"9*",'Accounting data'!$J$2:$J$37002,"19*",'Accounting data'!$K$2:$K$37002,"61*")</f>
        <v>0</v>
      </c>
    </row>
    <row r="1528" spans="1:5" x14ac:dyDescent="0.3">
      <c r="A1528" s="520" t="s">
        <v>1120</v>
      </c>
      <c r="B1528" s="520"/>
      <c r="C1528" s="520"/>
      <c r="D1528" s="520"/>
      <c r="E1528" s="530">
        <f>(E1524-E1525-E1526)+E1527</f>
        <v>83330</v>
      </c>
    </row>
    <row r="1529" spans="1:5" x14ac:dyDescent="0.3">
      <c r="A1529" s="517" t="s">
        <v>1007</v>
      </c>
      <c r="B1529" s="517" t="s">
        <v>991</v>
      </c>
      <c r="C1529" s="517">
        <v>1900</v>
      </c>
      <c r="D1529" s="517">
        <v>6100</v>
      </c>
      <c r="E1529" s="518">
        <f t="array" ref="E1529">SUMIFS('Accounting data'!$G$2:$G$37002,'Accounting data'!$H$2:$H$37002,"11*",'Accounting data'!$J$2:$J$37002,"19*",'Accounting data'!$K$2:$K$37002,"61*")+SUMIFS('Accounting data'!$G$2:$G$37002,'Accounting data'!$H$2:$H$37002,"12*",'Accounting data'!$J$2:$J$37002,"19*",'Accounting data'!$K$2:$K$37002,"61*")+SUMIFS('Accounting data'!$G$2:$G$37002,'Accounting data'!$H$2:$H$37002,"13*",'Accounting data'!$J$2:$J$37002,"19*",'Accounting data'!$K$2:$K$37002,"61*")</f>
        <v>28000</v>
      </c>
    </row>
    <row r="1530" spans="1:5" x14ac:dyDescent="0.3">
      <c r="A1530" s="517" t="s">
        <v>1007</v>
      </c>
      <c r="B1530" s="519">
        <v>700</v>
      </c>
      <c r="C1530" s="517">
        <v>1900</v>
      </c>
      <c r="D1530" s="517">
        <v>6100</v>
      </c>
      <c r="E1530" s="518">
        <f t="array" ref="E1530">SUMIFS('Accounting data'!$G$2:$G$37002,'Accounting data'!$H$2:$H$37002,"11*",'Accounting data'!$I$2:$I$37002,"7*",'Accounting data'!$J$2:$J$37002,"19*",'Accounting data'!$K$2:$K$37002,"61*")+SUMIFS('Accounting data'!$G$2:$G$37002,'Accounting data'!$H$2:$H$37002,"12*",'Accounting data'!$I$2:$I$37002,"7*",'Accounting data'!$J$2:$J$37002,"19*",'Accounting data'!$K$2:$K$37002,"61*")+SUMIFS('Accounting data'!$G$2:$G$37002,'Accounting data'!$H$2:$H$37002,"13*",'Accounting data'!$I$2:$I$37002,"7*",'Accounting data'!$J$2:$J$37002,"19*",'Accounting data'!$K$2:$K$37002,"61*")</f>
        <v>0</v>
      </c>
    </row>
    <row r="1531" spans="1:5" x14ac:dyDescent="0.3">
      <c r="A1531" s="517" t="s">
        <v>1007</v>
      </c>
      <c r="B1531" s="519">
        <v>800</v>
      </c>
      <c r="C1531" s="517">
        <v>1900</v>
      </c>
      <c r="D1531" s="517">
        <v>6100</v>
      </c>
      <c r="E1531" s="518">
        <f t="array" ref="E1531">SUMIFS('Accounting data'!$G$2:$G$37002,'Accounting data'!$H$2:$H$37002,"11*",'Accounting data'!$I$2:$I$37002,"8*",'Accounting data'!$J$2:$J$37002,"19*",'Accounting data'!$K$2:$K$37002,"61*")+SUMIFS('Accounting data'!$G$2:$G$37002,'Accounting data'!$H$2:$H$37002,"12*",'Accounting data'!$I$2:$I$37002,"8*",'Accounting data'!$J$2:$J$37002,"19*",'Accounting data'!$K$2:$K$37002,"61*")+SUMIFS('Accounting data'!$G$2:$G$37002,'Accounting data'!$H$2:$H$37002,"13*",'Accounting data'!$I$2:$I$37002,"8*",'Accounting data'!$J$2:$J$37002,"19*",'Accounting data'!$K$2:$K$37002,"61*")</f>
        <v>0</v>
      </c>
    </row>
    <row r="1532" spans="1:5" x14ac:dyDescent="0.3">
      <c r="A1532" s="517" t="s">
        <v>1007</v>
      </c>
      <c r="B1532" s="519">
        <v>900</v>
      </c>
      <c r="C1532" s="517">
        <v>1900</v>
      </c>
      <c r="D1532" s="517">
        <v>6100</v>
      </c>
      <c r="E1532" s="518">
        <f t="array" ref="E1532">SUMIFS('Accounting data'!$G$2:$G$37002,'Accounting data'!$H$2:$H$37002,"11*",'Accounting data'!$I$2:$I$37002,"9*",'Accounting data'!$J$2:$J$37002,"19*",'Accounting data'!$K$2:$K$37002,"61*")+SUMIFS('Accounting data'!$G$2:$G$37002,'Accounting data'!$H$2:$H$37002,"12*",'Accounting data'!$I$2:$I$37002,"9*",'Accounting data'!$J$2:$J$37002,"19*",'Accounting data'!$K$2:$K$37002,"61*")+SUMIFS('Accounting data'!$G$2:$G$37002,'Accounting data'!$H$2:$H$37002,"13*",'Accounting data'!$I$2:$I$37002,"9*",'Accounting data'!$J$2:$J$37002,"19*",'Accounting data'!$K$2:$K$37002,"61*")</f>
        <v>0</v>
      </c>
    </row>
    <row r="1533" spans="1:5" x14ac:dyDescent="0.3">
      <c r="A1533" s="520" t="s">
        <v>1121</v>
      </c>
      <c r="B1533" s="520"/>
      <c r="C1533" s="520"/>
      <c r="D1533" s="520"/>
      <c r="E1533" s="530">
        <f>E1529-(E1530+E1531+E1532)</f>
        <v>28000</v>
      </c>
    </row>
    <row r="1534" spans="1:5" x14ac:dyDescent="0.3">
      <c r="A1534" s="523" t="s">
        <v>1122</v>
      </c>
      <c r="B1534" s="523"/>
      <c r="C1534" s="523"/>
      <c r="D1534" s="523"/>
      <c r="E1534" s="527">
        <f>E1528-E1533</f>
        <v>55330</v>
      </c>
    </row>
    <row r="1535" spans="1:5" x14ac:dyDescent="0.3">
      <c r="A1535" s="531" t="s">
        <v>991</v>
      </c>
      <c r="B1535" s="531" t="s">
        <v>991</v>
      </c>
      <c r="C1535" s="531">
        <v>5000</v>
      </c>
      <c r="D1535" s="531">
        <v>6800</v>
      </c>
      <c r="E1535" s="532">
        <f>SUMIFS('Accounting data'!G$2:G$37002,'Accounting data'!J$2:J$37002,"5*",'Accounting data'!K$2:K$37002,"68*")</f>
        <v>0</v>
      </c>
    </row>
    <row r="1536" spans="1:5" x14ac:dyDescent="0.3">
      <c r="A1536" s="531" t="s">
        <v>992</v>
      </c>
      <c r="B1536" s="531" t="s">
        <v>991</v>
      </c>
      <c r="C1536" s="531">
        <v>5000</v>
      </c>
      <c r="D1536" s="531">
        <v>6800</v>
      </c>
      <c r="E1536" s="532">
        <f>SUMIFS('Accounting data'!$G$2:$G$37002,'Accounting data'!$H$2:$H$37002,"9999*",'Accounting data'!$J$2:$J$37002,"5*",'Accounting data'!$K$2:$K$37002,"68*")</f>
        <v>0</v>
      </c>
    </row>
    <row r="1537" spans="1:5" x14ac:dyDescent="0.3">
      <c r="A1537" s="531" t="s">
        <v>991</v>
      </c>
      <c r="B1537" s="531" t="s">
        <v>993</v>
      </c>
      <c r="C1537" s="531">
        <v>5000</v>
      </c>
      <c r="D1537" s="531">
        <v>6800</v>
      </c>
      <c r="E1537" s="532">
        <f>SUMIFS('Accounting data'!$G$2:$G$37002,'Accounting data'!$I$2:$I$37002,"7*",'Accounting data'!$J$2:$J$37002,"5*",'Accounting data'!$K$2:$K$37002,"68*")+SUMIFS('Accounting data'!$G$2:$G$37002,'Accounting data'!$I$2:$I$37002,"8*",'Accounting data'!$J$2:$J$37002,"5*",'Accounting data'!$K$2:$K$37002,"68*")+SUMIFS('Accounting data'!$G$2:$G$37002,'Accounting data'!$I$2:$I$37002,"9*",'Accounting data'!$J$2:$J$37002,"5*",'Accounting data'!$K$2:$K$37002,"68*")</f>
        <v>0</v>
      </c>
    </row>
    <row r="1538" spans="1:5" x14ac:dyDescent="0.3">
      <c r="A1538" s="533" t="s">
        <v>992</v>
      </c>
      <c r="B1538" s="531" t="s">
        <v>993</v>
      </c>
      <c r="C1538" s="531">
        <v>5000</v>
      </c>
      <c r="D1538" s="531">
        <v>6800</v>
      </c>
      <c r="E1538" s="532">
        <f>SUMIFS('Accounting data'!$G$2:$G$37002,'Accounting data'!$H$2:$H$37002,"9999*",'Accounting data'!$I$2:$I$37002,"7*",'Accounting data'!$J$2:$J$37002,"5*",'Accounting data'!$K$2:$K$37002,"68*")+SUMIFS('Accounting data'!$G$2:$G$37002,'Accounting data'!$H$2:$H$37002,"9999*",'Accounting data'!$I$2:$I$37002,"8*",'Accounting data'!$J$2:$J$37002,"5*",'Accounting data'!$K$2:$K$37002,"68*")+SUMIFS('Accounting data'!$G$2:$G$37002,'Accounting data'!$H$2:$H$37002,"9999*",'Accounting data'!$I$2:$I$37002,"9*",'Accounting data'!$J$2:$J$37002,"5*",'Accounting data'!$K$2:$K$37002,"68*")</f>
        <v>0</v>
      </c>
    </row>
    <row r="1539" spans="1:5" ht="14.5" x14ac:dyDescent="0.35">
      <c r="A1539" s="534" t="s">
        <v>1123</v>
      </c>
      <c r="B1539" s="534"/>
      <c r="C1539" s="534"/>
      <c r="D1539" s="534"/>
      <c r="E1539" s="521">
        <f>(E1535-E1536-E1537)+E1538</f>
        <v>0</v>
      </c>
    </row>
  </sheetData>
  <sheetProtection sheet="1" objects="1" scenarios="1"/>
  <autoFilter ref="A1:E1534"/>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41"/>
  <sheetViews>
    <sheetView showGridLines="0" topLeftCell="A10" workbookViewId="0">
      <selection activeCell="C10" sqref="C10"/>
    </sheetView>
  </sheetViews>
  <sheetFormatPr defaultColWidth="9.296875" defaultRowHeight="13" x14ac:dyDescent="0.3"/>
  <cols>
    <col min="1" max="1" width="11.796875" style="149" customWidth="1"/>
    <col min="2" max="2" width="25" style="149" customWidth="1"/>
    <col min="3" max="3" width="112.19921875" style="149" customWidth="1"/>
    <col min="4" max="4" width="32.69921875" style="510" customWidth="1"/>
    <col min="5" max="5" width="9.296875" style="149" customWidth="1"/>
    <col min="6" max="6" width="17.69921875" style="149" customWidth="1"/>
    <col min="7" max="10" width="9.296875" style="149" customWidth="1"/>
    <col min="11" max="16384" width="9.296875" style="149"/>
  </cols>
  <sheetData>
    <row r="1" spans="1:4" ht="24.75" customHeight="1" x14ac:dyDescent="0.3">
      <c r="A1" s="696" t="s">
        <v>724</v>
      </c>
      <c r="B1" s="696" t="s">
        <v>725</v>
      </c>
      <c r="C1" s="696" t="s">
        <v>726</v>
      </c>
      <c r="D1" s="696" t="s">
        <v>727</v>
      </c>
    </row>
    <row r="2" spans="1:4" ht="65.25" customHeight="1" x14ac:dyDescent="0.3">
      <c r="A2" s="998" t="s">
        <v>728</v>
      </c>
      <c r="B2" s="999"/>
      <c r="C2" s="697" t="s">
        <v>729</v>
      </c>
      <c r="D2" s="698"/>
    </row>
    <row r="3" spans="1:4" ht="68.25" customHeight="1" x14ac:dyDescent="0.3">
      <c r="A3" s="1000"/>
      <c r="B3" s="1001"/>
      <c r="C3" s="699" t="s">
        <v>730</v>
      </c>
      <c r="D3" s="698"/>
    </row>
    <row r="4" spans="1:4" ht="73.5" customHeight="1" x14ac:dyDescent="0.3">
      <c r="A4" s="1000"/>
      <c r="B4" s="1001"/>
      <c r="C4" s="700" t="s">
        <v>1124</v>
      </c>
      <c r="D4" s="698"/>
    </row>
    <row r="5" spans="1:4" ht="216.75" customHeight="1" x14ac:dyDescent="0.3">
      <c r="A5" s="1000"/>
      <c r="B5" s="1001"/>
      <c r="C5" s="701" t="s">
        <v>1345</v>
      </c>
      <c r="D5" s="698"/>
    </row>
    <row r="6" spans="1:4" ht="85.5" customHeight="1" x14ac:dyDescent="0.3">
      <c r="A6" s="1002"/>
      <c r="B6" s="1003"/>
      <c r="C6" s="700" t="s">
        <v>731</v>
      </c>
      <c r="D6" s="698"/>
    </row>
    <row r="7" spans="1:4" ht="54.5" customHeight="1" x14ac:dyDescent="0.3">
      <c r="A7" s="505" t="s">
        <v>732</v>
      </c>
      <c r="B7" s="702" t="s">
        <v>733</v>
      </c>
      <c r="C7" s="700" t="s">
        <v>734</v>
      </c>
      <c r="D7" s="698"/>
    </row>
    <row r="8" spans="1:4" ht="93" customHeight="1" x14ac:dyDescent="0.3">
      <c r="A8" s="505" t="s">
        <v>732</v>
      </c>
      <c r="B8" s="703" t="s">
        <v>1287</v>
      </c>
      <c r="C8" s="682" t="s">
        <v>1296</v>
      </c>
      <c r="D8" s="704" t="s">
        <v>1297</v>
      </c>
    </row>
    <row r="9" spans="1:4" ht="187.5" customHeight="1" x14ac:dyDescent="0.3">
      <c r="A9" s="506" t="s">
        <v>735</v>
      </c>
      <c r="B9" s="702" t="s">
        <v>733</v>
      </c>
      <c r="C9" s="701" t="s">
        <v>1346</v>
      </c>
      <c r="D9" s="698"/>
    </row>
    <row r="10" spans="1:4" ht="190" customHeight="1" x14ac:dyDescent="0.3">
      <c r="A10" s="1004" t="s">
        <v>736</v>
      </c>
      <c r="B10" s="1006" t="s">
        <v>728</v>
      </c>
      <c r="C10" s="699" t="s">
        <v>737</v>
      </c>
      <c r="D10" s="698"/>
    </row>
    <row r="11" spans="1:4" ht="217.5" customHeight="1" x14ac:dyDescent="0.3">
      <c r="A11" s="1005"/>
      <c r="B11" s="1007"/>
      <c r="C11" s="705" t="s">
        <v>1288</v>
      </c>
      <c r="D11" s="698"/>
    </row>
    <row r="12" spans="1:4" ht="21" customHeight="1" x14ac:dyDescent="0.3">
      <c r="A12" s="507">
        <v>1</v>
      </c>
      <c r="B12" s="706" t="s">
        <v>728</v>
      </c>
      <c r="C12" s="700" t="s">
        <v>738</v>
      </c>
      <c r="D12" s="698"/>
    </row>
    <row r="13" spans="1:4" ht="54" customHeight="1" x14ac:dyDescent="0.3">
      <c r="A13" s="508">
        <v>1</v>
      </c>
      <c r="B13" s="706" t="s">
        <v>739</v>
      </c>
      <c r="C13" s="707" t="s">
        <v>1347</v>
      </c>
      <c r="D13" s="698"/>
    </row>
    <row r="14" spans="1:4" ht="122.25" customHeight="1" x14ac:dyDescent="0.3">
      <c r="A14" s="508">
        <v>1</v>
      </c>
      <c r="B14" s="708" t="s">
        <v>1348</v>
      </c>
      <c r="C14" s="709" t="s">
        <v>740</v>
      </c>
      <c r="D14" s="698"/>
    </row>
    <row r="15" spans="1:4" ht="69.75" customHeight="1" x14ac:dyDescent="0.3">
      <c r="A15" s="508">
        <v>1</v>
      </c>
      <c r="B15" s="708" t="s">
        <v>1349</v>
      </c>
      <c r="C15" s="710" t="s">
        <v>1350</v>
      </c>
      <c r="D15" s="698"/>
    </row>
    <row r="16" spans="1:4" ht="69.75" customHeight="1" x14ac:dyDescent="0.3">
      <c r="A16" s="508">
        <v>1</v>
      </c>
      <c r="B16" s="708" t="s">
        <v>1351</v>
      </c>
      <c r="C16" s="709" t="s">
        <v>741</v>
      </c>
      <c r="D16" s="698"/>
    </row>
    <row r="17" spans="1:4" ht="129" customHeight="1" x14ac:dyDescent="0.3">
      <c r="A17" s="507">
        <v>2</v>
      </c>
      <c r="B17" s="711" t="s">
        <v>742</v>
      </c>
      <c r="C17" s="709" t="s">
        <v>743</v>
      </c>
      <c r="D17" s="700"/>
    </row>
    <row r="18" spans="1:4" ht="54.75" customHeight="1" x14ac:dyDescent="0.3">
      <c r="A18" s="507">
        <v>2</v>
      </c>
      <c r="B18" s="711" t="s">
        <v>744</v>
      </c>
      <c r="C18" s="712" t="s">
        <v>1356</v>
      </c>
      <c r="D18" s="698"/>
    </row>
    <row r="19" spans="1:4" ht="84" customHeight="1" x14ac:dyDescent="0.3">
      <c r="A19" s="585">
        <v>3</v>
      </c>
      <c r="B19" s="711" t="s">
        <v>162</v>
      </c>
      <c r="C19" s="713" t="s">
        <v>745</v>
      </c>
      <c r="D19" s="714"/>
    </row>
    <row r="20" spans="1:4" ht="54" customHeight="1" x14ac:dyDescent="0.3">
      <c r="A20" s="585">
        <v>3</v>
      </c>
      <c r="B20" s="711" t="s">
        <v>746</v>
      </c>
      <c r="C20" s="713" t="s">
        <v>747</v>
      </c>
      <c r="D20" s="715"/>
    </row>
    <row r="21" spans="1:4" ht="42.75" customHeight="1" x14ac:dyDescent="0.3">
      <c r="A21" s="586">
        <v>3</v>
      </c>
      <c r="B21" s="711" t="s">
        <v>748</v>
      </c>
      <c r="C21" s="713" t="s">
        <v>749</v>
      </c>
      <c r="D21" s="715"/>
    </row>
    <row r="22" spans="1:4" ht="69.75" customHeight="1" x14ac:dyDescent="0.3">
      <c r="A22" s="640">
        <v>3</v>
      </c>
      <c r="B22" s="711" t="s">
        <v>750</v>
      </c>
      <c r="C22" s="713" t="s">
        <v>1144</v>
      </c>
      <c r="D22" s="714"/>
    </row>
    <row r="23" spans="1:4" ht="51" customHeight="1" x14ac:dyDescent="0.3">
      <c r="A23" s="640">
        <v>3</v>
      </c>
      <c r="B23" s="703" t="s">
        <v>838</v>
      </c>
      <c r="C23" s="683" t="s">
        <v>1352</v>
      </c>
      <c r="D23" s="716" t="s">
        <v>1383</v>
      </c>
    </row>
    <row r="24" spans="1:4" ht="124.5" customHeight="1" x14ac:dyDescent="0.3">
      <c r="A24" s="585">
        <v>4</v>
      </c>
      <c r="B24" s="711" t="s">
        <v>751</v>
      </c>
      <c r="C24" s="709" t="s">
        <v>752</v>
      </c>
      <c r="D24" s="717"/>
    </row>
    <row r="25" spans="1:4" ht="53" customHeight="1" x14ac:dyDescent="0.3">
      <c r="A25" s="640">
        <v>4</v>
      </c>
      <c r="B25" s="703" t="s">
        <v>838</v>
      </c>
      <c r="C25" s="683" t="s">
        <v>1353</v>
      </c>
      <c r="D25" s="704" t="s">
        <v>1384</v>
      </c>
    </row>
    <row r="26" spans="1:4" ht="59" customHeight="1" x14ac:dyDescent="0.3">
      <c r="A26" s="640">
        <v>5</v>
      </c>
      <c r="B26" s="703" t="s">
        <v>838</v>
      </c>
      <c r="C26" s="683" t="s">
        <v>1354</v>
      </c>
      <c r="D26" s="704" t="s">
        <v>1385</v>
      </c>
    </row>
    <row r="27" spans="1:4" ht="99.75" customHeight="1" x14ac:dyDescent="0.3">
      <c r="A27" s="585">
        <v>6</v>
      </c>
      <c r="B27" s="711" t="s">
        <v>753</v>
      </c>
      <c r="C27" s="718" t="s">
        <v>1355</v>
      </c>
      <c r="D27" s="698"/>
    </row>
    <row r="28" spans="1:4" ht="93.75" customHeight="1" x14ac:dyDescent="0.3">
      <c r="A28" s="585">
        <v>6</v>
      </c>
      <c r="B28" s="711" t="s">
        <v>754</v>
      </c>
      <c r="C28" s="710" t="s">
        <v>1376</v>
      </c>
      <c r="D28" s="698"/>
    </row>
    <row r="29" spans="1:4" ht="45.75" customHeight="1" x14ac:dyDescent="0.3">
      <c r="A29" s="585">
        <v>6</v>
      </c>
      <c r="B29" s="711" t="s">
        <v>755</v>
      </c>
      <c r="C29" s="710" t="s">
        <v>1357</v>
      </c>
      <c r="D29" s="698"/>
    </row>
    <row r="30" spans="1:4" ht="111" customHeight="1" x14ac:dyDescent="0.3">
      <c r="A30" s="585">
        <v>6</v>
      </c>
      <c r="B30" s="711" t="s">
        <v>756</v>
      </c>
      <c r="C30" s="710" t="s">
        <v>1377</v>
      </c>
      <c r="D30" s="698"/>
    </row>
    <row r="31" spans="1:4" ht="39" x14ac:dyDescent="0.3">
      <c r="A31" s="585">
        <v>6</v>
      </c>
      <c r="B31" s="711" t="s">
        <v>757</v>
      </c>
      <c r="C31" s="710" t="s">
        <v>1358</v>
      </c>
      <c r="D31" s="698"/>
    </row>
    <row r="32" spans="1:4" ht="173.25" customHeight="1" x14ac:dyDescent="0.3">
      <c r="A32" s="585">
        <v>6</v>
      </c>
      <c r="B32" s="711" t="s">
        <v>758</v>
      </c>
      <c r="C32" s="709" t="s">
        <v>759</v>
      </c>
      <c r="D32" s="698"/>
    </row>
    <row r="33" spans="1:4" ht="69.75" customHeight="1" x14ac:dyDescent="0.3">
      <c r="A33" s="585">
        <v>6</v>
      </c>
      <c r="B33" s="719" t="s">
        <v>760</v>
      </c>
      <c r="C33" s="709" t="s">
        <v>761</v>
      </c>
      <c r="D33" s="698"/>
    </row>
    <row r="34" spans="1:4" ht="53.25" customHeight="1" x14ac:dyDescent="0.3">
      <c r="A34" s="585">
        <v>6</v>
      </c>
      <c r="B34" s="720" t="s">
        <v>1257</v>
      </c>
      <c r="C34" s="721" t="s">
        <v>762</v>
      </c>
      <c r="D34" s="722"/>
    </row>
    <row r="35" spans="1:4" ht="77.25" customHeight="1" x14ac:dyDescent="0.3">
      <c r="A35" s="585">
        <v>6</v>
      </c>
      <c r="B35" s="711" t="s">
        <v>763</v>
      </c>
      <c r="C35" s="697" t="s">
        <v>764</v>
      </c>
      <c r="D35" s="698"/>
    </row>
    <row r="36" spans="1:4" ht="45.75" customHeight="1" x14ac:dyDescent="0.3">
      <c r="A36" s="585">
        <v>6</v>
      </c>
      <c r="B36" s="711" t="s">
        <v>765</v>
      </c>
      <c r="C36" s="709" t="s">
        <v>766</v>
      </c>
      <c r="D36" s="698"/>
    </row>
    <row r="37" spans="1:4" ht="47.25" customHeight="1" x14ac:dyDescent="0.3">
      <c r="A37" s="585">
        <v>6</v>
      </c>
      <c r="B37" s="711" t="s">
        <v>767</v>
      </c>
      <c r="C37" s="709" t="s">
        <v>768</v>
      </c>
      <c r="D37" s="698"/>
    </row>
    <row r="38" spans="1:4" ht="39" x14ac:dyDescent="0.3">
      <c r="A38" s="585">
        <v>6</v>
      </c>
      <c r="B38" s="711" t="s">
        <v>769</v>
      </c>
      <c r="C38" s="709" t="s">
        <v>770</v>
      </c>
      <c r="D38" s="698"/>
    </row>
    <row r="39" spans="1:4" ht="39" x14ac:dyDescent="0.3">
      <c r="A39" s="585">
        <v>6</v>
      </c>
      <c r="B39" s="711" t="s">
        <v>771</v>
      </c>
      <c r="C39" s="709" t="s">
        <v>772</v>
      </c>
      <c r="D39" s="698"/>
    </row>
    <row r="40" spans="1:4" s="152" customFormat="1" ht="39" x14ac:dyDescent="0.3">
      <c r="A40" s="585">
        <v>6</v>
      </c>
      <c r="B40" s="719" t="s">
        <v>773</v>
      </c>
      <c r="C40" s="709" t="s">
        <v>774</v>
      </c>
      <c r="D40" s="715"/>
    </row>
    <row r="41" spans="1:4" s="152" customFormat="1" ht="57.75" customHeight="1" x14ac:dyDescent="0.3">
      <c r="A41" s="585">
        <v>6</v>
      </c>
      <c r="B41" s="719" t="s">
        <v>775</v>
      </c>
      <c r="C41" s="710" t="s">
        <v>1359</v>
      </c>
      <c r="D41" s="723"/>
    </row>
    <row r="42" spans="1:4" s="152" customFormat="1" ht="30.75" customHeight="1" x14ac:dyDescent="0.3">
      <c r="A42" s="585">
        <v>7</v>
      </c>
      <c r="B42" s="711" t="s">
        <v>776</v>
      </c>
      <c r="C42" s="709" t="s">
        <v>777</v>
      </c>
      <c r="D42" s="715"/>
    </row>
    <row r="43" spans="1:4" ht="114.75" customHeight="1" x14ac:dyDescent="0.3">
      <c r="A43" s="585">
        <v>7</v>
      </c>
      <c r="B43" s="711" t="s">
        <v>778</v>
      </c>
      <c r="C43" s="697" t="s">
        <v>779</v>
      </c>
      <c r="D43" s="698"/>
    </row>
    <row r="44" spans="1:4" ht="42" customHeight="1" x14ac:dyDescent="0.3">
      <c r="A44" s="585">
        <v>7</v>
      </c>
      <c r="B44" s="711" t="s">
        <v>780</v>
      </c>
      <c r="C44" s="700" t="s">
        <v>781</v>
      </c>
      <c r="D44" s="698"/>
    </row>
    <row r="45" spans="1:4" ht="39.75" customHeight="1" x14ac:dyDescent="0.3">
      <c r="A45" s="585">
        <v>7</v>
      </c>
      <c r="B45" s="711" t="s">
        <v>782</v>
      </c>
      <c r="C45" s="709" t="s">
        <v>783</v>
      </c>
      <c r="D45" s="698"/>
    </row>
    <row r="46" spans="1:4" ht="54" customHeight="1" x14ac:dyDescent="0.3">
      <c r="A46" s="585">
        <v>8</v>
      </c>
      <c r="B46" s="711" t="s">
        <v>838</v>
      </c>
      <c r="C46" s="707" t="s">
        <v>1360</v>
      </c>
      <c r="D46" s="698"/>
    </row>
    <row r="47" spans="1:4" ht="114" customHeight="1" x14ac:dyDescent="0.3">
      <c r="A47" s="585">
        <v>8</v>
      </c>
      <c r="B47" s="711" t="s">
        <v>307</v>
      </c>
      <c r="C47" s="724" t="s">
        <v>1143</v>
      </c>
      <c r="D47" s="724"/>
    </row>
    <row r="48" spans="1:4" ht="114.75" customHeight="1" x14ac:dyDescent="0.3">
      <c r="A48" s="585">
        <v>8</v>
      </c>
      <c r="B48" s="711" t="s">
        <v>784</v>
      </c>
      <c r="C48" s="709" t="s">
        <v>785</v>
      </c>
      <c r="D48" s="725"/>
    </row>
    <row r="49" spans="1:4" ht="30" customHeight="1" x14ac:dyDescent="0.3">
      <c r="A49" s="585">
        <v>8</v>
      </c>
      <c r="B49" s="711" t="s">
        <v>1142</v>
      </c>
      <c r="C49" s="700" t="s">
        <v>786</v>
      </c>
      <c r="D49" s="698"/>
    </row>
    <row r="50" spans="1:4" ht="265.5" customHeight="1" x14ac:dyDescent="0.3">
      <c r="A50" s="585">
        <v>9</v>
      </c>
      <c r="B50" s="711" t="s">
        <v>728</v>
      </c>
      <c r="C50" s="710" t="s">
        <v>1361</v>
      </c>
      <c r="D50" s="698"/>
    </row>
    <row r="51" spans="1:4" ht="69" customHeight="1" x14ac:dyDescent="0.3">
      <c r="A51" s="585">
        <v>9</v>
      </c>
      <c r="B51" s="711" t="s">
        <v>159</v>
      </c>
      <c r="C51" s="700" t="s">
        <v>1149</v>
      </c>
      <c r="D51" s="698"/>
    </row>
    <row r="52" spans="1:4" ht="69.75" customHeight="1" x14ac:dyDescent="0.3">
      <c r="A52" s="585">
        <v>9</v>
      </c>
      <c r="B52" s="719" t="s">
        <v>389</v>
      </c>
      <c r="C52" s="697" t="s">
        <v>1150</v>
      </c>
      <c r="D52" s="698"/>
    </row>
    <row r="53" spans="1:4" ht="53.25" customHeight="1" x14ac:dyDescent="0.3">
      <c r="A53" s="585">
        <v>9</v>
      </c>
      <c r="B53" s="711" t="s">
        <v>398</v>
      </c>
      <c r="C53" s="726" t="s">
        <v>1151</v>
      </c>
      <c r="D53" s="698"/>
    </row>
    <row r="54" spans="1:4" ht="107.25" customHeight="1" x14ac:dyDescent="0.3">
      <c r="A54" s="584">
        <v>9</v>
      </c>
      <c r="B54" s="719" t="s">
        <v>787</v>
      </c>
      <c r="C54" s="727" t="s">
        <v>788</v>
      </c>
      <c r="D54" s="698"/>
    </row>
    <row r="55" spans="1:4" ht="18" customHeight="1" x14ac:dyDescent="0.3">
      <c r="A55" s="587"/>
      <c r="B55" s="728"/>
      <c r="C55" s="509" t="s">
        <v>789</v>
      </c>
      <c r="D55" s="698"/>
    </row>
    <row r="56" spans="1:4" ht="53.25" customHeight="1" x14ac:dyDescent="0.3">
      <c r="A56" s="587"/>
      <c r="B56" s="728"/>
      <c r="C56" s="727" t="s">
        <v>790</v>
      </c>
      <c r="D56" s="698"/>
    </row>
    <row r="57" spans="1:4" ht="21.75" customHeight="1" x14ac:dyDescent="0.3">
      <c r="A57" s="587"/>
      <c r="B57" s="728"/>
      <c r="C57" s="509" t="s">
        <v>791</v>
      </c>
      <c r="D57" s="698"/>
    </row>
    <row r="58" spans="1:4" ht="52.5" customHeight="1" x14ac:dyDescent="0.3">
      <c r="A58" s="587"/>
      <c r="B58" s="728"/>
      <c r="C58" s="727" t="s">
        <v>792</v>
      </c>
      <c r="D58" s="698"/>
    </row>
    <row r="59" spans="1:4" ht="19.5" customHeight="1" x14ac:dyDescent="0.3">
      <c r="A59" s="588"/>
      <c r="B59" s="728"/>
      <c r="C59" s="509" t="s">
        <v>793</v>
      </c>
      <c r="D59" s="698"/>
    </row>
    <row r="60" spans="1:4" ht="51" customHeight="1" x14ac:dyDescent="0.3">
      <c r="A60" s="588"/>
      <c r="B60" s="728"/>
      <c r="C60" s="727" t="s">
        <v>794</v>
      </c>
      <c r="D60" s="698"/>
    </row>
    <row r="61" spans="1:4" ht="19.5" customHeight="1" x14ac:dyDescent="0.3">
      <c r="A61" s="588"/>
      <c r="B61" s="728"/>
      <c r="C61" s="509" t="s">
        <v>795</v>
      </c>
      <c r="D61" s="698"/>
    </row>
    <row r="62" spans="1:4" ht="29.25" customHeight="1" x14ac:dyDescent="0.3">
      <c r="A62" s="588"/>
      <c r="B62" s="728"/>
      <c r="C62" s="727" t="s">
        <v>796</v>
      </c>
      <c r="D62" s="698"/>
    </row>
    <row r="63" spans="1:4" ht="19.5" customHeight="1" x14ac:dyDescent="0.3">
      <c r="A63" s="589"/>
      <c r="B63" s="728"/>
      <c r="C63" s="509" t="s">
        <v>797</v>
      </c>
      <c r="D63" s="698"/>
    </row>
    <row r="64" spans="1:4" ht="138.75" customHeight="1" x14ac:dyDescent="0.3">
      <c r="A64" s="585">
        <v>9</v>
      </c>
      <c r="B64" s="711" t="s">
        <v>798</v>
      </c>
      <c r="C64" s="697" t="s">
        <v>799</v>
      </c>
      <c r="D64" s="698"/>
    </row>
    <row r="65" spans="1:4" ht="171" customHeight="1" x14ac:dyDescent="0.3">
      <c r="A65" s="585">
        <v>9</v>
      </c>
      <c r="B65" s="702" t="s">
        <v>387</v>
      </c>
      <c r="C65" s="697" t="s">
        <v>800</v>
      </c>
      <c r="D65" s="698"/>
    </row>
    <row r="66" spans="1:4" ht="57" customHeight="1" x14ac:dyDescent="0.3">
      <c r="A66" s="585">
        <v>9</v>
      </c>
      <c r="B66" s="702" t="s">
        <v>801</v>
      </c>
      <c r="C66" s="697" t="s">
        <v>802</v>
      </c>
      <c r="D66" s="698"/>
    </row>
    <row r="67" spans="1:4" ht="213" customHeight="1" x14ac:dyDescent="0.3">
      <c r="A67" s="585">
        <v>9</v>
      </c>
      <c r="B67" s="711" t="s">
        <v>803</v>
      </c>
      <c r="C67" s="709" t="s">
        <v>804</v>
      </c>
      <c r="D67" s="729"/>
    </row>
    <row r="68" spans="1:4" ht="60" customHeight="1" x14ac:dyDescent="0.3">
      <c r="A68" s="585">
        <v>9</v>
      </c>
      <c r="B68" s="711" t="s">
        <v>415</v>
      </c>
      <c r="C68" s="730" t="s">
        <v>805</v>
      </c>
      <c r="D68" s="731"/>
    </row>
    <row r="69" spans="1:4" ht="57.75" customHeight="1" x14ac:dyDescent="0.3">
      <c r="A69" s="584">
        <v>10</v>
      </c>
      <c r="B69" s="711" t="s">
        <v>728</v>
      </c>
      <c r="C69" s="732" t="s">
        <v>806</v>
      </c>
      <c r="D69" s="724"/>
    </row>
    <row r="70" spans="1:4" ht="60" customHeight="1" x14ac:dyDescent="0.3">
      <c r="A70" s="584">
        <v>10</v>
      </c>
      <c r="B70" s="711" t="s">
        <v>420</v>
      </c>
      <c r="C70" s="730" t="s">
        <v>807</v>
      </c>
      <c r="D70" s="724"/>
    </row>
    <row r="71" spans="1:4" ht="60" customHeight="1" x14ac:dyDescent="0.3">
      <c r="A71" s="584">
        <v>10</v>
      </c>
      <c r="B71" s="711" t="s">
        <v>808</v>
      </c>
      <c r="C71" s="713" t="s">
        <v>809</v>
      </c>
      <c r="D71" s="731"/>
    </row>
    <row r="72" spans="1:4" ht="60" customHeight="1" x14ac:dyDescent="0.3">
      <c r="A72" s="584">
        <v>10</v>
      </c>
      <c r="B72" s="711" t="s">
        <v>810</v>
      </c>
      <c r="C72" s="713" t="s">
        <v>811</v>
      </c>
      <c r="D72" s="731"/>
    </row>
    <row r="73" spans="1:4" ht="67.5" customHeight="1" x14ac:dyDescent="0.3">
      <c r="A73" s="584">
        <v>10</v>
      </c>
      <c r="B73" s="711" t="s">
        <v>159</v>
      </c>
      <c r="C73" s="713" t="s">
        <v>812</v>
      </c>
      <c r="D73" s="731"/>
    </row>
    <row r="74" spans="1:4" ht="81.75" customHeight="1" x14ac:dyDescent="0.3">
      <c r="A74" s="584">
        <v>10</v>
      </c>
      <c r="B74" s="711" t="s">
        <v>813</v>
      </c>
      <c r="C74" s="713" t="s">
        <v>814</v>
      </c>
      <c r="D74" s="731"/>
    </row>
    <row r="75" spans="1:4" ht="60" customHeight="1" x14ac:dyDescent="0.3">
      <c r="A75" s="584">
        <v>10</v>
      </c>
      <c r="B75" s="711" t="s">
        <v>815</v>
      </c>
      <c r="C75" s="713" t="s">
        <v>816</v>
      </c>
      <c r="D75" s="731"/>
    </row>
    <row r="76" spans="1:4" ht="60" customHeight="1" x14ac:dyDescent="0.3">
      <c r="A76" s="1008">
        <v>10</v>
      </c>
      <c r="B76" s="1010" t="s">
        <v>458</v>
      </c>
      <c r="C76" s="733" t="s">
        <v>1153</v>
      </c>
      <c r="D76" s="734"/>
    </row>
    <row r="77" spans="1:4" ht="19.5" customHeight="1" x14ac:dyDescent="0.3">
      <c r="A77" s="1009"/>
      <c r="B77" s="1011"/>
      <c r="C77" s="606" t="s">
        <v>817</v>
      </c>
      <c r="D77" s="715"/>
    </row>
    <row r="78" spans="1:4" ht="44.25" customHeight="1" x14ac:dyDescent="0.3">
      <c r="A78" s="584">
        <v>10</v>
      </c>
      <c r="B78" s="711" t="s">
        <v>818</v>
      </c>
      <c r="C78" s="735" t="s">
        <v>819</v>
      </c>
      <c r="D78" s="736"/>
    </row>
    <row r="79" spans="1:4" ht="45.75" customHeight="1" x14ac:dyDescent="0.3">
      <c r="A79" s="584">
        <v>10</v>
      </c>
      <c r="B79" s="711" t="s">
        <v>820</v>
      </c>
      <c r="C79" s="713" t="s">
        <v>821</v>
      </c>
      <c r="D79" s="731"/>
    </row>
    <row r="80" spans="1:4" ht="46.5" customHeight="1" x14ac:dyDescent="0.3">
      <c r="A80" s="584">
        <v>10</v>
      </c>
      <c r="B80" s="711" t="s">
        <v>822</v>
      </c>
      <c r="C80" s="713" t="s">
        <v>823</v>
      </c>
      <c r="D80" s="731"/>
    </row>
    <row r="81" spans="1:4" ht="86.25" customHeight="1" x14ac:dyDescent="0.3">
      <c r="A81" s="584">
        <v>10</v>
      </c>
      <c r="B81" s="711" t="s">
        <v>824</v>
      </c>
      <c r="C81" s="713" t="s">
        <v>825</v>
      </c>
      <c r="D81" s="731"/>
    </row>
    <row r="82" spans="1:4" ht="26" x14ac:dyDescent="0.3">
      <c r="A82" s="584">
        <v>10</v>
      </c>
      <c r="B82" s="711" t="s">
        <v>826</v>
      </c>
      <c r="C82" s="713" t="s">
        <v>827</v>
      </c>
      <c r="D82" s="731"/>
    </row>
    <row r="83" spans="1:4" ht="328.5" customHeight="1" x14ac:dyDescent="0.3">
      <c r="A83" s="584">
        <v>10</v>
      </c>
      <c r="B83" s="711" t="s">
        <v>828</v>
      </c>
      <c r="C83" s="709" t="s">
        <v>829</v>
      </c>
      <c r="D83" s="731"/>
    </row>
    <row r="84" spans="1:4" ht="125.25" customHeight="1" x14ac:dyDescent="0.3">
      <c r="A84" s="584">
        <v>10</v>
      </c>
      <c r="B84" s="711" t="s">
        <v>830</v>
      </c>
      <c r="C84" s="710" t="s">
        <v>1362</v>
      </c>
      <c r="D84" s="731"/>
    </row>
    <row r="85" spans="1:4" ht="72" customHeight="1" x14ac:dyDescent="0.3">
      <c r="A85" s="584">
        <v>10</v>
      </c>
      <c r="B85" s="708" t="s">
        <v>1363</v>
      </c>
      <c r="C85" s="707" t="s">
        <v>1364</v>
      </c>
      <c r="D85" s="731"/>
    </row>
    <row r="86" spans="1:4" ht="69" customHeight="1" x14ac:dyDescent="0.3">
      <c r="A86" s="584">
        <v>10</v>
      </c>
      <c r="B86" s="708" t="s">
        <v>1365</v>
      </c>
      <c r="C86" s="709" t="s">
        <v>1366</v>
      </c>
      <c r="D86" s="731"/>
    </row>
    <row r="87" spans="1:4" ht="108.75" customHeight="1" x14ac:dyDescent="0.3">
      <c r="A87" s="584">
        <v>10</v>
      </c>
      <c r="B87" s="711" t="s">
        <v>831</v>
      </c>
      <c r="C87" s="709" t="s">
        <v>1152</v>
      </c>
      <c r="D87" s="731"/>
    </row>
    <row r="88" spans="1:4" ht="130.5" customHeight="1" x14ac:dyDescent="0.3">
      <c r="A88" s="633">
        <v>10</v>
      </c>
      <c r="B88" s="711" t="s">
        <v>832</v>
      </c>
      <c r="C88" s="709" t="s">
        <v>833</v>
      </c>
      <c r="D88" s="734"/>
    </row>
    <row r="89" spans="1:4" customFormat="1" ht="81" customHeight="1" x14ac:dyDescent="0.3">
      <c r="A89" s="737" t="s">
        <v>1214</v>
      </c>
      <c r="B89" s="738" t="s">
        <v>728</v>
      </c>
      <c r="C89" s="739" t="s">
        <v>1291</v>
      </c>
      <c r="D89" s="740" t="s">
        <v>1380</v>
      </c>
    </row>
    <row r="90" spans="1:4" customFormat="1" ht="36" customHeight="1" x14ac:dyDescent="0.3">
      <c r="A90" s="737" t="s">
        <v>1214</v>
      </c>
      <c r="B90" s="738" t="s">
        <v>1255</v>
      </c>
      <c r="C90" s="741" t="s">
        <v>1254</v>
      </c>
      <c r="D90" s="742" t="s">
        <v>1380</v>
      </c>
    </row>
    <row r="91" spans="1:4" customFormat="1" ht="57" customHeight="1" x14ac:dyDescent="0.3">
      <c r="A91" s="737" t="s">
        <v>1214</v>
      </c>
      <c r="B91" s="738" t="s">
        <v>1253</v>
      </c>
      <c r="C91" s="741" t="s">
        <v>1259</v>
      </c>
      <c r="D91" s="742" t="s">
        <v>1380</v>
      </c>
    </row>
    <row r="92" spans="1:4" customFormat="1" ht="38" customHeight="1" x14ac:dyDescent="0.3">
      <c r="A92" s="737" t="s">
        <v>1214</v>
      </c>
      <c r="B92" s="738" t="s">
        <v>1252</v>
      </c>
      <c r="C92" s="741" t="s">
        <v>1251</v>
      </c>
      <c r="D92" s="742" t="s">
        <v>1380</v>
      </c>
    </row>
    <row r="93" spans="1:4" customFormat="1" ht="87" customHeight="1" x14ac:dyDescent="0.3">
      <c r="A93" s="737" t="s">
        <v>1214</v>
      </c>
      <c r="B93" s="738" t="s">
        <v>1250</v>
      </c>
      <c r="C93" s="743" t="s">
        <v>1381</v>
      </c>
      <c r="D93" s="742" t="s">
        <v>1380</v>
      </c>
    </row>
    <row r="94" spans="1:4" customFormat="1" ht="46.5" customHeight="1" x14ac:dyDescent="0.3">
      <c r="A94" s="737" t="s">
        <v>1214</v>
      </c>
      <c r="B94" s="738" t="s">
        <v>1249</v>
      </c>
      <c r="C94" s="741" t="s">
        <v>1260</v>
      </c>
      <c r="D94" s="742" t="s">
        <v>1380</v>
      </c>
    </row>
    <row r="95" spans="1:4" customFormat="1" ht="36" customHeight="1" x14ac:dyDescent="0.3">
      <c r="A95" s="737" t="s">
        <v>1214</v>
      </c>
      <c r="B95" s="738" t="s">
        <v>1248</v>
      </c>
      <c r="C95" s="744" t="s">
        <v>1261</v>
      </c>
      <c r="D95" s="742" t="s">
        <v>1380</v>
      </c>
    </row>
    <row r="96" spans="1:4" customFormat="1" ht="33.5" customHeight="1" x14ac:dyDescent="0.3">
      <c r="A96" s="737" t="s">
        <v>1214</v>
      </c>
      <c r="B96" s="738" t="s">
        <v>1247</v>
      </c>
      <c r="C96" s="741" t="s">
        <v>1246</v>
      </c>
      <c r="D96" s="742" t="s">
        <v>1380</v>
      </c>
    </row>
    <row r="97" spans="1:4" customFormat="1" ht="35.25" customHeight="1" x14ac:dyDescent="0.3">
      <c r="A97" s="737" t="s">
        <v>1214</v>
      </c>
      <c r="B97" s="738" t="s">
        <v>1245</v>
      </c>
      <c r="C97" s="741" t="s">
        <v>1244</v>
      </c>
      <c r="D97" s="742" t="s">
        <v>1380</v>
      </c>
    </row>
    <row r="98" spans="1:4" customFormat="1" ht="53.25" customHeight="1" x14ac:dyDescent="0.3">
      <c r="A98" s="737" t="s">
        <v>1214</v>
      </c>
      <c r="B98" s="738" t="s">
        <v>1243</v>
      </c>
      <c r="C98" s="741" t="s">
        <v>1262</v>
      </c>
      <c r="D98" s="742" t="s">
        <v>1380</v>
      </c>
    </row>
    <row r="99" spans="1:4" customFormat="1" ht="35.25" customHeight="1" x14ac:dyDescent="0.3">
      <c r="A99" s="737" t="s">
        <v>1214</v>
      </c>
      <c r="B99" s="738" t="s">
        <v>1242</v>
      </c>
      <c r="C99" s="741" t="s">
        <v>1263</v>
      </c>
      <c r="D99" s="742" t="s">
        <v>1380</v>
      </c>
    </row>
    <row r="100" spans="1:4" customFormat="1" ht="42.5" customHeight="1" x14ac:dyDescent="0.3">
      <c r="A100" s="737" t="s">
        <v>1214</v>
      </c>
      <c r="B100" s="738" t="s">
        <v>1241</v>
      </c>
      <c r="C100" s="745" t="s">
        <v>1240</v>
      </c>
      <c r="D100" s="742" t="s">
        <v>1380</v>
      </c>
    </row>
    <row r="101" spans="1:4" customFormat="1" ht="33.5" customHeight="1" x14ac:dyDescent="0.3">
      <c r="A101" s="737" t="s">
        <v>1214</v>
      </c>
      <c r="B101" s="738" t="s">
        <v>1239</v>
      </c>
      <c r="C101" s="741" t="s">
        <v>1264</v>
      </c>
      <c r="D101" s="742" t="s">
        <v>1380</v>
      </c>
    </row>
    <row r="102" spans="1:4" customFormat="1" ht="41" customHeight="1" x14ac:dyDescent="0.3">
      <c r="A102" s="737" t="s">
        <v>1214</v>
      </c>
      <c r="B102" s="738" t="s">
        <v>1238</v>
      </c>
      <c r="C102" s="741" t="s">
        <v>1265</v>
      </c>
      <c r="D102" s="742" t="s">
        <v>1380</v>
      </c>
    </row>
    <row r="103" spans="1:4" customFormat="1" ht="75.5" customHeight="1" x14ac:dyDescent="0.3">
      <c r="A103" s="994" t="s">
        <v>1214</v>
      </c>
      <c r="B103" s="996" t="s">
        <v>1237</v>
      </c>
      <c r="C103" s="746" t="s">
        <v>1266</v>
      </c>
      <c r="D103" s="747" t="s">
        <v>1380</v>
      </c>
    </row>
    <row r="104" spans="1:4" customFormat="1" ht="15.5" customHeight="1" x14ac:dyDescent="0.3">
      <c r="A104" s="995"/>
      <c r="B104" s="997"/>
      <c r="C104" s="748" t="s">
        <v>1236</v>
      </c>
      <c r="D104" s="749"/>
    </row>
    <row r="105" spans="1:4" customFormat="1" ht="32" customHeight="1" x14ac:dyDescent="0.3">
      <c r="A105" s="737" t="s">
        <v>1214</v>
      </c>
      <c r="B105" s="738" t="s">
        <v>1235</v>
      </c>
      <c r="C105" s="745" t="s">
        <v>1267</v>
      </c>
      <c r="D105" s="742" t="s">
        <v>1380</v>
      </c>
    </row>
    <row r="106" spans="1:4" customFormat="1" ht="39" customHeight="1" x14ac:dyDescent="0.3">
      <c r="A106" s="737" t="s">
        <v>1214</v>
      </c>
      <c r="B106" s="738" t="s">
        <v>1234</v>
      </c>
      <c r="C106" s="741" t="s">
        <v>1268</v>
      </c>
      <c r="D106" s="742" t="s">
        <v>1380</v>
      </c>
    </row>
    <row r="107" spans="1:4" customFormat="1" ht="45.5" customHeight="1" x14ac:dyDescent="0.3">
      <c r="A107" s="737" t="s">
        <v>1214</v>
      </c>
      <c r="B107" s="738" t="s">
        <v>1233</v>
      </c>
      <c r="C107" s="741" t="s">
        <v>1269</v>
      </c>
      <c r="D107" s="742" t="s">
        <v>1380</v>
      </c>
    </row>
    <row r="108" spans="1:4" customFormat="1" ht="57.5" customHeight="1" x14ac:dyDescent="0.3">
      <c r="A108" s="737" t="s">
        <v>1214</v>
      </c>
      <c r="B108" s="738" t="s">
        <v>1232</v>
      </c>
      <c r="C108" s="741" t="s">
        <v>1270</v>
      </c>
      <c r="D108" s="742" t="s">
        <v>1380</v>
      </c>
    </row>
    <row r="109" spans="1:4" customFormat="1" ht="44" customHeight="1" x14ac:dyDescent="0.3">
      <c r="A109" s="737" t="s">
        <v>1214</v>
      </c>
      <c r="B109" s="738" t="s">
        <v>1231</v>
      </c>
      <c r="C109" s="741" t="s">
        <v>1230</v>
      </c>
      <c r="D109" s="742" t="s">
        <v>1380</v>
      </c>
    </row>
    <row r="110" spans="1:4" customFormat="1" ht="30" customHeight="1" x14ac:dyDescent="0.3">
      <c r="A110" s="737" t="s">
        <v>1214</v>
      </c>
      <c r="B110" s="738" t="s">
        <v>1278</v>
      </c>
      <c r="C110" s="741" t="s">
        <v>1229</v>
      </c>
      <c r="D110" s="742" t="s">
        <v>1380</v>
      </c>
    </row>
    <row r="111" spans="1:4" customFormat="1" ht="39" customHeight="1" x14ac:dyDescent="0.3">
      <c r="A111" s="737" t="s">
        <v>1214</v>
      </c>
      <c r="B111" s="738" t="s">
        <v>1279</v>
      </c>
      <c r="C111" s="741" t="s">
        <v>1228</v>
      </c>
      <c r="D111" s="742" t="s">
        <v>1380</v>
      </c>
    </row>
    <row r="112" spans="1:4" customFormat="1" ht="35.25" customHeight="1" x14ac:dyDescent="0.3">
      <c r="A112" s="737" t="s">
        <v>1214</v>
      </c>
      <c r="B112" s="738" t="s">
        <v>1227</v>
      </c>
      <c r="C112" s="741" t="s">
        <v>1226</v>
      </c>
      <c r="D112" s="742" t="s">
        <v>1380</v>
      </c>
    </row>
    <row r="113" spans="1:4" customFormat="1" ht="39" customHeight="1" x14ac:dyDescent="0.3">
      <c r="A113" s="737" t="s">
        <v>1214</v>
      </c>
      <c r="B113" s="738" t="s">
        <v>1225</v>
      </c>
      <c r="C113" s="741" t="s">
        <v>1224</v>
      </c>
      <c r="D113" s="742" t="s">
        <v>1380</v>
      </c>
    </row>
    <row r="114" spans="1:4" customFormat="1" ht="33.75" customHeight="1" x14ac:dyDescent="0.3">
      <c r="A114" s="737" t="s">
        <v>1214</v>
      </c>
      <c r="B114" s="738" t="s">
        <v>94</v>
      </c>
      <c r="C114" s="741" t="s">
        <v>1223</v>
      </c>
      <c r="D114" s="742" t="s">
        <v>1380</v>
      </c>
    </row>
    <row r="115" spans="1:4" customFormat="1" ht="33.75" customHeight="1" x14ac:dyDescent="0.3">
      <c r="A115" s="737" t="s">
        <v>1214</v>
      </c>
      <c r="B115" s="738" t="s">
        <v>1196</v>
      </c>
      <c r="C115" s="741" t="s">
        <v>1222</v>
      </c>
      <c r="D115" s="742" t="s">
        <v>1380</v>
      </c>
    </row>
    <row r="116" spans="1:4" customFormat="1" ht="51" customHeight="1" x14ac:dyDescent="0.3">
      <c r="A116" s="737" t="s">
        <v>1214</v>
      </c>
      <c r="B116" s="738" t="s">
        <v>1195</v>
      </c>
      <c r="C116" s="741" t="s">
        <v>1221</v>
      </c>
      <c r="D116" s="742" t="s">
        <v>1380</v>
      </c>
    </row>
    <row r="117" spans="1:4" customFormat="1" ht="33" customHeight="1" x14ac:dyDescent="0.3">
      <c r="A117" s="737" t="s">
        <v>1214</v>
      </c>
      <c r="B117" s="738" t="s">
        <v>1220</v>
      </c>
      <c r="C117" s="741" t="s">
        <v>1219</v>
      </c>
      <c r="D117" s="742" t="s">
        <v>1380</v>
      </c>
    </row>
    <row r="118" spans="1:4" customFormat="1" ht="36.75" customHeight="1" x14ac:dyDescent="0.3">
      <c r="A118" s="737" t="s">
        <v>1214</v>
      </c>
      <c r="B118" s="738" t="s">
        <v>1193</v>
      </c>
      <c r="C118" s="741" t="s">
        <v>1218</v>
      </c>
      <c r="D118" s="742" t="s">
        <v>1380</v>
      </c>
    </row>
    <row r="119" spans="1:4" customFormat="1" ht="35" customHeight="1" x14ac:dyDescent="0.3">
      <c r="A119" s="737" t="s">
        <v>1214</v>
      </c>
      <c r="B119" s="738" t="s">
        <v>1277</v>
      </c>
      <c r="C119" s="741" t="s">
        <v>1217</v>
      </c>
      <c r="D119" s="742" t="s">
        <v>1380</v>
      </c>
    </row>
    <row r="120" spans="1:4" customFormat="1" ht="31.5" customHeight="1" x14ac:dyDescent="0.3">
      <c r="A120" s="737" t="s">
        <v>1214</v>
      </c>
      <c r="B120" s="738" t="s">
        <v>1276</v>
      </c>
      <c r="C120" s="741" t="s">
        <v>1216</v>
      </c>
      <c r="D120" s="742" t="s">
        <v>1380</v>
      </c>
    </row>
    <row r="121" spans="1:4" customFormat="1" ht="43.5" customHeight="1" x14ac:dyDescent="0.3">
      <c r="A121" s="737" t="s">
        <v>1214</v>
      </c>
      <c r="B121" s="738" t="s">
        <v>1275</v>
      </c>
      <c r="C121" s="741" t="s">
        <v>1271</v>
      </c>
      <c r="D121" s="742" t="s">
        <v>1380</v>
      </c>
    </row>
    <row r="122" spans="1:4" customFormat="1" ht="32.5" customHeight="1" x14ac:dyDescent="0.3">
      <c r="A122" s="737" t="s">
        <v>1214</v>
      </c>
      <c r="B122" s="738" t="s">
        <v>1274</v>
      </c>
      <c r="C122" s="741" t="s">
        <v>1371</v>
      </c>
      <c r="D122" s="742" t="s">
        <v>1380</v>
      </c>
    </row>
    <row r="123" spans="1:4" customFormat="1" ht="39" x14ac:dyDescent="0.3">
      <c r="A123" s="737" t="s">
        <v>1214</v>
      </c>
      <c r="B123" s="738" t="s">
        <v>1273</v>
      </c>
      <c r="C123" s="741" t="s">
        <v>1215</v>
      </c>
      <c r="D123" s="742" t="s">
        <v>1380</v>
      </c>
    </row>
    <row r="124" spans="1:4" ht="81.75" customHeight="1" x14ac:dyDescent="0.3">
      <c r="A124" s="584" t="s">
        <v>834</v>
      </c>
      <c r="B124" s="750" t="s">
        <v>728</v>
      </c>
      <c r="C124" s="751" t="s">
        <v>835</v>
      </c>
      <c r="D124" s="724"/>
    </row>
    <row r="125" spans="1:4" s="8" customFormat="1" ht="29.25" customHeight="1" x14ac:dyDescent="0.3">
      <c r="A125" s="584" t="s">
        <v>834</v>
      </c>
      <c r="B125" s="750" t="s">
        <v>836</v>
      </c>
      <c r="C125" s="752" t="s">
        <v>1368</v>
      </c>
      <c r="D125" s="715"/>
    </row>
    <row r="126" spans="1:4" ht="81" customHeight="1" x14ac:dyDescent="0.3">
      <c r="A126" s="584" t="s">
        <v>834</v>
      </c>
      <c r="B126" s="711" t="s">
        <v>837</v>
      </c>
      <c r="C126" s="753" t="s">
        <v>1369</v>
      </c>
      <c r="D126" s="724"/>
    </row>
    <row r="127" spans="1:4" ht="49.5" customHeight="1" x14ac:dyDescent="0.3">
      <c r="A127" s="584" t="s">
        <v>834</v>
      </c>
      <c r="B127" s="711" t="s">
        <v>838</v>
      </c>
      <c r="C127" s="707" t="s">
        <v>1370</v>
      </c>
      <c r="D127" s="731"/>
    </row>
    <row r="128" spans="1:4" ht="79.5" customHeight="1" x14ac:dyDescent="0.3">
      <c r="A128" s="754" t="s">
        <v>839</v>
      </c>
      <c r="B128" s="750" t="s">
        <v>840</v>
      </c>
      <c r="C128" s="732" t="s">
        <v>1382</v>
      </c>
      <c r="D128" s="755"/>
    </row>
    <row r="129" spans="1:4" ht="52" x14ac:dyDescent="0.3">
      <c r="A129" s="754" t="s">
        <v>839</v>
      </c>
      <c r="B129" s="750" t="s">
        <v>841</v>
      </c>
      <c r="C129" s="753" t="s">
        <v>1372</v>
      </c>
      <c r="D129" s="755"/>
    </row>
    <row r="130" spans="1:4" ht="33.75" customHeight="1" x14ac:dyDescent="0.3">
      <c r="A130" s="754" t="s">
        <v>839</v>
      </c>
      <c r="B130" s="750" t="s">
        <v>842</v>
      </c>
      <c r="C130" s="730" t="s">
        <v>1138</v>
      </c>
      <c r="D130" s="755"/>
    </row>
    <row r="131" spans="1:4" ht="55.5" customHeight="1" x14ac:dyDescent="0.3">
      <c r="A131" s="754" t="s">
        <v>839</v>
      </c>
      <c r="B131" s="750" t="s">
        <v>843</v>
      </c>
      <c r="C131" s="730" t="s">
        <v>844</v>
      </c>
      <c r="D131" s="755"/>
    </row>
    <row r="132" spans="1:4" ht="39" x14ac:dyDescent="0.3">
      <c r="A132" s="754" t="s">
        <v>839</v>
      </c>
      <c r="B132" s="750" t="s">
        <v>845</v>
      </c>
      <c r="C132" s="730" t="s">
        <v>846</v>
      </c>
      <c r="D132" s="755"/>
    </row>
    <row r="133" spans="1:4" ht="52" x14ac:dyDescent="0.3">
      <c r="A133" s="754" t="s">
        <v>839</v>
      </c>
      <c r="B133" s="750" t="s">
        <v>847</v>
      </c>
      <c r="C133" s="753" t="s">
        <v>1373</v>
      </c>
      <c r="D133" s="755"/>
    </row>
    <row r="134" spans="1:4" ht="54" customHeight="1" x14ac:dyDescent="0.3">
      <c r="A134" s="754" t="s">
        <v>839</v>
      </c>
      <c r="B134" s="711" t="s">
        <v>1139</v>
      </c>
      <c r="C134" s="753" t="s">
        <v>1374</v>
      </c>
      <c r="D134" s="755"/>
    </row>
    <row r="135" spans="1:4" ht="26" x14ac:dyDescent="0.4">
      <c r="A135" s="754" t="s">
        <v>839</v>
      </c>
      <c r="B135" s="750" t="s">
        <v>848</v>
      </c>
      <c r="C135" s="756" t="s">
        <v>849</v>
      </c>
      <c r="D135" s="757"/>
    </row>
    <row r="136" spans="1:4" ht="39" x14ac:dyDescent="0.4">
      <c r="A136" s="754" t="s">
        <v>839</v>
      </c>
      <c r="B136" s="750" t="s">
        <v>850</v>
      </c>
      <c r="C136" s="756" t="s">
        <v>851</v>
      </c>
      <c r="D136" s="757"/>
    </row>
    <row r="137" spans="1:4" ht="39" x14ac:dyDescent="0.4">
      <c r="A137" s="754" t="s">
        <v>839</v>
      </c>
      <c r="B137" s="750" t="s">
        <v>852</v>
      </c>
      <c r="C137" s="756" t="s">
        <v>853</v>
      </c>
      <c r="D137" s="757"/>
    </row>
    <row r="138" spans="1:4" ht="56.25" customHeight="1" x14ac:dyDescent="0.4">
      <c r="A138" s="754" t="s">
        <v>839</v>
      </c>
      <c r="B138" s="758" t="s">
        <v>854</v>
      </c>
      <c r="C138" s="756" t="s">
        <v>855</v>
      </c>
      <c r="D138" s="759"/>
    </row>
    <row r="139" spans="1:4" ht="26" x14ac:dyDescent="0.3">
      <c r="A139" s="754" t="s">
        <v>839</v>
      </c>
      <c r="B139" s="711" t="s">
        <v>856</v>
      </c>
      <c r="C139" s="730" t="s">
        <v>1140</v>
      </c>
      <c r="D139" s="760"/>
    </row>
    <row r="140" spans="1:4" ht="108" customHeight="1" x14ac:dyDescent="0.3">
      <c r="A140" s="754" t="s">
        <v>839</v>
      </c>
      <c r="B140" s="711" t="s">
        <v>857</v>
      </c>
      <c r="C140" s="761" t="s">
        <v>1375</v>
      </c>
      <c r="D140" s="762"/>
    </row>
    <row r="141" spans="1:4" ht="78" x14ac:dyDescent="0.3">
      <c r="A141" s="754" t="s">
        <v>839</v>
      </c>
      <c r="B141" s="711" t="s">
        <v>858</v>
      </c>
      <c r="C141" s="724" t="s">
        <v>1141</v>
      </c>
      <c r="D141" s="762"/>
    </row>
  </sheetData>
  <sheetProtection sheet="1" formatCells="0" formatColumns="0" formatRows="0" sort="0" autoFilter="0"/>
  <autoFilter ref="A1:D141"/>
  <mergeCells count="7">
    <mergeCell ref="A103:A104"/>
    <mergeCell ref="B103:B104"/>
    <mergeCell ref="A2:B6"/>
    <mergeCell ref="A10:A11"/>
    <mergeCell ref="B10:B11"/>
    <mergeCell ref="A76:A77"/>
    <mergeCell ref="B76:B77"/>
  </mergeCells>
  <hyperlinks>
    <hyperlink ref="A12" location="'Page 1'!A1" display="'Page 1'!A1"/>
    <hyperlink ref="A17" location="'Page 2'!A1" display="'Page 2'!A1"/>
    <hyperlink ref="A18" location="'Page 2'!A1" display="'Page 2'!A1"/>
    <hyperlink ref="A2:B2" location="'Cover Page'!A1" display="General"/>
    <hyperlink ref="A7" location="'Cover Page'!A1" display="Cover"/>
    <hyperlink ref="A14" location="'Page 1'!A1" display="'Page 1'!A1"/>
    <hyperlink ref="A15" location="'Page 1'!A1" display="'Page 1'!A1"/>
    <hyperlink ref="A13" location="'Page 1'!A1" display="'Page 1'!A1"/>
    <hyperlink ref="A16" location="'Page 1'!A1" display="'Page 1'!A1"/>
    <hyperlink ref="A10" location="'Accounting Data'!A1" display="Accounting data tab"/>
    <hyperlink ref="A9" location="'School listing'!A1" display="School listing tab"/>
    <hyperlink ref="C55" r:id="rId1"/>
    <hyperlink ref="C57" r:id="rId2"/>
    <hyperlink ref="C59" r:id="rId3" display="https://www.azed.gov/titlei/sample-page/rural-low-income-schools-rlis/"/>
    <hyperlink ref="C61" r:id="rId4"/>
    <hyperlink ref="C63" r:id="rId5"/>
    <hyperlink ref="A19" location="'Page 3'!A1" display="'Page 3'!A1"/>
    <hyperlink ref="A21" location="'Page 3'!A1" display="'Page 3'!A1"/>
    <hyperlink ref="A20" location="'Page 3'!A1" display="'Page 3'!A1"/>
    <hyperlink ref="A24" location="'Page 4'!A1" display="'Page 4'!A1"/>
    <hyperlink ref="A27" location="'Page 6'!A1" display="'Page 6'!A1"/>
    <hyperlink ref="A28" location="'Page 6'!A1" display="'Page 6'!A1"/>
    <hyperlink ref="A29" location="'Page 6'!A1" display="'Page 6'!A1"/>
    <hyperlink ref="A30" location="'Page 6'!A1" display="'Page 6'!A1"/>
    <hyperlink ref="A31" location="'Page 6'!A1" display="'Page 6'!A1"/>
    <hyperlink ref="A32" location="'Page 6'!A1" display="'Page 6'!A1"/>
    <hyperlink ref="A33" location="'Page 6'!A1" display="'Page 6'!A1"/>
    <hyperlink ref="A35" location="'Page 6'!A1" display="'Page 6'!A1"/>
    <hyperlink ref="A36" location="'Page 6'!A1" display="'Page 6'!A1"/>
    <hyperlink ref="A37" location="'Page 6'!A1" display="'Page 6'!A1"/>
    <hyperlink ref="A38" location="'Page 6'!A1" display="'Page 6'!A1"/>
    <hyperlink ref="A39" location="'Page 6'!A1" display="'Page 6'!A1"/>
    <hyperlink ref="A40" location="'Page 6'!A1" display="'Page 6'!A1"/>
    <hyperlink ref="A41" location="'Page 6'!A1" display="'Page 6'!A1"/>
    <hyperlink ref="A42" location="'Page 7'!A1" display="'Page 7'!A1"/>
    <hyperlink ref="A43" location="'Page 7'!A1" display="'Page 7'!A1"/>
    <hyperlink ref="A44" location="'Page 7'!A1" display="'Page 7'!A1"/>
    <hyperlink ref="A45" location="'Page 7'!A1" display="'Page 7'!A1"/>
    <hyperlink ref="A47" location="'Page 8'!A1" display="'Page 8'!A1"/>
    <hyperlink ref="A48" location="'Page 8'!A1" display="'Page 8'!A1"/>
    <hyperlink ref="A49" location="'Page 8'!A1" display="'Page 8'!A1"/>
    <hyperlink ref="A50" location="'Page 9'!A1" display="'Page 9'!A1"/>
    <hyperlink ref="A51" location="'Page 9'!A1" display="'Page 9'!A1"/>
    <hyperlink ref="A52" location="'Page 9'!A1" display="'Page 9'!A1"/>
    <hyperlink ref="A53" location="'Page 9'!A1" display="'Page 9'!A1"/>
    <hyperlink ref="A54" location="'Page 9'!A1" display="'Page 9'!A1"/>
    <hyperlink ref="A64" location="'Page 9'!A1" display="'Page 9'!A1"/>
    <hyperlink ref="A65" location="'Page 9'!A1" display="'Page 9'!A1"/>
    <hyperlink ref="A66" location="'Page 9'!A1" display="'Page 9'!A1"/>
    <hyperlink ref="A67" location="'Page 9'!A1" display="'Page 9'!A1"/>
    <hyperlink ref="A68" location="'Page 9'!A1" display="'Page 9'!A1"/>
    <hyperlink ref="A70" location="'Page 10'!A1" display="'Page 10'!A1"/>
    <hyperlink ref="A128" location="'Reserve Balance'!A1" display="Reserve Balance tab"/>
    <hyperlink ref="A129:A134" location="'Reserve Balance'!A1" display="Reserve Balance tab"/>
    <hyperlink ref="A139" location="'Reserve Balance'!A25" display="Reserve Balance tab"/>
    <hyperlink ref="A140:A141" location="'Reserve Balance'!A25" display="Reserve Balance tab"/>
    <hyperlink ref="A69" location="'Page 10'!A1" display="'Page 10'!A1"/>
    <hyperlink ref="A71" location="'Page 10'!A1" display="'Page 10'!A1"/>
    <hyperlink ref="C77" r:id="rId6" display="https://www.azauditor.gov/District_charter_ADE_COVID-19_spending_special_report_FY_2022"/>
    <hyperlink ref="A72" location="'Page 10'!A1" display="'Page 10'!A1"/>
    <hyperlink ref="A88" location="'Page 10'!A1" display="'Page 10'!A1"/>
    <hyperlink ref="A73" location="'Page 10'!A1" display="'Page 10'!A1"/>
    <hyperlink ref="A74" location="'Page 10'!A1" display="'Page 10'!A1"/>
    <hyperlink ref="A75" location="'Page 10'!A1" display="'Page 10'!A1"/>
    <hyperlink ref="A78" location="'Page 10'!A1" display="'Page 10'!A1"/>
    <hyperlink ref="A79" location="'Page 10'!A1" display="'Page 10'!A1"/>
    <hyperlink ref="A80" location="'Page 10'!A1" display="'Page 10'!A1"/>
    <hyperlink ref="A81" location="'Page 10'!A1" display="'Page 10'!A1"/>
    <hyperlink ref="A82" location="'Page 10'!A1" display="'Page 10'!A1"/>
    <hyperlink ref="A83" location="'Page 10'!A1" display="'Page 10'!A1"/>
    <hyperlink ref="A84" location="'Page 10'!A1" display="'Page 10'!A1"/>
    <hyperlink ref="A85" location="'Page 10'!A1" display="'Page 10'!A1"/>
    <hyperlink ref="A86" location="'Page 10'!A1" display="'Page 10'!A1"/>
    <hyperlink ref="A87" location="'Page 10'!A1" display="'Page 10'!A1"/>
    <hyperlink ref="A124" location="Summary!A1" display="Summary"/>
    <hyperlink ref="A125" location="Summary!A1" display="Summary"/>
    <hyperlink ref="A126" location="Summary!A1" display="Summary"/>
    <hyperlink ref="A127" location="Summary!A1" display="Summary"/>
    <hyperlink ref="A46" location="'Page 8'!A1" display="'Page 8'!A1"/>
    <hyperlink ref="A76:A77" location="'Page 10'!A1" display="'Page 10'!A1"/>
    <hyperlink ref="A135" location="'Reserve Balance'!A1" display="Reserve Balance tab"/>
    <hyperlink ref="A136" location="'Reserve Balance'!A1" display="Reserve Balance tab"/>
    <hyperlink ref="A137" location="'Reserve Balance'!A1" display="Reserve Balance tab"/>
    <hyperlink ref="A138" location="'Reserve Balance'!A1" display="Reserve Balance tab"/>
    <hyperlink ref="C104" r:id="rId7"/>
    <hyperlink ref="A22" location="'Page 3'!A1" display="'Page 3'!A1"/>
    <hyperlink ref="A23" location="'Page 3'!A1" display="'Page 3'!A1"/>
    <hyperlink ref="A26" location="'Page 5'!A1" display="'Page 5'!A1"/>
    <hyperlink ref="A25" location="'Page 4'!A1" display="'Page 4'!A1"/>
    <hyperlink ref="A34" location="'Page 6'!A1" display="'Page 6'!A1"/>
    <hyperlink ref="A89" location="'Food Service'!A1" display="Food Service AFR"/>
    <hyperlink ref="A103" location="'Food Service'!A1" display="Food Service AFR"/>
    <hyperlink ref="A105" location="'Food Service'!A1" display="Food Service AFR"/>
    <hyperlink ref="A90:A102" location="'Food Service'!A1" display="Food Service AFR"/>
    <hyperlink ref="A106:A123" location="'Food Service'!A1" display="Food Service AFR"/>
    <hyperlink ref="A8" location="'Cover Page'!A1" display="Cover"/>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showGridLines="0" zoomScaleNormal="100" workbookViewId="0">
      <selection activeCell="H43" sqref="H43"/>
    </sheetView>
  </sheetViews>
  <sheetFormatPr defaultColWidth="9.296875" defaultRowHeight="13" x14ac:dyDescent="0.3"/>
  <cols>
    <col min="1" max="1" width="3.296875" customWidth="1"/>
    <col min="2" max="2" width="17.796875" customWidth="1"/>
    <col min="3" max="3" width="33.296875" customWidth="1"/>
    <col min="4" max="4" width="13.796875" customWidth="1"/>
    <col min="5" max="5" width="5" customWidth="1"/>
    <col min="6" max="6" width="14" customWidth="1"/>
    <col min="7" max="7" width="7.296875" customWidth="1"/>
    <col min="8" max="8" width="13.796875" customWidth="1"/>
    <col min="9" max="11" width="9.296875" customWidth="1"/>
    <col min="12" max="12" width="10.296875" customWidth="1"/>
    <col min="13" max="13" width="11.296875" customWidth="1"/>
    <col min="14" max="17" width="9.296875" customWidth="1"/>
    <col min="18" max="26" width="9.296875" hidden="1" customWidth="1"/>
    <col min="27" max="27" width="9.296875" customWidth="1"/>
  </cols>
  <sheetData>
    <row r="1" spans="1:14" x14ac:dyDescent="0.3">
      <c r="A1" s="801" t="s">
        <v>0</v>
      </c>
      <c r="B1" s="801"/>
      <c r="C1" s="1" t="str">
        <f>'Cover Page'!D1</f>
        <v>Mexicayotl Academy, Inc</v>
      </c>
      <c r="G1" s="57" t="s">
        <v>1</v>
      </c>
      <c r="H1" s="809" t="str">
        <f>'Cover Page'!M1</f>
        <v>Santa Cruz</v>
      </c>
      <c r="I1" s="809"/>
      <c r="L1" s="57" t="s">
        <v>2</v>
      </c>
      <c r="M1" s="808" t="str">
        <f>'Cover Page'!R1</f>
        <v>128703000</v>
      </c>
      <c r="N1" s="809"/>
    </row>
    <row r="2" spans="1:14" x14ac:dyDescent="0.3">
      <c r="F2" s="4"/>
      <c r="G2" s="4"/>
      <c r="H2" t="s">
        <v>20</v>
      </c>
    </row>
    <row r="3" spans="1:14" x14ac:dyDescent="0.3">
      <c r="A3" s="544" t="s">
        <v>21</v>
      </c>
      <c r="B3" s="544"/>
      <c r="D3" s="814" t="s">
        <v>726</v>
      </c>
      <c r="E3" s="814"/>
      <c r="F3" s="814"/>
    </row>
    <row r="4" spans="1:14" x14ac:dyDescent="0.3">
      <c r="A4" s="544" t="s">
        <v>22</v>
      </c>
      <c r="H4" s="58" t="s">
        <v>23</v>
      </c>
      <c r="J4" s="59"/>
      <c r="K4" s="59"/>
      <c r="L4" s="59"/>
    </row>
    <row r="5" spans="1:14" x14ac:dyDescent="0.3">
      <c r="A5" s="7" t="s">
        <v>24</v>
      </c>
      <c r="B5" s="815" t="s">
        <v>25</v>
      </c>
      <c r="C5" s="815"/>
      <c r="D5" s="815"/>
      <c r="H5" s="547">
        <f>-(SUMIFS('Accounting data'!$G$2:$G$37002,'Accounting data'!$K$2:$K$37002,"1310*"))+SUMIFS('Accounting data'!$G$2:$G$37002,'Accounting data'!$H$2:$H$37002,"9999*",'Accounting data'!$K$2:$K$37002,"1310*")</f>
        <v>0</v>
      </c>
      <c r="I5" s="562" t="s">
        <v>24</v>
      </c>
      <c r="J5" s="59"/>
      <c r="K5" s="59"/>
      <c r="L5" s="59"/>
    </row>
    <row r="6" spans="1:14" x14ac:dyDescent="0.3">
      <c r="A6" s="7" t="s">
        <v>26</v>
      </c>
      <c r="B6" s="815" t="s">
        <v>27</v>
      </c>
      <c r="C6" s="815"/>
      <c r="D6" s="815"/>
      <c r="H6" s="547">
        <f>-(SUMIFS('Accounting data'!$G$2:$G$37002,'Accounting data'!$K$2:$K$37002,"1320*"))+SUMIFS('Accounting data'!$G$2:$G$37002,'Accounting data'!$H$2:$H$37002,"9999*",'Accounting data'!$K$2:$K$37002,"1320*")</f>
        <v>0</v>
      </c>
      <c r="I6" s="562" t="s">
        <v>26</v>
      </c>
      <c r="J6" s="59"/>
      <c r="K6" s="59"/>
      <c r="L6" s="59"/>
    </row>
    <row r="7" spans="1:14" ht="12.75" customHeight="1" x14ac:dyDescent="0.3">
      <c r="A7" s="7" t="s">
        <v>28</v>
      </c>
      <c r="B7" s="789" t="s">
        <v>29</v>
      </c>
      <c r="C7" s="789"/>
      <c r="D7" s="789"/>
      <c r="H7" s="547">
        <f>-(SUMIFS('Accounting data'!$G$2:$G$37002,'Accounting data'!$K$2:$K$37002,"1410*"))+SUMIFS('Accounting data'!$G$2:$G$37002,'Accounting data'!$H$2:$H$37002,"9999*",'Accounting data'!$K$2:$K$37002,"1410*")</f>
        <v>815</v>
      </c>
      <c r="I7" s="562" t="s">
        <v>28</v>
      </c>
      <c r="J7" s="812" t="s">
        <v>30</v>
      </c>
      <c r="K7" s="812"/>
      <c r="L7" s="59"/>
    </row>
    <row r="8" spans="1:14" x14ac:dyDescent="0.3">
      <c r="A8" s="7" t="s">
        <v>31</v>
      </c>
      <c r="B8" s="789" t="s">
        <v>32</v>
      </c>
      <c r="C8" s="789"/>
      <c r="D8" s="789"/>
      <c r="H8" s="547">
        <f>-(SUMIFS('Accounting data'!$G$2:$G$37002,'Accounting data'!$K$2:$K$37002,"1420*"))+SUMIFS('Accounting data'!$G$2:$G$37002,'Accounting data'!$H$2:$H$37002,"9999*",'Accounting data'!$K$2:$K$37002,"1420*")</f>
        <v>0</v>
      </c>
      <c r="I8" s="562" t="s">
        <v>31</v>
      </c>
      <c r="J8" s="812"/>
      <c r="K8" s="812"/>
      <c r="L8" s="59"/>
    </row>
    <row r="9" spans="1:14" x14ac:dyDescent="0.3">
      <c r="A9" s="7" t="s">
        <v>33</v>
      </c>
      <c r="B9" s="789" t="s">
        <v>34</v>
      </c>
      <c r="C9" s="789"/>
      <c r="H9" s="547">
        <f>-(SUMIFS('Accounting data'!$G$2:$G$37002,'Accounting data'!$K$2:$K$37002,"1500*"))+SUMIFS('Accounting data'!$G$2:$G$37002,'Accounting data'!$H$2:$H$37002,"9999*",'Accounting data'!$K$2:$K$37002,"1500*")</f>
        <v>6421</v>
      </c>
      <c r="I9" s="562" t="s">
        <v>33</v>
      </c>
      <c r="J9" s="812"/>
      <c r="K9" s="812"/>
      <c r="L9" s="59"/>
    </row>
    <row r="10" spans="1:14" x14ac:dyDescent="0.3">
      <c r="A10" s="662" t="s">
        <v>35</v>
      </c>
      <c r="B10" s="803" t="s">
        <v>1301</v>
      </c>
      <c r="C10" s="803"/>
      <c r="H10" s="547">
        <f>IF('Food Service'!$E$7="",J10,'Food Service'!$E$7)</f>
        <v>1480</v>
      </c>
      <c r="I10" s="562" t="s">
        <v>35</v>
      </c>
      <c r="J10" s="813">
        <f>-(SUMIFS('Accounting data'!$G$2:$G$37002,'Accounting data'!$K$2:$K$37002,"1600*"))+SUMIFS('Accounting data'!$G$2:$G$37002,'Accounting data'!$H$2:$H$37002,"9999*",'Accounting data'!$K$2:$K$37002,"1600*")</f>
        <v>1480</v>
      </c>
      <c r="K10" s="813"/>
      <c r="L10" s="59" t="str">
        <f>IF(H10&lt;&gt;J10,"The amount reported for 1600 food service revenue from the Food Service AFR does not agree to the amount in the Accounting Data Tab. Please verify the amounts and ensure they agree.","")</f>
        <v/>
      </c>
    </row>
    <row r="11" spans="1:14" x14ac:dyDescent="0.3">
      <c r="A11" s="7" t="s">
        <v>36</v>
      </c>
      <c r="B11" s="789" t="s">
        <v>37</v>
      </c>
      <c r="C11" s="789"/>
      <c r="H11" s="547">
        <f>-(SUMIFS('Accounting data'!$G$2:$G$37002,'Accounting data'!$K$2:$K$37002,"1700*"))+SUMIFS('Accounting data'!$G$2:$G$37002,'Accounting data'!$H$2:$H$37002,"9999*",'Accounting data'!$K$2:$K$37002,"1700*")</f>
        <v>7613</v>
      </c>
      <c r="I11" s="562" t="s">
        <v>36</v>
      </c>
      <c r="J11" s="59"/>
      <c r="K11" s="59"/>
      <c r="L11" s="59"/>
    </row>
    <row r="12" spans="1:14" x14ac:dyDescent="0.3">
      <c r="A12" s="60" t="s">
        <v>38</v>
      </c>
      <c r="B12" s="789" t="s">
        <v>39</v>
      </c>
      <c r="C12" s="789"/>
      <c r="D12" s="789"/>
      <c r="E12" s="789"/>
      <c r="F12" s="789"/>
      <c r="H12" s="547">
        <f>-(SUMIFS('Accounting data'!$G$2:$G$37002,'Accounting data'!$K$2:$K$37002,"1750*"))+SUMIFS('Accounting data'!$G$2:$G$37002,'Accounting data'!$H$2:$H$37002,"9999*",'Accounting data'!$K$2:$K$37002,"1750*")</f>
        <v>0</v>
      </c>
      <c r="I12" s="574" t="s">
        <v>38</v>
      </c>
      <c r="J12" s="59"/>
      <c r="K12" s="59"/>
      <c r="L12" s="59"/>
    </row>
    <row r="13" spans="1:14" x14ac:dyDescent="0.3">
      <c r="A13" s="61" t="s">
        <v>40</v>
      </c>
      <c r="B13" s="789" t="s">
        <v>41</v>
      </c>
      <c r="C13" s="789"/>
      <c r="H13" s="547">
        <f>-(SUMIFS('Accounting data'!$G$2:$G$37002,'Accounting data'!$K$2:$K$37002,"1790*"))+SUMIFS('Accounting data'!$G$2:$G$37002,'Accounting data'!$H$2:$H$37002,"9999*",'Accounting data'!$K$2:$K$37002,"1790*")</f>
        <v>3000</v>
      </c>
      <c r="I13" s="574" t="s">
        <v>40</v>
      </c>
      <c r="J13" s="62"/>
      <c r="K13" s="59"/>
      <c r="L13" s="59"/>
    </row>
    <row r="14" spans="1:14" x14ac:dyDescent="0.3">
      <c r="A14" s="61" t="s">
        <v>42</v>
      </c>
      <c r="B14" s="789" t="s">
        <v>43</v>
      </c>
      <c r="C14" s="789"/>
      <c r="H14" s="667">
        <f>-(SUMIFS('Accounting data'!$G$2:$G$37002,'Accounting data'!$K$2:$K$37002,"1800*"))+SUMIFS('Accounting data'!$G$2:$G$37002,'Accounting data'!$H$2:$H$37002,"9999*",'Accounting data'!$K$2:$K$37002,"1800*")</f>
        <v>0</v>
      </c>
      <c r="I14" s="574" t="s">
        <v>42</v>
      </c>
      <c r="J14" s="59"/>
      <c r="K14" s="59"/>
      <c r="L14" s="59"/>
    </row>
    <row r="15" spans="1:14" x14ac:dyDescent="0.3">
      <c r="A15" s="61" t="s">
        <v>44</v>
      </c>
      <c r="B15" s="694" t="s">
        <v>1293</v>
      </c>
      <c r="C15" s="692"/>
      <c r="D15" s="693"/>
      <c r="E15" s="692"/>
      <c r="F15" s="693"/>
      <c r="H15" s="667">
        <f>-(SUMIFS('Accounting data'!$G$2:$G$37002,'Accounting data'!$K$2:$K$37002,"1900*"))+SUMIFS('Accounting data'!$G$2:$G$37002,'Accounting data'!$H$2:$H$37002,"9999*",'Accounting data'!$K$2:$K$37002,"1900*")</f>
        <v>57782</v>
      </c>
      <c r="I15" s="574" t="s">
        <v>44</v>
      </c>
      <c r="J15" s="59"/>
      <c r="K15" s="59"/>
      <c r="L15" s="59"/>
    </row>
    <row r="16" spans="1:14" x14ac:dyDescent="0.3">
      <c r="A16" s="61" t="s">
        <v>45</v>
      </c>
      <c r="B16" s="694" t="s">
        <v>1280</v>
      </c>
      <c r="C16" s="694"/>
      <c r="D16" s="694"/>
      <c r="E16" s="694"/>
      <c r="F16" s="694"/>
      <c r="H16" s="667">
        <f>-(SUMIFS('Accounting data'!$G$2:$G$37002,'Accounting data'!$K$2:$K$37002,"1910*"))+SUMIFS('Accounting data'!$G$2:$G$37002,'Accounting data'!$H$2:$H$37002,"9999*",'Accounting data'!$K$2:$K$37002,"1910*")</f>
        <v>0</v>
      </c>
      <c r="I16" s="574" t="s">
        <v>45</v>
      </c>
      <c r="J16" s="59"/>
      <c r="K16" s="59"/>
      <c r="L16" s="59"/>
    </row>
    <row r="17" spans="1:27" x14ac:dyDescent="0.3">
      <c r="A17" s="61" t="s">
        <v>47</v>
      </c>
      <c r="B17" s="789" t="s">
        <v>46</v>
      </c>
      <c r="C17" s="789"/>
      <c r="H17" s="667">
        <f>-(SUMIFS('Accounting data'!$G$2:$G$37002,'Accounting data'!$K$2:$K$37002,"1920*"))+SUMIFS('Accounting data'!$G$2:$G$37002,'Accounting data'!$H$2:$H$37002,"9999*",'Accounting data'!$K$2:$K$37002,"1920*")</f>
        <v>3093</v>
      </c>
      <c r="I17" s="574" t="s">
        <v>47</v>
      </c>
      <c r="J17" s="59"/>
      <c r="K17" s="59"/>
      <c r="L17" s="59"/>
    </row>
    <row r="18" spans="1:27" x14ac:dyDescent="0.3">
      <c r="A18" s="61" t="s">
        <v>49</v>
      </c>
      <c r="B18" s="694" t="s">
        <v>1281</v>
      </c>
      <c r="C18" s="694"/>
      <c r="D18" s="694"/>
      <c r="E18" s="694"/>
      <c r="F18" s="694"/>
      <c r="H18" s="667">
        <f>-(SUMIFS('Accounting data'!$G$2:$G$37002,'Accounting data'!$K$2:$K$37002,"1950*"))+SUMIFS('Accounting data'!$G$2:$G$37002,'Accounting data'!$H$2:$H$37002,"9999*",'Accounting data'!$K$2:$K$37002,"1950*")</f>
        <v>0</v>
      </c>
      <c r="I18" s="574" t="s">
        <v>49</v>
      </c>
      <c r="J18" s="59"/>
      <c r="K18" s="59"/>
      <c r="L18" s="59"/>
    </row>
    <row r="19" spans="1:27" x14ac:dyDescent="0.3">
      <c r="A19" s="61" t="s">
        <v>51</v>
      </c>
      <c r="B19" s="694" t="s">
        <v>1282</v>
      </c>
      <c r="C19" s="694"/>
      <c r="D19" s="694"/>
      <c r="E19" s="694"/>
      <c r="F19" s="694"/>
      <c r="H19" s="667">
        <f>-(SUMIFS('Accounting data'!$G$2:$G$37002,'Accounting data'!$K$2:$K$37002,"1960*"))+SUMIFS('Accounting data'!$G$2:$G$37002,'Accounting data'!$H$2:$H$37002,"9999*",'Accounting data'!$K$2:$K$37002,"1960*")</f>
        <v>0</v>
      </c>
      <c r="I19" s="574" t="s">
        <v>51</v>
      </c>
      <c r="J19" s="59"/>
      <c r="K19" s="59"/>
      <c r="L19" s="59"/>
    </row>
    <row r="20" spans="1:27" ht="14.5" x14ac:dyDescent="0.35">
      <c r="A20" s="666" t="s">
        <v>53</v>
      </c>
      <c r="B20" s="803" t="s">
        <v>48</v>
      </c>
      <c r="C20" s="803"/>
      <c r="D20" s="810"/>
      <c r="E20" s="811"/>
      <c r="F20" s="811"/>
      <c r="H20" s="667">
        <f>-(SUMIFS('Accounting data'!$G$2:$G$37002,'Accounting data'!$K$2:$K$37002,"Other Revenue from Local Sources"))+SUMIFS('Accounting data'!$G$2:$G$37002,'Accounting data'!$H$2:$H$37002,"9999*",'Accounting data'!$K$2:$K$37002,"Other Revenue from Local Sources")</f>
        <v>0</v>
      </c>
      <c r="I20" s="574" t="s">
        <v>53</v>
      </c>
      <c r="J20" s="59"/>
      <c r="K20" s="59"/>
      <c r="L20" s="59"/>
      <c r="AA20" s="46" t="str">
        <f>IF(OR(AND(D20="",H20&lt;&gt;0),AND(D25="",H25&lt;&gt;0),AND(D32="",H32&lt;&gt;0),AND(D40="",H40&lt;&gt;0)),"yes","")</f>
        <v/>
      </c>
    </row>
    <row r="21" spans="1:27" x14ac:dyDescent="0.3">
      <c r="A21" s="666" t="s">
        <v>55</v>
      </c>
      <c r="B21" s="803" t="s">
        <v>1302</v>
      </c>
      <c r="C21" s="803"/>
      <c r="H21" s="546">
        <f>-(SUMIFS('Accounting data'!$G$2:$G$37002,'Accounting data'!$K$2:$K$37002,"1*"))+SUMIFS('Accounting data'!$G$2:$G$37002,'Accounting data'!$H$2:$H$37002,"9999*",'Accounting data'!$K$2:$K$37002,"1*")+H20</f>
        <v>80203</v>
      </c>
      <c r="I21" s="574" t="s">
        <v>55</v>
      </c>
      <c r="J21" s="59"/>
      <c r="K21" s="59"/>
      <c r="L21" s="59"/>
    </row>
    <row r="22" spans="1:27" x14ac:dyDescent="0.3">
      <c r="A22" s="544" t="s">
        <v>50</v>
      </c>
      <c r="B22" s="544"/>
      <c r="H22" s="24"/>
      <c r="I22" s="562" t="s">
        <v>20</v>
      </c>
      <c r="J22" s="59"/>
      <c r="K22" s="59"/>
      <c r="L22" s="59"/>
    </row>
    <row r="23" spans="1:27" x14ac:dyDescent="0.3">
      <c r="A23" s="666" t="s">
        <v>57</v>
      </c>
      <c r="B23" s="803" t="s">
        <v>52</v>
      </c>
      <c r="C23" s="803"/>
      <c r="H23" s="547">
        <f>-(SUMIFS('Accounting data'!$G$2:$G$37002,'Accounting data'!$K$2:$K$37002,"2100*"))+SUMIFS('Accounting data'!$G$2:$G$37002,'Accounting data'!$H$2:$H$37002,"9999*",'Accounting data'!$K$2:$K$37002,"2100*")</f>
        <v>0</v>
      </c>
      <c r="I23" s="574" t="s">
        <v>57</v>
      </c>
      <c r="J23" s="59"/>
      <c r="K23" s="59"/>
      <c r="L23" s="59"/>
    </row>
    <row r="24" spans="1:27" x14ac:dyDescent="0.3">
      <c r="A24" s="666" t="s">
        <v>59</v>
      </c>
      <c r="B24" s="803" t="s">
        <v>54</v>
      </c>
      <c r="C24" s="803"/>
      <c r="H24" s="547">
        <f>-(SUMIFS('Accounting data'!$G$2:$G$37002,'Accounting data'!$K$2:$K$37002,"2200*"))+SUMIFS('Accounting data'!$G$2:$G$37002,'Accounting data'!$H$2:$H$37002,"9999*",'Accounting data'!$K$2:$K$37002,"2200*")</f>
        <v>0</v>
      </c>
      <c r="I24" s="574" t="s">
        <v>59</v>
      </c>
      <c r="J24" s="59"/>
      <c r="K24" s="59"/>
      <c r="L24" s="59"/>
    </row>
    <row r="25" spans="1:27" ht="14.5" x14ac:dyDescent="0.35">
      <c r="A25" s="666" t="s">
        <v>61</v>
      </c>
      <c r="B25" s="803" t="s">
        <v>56</v>
      </c>
      <c r="C25" s="803"/>
      <c r="D25" s="810"/>
      <c r="E25" s="811"/>
      <c r="F25" s="811"/>
      <c r="H25" s="547">
        <f>-(SUMIFS('Accounting data'!$G$2:$G$37002,'Accounting data'!$K$2:$K$37002,"Other Revenue from Intermediate Sources"))+SUMIFS('Accounting data'!$G$2:$G$37002,'Accounting data'!$H$2:$H$37002,"9999*",'Accounting data'!$K$2:$K$37002,"Other Revenue from Intermediate Sources")</f>
        <v>0</v>
      </c>
      <c r="I25" s="574" t="s">
        <v>61</v>
      </c>
      <c r="J25" s="63"/>
      <c r="K25" s="63"/>
      <c r="L25" s="63"/>
      <c r="M25" s="64"/>
    </row>
    <row r="26" spans="1:27" x14ac:dyDescent="0.3">
      <c r="A26" s="666" t="s">
        <v>63</v>
      </c>
      <c r="B26" s="803" t="s">
        <v>1303</v>
      </c>
      <c r="C26" s="803"/>
      <c r="H26" s="546">
        <f>-(SUMIFS('Accounting data'!$G$2:$G$37002,'Accounting data'!$K$2:$K$37002,"2*"))+SUMIFS('Accounting data'!$G$2:$G$37002,'Accounting data'!$H$2:$H$37002,"9999*",'Accounting data'!$K$2:$K$37002,"2*")+H25</f>
        <v>0</v>
      </c>
      <c r="I26" s="574" t="s">
        <v>63</v>
      </c>
      <c r="J26" s="59"/>
      <c r="K26" s="59"/>
      <c r="L26" s="59"/>
    </row>
    <row r="27" spans="1:27" x14ac:dyDescent="0.3">
      <c r="A27" s="544" t="s">
        <v>58</v>
      </c>
      <c r="B27" s="544"/>
      <c r="H27" s="24"/>
      <c r="I27" s="562"/>
      <c r="J27" s="59"/>
      <c r="K27" s="59"/>
      <c r="L27" s="59"/>
    </row>
    <row r="28" spans="1:27" x14ac:dyDescent="0.3">
      <c r="A28" s="61" t="s">
        <v>65</v>
      </c>
      <c r="B28" s="789" t="s">
        <v>60</v>
      </c>
      <c r="C28" s="789"/>
      <c r="H28" s="547">
        <f>-(SUMIFS('Accounting data'!$G$2:$G$37002,'Accounting data'!$K$2:$K$37002,"3110*"))+SUMIFS('Accounting data'!$G$2:$G$37002,'Accounting data'!$H$2:$H$37002,"9999*",'Accounting data'!$K$2:$K$37002,"3110*")</f>
        <v>1898162</v>
      </c>
      <c r="I28" s="574" t="s">
        <v>65</v>
      </c>
      <c r="J28" s="59"/>
      <c r="K28" s="59"/>
      <c r="L28" s="59"/>
    </row>
    <row r="29" spans="1:27" x14ac:dyDescent="0.3">
      <c r="A29" s="60" t="s">
        <v>67</v>
      </c>
      <c r="B29" s="789" t="s">
        <v>62</v>
      </c>
      <c r="C29" s="789"/>
      <c r="H29" s="547">
        <f>-(SUMIFS('Accounting data'!$G$2:$G$37002,'Accounting data'!$K$2:$K$37002,"3130*"))+SUMIFS('Accounting data'!$G$2:$G$37002,'Accounting data'!$H$2:$H$37002,"9999*",'Accounting data'!$K$2:$K$37002,"3130*")</f>
        <v>14879</v>
      </c>
      <c r="I29" s="574" t="s">
        <v>67</v>
      </c>
      <c r="J29" s="59"/>
      <c r="K29" s="59"/>
      <c r="L29" s="59"/>
    </row>
    <row r="30" spans="1:27" x14ac:dyDescent="0.3">
      <c r="A30" s="663" t="s">
        <v>69</v>
      </c>
      <c r="B30" s="789" t="s">
        <v>64</v>
      </c>
      <c r="C30" s="789"/>
      <c r="H30" s="547">
        <f>-(SUMIFS('Accounting data'!$G$2:$G$37002,'Accounting data'!$K$2:$K$37002,"3200*"))+SUMIFS('Accounting data'!$G$2:$G$37002,'Accounting data'!$H$2:$H$37002,"9999*",'Accounting data'!$K$2:$K$37002,"3200*")</f>
        <v>245173</v>
      </c>
      <c r="I30" s="574" t="s">
        <v>69</v>
      </c>
      <c r="J30" s="63"/>
      <c r="K30" s="63"/>
      <c r="L30" s="63"/>
      <c r="M30" s="64"/>
    </row>
    <row r="31" spans="1:27" x14ac:dyDescent="0.3">
      <c r="A31" s="61" t="s">
        <v>71</v>
      </c>
      <c r="B31" s="789" t="s">
        <v>66</v>
      </c>
      <c r="C31" s="789"/>
      <c r="H31" s="547">
        <f>-(SUMIFS('Accounting data'!$G$2:$G$37002,'Accounting data'!$K$2:$K$37002,"3900*"))+SUMIFS('Accounting data'!$G$2:$G$37002,'Accounting data'!$H$2:$H$37002,"9999*",'Accounting data'!$K$2:$K$37002,"3900*")</f>
        <v>0</v>
      </c>
      <c r="I31" s="574" t="s">
        <v>71</v>
      </c>
      <c r="J31" s="59"/>
      <c r="K31" s="59"/>
      <c r="L31" s="59"/>
    </row>
    <row r="32" spans="1:27" ht="14.5" x14ac:dyDescent="0.35">
      <c r="A32" s="61" t="s">
        <v>73</v>
      </c>
      <c r="B32" s="789" t="s">
        <v>68</v>
      </c>
      <c r="C32" s="789"/>
      <c r="D32" s="810"/>
      <c r="E32" s="811"/>
      <c r="F32" s="811"/>
      <c r="H32" s="547">
        <f>-(SUMIFS('Accounting data'!$G$2:$G$37002,'Accounting data'!$K$2:$K$37002,"Other Revenue from State Sources"))+SUMIFS('Accounting data'!$G$2:$G$37002,'Accounting data'!$H$2:$H$37002,"9999*",'Accounting data'!$K$2:$K$37002,"Other Revenue from State Sources")</f>
        <v>0</v>
      </c>
      <c r="I32" s="574" t="s">
        <v>73</v>
      </c>
      <c r="J32" s="59"/>
      <c r="K32" s="59"/>
      <c r="L32" s="59"/>
    </row>
    <row r="33" spans="1:13" x14ac:dyDescent="0.3">
      <c r="A33" s="61" t="s">
        <v>75</v>
      </c>
      <c r="B33" s="803" t="s">
        <v>1304</v>
      </c>
      <c r="C33" s="803"/>
      <c r="H33" s="546">
        <f>-(SUMIFS('Accounting data'!$G$2:$G$37002,'Accounting data'!$K$2:$K$37002,"3*"))+SUMIFS('Accounting data'!$G$2:$G$37002,'Accounting data'!$H$2:$H$37002,"9999*",'Accounting data'!$K$2:$K$37002,"3*")+H32</f>
        <v>2158214</v>
      </c>
      <c r="I33" s="574" t="s">
        <v>75</v>
      </c>
      <c r="J33" s="59"/>
      <c r="K33" s="59"/>
      <c r="L33" s="59"/>
    </row>
    <row r="34" spans="1:13" x14ac:dyDescent="0.3">
      <c r="A34" s="3" t="s">
        <v>70</v>
      </c>
      <c r="B34" s="544"/>
      <c r="H34" s="24"/>
      <c r="I34" s="562"/>
      <c r="J34" s="59"/>
      <c r="K34" s="59"/>
      <c r="L34" s="59"/>
    </row>
    <row r="35" spans="1:13" x14ac:dyDescent="0.3">
      <c r="A35" s="663" t="s">
        <v>77</v>
      </c>
      <c r="B35" s="789" t="s">
        <v>72</v>
      </c>
      <c r="C35" s="789"/>
      <c r="D35" s="789"/>
      <c r="E35" s="789"/>
      <c r="F35" s="789"/>
      <c r="H35" s="547">
        <f>-(SUMIFS('Accounting data'!$G$2:$G$37002,'Accounting data'!$K$2:$K$37002,"4100*"))+SUMIFS('Accounting data'!$G$2:$G$37002,'Accounting data'!$H$2:$H$37002,"9999*",'Accounting data'!$K$2:$K$37002,"4100*")</f>
        <v>0</v>
      </c>
      <c r="I35" s="574" t="s">
        <v>77</v>
      </c>
      <c r="J35" s="59"/>
      <c r="K35" s="59"/>
      <c r="L35" s="59"/>
      <c r="M35" s="543"/>
    </row>
    <row r="36" spans="1:13" x14ac:dyDescent="0.3">
      <c r="A36" s="663" t="s">
        <v>79</v>
      </c>
      <c r="B36" s="789" t="s">
        <v>74</v>
      </c>
      <c r="C36" s="789"/>
      <c r="D36" s="789"/>
      <c r="E36" s="789"/>
      <c r="F36" s="789"/>
      <c r="H36" s="547">
        <f>-(SUMIFS('Accounting data'!$G$2:$G$37002,'Accounting data'!$K$2:$K$37002,"4200*"))+SUMIFS('Accounting data'!$G$2:$G$37002,'Accounting data'!$H$2:$H$37002,"9999*",'Accounting data'!$K$2:$K$37002,"4200*")</f>
        <v>351240</v>
      </c>
      <c r="I36" s="574" t="s">
        <v>79</v>
      </c>
      <c r="J36" s="63"/>
      <c r="K36" s="63"/>
      <c r="L36" s="59"/>
    </row>
    <row r="37" spans="1:13" x14ac:dyDescent="0.3">
      <c r="A37" s="65" t="s">
        <v>81</v>
      </c>
      <c r="B37" s="789" t="s">
        <v>76</v>
      </c>
      <c r="C37" s="789"/>
      <c r="D37" s="789"/>
      <c r="E37" s="789"/>
      <c r="F37" s="789"/>
      <c r="G37" s="789"/>
      <c r="H37" s="547">
        <f>-(SUMIFS('Accounting data'!$G$2:$G$37002,'Accounting data'!$K$2:$K$37002,"4700*"))+SUMIFS('Accounting data'!$G$2:$G$37002,'Accounting data'!$H$2:$H$37002,"9999*",'Accounting data'!$K$2:$K$37002,"4700*")</f>
        <v>0</v>
      </c>
      <c r="I37" s="574" t="s">
        <v>81</v>
      </c>
      <c r="J37" s="63"/>
      <c r="K37" s="63"/>
      <c r="L37" s="59"/>
    </row>
    <row r="38" spans="1:13" x14ac:dyDescent="0.3">
      <c r="A38" s="65" t="s">
        <v>83</v>
      </c>
      <c r="B38" s="562" t="s">
        <v>78</v>
      </c>
      <c r="H38" s="547">
        <f>-(SUMIFS('Accounting data'!$G$2:$G$37002,'Accounting data'!$K$2:$K$37002,"4800*"))+SUMIFS('Accounting data'!$G$2:$G$37002,'Accounting data'!$H$2:$H$37002,"9999*",'Accounting data'!$K$2:$K$37002,"4800*")</f>
        <v>0</v>
      </c>
      <c r="I38" s="574" t="s">
        <v>83</v>
      </c>
      <c r="J38" s="59"/>
      <c r="K38" s="59"/>
      <c r="L38" s="59"/>
    </row>
    <row r="39" spans="1:13" x14ac:dyDescent="0.3">
      <c r="A39" s="65" t="s">
        <v>84</v>
      </c>
      <c r="B39" s="789" t="s">
        <v>80</v>
      </c>
      <c r="C39" s="789"/>
      <c r="D39" s="789"/>
      <c r="E39" s="789"/>
      <c r="F39" s="789"/>
      <c r="G39" s="789"/>
      <c r="H39" s="547">
        <f>-(SUMIFS('Accounting data'!$G$2:$G$37002,'Accounting data'!$K$2:$K$37002,"4900*"))+SUMIFS('Accounting data'!$G$2:$G$37002,'Accounting data'!$H$2:$H$37002,"9999*",'Accounting data'!$K$2:$K$37002,"4900*")</f>
        <v>29776</v>
      </c>
      <c r="I39" s="574" t="s">
        <v>84</v>
      </c>
      <c r="J39" s="59"/>
      <c r="K39" s="59"/>
      <c r="L39" s="59"/>
    </row>
    <row r="40" spans="1:13" ht="14.5" x14ac:dyDescent="0.35">
      <c r="A40" s="65" t="s">
        <v>137</v>
      </c>
      <c r="B40" s="789" t="s">
        <v>82</v>
      </c>
      <c r="C40" s="789"/>
      <c r="D40" s="810"/>
      <c r="E40" s="811"/>
      <c r="F40" s="811"/>
      <c r="H40" s="547">
        <f>-(SUMIFS('Accounting data'!$G$2:$G$37002,'Accounting data'!$K$2:$K$37002,"Other Revenue from Federal Sources"))+SUMIFS('Accounting data'!$G$2:$G$37002,'Accounting data'!$H$2:$H$37002,"9999*",'Accounting data'!$K$2:$K$37002,"Other Revenue from Federal Sources")</f>
        <v>0</v>
      </c>
      <c r="I40" s="574" t="s">
        <v>137</v>
      </c>
      <c r="J40" s="59"/>
      <c r="K40" s="59"/>
      <c r="L40" s="59"/>
    </row>
    <row r="41" spans="1:13" x14ac:dyDescent="0.3">
      <c r="A41" s="65" t="s">
        <v>138</v>
      </c>
      <c r="B41" s="803" t="s">
        <v>1305</v>
      </c>
      <c r="C41" s="803"/>
      <c r="H41" s="600">
        <f>-(SUMIFS('Accounting data'!$G$2:$G$37002,'Accounting data'!$K$2:$K$37002,"4*"))+SUMIFS('Accounting data'!$G$2:$G$37002,'Accounting data'!$H$2:$H$37002,"9999*",'Accounting data'!$K$2:$K$37002,"4*")+H40</f>
        <v>381016</v>
      </c>
      <c r="I41" s="574" t="s">
        <v>138</v>
      </c>
      <c r="J41" s="59"/>
      <c r="K41" s="59"/>
      <c r="L41" s="59"/>
    </row>
    <row r="42" spans="1:13" x14ac:dyDescent="0.3">
      <c r="A42" s="7"/>
      <c r="B42" s="544"/>
      <c r="H42" s="24"/>
      <c r="I42" s="562"/>
      <c r="J42" s="59"/>
      <c r="K42" s="59"/>
      <c r="L42" s="59"/>
    </row>
    <row r="43" spans="1:13" x14ac:dyDescent="0.3">
      <c r="A43" s="65" t="s">
        <v>140</v>
      </c>
      <c r="B43" s="816" t="s">
        <v>1306</v>
      </c>
      <c r="C43" s="816"/>
      <c r="D43" s="816"/>
      <c r="H43" s="547">
        <f>SUM(H21,H26,H33,H41)</f>
        <v>2619433</v>
      </c>
      <c r="I43" s="574" t="s">
        <v>140</v>
      </c>
      <c r="J43" s="59"/>
      <c r="K43" s="59"/>
      <c r="L43" s="59"/>
    </row>
  </sheetData>
  <sheetProtection sheet="1" formatCells="0" formatColumns="0" formatRows="0"/>
  <mergeCells count="41">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2:C32"/>
    <mergeCell ref="B13:C13"/>
    <mergeCell ref="B14:C14"/>
    <mergeCell ref="B20:C20"/>
    <mergeCell ref="B29:C29"/>
    <mergeCell ref="B17:C17"/>
    <mergeCell ref="B26:C26"/>
    <mergeCell ref="B28:C28"/>
    <mergeCell ref="B23:C23"/>
  </mergeCells>
  <conditionalFormatting sqref="D20 D25 D32 D40">
    <cfRule type="expression" dxfId="77" priority="1" stopIfTrue="1">
      <formula>AND($D20="",$H20&lt;&gt;0)</formula>
    </cfRule>
  </conditionalFormatting>
  <hyperlinks>
    <hyperlink ref="A30" location="Restricted3200" display="16."/>
    <hyperlink ref="A35" location="Unrestricted_Restricted_4100_4300" display="20."/>
    <hyperlink ref="A10" location="Food_Service_1600" display="6."/>
    <hyperlink ref="A36" location="Unrestricted_Restricted_4200_4500" display="26."/>
    <hyperlink ref="D3:E3" location="GeneralPage1" display="Instructions"/>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8"/>
  <sheetViews>
    <sheetView showGridLines="0" workbookViewId="0">
      <selection activeCell="J37" sqref="J37"/>
    </sheetView>
  </sheetViews>
  <sheetFormatPr defaultColWidth="9.296875" defaultRowHeight="12.75" customHeight="1" x14ac:dyDescent="0.3"/>
  <cols>
    <col min="1" max="1" width="20.796875" customWidth="1"/>
    <col min="2" max="2" width="34.19921875" customWidth="1"/>
    <col min="3" max="3" width="3.796875" customWidth="1"/>
    <col min="4" max="5" width="12.796875" customWidth="1"/>
    <col min="6" max="6" width="14.796875" customWidth="1"/>
    <col min="7" max="12" width="12.796875" customWidth="1"/>
    <col min="13" max="13" width="3" customWidth="1"/>
    <col min="14" max="14" width="9.296875" customWidth="1"/>
  </cols>
  <sheetData>
    <row r="1" spans="1:32" ht="12" customHeight="1" x14ac:dyDescent="0.3">
      <c r="A1" s="544" t="s">
        <v>0</v>
      </c>
      <c r="B1" s="809" t="str">
        <f>'Cover Page'!D1</f>
        <v>Mexicayotl Academy, Inc</v>
      </c>
      <c r="C1" s="809"/>
      <c r="F1" s="57" t="s">
        <v>1</v>
      </c>
      <c r="G1" s="1" t="str">
        <f>'Cover Page'!M1</f>
        <v>Santa Cruz</v>
      </c>
      <c r="J1" s="57"/>
      <c r="K1" s="57" t="s">
        <v>2</v>
      </c>
      <c r="L1" s="2" t="str">
        <f>'Cover Page'!R1</f>
        <v>128703000</v>
      </c>
    </row>
    <row r="2" spans="1:32" ht="3.75" customHeight="1" x14ac:dyDescent="0.3">
      <c r="L2" s="4"/>
    </row>
    <row r="3" spans="1:32" ht="15.75" customHeight="1" x14ac:dyDescent="0.3">
      <c r="A3" s="66"/>
      <c r="B3" s="688" t="s">
        <v>726</v>
      </c>
      <c r="C3" s="635"/>
      <c r="D3" s="636"/>
      <c r="E3" s="70" t="s">
        <v>85</v>
      </c>
      <c r="F3" s="565" t="s">
        <v>86</v>
      </c>
      <c r="G3" s="70"/>
      <c r="H3" s="71"/>
      <c r="I3" s="823" t="s">
        <v>87</v>
      </c>
      <c r="J3" s="823"/>
      <c r="K3" s="823"/>
      <c r="L3" s="820" t="s">
        <v>88</v>
      </c>
    </row>
    <row r="4" spans="1:32" ht="12" customHeight="1" x14ac:dyDescent="0.3">
      <c r="A4" s="72" t="s">
        <v>89</v>
      </c>
      <c r="C4" s="73"/>
      <c r="D4" s="74" t="s">
        <v>90</v>
      </c>
      <c r="E4" s="75" t="s">
        <v>91</v>
      </c>
      <c r="F4" s="76" t="s">
        <v>92</v>
      </c>
      <c r="G4" s="77" t="s">
        <v>93</v>
      </c>
      <c r="H4" s="74" t="s">
        <v>94</v>
      </c>
      <c r="I4" s="78"/>
      <c r="J4" s="78"/>
      <c r="K4" s="565" t="s">
        <v>95</v>
      </c>
      <c r="L4" s="821"/>
    </row>
    <row r="5" spans="1:32" ht="11.25" customHeight="1" x14ac:dyDescent="0.3">
      <c r="A5" s="79" t="s">
        <v>96</v>
      </c>
      <c r="B5" s="6"/>
      <c r="C5" s="80"/>
      <c r="D5" s="570">
        <v>6100</v>
      </c>
      <c r="E5" s="81">
        <v>6200</v>
      </c>
      <c r="F5" s="81" t="s">
        <v>97</v>
      </c>
      <c r="G5" s="571">
        <v>6600</v>
      </c>
      <c r="H5" s="570">
        <v>6800</v>
      </c>
      <c r="I5" s="564" t="s">
        <v>98</v>
      </c>
      <c r="J5" s="81" t="s">
        <v>23</v>
      </c>
      <c r="K5" s="81" t="s">
        <v>99</v>
      </c>
      <c r="L5" s="822"/>
    </row>
    <row r="6" spans="1:32" ht="12" customHeight="1" x14ac:dyDescent="0.3">
      <c r="A6" s="82" t="s">
        <v>100</v>
      </c>
      <c r="B6" s="67"/>
      <c r="C6" s="68"/>
      <c r="D6" s="83"/>
      <c r="E6" s="83"/>
      <c r="F6" s="83"/>
      <c r="G6" s="83"/>
      <c r="H6" s="83"/>
      <c r="I6" s="83"/>
      <c r="J6" s="83"/>
      <c r="K6" s="83"/>
      <c r="L6" s="827">
        <f>IF(J7=K7,0,IF(K7&gt;0,(J7-K7)/K7,"--"))</f>
        <v>0.32169999999999999</v>
      </c>
      <c r="S6" s="543"/>
    </row>
    <row r="7" spans="1:32" ht="12" customHeight="1" x14ac:dyDescent="0.3">
      <c r="A7" s="84" t="s">
        <v>101</v>
      </c>
      <c r="C7" s="85" t="s">
        <v>24</v>
      </c>
      <c r="D7" s="550">
        <f>SUMIFS('Accounting data'!$G$2:$G$37002,'Accounting data'!$H$2:$H$37002,"1000*",'Accounting data'!$I$2:$I$37002,"1*",'Accounting data'!$J$2:$J$37002,"1*",'Accounting data'!$K$2:$K$37002,"61*")+SUMIFS('Accounting data'!$G$2:$G$37002,'Accounting data'!$H$2:$H$37002,"1500*",'Accounting data'!$I$2:$I$37002,"1*",'Accounting data'!$J$2:$J$37002,"1*",'Accounting data'!$K$2:$K$37002,"61*")</f>
        <v>414140</v>
      </c>
      <c r="E7" s="550">
        <f>SUMIFS('Accounting data'!$G$2:$G$37002,'Accounting data'!$H$2:$H$37002,"1000*",'Accounting data'!$I$2:$I$37002,"1*",'Accounting data'!$J$2:$J$37002,"1*",'Accounting data'!$K$2:$K$37002,"62*")+SUMIFS('Accounting data'!$G$2:$G$37002,'Accounting data'!$H$2:$H$37002,"1500*",'Accounting data'!$I$2:$I$37002,"1*",'Accounting data'!$J$2:$J$37002,"1*",'Accounting data'!$K$2:$K$37002,"62*")</f>
        <v>77694</v>
      </c>
      <c r="F7" s="550">
        <f>SUMIFS('Accounting data'!$G$2:$G$37002,'Accounting data'!$H$2:$H$37002,"1000*",'Accounting data'!$I$2:$I$37002,"1*",'Accounting data'!$J$2:$J$37002,"1*",'Accounting data'!$K$2:$K$37002,"63*")+SUMIFS('Accounting data'!$G$2:$G$37002,'Accounting data'!$H$2:$H$37002,"1500*",'Accounting data'!$I$2:$I$37002,"1*",'Accounting data'!$J$2:$J$37002,"1*",'Accounting data'!$K$2:$K$37002,"63*")+SUMIFS('Accounting data'!$G$2:$G$37002,'Accounting data'!$H$2:$H$37002,"1500*",'Accounting data'!$I$2:$I$37002,"1*",'Accounting data'!$J$2:$J$37002,"1*",'Accounting data'!$K$2:$K$37002,"6432*")+SUMIFS('Accounting data'!$G$2:$G$37002,'Accounting data'!$H$2:$H$37002,"1500*",'Accounting data'!$I$2:$I$37002,"1*",'Accounting data'!$J$2:$J$37002,"1*",'Accounting data'!$K$2:$K$37002,"6432*")+SUMIFS('Accounting data'!$G$2:$G$37002,'Accounting data'!$H$2:$H$37002,"1500*",'Accounting data'!$I$2:$I$37002,"1*",'Accounting data'!$J$2:$J$37002,"1*",'Accounting data'!$K$2:$K$37002,"6441*")+SUMIFS('Accounting data'!$G$2:$G$37002,'Accounting data'!$H$2:$H$37002,"1500*",'Accounting data'!$I$2:$I$37002,"1*",'Accounting data'!$J$2:$J$37002,"1*",'Accounting data'!$K$2:$K$37002,"6441*")+SUMIFS('Accounting data'!$G$2:$G$37002,'Accounting data'!$H$2:$H$37002,"1500*",'Accounting data'!$I$2:$I$37002,"1*",'Accounting data'!$J$2:$J$37002,"1*",'Accounting data'!$K$2:$K$37002,"6531*")+SUMIFS('Accounting data'!$G$2:$G$37002,'Accounting data'!$H$2:$H$37002,"1500*",'Accounting data'!$I$2:$I$37002,"1*",'Accounting data'!$J$2:$J$37002,"1*",'Accounting data'!$K$2:$K$37002,"6531*")</f>
        <v>31478</v>
      </c>
      <c r="G7" s="550">
        <f>SUMIFS('Accounting data'!$G$2:$G$37002,'Accounting data'!$H$2:$H$37002,"1000*",'Accounting data'!$I$2:$I$37002,"1*",'Accounting data'!$J$2:$J$37002,"1*",'Accounting data'!$K$2:$K$37002,"66*")+SUMIFS('Accounting data'!$G$2:$G$37002,'Accounting data'!$H$2:$H$37002,"1500*",'Accounting data'!$I$2:$I$37002,"1*",'Accounting data'!$J$2:$J$37002,"1*",'Accounting data'!$K$2:$K$37002,"66*")</f>
        <v>21221</v>
      </c>
      <c r="H7" s="550">
        <f>SUMIFS('Accounting data'!$G$2:$G$37002,'Accounting data'!$H$2:$H$37002,"1000*",'Accounting data'!$I$2:$I$37002,"1*",'Accounting data'!$J$2:$J$37002,"1*",'Accounting data'!$K$2:$K$37002,"68*")+SUMIFS('Accounting data'!$G$2:$G$37002,'Accounting data'!$H$2:$H$37002,"1500*",'Accounting data'!$I$2:$I$37002,"1*",'Accounting data'!$J$2:$J$37002,"1*",'Accounting data'!$K$2:$K$37002,"68*")</f>
        <v>480</v>
      </c>
      <c r="I7" s="550">
        <f>[1]!SP1000P100F1000</f>
        <v>483131</v>
      </c>
      <c r="J7" s="550">
        <f>SUM(D7:H7)</f>
        <v>545013</v>
      </c>
      <c r="K7" s="550">
        <f>[2]!SP1000P100F1000</f>
        <v>412361</v>
      </c>
      <c r="L7" s="828"/>
      <c r="M7" s="86" t="s">
        <v>24</v>
      </c>
      <c r="S7" s="543"/>
    </row>
    <row r="8" spans="1:32" ht="12" customHeight="1" x14ac:dyDescent="0.3">
      <c r="A8" s="84" t="s">
        <v>102</v>
      </c>
      <c r="C8" s="73"/>
      <c r="D8" s="83"/>
      <c r="E8" s="83"/>
      <c r="F8" s="83"/>
      <c r="G8" s="87"/>
      <c r="H8" s="83"/>
      <c r="I8" s="83"/>
      <c r="J8" s="83"/>
      <c r="K8" s="83"/>
      <c r="L8" s="817">
        <f>IF(J9=K9,0,IF(K9&gt;0,(J9-K9)/K9,"--"))</f>
        <v>0.3579</v>
      </c>
      <c r="M8" s="562"/>
      <c r="S8" s="543"/>
    </row>
    <row r="9" spans="1:32" ht="12" customHeight="1" x14ac:dyDescent="0.3">
      <c r="A9" s="84" t="s">
        <v>103</v>
      </c>
      <c r="C9" s="85" t="s">
        <v>26</v>
      </c>
      <c r="D9" s="550">
        <f>SUMIFS('Accounting data'!$G$2:$G$37002,'Accounting data'!$H$2:$H$37002,"1000*",'Accounting data'!$I$2:$I$37002,"1*",'Accounting data'!$J$2:$J$37002,"21*",'Accounting data'!$K$2:$K$37002,"61*")+SUMIFS('Accounting data'!$G$2:$G$37002,'Accounting data'!$H$2:$H$37002,"1500*",'Accounting data'!$I$2:$I$37002,"1*",'Accounting data'!$J$2:$J$37002,"21*",'Accounting data'!$K$2:$K$37002,"61*")</f>
        <v>78840</v>
      </c>
      <c r="E9" s="550">
        <f>SUMIFS('Accounting data'!$G$2:$G$37002,'Accounting data'!$H$2:$H$37002,"1000*",'Accounting data'!$I$2:$I$37002,"1*",'Accounting data'!$J$2:$J$37002,"21*",'Accounting data'!$K$2:$K$37002,"62*")+SUMIFS('Accounting data'!$G$2:$G$37002,'Accounting data'!$H$2:$H$37002,"1500*",'Accounting data'!$I$2:$I$37002,"1*",'Accounting data'!$J$2:$J$37002,"21*",'Accounting data'!$K$2:$K$37002,"62*")</f>
        <v>22046</v>
      </c>
      <c r="F9" s="550">
        <f>SUMIFS('Accounting data'!$G$2:$G$37002,'Accounting data'!$H$2:$H$37002,"1000*",'Accounting data'!$I$2:$I$37002,"1*",'Accounting data'!$J$2:$J$37002,"21*",'Accounting data'!$K$2:$K$37002,"63*")+SUMIFS('Accounting data'!$G$2:$G$37002,'Accounting data'!$H$2:$H$37002,"1500*",'Accounting data'!$I$2:$I$37002,"1*",'Accounting data'!$J$2:$J$37002,"21*",'Accounting data'!$K$2:$K$37002,"63*")</f>
        <v>6721</v>
      </c>
      <c r="G9" s="550">
        <f>SUMIFS('Accounting data'!$G$2:$G$37002,'Accounting data'!$H$2:$H$37002,"1000*",'Accounting data'!$I$2:$I$37002,"1*",'Accounting data'!$J$2:$J$37002,"21*",'Accounting data'!$K$2:$K$37002,"66*")+SUMIFS('Accounting data'!$G$2:$G$37002,'Accounting data'!$H$2:$H$37002,"1500*",'Accounting data'!$I$2:$I$37002,"1*",'Accounting data'!$J$2:$J$37002,"21*",'Accounting data'!$K$2:$K$37002,"66*")</f>
        <v>13236</v>
      </c>
      <c r="H9" s="550">
        <f>SUMIFS('Accounting data'!$G$2:$G$37002,'Accounting data'!$H$2:$H$37002,"1000*",'Accounting data'!$I$2:$I$37002,"1*",'Accounting data'!$J$2:$J$37002,"21*",'Accounting data'!$K$2:$K$37002,"68*")+SUMIFS('Accounting data'!$G$2:$G$37002,'Accounting data'!$H$2:$H$37002,"1500*",'Accounting data'!$I$2:$I$37002,"1*",'Accounting data'!$J$2:$J$37002,"21*",'Accounting data'!$K$2:$K$37002,"68*")</f>
        <v>1955</v>
      </c>
      <c r="I9" s="550">
        <f>[1]!SP1000P100F2100</f>
        <v>91013</v>
      </c>
      <c r="J9" s="550">
        <f>SUM(D9:H9)</f>
        <v>122798</v>
      </c>
      <c r="K9" s="550">
        <f>[2]!SP1000P100F2100</f>
        <v>90435</v>
      </c>
      <c r="L9" s="818"/>
      <c r="M9" s="86" t="s">
        <v>26</v>
      </c>
      <c r="N9" s="826" t="str">
        <f>IF('Page 2'!J48=0,"",IF(OR('Page 2'!J9&lt;=0),"The Charter did not report any expenses for student support services on line 2. If the Charter did not have any expense, verify by checking the box in A10 on the Cover Page.",""))</f>
        <v/>
      </c>
      <c r="O9" s="826"/>
      <c r="P9" s="826"/>
      <c r="Q9" s="826"/>
      <c r="R9" s="826"/>
      <c r="S9" s="826"/>
      <c r="T9" s="826"/>
      <c r="U9" s="826"/>
      <c r="V9" s="826"/>
      <c r="W9" s="826"/>
      <c r="X9" s="826"/>
      <c r="Y9" s="826"/>
      <c r="Z9" s="826"/>
      <c r="AA9" s="826"/>
      <c r="AB9" s="826"/>
      <c r="AC9" s="826"/>
      <c r="AD9" s="826"/>
      <c r="AE9" s="826"/>
      <c r="AF9" s="826"/>
    </row>
    <row r="10" spans="1:32" ht="12" customHeight="1" x14ac:dyDescent="0.3">
      <c r="A10" s="84" t="s">
        <v>104</v>
      </c>
      <c r="C10" s="85" t="s">
        <v>28</v>
      </c>
      <c r="D10" s="546">
        <f>SUMIFS('Accounting data'!$G$2:$G$37002,'Accounting data'!$H$2:$H$37002,"1000*",'Accounting data'!$I$2:$I$37002,"1*",'Accounting data'!$J$2:$J$37002,"22*",'Accounting data'!$K$2:$K$37002,"61*")+SUMIFS('Accounting data'!$G$2:$G$37002,'Accounting data'!$H$2:$H$37002,"1500*",'Accounting data'!$I$2:$I$37002,"1*",'Accounting data'!$J$2:$J$37002,"22*",'Accounting data'!$K$2:$K$37002,"61*")</f>
        <v>4586</v>
      </c>
      <c r="E10" s="546">
        <f>SUMIFS('Accounting data'!$G$2:$G$37002,'Accounting data'!$H$2:$H$37002,"1000*",'Accounting data'!$I$2:$I$37002,"1*",'Accounting data'!$J$2:$J$37002,"22*",'Accounting data'!$K$2:$K$37002,"62*")+SUMIFS('Accounting data'!$G$2:$G$37002,'Accounting data'!$H$2:$H$37002,"1500*",'Accounting data'!$I$2:$I$37002,"1*",'Accounting data'!$J$2:$J$37002,"22*",'Accounting data'!$K$2:$K$37002,"62*")</f>
        <v>3306</v>
      </c>
      <c r="F10" s="546">
        <f>SUMIFS('Accounting data'!$G$2:$G$37002,'Accounting data'!$H$2:$H$37002,"1000*",'Accounting data'!$I$2:$I$37002,"1*",'Accounting data'!$J$2:$J$37002,"22*",'Accounting data'!$K$2:$K$37002,"63*")+SUMIFS('Accounting data'!$G$2:$G$37002,'Accounting data'!$H$2:$H$37002,"1500*",'Accounting data'!$I$2:$I$37002,"1*",'Accounting data'!$J$2:$J$37002,"22*",'Accounting data'!$K$2:$K$37002,"63*")</f>
        <v>903</v>
      </c>
      <c r="G10" s="546">
        <f>SUMIFS('Accounting data'!$G$2:$G$37002,'Accounting data'!$H$2:$H$37002,"1000*",'Accounting data'!$I$2:$I$37002,"1*",'Accounting data'!$J$2:$J$37002,"22*",'Accounting data'!$K$2:$K$37002,"66*")+SUMIFS('Accounting data'!$G$2:$G$37002,'Accounting data'!$H$2:$H$37002,"1500*",'Accounting data'!$I$2:$I$37002,"1*",'Accounting data'!$J$2:$J$37002,"22*",'Accounting data'!$K$2:$K$37002,"66*")</f>
        <v>2358</v>
      </c>
      <c r="H10" s="546">
        <f>SUMIFS('Accounting data'!$G$2:$G$37002,'Accounting data'!$H$2:$H$37002,"1000*",'Accounting data'!$I$2:$I$37002,"1*",'Accounting data'!$J$2:$J$37002,"22*",'Accounting data'!$K$2:$K$37002,"68*")+SUMIFS('Accounting data'!$G$2:$G$37002,'Accounting data'!$H$2:$H$37002,"1500*",'Accounting data'!$I$2:$I$37002,"1*",'Accounting data'!$J$2:$J$37002,"22*",'Accounting data'!$K$2:$K$37002,"68*")</f>
        <v>122</v>
      </c>
      <c r="I10" s="545">
        <f>[1]!SP1000P100F2200</f>
        <v>24577</v>
      </c>
      <c r="J10" s="547">
        <f t="shared" ref="J10:J22" si="0">SUM(D10:H10)</f>
        <v>11275</v>
      </c>
      <c r="K10" s="545">
        <f>[2]!SP1000P100F2200</f>
        <v>60984</v>
      </c>
      <c r="L10" s="548">
        <f t="shared" ref="L10:L20" si="1">IF(J10=K10,0,IF(K10&gt;0,(J10-K10)/K10,"--"))</f>
        <v>-0.81510000000000005</v>
      </c>
      <c r="M10" s="86" t="s">
        <v>28</v>
      </c>
      <c r="N10" s="826" t="str">
        <f>IF('Page 2'!J48=0,"",IF(OR('Page 2'!J10&lt;=0),"The Charter did not report any expenses for instructional support services on line 3. If the Charter did not have any expense, verify by checking the box in A12 on the Cover Page.",""))</f>
        <v/>
      </c>
      <c r="O10" s="826"/>
      <c r="P10" s="826"/>
      <c r="Q10" s="826"/>
      <c r="R10" s="826"/>
      <c r="S10" s="826"/>
      <c r="T10" s="826"/>
      <c r="U10" s="826"/>
      <c r="V10" s="826"/>
      <c r="W10" s="826"/>
      <c r="X10" s="826"/>
      <c r="Y10" s="826"/>
      <c r="Z10" s="826"/>
      <c r="AA10" s="826"/>
      <c r="AB10" s="826"/>
      <c r="AC10" s="826"/>
      <c r="AD10" s="826"/>
      <c r="AE10" s="826"/>
      <c r="AF10" s="826"/>
    </row>
    <row r="11" spans="1:32" ht="12" customHeight="1" x14ac:dyDescent="0.3">
      <c r="A11" s="84" t="s">
        <v>105</v>
      </c>
      <c r="C11" s="85" t="s">
        <v>31</v>
      </c>
      <c r="D11" s="546">
        <f>SUMIFS('Accounting data'!$G$2:$G$37002,'Accounting data'!$H$2:$H$37002,"1000*",'Accounting data'!$I$2:$I$37002,"1*",'Accounting data'!$J$2:$J$37002,"23*",'Accounting data'!$K$2:$K$37002,"61*")+SUMIFS('Accounting data'!$G$2:$G$37002,'Accounting data'!$H$2:$H$37002,"1500*",'Accounting data'!$I$2:$I$37002,"1*",'Accounting data'!$J$2:$J$37002,"23*",'Accounting data'!$K$2:$K$37002,"61*")</f>
        <v>0</v>
      </c>
      <c r="E11" s="546">
        <f>SUMIFS('Accounting data'!$G$2:$G$37002,'Accounting data'!$H$2:$H$37002,"1000*",'Accounting data'!$I$2:$I$37002,"1*",'Accounting data'!$J$2:$J$37002,"23*",'Accounting data'!$K$2:$K$37002,"62*")+SUMIFS('Accounting data'!$G$2:$G$37002,'Accounting data'!$H$2:$H$37002,"1500*",'Accounting data'!$I$2:$I$37002,"1*",'Accounting data'!$J$2:$J$37002,"23*",'Accounting data'!$K$2:$K$37002,"62*")</f>
        <v>0</v>
      </c>
      <c r="F11" s="546">
        <f>SUMIFS('Accounting data'!$G$2:$G$37002,'Accounting data'!$H$2:$H$37002,"1000*",'Accounting data'!$I$2:$I$37002,"1*",'Accounting data'!$J$2:$J$37002,"23*",'Accounting data'!$K$2:$K$37002,"63*")+SUMIFS('Accounting data'!$G$2:$G$37002,'Accounting data'!$H$2:$H$37002,"1500*",'Accounting data'!$I$2:$I$37002,"1*",'Accounting data'!$J$2:$J$37002,"23*",'Accounting data'!$K$2:$K$37002,"63*")</f>
        <v>9240</v>
      </c>
      <c r="G11" s="546">
        <f>SUMIFS('Accounting data'!$G$2:$G$37002,'Accounting data'!$H$2:$H$37002,"1000*",'Accounting data'!$I$2:$I$37002,"1*",'Accounting data'!$J$2:$J$37002,"23*",'Accounting data'!$K$2:$K$37002,"66*")+SUMIFS('Accounting data'!$G$2:$G$37002,'Accounting data'!$H$2:$H$37002,"1500*",'Accounting data'!$I$2:$I$37002,"1*",'Accounting data'!$J$2:$J$37002,"23*",'Accounting data'!$K$2:$K$37002,"66*")</f>
        <v>0</v>
      </c>
      <c r="H11" s="546">
        <f>SUMIFS('Accounting data'!$G$2:$G$37002,'Accounting data'!$H$2:$H$37002,"1000*",'Accounting data'!$I$2:$I$37002,"1*",'Accounting data'!$J$2:$J$37002,"23*",'Accounting data'!$K$2:$K$37002,"68*")+SUMIFS('Accounting data'!$G$2:$G$37002,'Accounting data'!$H$2:$H$37002,"1500*",'Accounting data'!$I$2:$I$37002,"1*",'Accounting data'!$J$2:$J$37002,"23*",'Accounting data'!$K$2:$K$37002,"68*")</f>
        <v>0</v>
      </c>
      <c r="I11" s="545">
        <f>[1]!SP1000P100F2300</f>
        <v>9000</v>
      </c>
      <c r="J11" s="547">
        <f t="shared" si="0"/>
        <v>9240</v>
      </c>
      <c r="K11" s="545">
        <f>[2]!SP1000P100F2300</f>
        <v>49468</v>
      </c>
      <c r="L11" s="548">
        <f t="shared" si="1"/>
        <v>-0.81320000000000003</v>
      </c>
      <c r="M11" s="86" t="s">
        <v>31</v>
      </c>
      <c r="N11" s="8"/>
      <c r="O11" s="8"/>
      <c r="P11" s="8"/>
      <c r="Q11" s="8"/>
      <c r="R11" s="8"/>
      <c r="S11" s="8"/>
      <c r="T11" s="8"/>
      <c r="U11" s="8"/>
    </row>
    <row r="12" spans="1:32" ht="12" customHeight="1" x14ac:dyDescent="0.3">
      <c r="A12" s="84" t="s">
        <v>106</v>
      </c>
      <c r="C12" s="85" t="s">
        <v>33</v>
      </c>
      <c r="D12" s="546">
        <f>SUMIFS('Accounting data'!$G$2:$G$37002,'Accounting data'!$H$2:$H$37002,"1000*",'Accounting data'!$I$2:$I$37002,"1*",'Accounting data'!$J$2:$J$37002,"24*",'Accounting data'!$K$2:$K$37002,"61*")+SUMIFS('Accounting data'!$G$2:$G$37002,'Accounting data'!$H$2:$H$37002,"1500*",'Accounting data'!$I$2:$I$37002,"1*",'Accounting data'!$J$2:$J$37002,"24*",'Accounting data'!$K$2:$K$37002,"61*")</f>
        <v>274959</v>
      </c>
      <c r="E12" s="546">
        <f>SUMIFS('Accounting data'!$G$2:$G$37002,'Accounting data'!$H$2:$H$37002,"1000*",'Accounting data'!$I$2:$I$37002,"1*",'Accounting data'!$J$2:$J$37002,"24*",'Accounting data'!$K$2:$K$37002,"62*")+SUMIFS('Accounting data'!$G$2:$G$37002,'Accounting data'!$H$2:$H$37002,"1500*",'Accounting data'!$I$2:$I$37002,"1*",'Accounting data'!$J$2:$J$37002,"24*",'Accounting data'!$K$2:$K$37002,"62*")</f>
        <v>66521</v>
      </c>
      <c r="F12" s="546">
        <f>SUMIFS('Accounting data'!$G$2:$G$37002,'Accounting data'!$H$2:$H$37002,"1000*",'Accounting data'!$I$2:$I$37002,"1*",'Accounting data'!$J$2:$J$37002,"24*",'Accounting data'!$K$2:$K$37002,"63*")+SUMIFS('Accounting data'!$G$2:$G$37002,'Accounting data'!$H$2:$H$37002,"1500*",'Accounting data'!$I$2:$I$37002,"1*",'Accounting data'!$J$2:$J$37002,"24*",'Accounting data'!$K$2:$K$37002,"63*")</f>
        <v>11618</v>
      </c>
      <c r="G12" s="546">
        <f>SUMIFS('Accounting data'!$G$2:$G$37002,'Accounting data'!$H$2:$H$37002,"1000*",'Accounting data'!$I$2:$I$37002,"1*",'Accounting data'!$J$2:$J$37002,"24*",'Accounting data'!$K$2:$K$37002,"66*")+SUMIFS('Accounting data'!$G$2:$G$37002,'Accounting data'!$H$2:$H$37002,"1500*",'Accounting data'!$I$2:$I$37002,"1*",'Accounting data'!$J$2:$J$37002,"24*",'Accounting data'!$K$2:$K$37002,"66*")</f>
        <v>15396</v>
      </c>
      <c r="H12" s="546">
        <f>SUMIFS('Accounting data'!$G$2:$G$37002,'Accounting data'!$H$2:$H$37002,"1000*",'Accounting data'!$I$2:$I$37002,"1*",'Accounting data'!$J$2:$J$37002,"24*",'Accounting data'!$K$2:$K$37002,"68*")+SUMIFS('Accounting data'!$G$2:$G$37002,'Accounting data'!$H$2:$H$37002,"1500*",'Accounting data'!$I$2:$I$37002,"1*",'Accounting data'!$J$2:$J$37002,"24*",'Accounting data'!$K$2:$K$37002,"68*")</f>
        <v>592</v>
      </c>
      <c r="I12" s="545">
        <f>[1]!SP1000P100F2400</f>
        <v>407093</v>
      </c>
      <c r="J12" s="547">
        <f t="shared" si="0"/>
        <v>369086</v>
      </c>
      <c r="K12" s="545">
        <f>[2]!SP1000P100F2400</f>
        <v>307819</v>
      </c>
      <c r="L12" s="548">
        <f t="shared" si="1"/>
        <v>0.19900000000000001</v>
      </c>
      <c r="M12" s="86" t="s">
        <v>33</v>
      </c>
    </row>
    <row r="13" spans="1:32" ht="12" customHeight="1" x14ac:dyDescent="0.3">
      <c r="A13" s="84" t="s">
        <v>107</v>
      </c>
      <c r="C13" s="85" t="s">
        <v>35</v>
      </c>
      <c r="D13" s="546">
        <f>SUMIFS('Accounting data'!$G$2:$G$37002,'Accounting data'!$H$2:$H$37002,"1000*",'Accounting data'!$I$2:$I$37002,"1*",'Accounting data'!$J$2:$J$37002,"25*",'Accounting data'!$K$2:$K$37002,"61*")+SUMIFS('Accounting data'!$G$2:$G$37002,'Accounting data'!$H$2:$H$37002,"1500*",'Accounting data'!$I$2:$I$37002,"1*",'Accounting data'!$J$2:$J$37002,"25*",'Accounting data'!$K$2:$K$37002,"61*")</f>
        <v>38412</v>
      </c>
      <c r="E13" s="546">
        <f>SUMIFS('Accounting data'!$G$2:$G$37002,'Accounting data'!$H$2:$H$37002,"1000*",'Accounting data'!$I$2:$I$37002,"1*",'Accounting data'!$J$2:$J$37002,"25*",'Accounting data'!$K$2:$K$37002,"62*")+SUMIFS('Accounting data'!$G$2:$G$37002,'Accounting data'!$H$2:$H$37002,"1500*",'Accounting data'!$I$2:$I$37002,"1*",'Accounting data'!$J$2:$J$37002,"25*",'Accounting data'!$K$2:$K$37002,"62*")</f>
        <v>11650</v>
      </c>
      <c r="F13" s="546">
        <f>SUMIFS('Accounting data'!$G$2:$G$37002,'Accounting data'!$H$2:$H$37002,"1000*",'Accounting data'!$I$2:$I$37002,"1*",'Accounting data'!$J$2:$J$37002,"25*",'Accounting data'!$K$2:$K$37002,"63*")+SUMIFS('Accounting data'!$G$2:$G$37002,'Accounting data'!$H$2:$H$37002,"1500*",'Accounting data'!$I$2:$I$37002,"1*",'Accounting data'!$J$2:$J$37002,"25*",'Accounting data'!$K$2:$K$37002,"63*")</f>
        <v>143479</v>
      </c>
      <c r="G13" s="546">
        <f>SUMIFS('Accounting data'!$G$2:$G$37002,'Accounting data'!$H$2:$H$37002,"1000*",'Accounting data'!$I$2:$I$37002,"1*",'Accounting data'!$J$2:$J$37002,"25*",'Accounting data'!$K$2:$K$37002,"66*")+SUMIFS('Accounting data'!$G$2:$G$37002,'Accounting data'!$H$2:$H$37002,"1500*",'Accounting data'!$I$2:$I$37002,"1*",'Accounting data'!$J$2:$J$37002,"25*",'Accounting data'!$K$2:$K$37002,"66*")</f>
        <v>1240</v>
      </c>
      <c r="H13" s="546">
        <f>SUMIFS('Accounting data'!$G$2:$G$37002,'Accounting data'!$H$2:$H$37002,"1000*",'Accounting data'!$I$2:$I$37002,"1*",'Accounting data'!$J$2:$J$37002,"25*",'Accounting data'!$K$2:$K$37002,"68*")+SUMIFS('Accounting data'!$G$2:$G$37002,'Accounting data'!$H$2:$H$37002,"1500*",'Accounting data'!$I$2:$I$37002,"1*",'Accounting data'!$J$2:$J$37002,"25*",'Accounting data'!$K$2:$K$37002,"68*")</f>
        <v>12918</v>
      </c>
      <c r="I13" s="545">
        <f>[1]!SP1000P100F2500</f>
        <v>185813</v>
      </c>
      <c r="J13" s="547">
        <f t="shared" si="0"/>
        <v>207699</v>
      </c>
      <c r="K13" s="545">
        <f>[2]!SP1000P100F2500</f>
        <v>214961</v>
      </c>
      <c r="L13" s="548">
        <f t="shared" si="1"/>
        <v>-3.3799999999999997E-2</v>
      </c>
      <c r="M13" s="86" t="s">
        <v>35</v>
      </c>
    </row>
    <row r="14" spans="1:32" ht="12" customHeight="1" x14ac:dyDescent="0.3">
      <c r="A14" s="84" t="s">
        <v>108</v>
      </c>
      <c r="C14" s="85" t="s">
        <v>36</v>
      </c>
      <c r="D14" s="546">
        <f>SUMIFS('Accounting data'!$G$2:$G$37002,'Accounting data'!$H$2:$H$37002,"1000*",'Accounting data'!$I$2:$I$37002,"1*",'Accounting data'!$J$2:$J$37002,"26*",'Accounting data'!$K$2:$K$37002,"61*")+SUMIFS('Accounting data'!$G$2:$G$37002,'Accounting data'!$H$2:$H$37002,"1500*",'Accounting data'!$I$2:$I$37002,"1*",'Accounting data'!$J$2:$J$37002,"26*",'Accounting data'!$K$2:$K$37002,"61*")</f>
        <v>142883</v>
      </c>
      <c r="E14" s="546">
        <f>SUMIFS('Accounting data'!$G$2:$G$37002,'Accounting data'!$H$2:$H$37002,"1000*",'Accounting data'!$I$2:$I$37002,"1*",'Accounting data'!$J$2:$J$37002,"26*",'Accounting data'!$K$2:$K$37002,"62*")+SUMIFS('Accounting data'!$G$2:$G$37002,'Accounting data'!$H$2:$H$37002,"1500*",'Accounting data'!$I$2:$I$37002,"1*",'Accounting data'!$J$2:$J$37002,"26*",'Accounting data'!$K$2:$K$37002,"62*")</f>
        <v>31035</v>
      </c>
      <c r="F14" s="546">
        <f>SUMIFS('Accounting data'!$G$2:$G$37002,'Accounting data'!$H$2:$H$37002,"1000*",'Accounting data'!$I$2:$I$37002,"1*",'Accounting data'!$J$2:$J$37002,"26*",'Accounting data'!$K$2:$K$37002,"63*")+SUMIFS('Accounting data'!$G$2:$G$37002,'Accounting data'!$H$2:$H$37002,"1500*",'Accounting data'!$I$2:$I$37002,"1*",'Accounting data'!$J$2:$J$37002,"26*",'Accounting data'!$K$2:$K$37002,"63*")</f>
        <v>376358</v>
      </c>
      <c r="G14" s="546">
        <f>SUMIFS('Accounting data'!$G$2:$G$37002,'Accounting data'!$H$2:$H$37002,"1000*",'Accounting data'!$I$2:$I$37002,"1*",'Accounting data'!$J$2:$J$37002,"26*",'Accounting data'!$K$2:$K$37002,"66*")+SUMIFS('Accounting data'!$G$2:$G$37002,'Accounting data'!$H$2:$H$37002,"1500*",'Accounting data'!$I$2:$I$37002,"1*",'Accounting data'!$J$2:$J$37002,"26*",'Accounting data'!$K$2:$K$37002,"66*")</f>
        <v>74731</v>
      </c>
      <c r="H14" s="546">
        <f>SUMIFS('Accounting data'!$G$2:$G$37002,'Accounting data'!$H$2:$H$37002,"1000*",'Accounting data'!$I$2:$I$37002,"1*",'Accounting data'!$J$2:$J$37002,"26*",'Accounting data'!$K$2:$K$37002,"68*")+SUMIFS('Accounting data'!$G$2:$G$37002,'Accounting data'!$H$2:$H$37002,"1500*",'Accounting data'!$I$2:$I$37002,"1*",'Accounting data'!$J$2:$J$37002,"26*",'Accounting data'!$K$2:$K$37002,"68*")</f>
        <v>0</v>
      </c>
      <c r="I14" s="545">
        <f>[1]!SP1000P100F2600</f>
        <v>634893</v>
      </c>
      <c r="J14" s="547">
        <f t="shared" si="0"/>
        <v>625007</v>
      </c>
      <c r="K14" s="545">
        <f>[2]!SP1000P100F2600</f>
        <v>318421</v>
      </c>
      <c r="L14" s="548">
        <f t="shared" si="1"/>
        <v>0.96279999999999999</v>
      </c>
      <c r="M14" s="86" t="s">
        <v>36</v>
      </c>
    </row>
    <row r="15" spans="1:32" ht="12" customHeight="1" x14ac:dyDescent="0.3">
      <c r="A15" s="84" t="s">
        <v>109</v>
      </c>
      <c r="C15" s="85" t="s">
        <v>38</v>
      </c>
      <c r="D15" s="546">
        <f>SUMIFS('Accounting data'!$G$2:$G$37002,'Accounting data'!$H$2:$H$37002,"1000*",'Accounting data'!$I$2:$I$37002,"1*",'Accounting data'!$J$2:$J$37002,"29*",'Accounting data'!$K$2:$K$37002,"61*")+SUMIFS('Accounting data'!$G$2:$G$37002,'Accounting data'!$H$2:$H$37002,"1500*",'Accounting data'!$I$2:$I$37002,"1*",'Accounting data'!$J$2:$J$37002,"29*",'Accounting data'!$K$2:$K$37002,"61*")</f>
        <v>600</v>
      </c>
      <c r="E15" s="546">
        <f>SUMIFS('Accounting data'!$G$2:$G$37002,'Accounting data'!$H$2:$H$37002,"1000*",'Accounting data'!$I$2:$I$37002,"1*",'Accounting data'!$J$2:$J$37002,"29*",'Accounting data'!$K$2:$K$37002,"62*")+SUMIFS('Accounting data'!$G$2:$G$37002,'Accounting data'!$H$2:$H$37002,"1500*",'Accounting data'!$I$2:$I$37002,"1*",'Accounting data'!$J$2:$J$37002,"29*",'Accounting data'!$K$2:$K$37002,"62*")</f>
        <v>752</v>
      </c>
      <c r="F15" s="546">
        <f>SUMIFS('Accounting data'!$G$2:$G$37002,'Accounting data'!$H$2:$H$37002,"1000*",'Accounting data'!$I$2:$I$37002,"1*",'Accounting data'!$J$2:$J$37002,"29*",'Accounting data'!$K$2:$K$37002,"63*")+SUMIFS('Accounting data'!$G$2:$G$37002,'Accounting data'!$H$2:$H$37002,"1500*",'Accounting data'!$I$2:$I$37002,"1*",'Accounting data'!$J$2:$J$37002,"29*",'Accounting data'!$K$2:$K$37002,"63*")</f>
        <v>300</v>
      </c>
      <c r="G15" s="546">
        <f>SUMIFS('Accounting data'!$G$2:$G$37002,'Accounting data'!$H$2:$H$37002,"1000*",'Accounting data'!$I$2:$I$37002,"1*",'Accounting data'!$J$2:$J$37002,"29*",'Accounting data'!$K$2:$K$37002,"66*")+SUMIFS('Accounting data'!$G$2:$G$37002,'Accounting data'!$H$2:$H$37002,"1500*",'Accounting data'!$I$2:$I$37002,"1*",'Accounting data'!$J$2:$J$37002,"29*",'Accounting data'!$K$2:$K$37002,"66*")</f>
        <v>0</v>
      </c>
      <c r="H15" s="546">
        <f>SUMIFS('Accounting data'!$G$2:$G$37002,'Accounting data'!$H$2:$H$37002,"1000*",'Accounting data'!$I$2:$I$37002,"1*",'Accounting data'!$J$2:$J$37002,"29*",'Accounting data'!$K$2:$K$37002,"68*")+SUMIFS('Accounting data'!$G$2:$G$37002,'Accounting data'!$H$2:$H$37002,"1500*",'Accounting data'!$I$2:$I$37002,"1*",'Accounting data'!$J$2:$J$37002,"29*",'Accounting data'!$K$2:$K$37002,"68*")</f>
        <v>0</v>
      </c>
      <c r="I15" s="545">
        <f>[1]!SP1000P100F2900</f>
        <v>0</v>
      </c>
      <c r="J15" s="547">
        <f t="shared" si="0"/>
        <v>1652</v>
      </c>
      <c r="K15" s="545">
        <f>[2]!SP1000P100F2900</f>
        <v>0</v>
      </c>
      <c r="L15" s="548" t="str">
        <f t="shared" si="1"/>
        <v>--</v>
      </c>
      <c r="M15" s="86" t="s">
        <v>38</v>
      </c>
    </row>
    <row r="16" spans="1:32" ht="12" customHeight="1" x14ac:dyDescent="0.3">
      <c r="A16" s="84" t="s">
        <v>110</v>
      </c>
      <c r="C16" s="85" t="s">
        <v>40</v>
      </c>
      <c r="D16" s="546">
        <f>SUMIFS('Accounting data'!$G$2:$G$37002,'Accounting data'!$H$2:$H$37002,"1000*",'Accounting data'!$I$2:$I$37002,"1*",'Accounting data'!$J$2:$J$37002,"3*",'Accounting data'!$K$2:$K$37002,"61*")+SUMIFS('Accounting data'!$G$2:$G$37002,'Accounting data'!$H$2:$H$37002,"1500*",'Accounting data'!$I$2:$I$37002,"1*",'Accounting data'!$J$2:$J$37002,"3*",'Accounting data'!$K$2:$K$37002,"61*")</f>
        <v>25327</v>
      </c>
      <c r="E16" s="546">
        <f>SUMIFS('Accounting data'!$G$2:$G$37002,'Accounting data'!$H$2:$H$37002,"1000*",'Accounting data'!$I$2:$I$37002,"1*",'Accounting data'!$J$2:$J$37002,"3*",'Accounting data'!$K$2:$K$37002,"62*")+SUMIFS('Accounting data'!$G$2:$G$37002,'Accounting data'!$H$2:$H$37002,"1500*",'Accounting data'!$I$2:$I$37002,"1*",'Accounting data'!$J$2:$J$37002,"3*",'Accounting data'!$K$2:$K$37002,"62*")</f>
        <v>5736</v>
      </c>
      <c r="F16" s="546">
        <f>SUMIFS('Accounting data'!$G$2:$G$37002,'Accounting data'!$H$2:$H$37002,"1000*",'Accounting data'!$I$2:$I$37002,"1*",'Accounting data'!$J$2:$J$37002,"3*",'Accounting data'!$K$2:$K$37002,"63*")+SUMIFS('Accounting data'!$G$2:$G$37002,'Accounting data'!$H$2:$H$37002,"1500*",'Accounting data'!$I$2:$I$37002,"1*",'Accounting data'!$J$2:$J$37002,"3*",'Accounting data'!$K$2:$K$37002,"63*")</f>
        <v>129611</v>
      </c>
      <c r="G16" s="546">
        <f>SUMIFS('Accounting data'!$G$2:$G$37002,'Accounting data'!$H$2:$H$37002,"1000*",'Accounting data'!$I$2:$I$37002,"1*",'Accounting data'!$J$2:$J$37002,"3*",'Accounting data'!$K$2:$K$37002,"66*")+SUMIFS('Accounting data'!$G$2:$G$37002,'Accounting data'!$H$2:$H$37002,"1500*",'Accounting data'!$I$2:$I$37002,"1*",'Accounting data'!$J$2:$J$37002,"3*",'Accounting data'!$K$2:$K$37002,"66*")</f>
        <v>114</v>
      </c>
      <c r="H16" s="546">
        <f>SUMIFS('Accounting data'!$G$2:$G$37002,'Accounting data'!$H$2:$H$37002,"1000*",'Accounting data'!$I$2:$I$37002,"1*",'Accounting data'!$J$2:$J$37002,"3*",'Accounting data'!$K$2:$K$37002,"68*")+SUMIFS('Accounting data'!$G$2:$G$37002,'Accounting data'!$H$2:$H$37002,"1500*",'Accounting data'!$I$2:$I$37002,"1*",'Accounting data'!$J$2:$J$37002,"3*",'Accounting data'!$K$2:$K$37002,"68*")</f>
        <v>945</v>
      </c>
      <c r="I16" s="545">
        <f>[1]!SP1000P100F3000</f>
        <v>163884</v>
      </c>
      <c r="J16" s="547">
        <f t="shared" si="0"/>
        <v>161733</v>
      </c>
      <c r="K16" s="545">
        <f>[2]!SP1000P100F3000</f>
        <v>179894</v>
      </c>
      <c r="L16" s="548">
        <f t="shared" si="1"/>
        <v>-0.10100000000000001</v>
      </c>
      <c r="M16" s="86" t="s">
        <v>40</v>
      </c>
    </row>
    <row r="17" spans="1:25" ht="12" customHeight="1" x14ac:dyDescent="0.3">
      <c r="A17" s="84" t="s">
        <v>111</v>
      </c>
      <c r="C17" s="85" t="s">
        <v>42</v>
      </c>
      <c r="D17" s="546">
        <f>SUMIFS('Accounting data'!$G$2:$G$37002,'Accounting data'!$H$2:$H$37002,"1000*",'Accounting data'!$I$2:$I$37002,"1*",'Accounting data'!$J$2:$J$37002,"4*",'Accounting data'!$K$2:$K$37002,"61*")+SUMIFS('Accounting data'!$G$2:$G$37002,'Accounting data'!$H$2:$H$37002,"1500*",'Accounting data'!$I$2:$I$37002,"1*",'Accounting data'!$J$2:$J$37002,"4*",'Accounting data'!$K$2:$K$37002,"61*")</f>
        <v>0</v>
      </c>
      <c r="E17" s="546">
        <f>SUMIFS('Accounting data'!$G$2:$G$37002,'Accounting data'!$H$2:$H$37002,"1000*",'Accounting data'!$I$2:$I$37002,"1*",'Accounting data'!$J$2:$J$37002,"4*",'Accounting data'!$K$2:$K$37002,"62*")+SUMIFS('Accounting data'!$G$2:$G$37002,'Accounting data'!$H$2:$H$37002,"1500*",'Accounting data'!$I$2:$I$37002,"1*",'Accounting data'!$J$2:$J$37002,"4*",'Accounting data'!$K$2:$K$37002,"62*")</f>
        <v>0</v>
      </c>
      <c r="F17" s="546">
        <f>SUMIFS('Accounting data'!$G$2:$G$37002,'Accounting data'!$H$2:$H$37002,"1000*",'Accounting data'!$I$2:$I$37002,"1*",'Accounting data'!$J$2:$J$37002,"4*",'Accounting data'!$K$2:$K$37002,"63*")+SUMIFS('Accounting data'!$G$2:$G$37002,'Accounting data'!$H$2:$H$37002,"1500*",'Accounting data'!$I$2:$I$37002,"1*",'Accounting data'!$J$2:$J$37002,"4*",'Accounting data'!$K$2:$K$37002,"63*")</f>
        <v>0</v>
      </c>
      <c r="G17" s="546">
        <f>SUMIFS('Accounting data'!$G$2:$G$37002,'Accounting data'!$H$2:$H$37002,"1000*",'Accounting data'!$I$2:$I$37002,"1*",'Accounting data'!$J$2:$J$37002,"4*",'Accounting data'!$K$2:$K$37002,"66*")+SUMIFS('Accounting data'!$G$2:$G$37002,'Accounting data'!$H$2:$H$37002,"1500*",'Accounting data'!$I$2:$I$37002,"1*",'Accounting data'!$J$2:$J$37002,"4*",'Accounting data'!$K$2:$K$37002,"66*")</f>
        <v>0</v>
      </c>
      <c r="H17" s="546">
        <f>SUMIFS('Accounting data'!$G$2:$G$37002,'Accounting data'!$H$2:$H$37002,"1000*",'Accounting data'!$I$2:$I$37002,"1*",'Accounting data'!$J$2:$J$37002,"4*",'Accounting data'!$K$2:$K$37002,"68*")+SUMIFS('Accounting data'!$G$2:$G$37002,'Accounting data'!$H$2:$H$37002,"1500*",'Accounting data'!$I$2:$I$37002,"1*",'Accounting data'!$J$2:$J$37002,"4*",'Accounting data'!$K$2:$K$37002,"68*")</f>
        <v>0</v>
      </c>
      <c r="I17" s="545">
        <f>[1]!SP1000P100F4000</f>
        <v>0</v>
      </c>
      <c r="J17" s="547">
        <f t="shared" si="0"/>
        <v>0</v>
      </c>
      <c r="K17" s="545">
        <f>[2]!SP1000P100F4000</f>
        <v>0</v>
      </c>
      <c r="L17" s="548">
        <f t="shared" si="1"/>
        <v>0</v>
      </c>
      <c r="M17" s="86" t="s">
        <v>42</v>
      </c>
    </row>
    <row r="18" spans="1:25" ht="12" customHeight="1" x14ac:dyDescent="0.3">
      <c r="A18" s="84" t="s">
        <v>112</v>
      </c>
      <c r="C18" s="85" t="s">
        <v>44</v>
      </c>
      <c r="D18" s="546">
        <f>SUMIFS('Accounting data'!$G$2:$G$37002,'Accounting data'!$H$2:$H$37002,"1000*",'Accounting data'!$I$2:$I$37002,"1*",'Accounting data'!$J$2:$J$37002,"5*",'Accounting data'!$K$2:$K$37002,"61*")+SUMIFS('Accounting data'!$G$2:$G$37002,'Accounting data'!$H$2:$H$37002,"1500*",'Accounting data'!$I$2:$I$37002,"1*",'Accounting data'!$J$2:$J$37002,"5*",'Accounting data'!$K$2:$K$37002,"61*")</f>
        <v>0</v>
      </c>
      <c r="E18" s="546">
        <f>SUMIFS('Accounting data'!$G$2:$G$37002,'Accounting data'!$H$2:$H$37002,"1000*",'Accounting data'!$I$2:$I$37002,"1*",'Accounting data'!$J$2:$J$37002,"5*",'Accounting data'!$K$2:$K$37002,"62*")+SUMIFS('Accounting data'!$G$2:$G$37002,'Accounting data'!$H$2:$H$37002,"1500*",'Accounting data'!$I$2:$I$37002,"1*",'Accounting data'!$J$2:$J$37002,"5*",'Accounting data'!$K$2:$K$37002,"62*")</f>
        <v>0</v>
      </c>
      <c r="F18" s="546">
        <f>SUMIFS('Accounting data'!$G$2:$G$37002,'Accounting data'!$H$2:$H$37002,"1000*",'Accounting data'!$I$2:$I$37002,"1*",'Accounting data'!$J$2:$J$37002,"5*",'Accounting data'!$K$2:$K$37002,"63*")+SUMIFS('Accounting data'!$G$2:$G$37002,'Accounting data'!$H$2:$H$37002,"1500*",'Accounting data'!$I$2:$I$37002,"1*",'Accounting data'!$J$2:$J$37002,"5*",'Accounting data'!$K$2:$K$37002,"63*")</f>
        <v>0</v>
      </c>
      <c r="G18" s="546">
        <f>SUMIFS('Accounting data'!$G$2:$G$37002,'Accounting data'!$H$2:$H$37002,"1000*",'Accounting data'!$I$2:$I$37002,"1*",'Accounting data'!$J$2:$J$37002,"5*",'Accounting data'!$K$2:$K$37002,"66*")+SUMIFS('Accounting data'!$G$2:$G$37002,'Accounting data'!$H$2:$H$37002,"1500*",'Accounting data'!$I$2:$I$37002,"1*",'Accounting data'!$J$2:$J$37002,"5*",'Accounting data'!$K$2:$K$37002,"66*")</f>
        <v>0</v>
      </c>
      <c r="H18" s="546">
        <f>SUMIFS('Accounting data'!$G$2:$G$37002,'Accounting data'!$H$2:$H$37002,"1000*",'Accounting data'!$I$2:$I$37002,"1*",'Accounting data'!$J$2:$J$37002,"5*",'Accounting data'!$K$2:$K$37002,"68*")+SUMIFS('Accounting data'!$G$2:$G$37002,'Accounting data'!$H$2:$H$37002,"1500*",'Accounting data'!$I$2:$I$37002,"1*",'Accounting data'!$J$2:$J$37002,"5*",'Accounting data'!$K$2:$K$37002,"68*")</f>
        <v>0</v>
      </c>
      <c r="I18" s="545">
        <f>[1]!SP1000P100F5000</f>
        <v>0</v>
      </c>
      <c r="J18" s="547">
        <f t="shared" si="0"/>
        <v>0</v>
      </c>
      <c r="K18" s="545">
        <f>[2]!SP1000P100F5000</f>
        <v>69044</v>
      </c>
      <c r="L18" s="548">
        <f t="shared" si="1"/>
        <v>-1</v>
      </c>
      <c r="M18" s="86" t="s">
        <v>44</v>
      </c>
    </row>
    <row r="19" spans="1:25" ht="12" customHeight="1" x14ac:dyDescent="0.3">
      <c r="A19" s="84" t="s">
        <v>113</v>
      </c>
      <c r="C19" s="85" t="s">
        <v>45</v>
      </c>
      <c r="D19" s="546">
        <f>SUMIFS('Accounting data'!$G$2:$G$37002,'Accounting data'!$H$2:$H$37002,"1000*",'Accounting data'!$I$2:$I$37002,"61*",'Accounting data'!$K$2:$K$37002,"61*")+SUMIFS('Accounting data'!$G$2:$G$37002,'Accounting data'!$H$2:$H$37002,"1500*",'Accounting data'!$I$2:$I$37002,"61*",'Accounting data'!$K$2:$K$37002,"61*")</f>
        <v>0</v>
      </c>
      <c r="E19" s="546">
        <f>SUMIFS('Accounting data'!$G$2:$G$37002,'Accounting data'!$H$2:$H$37002,"1000*",'Accounting data'!$I$2:$I$37002,"61*",'Accounting data'!$K$2:$K$37002,"62*")+SUMIFS('Accounting data'!$G$2:$G$37002,'Accounting data'!$H$2:$H$37002,"1500*",'Accounting data'!$I$2:$I$37002,"61*",'Accounting data'!$K$2:$K$37002,"62*")</f>
        <v>0</v>
      </c>
      <c r="F19" s="546">
        <f>SUMIFS('Accounting data'!$G$2:$G$37002,'Accounting data'!$H$2:$H$37002,"1000*",'Accounting data'!$I$2:$I$37002,"61*",'Accounting data'!$K$2:$K$37002,"63*")+SUMIFS('Accounting data'!$G$2:$G$37002,'Accounting data'!$H$2:$H$37002,"1500*",'Accounting data'!$I$2:$I$37002,"61*",'Accounting data'!$K$2:$K$37002,"63*")</f>
        <v>0</v>
      </c>
      <c r="G19" s="546">
        <f>SUMIFS('Accounting data'!$G$2:$G$37002,'Accounting data'!$H$2:$H$37002,"1000*",'Accounting data'!$I$2:$I$37002,"61*",'Accounting data'!$K$2:$K$37002,"66*")+SUMIFS('Accounting data'!$G$2:$G$37002,'Accounting data'!$H$2:$H$37002,"1500*",'Accounting data'!$I$2:$I$37002,"61*",'Accounting data'!$K$2:$K$37002,"66*")</f>
        <v>0</v>
      </c>
      <c r="H19" s="546">
        <f>SUMIFS('Accounting data'!$G$2:$G$37002,'Accounting data'!$H$2:$H$37002,"1000*",'Accounting data'!$I$2:$I$37002,"61*",'Accounting data'!$K$2:$K$37002,"68*")+SUMIFS('Accounting data'!$G$2:$G$37002,'Accounting data'!$H$2:$H$37002,"1500*",'Accounting data'!$I$2:$I$37002,"61*",'Accounting data'!$K$2:$K$37002,"68*")</f>
        <v>0</v>
      </c>
      <c r="I19" s="545">
        <f>[1]!SP1000P610</f>
        <v>0</v>
      </c>
      <c r="J19" s="547">
        <f t="shared" si="0"/>
        <v>0</v>
      </c>
      <c r="K19" s="545">
        <f>[2]!SP1000P610</f>
        <v>0</v>
      </c>
      <c r="L19" s="548">
        <f t="shared" si="1"/>
        <v>0</v>
      </c>
      <c r="M19" s="86" t="s">
        <v>45</v>
      </c>
    </row>
    <row r="20" spans="1:25" ht="12" customHeight="1" x14ac:dyDescent="0.3">
      <c r="A20" s="84" t="s">
        <v>114</v>
      </c>
      <c r="C20" s="85" t="s">
        <v>47</v>
      </c>
      <c r="D20" s="546">
        <f>SUMIFS('Accounting data'!$G$2:$G$37002,'Accounting data'!$H$2:$H$37002,"1000*",'Accounting data'!$I$2:$I$37002,"62*",'Accounting data'!$K$2:$K$37002,"61*")+SUMIFS('Accounting data'!$G$2:$G$37002,'Accounting data'!$H$2:$H$37002,"1500*",'Accounting data'!$I$2:$I$37002,"62*",'Accounting data'!$K$2:$K$37002,"61*")</f>
        <v>0</v>
      </c>
      <c r="E20" s="546">
        <f>SUMIFS('Accounting data'!$G$2:$G$37002,'Accounting data'!$H$2:$H$37002,"1000*",'Accounting data'!$I$2:$I$37002,"62*",'Accounting data'!$K$2:$K$37002,"62*")+SUMIFS('Accounting data'!$G$2:$G$37002,'Accounting data'!$H$2:$H$37002,"1500*",'Accounting data'!$I$2:$I$37002,"62*",'Accounting data'!$K$2:$K$37002,"62*")</f>
        <v>0</v>
      </c>
      <c r="F20" s="546">
        <f>SUMIFS('Accounting data'!$G$2:$G$37002,'Accounting data'!$H$2:$H$37002,"1000*",'Accounting data'!$I$2:$I$37002,"62*",'Accounting data'!$K$2:$K$37002,"63*")+SUMIFS('Accounting data'!$G$2:$G$37002,'Accounting data'!$H$2:$H$37002,"1500*",'Accounting data'!$I$2:$I$37002,"62*",'Accounting data'!$K$2:$K$37002,"63*")</f>
        <v>0</v>
      </c>
      <c r="G20" s="546">
        <f>SUMIFS('Accounting data'!$G$2:$G$37002,'Accounting data'!$H$2:$H$37002,"1000*",'Accounting data'!$I$2:$I$37002,"62*",'Accounting data'!$K$2:$K$37002,"66*")+SUMIFS('Accounting data'!$G$2:$G$37002,'Accounting data'!$H$2:$H$37002,"1500*",'Accounting data'!$I$2:$I$37002,"62*",'Accounting data'!$K$2:$K$37002,"66*")</f>
        <v>0</v>
      </c>
      <c r="H20" s="546">
        <f>SUMIFS('Accounting data'!$G$2:$G$37002,'Accounting data'!$H$2:$H$37002,"1000*",'Accounting data'!$I$2:$I$37002,"62*",'Accounting data'!$K$2:$K$37002,"68*")+SUMIFS('Accounting data'!$G$2:$G$37002,'Accounting data'!$H$2:$H$37002,"1500*",'Accounting data'!$I$2:$I$37002,"62*",'Accounting data'!$K$2:$K$37002,"68*")</f>
        <v>0</v>
      </c>
      <c r="I20" s="545">
        <f>[1]!SP1000P620</f>
        <v>33660</v>
      </c>
      <c r="J20" s="547">
        <f t="shared" si="0"/>
        <v>0</v>
      </c>
      <c r="K20" s="545">
        <f>[2]!SP1000P620</f>
        <v>0</v>
      </c>
      <c r="L20" s="548">
        <f t="shared" si="1"/>
        <v>0</v>
      </c>
      <c r="M20" s="86" t="s">
        <v>47</v>
      </c>
    </row>
    <row r="21" spans="1:25" ht="12" customHeight="1" x14ac:dyDescent="0.3">
      <c r="A21" s="84" t="s">
        <v>115</v>
      </c>
      <c r="C21" s="85" t="s">
        <v>49</v>
      </c>
      <c r="D21" s="546">
        <f>SUMIFS('Accounting data'!$G$2:$G$37002,'Accounting data'!$H$2:$H$37002,"1000*",'Accounting data'!$I$2:$I$37002,"63*",'Accounting data'!$K$2:$K$37002,"61*")+SUMIFS('Accounting data'!$G$2:$G$37002,'Accounting data'!$H$2:$H$37002,"1500*",'Accounting data'!$I$2:$I$37002,"63*",'Accounting data'!$K$2:$K$37002,"61*")</f>
        <v>0</v>
      </c>
      <c r="E21" s="546">
        <f>SUMIFS('Accounting data'!$G$2:$G$37002,'Accounting data'!$H$2:$H$37002,"1000*",'Accounting data'!$I$2:$I$37002,"63*",'Accounting data'!$K$2:$K$37002,"62*")+SUMIFS('Accounting data'!$G$2:$G$37002,'Accounting data'!$H$2:$H$37002,"1500*",'Accounting data'!$I$2:$I$37002,"63*",'Accounting data'!$K$2:$K$37002,"62*")</f>
        <v>0</v>
      </c>
      <c r="F21" s="546">
        <f>SUMIFS('Accounting data'!$G$2:$G$37002,'Accounting data'!$H$2:$H$37002,"1000*",'Accounting data'!$I$2:$I$37002,"63*",'Accounting data'!$K$2:$K$37002,"63*")+SUMIFS('Accounting data'!$G$2:$G$37002,'Accounting data'!$H$2:$H$37002,"1500*",'Accounting data'!$I$2:$I$37002,"63*",'Accounting data'!$K$2:$K$37002,"63*")</f>
        <v>0</v>
      </c>
      <c r="G21" s="546">
        <f>SUMIFS('Accounting data'!$G$2:$G$37002,'Accounting data'!$H$2:$H$37002,"1000*",'Accounting data'!$I$2:$I$37002,"63*",'Accounting data'!$K$2:$K$37002,"66*")+SUMIFS('Accounting data'!$G$2:$G$37002,'Accounting data'!$H$2:$H$37002,"1500*",'Accounting data'!$I$2:$I$37002,"63*",'Accounting data'!$K$2:$K$37002,"66*")</f>
        <v>0</v>
      </c>
      <c r="H21" s="594">
        <f>SUMIFS('Accounting data'!$G$2:$G$37002,'Accounting data'!$H$2:$H$37002,"1000*",'Accounting data'!$I$2:$I$37002,"63*",'Accounting data'!$K$2:$K$37002,"68*")+SUMIFS('Accounting data'!$G$2:$G$37002,'Accounting data'!$H$2:$H$37002,"1500*",'Accounting data'!$I$2:$I$37002,"63*",'Accounting data'!$K$2:$K$37002,"68*")</f>
        <v>0</v>
      </c>
      <c r="I21" s="824">
        <f>[1]!SP1000P630700800900</f>
        <v>1300</v>
      </c>
      <c r="J21" s="595">
        <f t="shared" si="0"/>
        <v>0</v>
      </c>
      <c r="K21" s="545">
        <f>'[2]Page 2'!$J$21</f>
        <v>0</v>
      </c>
      <c r="L21" s="817">
        <f>IF(J21+J22=K22,0,IF(K22&gt;0,(J21+J22-K22)/K22,"--"))</f>
        <v>0</v>
      </c>
      <c r="M21" s="61" t="s">
        <v>49</v>
      </c>
    </row>
    <row r="22" spans="1:25" ht="12" customHeight="1" x14ac:dyDescent="0.3">
      <c r="A22" s="84" t="s">
        <v>116</v>
      </c>
      <c r="C22" s="85" t="s">
        <v>51</v>
      </c>
      <c r="D22" s="546">
        <f>SUMIFS('Accounting data'!$G$2:$G$37002,'Accounting data'!$H$2:$H$37002,"1000*",'Accounting data'!$I$2:$I$37002,"7*",'Accounting data'!$K$2:$K$37002,"61*")+SUMIFS('Accounting data'!$G$2:$G$37002,'Accounting data'!$H$2:$H$37002,"1000*",'Accounting data'!$I$2:$I$37002,"8*",'Accounting data'!$K$2:$K$37002,"61*")+SUMIFS('Accounting data'!$G$2:$G$37002,'Accounting data'!$H$2:$H$37002,"1000*",'Accounting data'!$I$2:$I$37002,"9*",'Accounting data'!$K$2:$K$37002,"61*")+SUMIFS('Accounting data'!$G$2:$G$37002,'Accounting data'!$H$2:$H$37002,"1500*",'Accounting data'!$I$2:$I$37002,"7*",'Accounting data'!$K$2:$K$37002,"61*")+SUMIFS('Accounting data'!$G$2:$G$37002,'Accounting data'!$H$2:$H$37002,"1500*",'Accounting data'!$I$2:$I$37002,"8*",'Accounting data'!$K$2:$K$37002,"61*")+SUMIFS('Accounting data'!$G$2:$G$37002,'Accounting data'!$H$2:$H$37002,"1500*",'Accounting data'!$I$2:$I$37002,"9*",'Accounting data'!$K$2:$K$37002,"61*")</f>
        <v>0</v>
      </c>
      <c r="E22" s="546">
        <f>SUMIFS('Accounting data'!$G$2:$G$37002,'Accounting data'!$H$2:$H$37002,"1000*",'Accounting data'!$I$2:$I$37002,"7*",'Accounting data'!$K$2:$K$37002,"62*")+SUMIFS('Accounting data'!$G$2:$G$37002,'Accounting data'!$H$2:$H$37002,"1000*",'Accounting data'!$I$2:$I$37002,"8*",'Accounting data'!$K$2:$K$37002,"62*")+SUMIFS('Accounting data'!$G$2:$G$37002,'Accounting data'!$H$2:$H$37002,"1000*",'Accounting data'!$I$2:$I$37002,"9*",'Accounting data'!$K$2:$K$37002,"62*")+SUMIFS('Accounting data'!$G$2:$G$37002,'Accounting data'!$H$2:$H$37002,"1500*",'Accounting data'!$I$2:$I$37002,"7*",'Accounting data'!$K$2:$K$37002,"62*")+SUMIFS('Accounting data'!$G$2:$G$37002,'Accounting data'!$H$2:$H$37002,"1500*",'Accounting data'!$I$2:$I$37002,"8*",'Accounting data'!$K$2:$K$37002,"62*")+SUMIFS('Accounting data'!$G$2:$G$37002,'Accounting data'!$H$2:$H$37002,"1500*",'Accounting data'!$I$2:$I$37002,"9*",'Accounting data'!$K$2:$K$37002,"62*")</f>
        <v>0</v>
      </c>
      <c r="F22" s="546">
        <f>SUMIFS('Accounting data'!$G$2:$G$37002,'Accounting data'!$H$2:$H$37002,"1000*",'Accounting data'!$I$2:$I$37002,"7*",'Accounting data'!$K$2:$K$37002,"63*")+SUMIFS('Accounting data'!$G$2:$G$37002,'Accounting data'!$H$2:$H$37002,"1000*",'Accounting data'!$I$2:$I$37002,"8*",'Accounting data'!$K$2:$K$37002,"63*")+SUMIFS('Accounting data'!$G$2:$G$37002,'Accounting data'!$H$2:$H$37002,"1000*",'Accounting data'!$I$2:$I$37002,"9*",'Accounting data'!$K$2:$K$37002,"63*")+SUMIFS('Accounting data'!$G$2:$G$37002,'Accounting data'!$H$2:$H$37002,"1500*",'Accounting data'!$I$2:$I$37002,"7*",'Accounting data'!$K$2:$K$37002,"63*")+SUMIFS('Accounting data'!$G$2:$G$37002,'Accounting data'!$H$2:$H$37002,"1500*",'Accounting data'!$I$2:$I$37002,"8*",'Accounting data'!$K$2:$K$37002,"63*")+SUMIFS('Accounting data'!$G$2:$G$37002,'Accounting data'!$H$2:$H$37002,"1500*",'Accounting data'!$I$2:$I$37002,"9*",'Accounting data'!$K$2:$K$37002,"63*")</f>
        <v>0</v>
      </c>
      <c r="G22" s="546">
        <f>SUMIFS('Accounting data'!$G$2:$G$37002,'Accounting data'!$H$2:$H$37002,"1000*",'Accounting data'!$I$2:$I$37002,"7*",'Accounting data'!$K$2:$K$37002,"66*")+SUMIFS('Accounting data'!$G$2:$G$37002,'Accounting data'!$H$2:$H$37002,"1000*",'Accounting data'!$I$2:$I$37002,"8*",'Accounting data'!$K$2:$K$37002,"66*")+SUMIFS('Accounting data'!$G$2:$G$37002,'Accounting data'!$H$2:$H$37002,"1000*",'Accounting data'!$I$2:$I$37002,"9*",'Accounting data'!$K$2:$K$37002,"66*")+SUMIFS('Accounting data'!$G$2:$G$37002,'Accounting data'!$H$2:$H$37002,"1500*",'Accounting data'!$I$2:$I$37002,"7*",'Accounting data'!$K$2:$K$37002,"66*")+SUMIFS('Accounting data'!$G$2:$G$37002,'Accounting data'!$H$2:$H$37002,"1500*",'Accounting data'!$I$2:$I$37002,"8*",'Accounting data'!$K$2:$K$37002,"66*")+SUMIFS('Accounting data'!$G$2:$G$37002,'Accounting data'!$H$2:$H$37002,"1500*",'Accounting data'!$I$2:$I$37002,"9*",'Accounting data'!$K$2:$K$37002,"66*")</f>
        <v>0</v>
      </c>
      <c r="H22" s="546">
        <f>SUMIFS('Accounting data'!$G$2:$G$37002,'Accounting data'!$H$2:$H$37002,"1000*",'Accounting data'!$I$2:$I$37002,"7*",'Accounting data'!$K$2:$K$37002,"68*")+SUMIFS('Accounting data'!$G$2:$G$37002,'Accounting data'!$H$2:$H$37002,"1000*",'Accounting data'!$I$2:$I$37002,"8*",'Accounting data'!$K$2:$K$37002,"68*")+SUMIFS('Accounting data'!$G$2:$G$37002,'Accounting data'!$H$2:$H$37002,"1000*",'Accounting data'!$I$2:$I$37002,"9*",'Accounting data'!$K$2:$K$37002,"68*")+SUMIFS('Accounting data'!$G$2:$G$37002,'Accounting data'!$H$2:$H$37002,"1500*",'Accounting data'!$I$2:$I$37002,"7*",'Accounting data'!$K$2:$K$37002,"68*")+SUMIFS('Accounting data'!$G$2:$G$37002,'Accounting data'!$H$2:$H$37002,"1500*",'Accounting data'!$I$2:$I$37002,"8*",'Accounting data'!$K$2:$K$37002,"68*")+SUMIFS('Accounting data'!$G$2:$G$37002,'Accounting data'!$H$2:$H$37002,"1500*",'Accounting data'!$I$2:$I$37002,"9*",'Accounting data'!$K$2:$K$37002,"68*")</f>
        <v>0</v>
      </c>
      <c r="I22" s="825"/>
      <c r="J22" s="547">
        <f t="shared" si="0"/>
        <v>0</v>
      </c>
      <c r="K22" s="545">
        <f>[2]!SP1000P630700800900</f>
        <v>0</v>
      </c>
      <c r="L22" s="819"/>
      <c r="M22" s="61" t="s">
        <v>51</v>
      </c>
    </row>
    <row r="23" spans="1:25" ht="12" customHeight="1" x14ac:dyDescent="0.3">
      <c r="A23" s="88" t="s">
        <v>117</v>
      </c>
      <c r="B23" s="6"/>
      <c r="C23" s="89" t="s">
        <v>53</v>
      </c>
      <c r="D23" s="546">
        <f t="shared" ref="D23:H23" si="2">SUM(D6:D22)</f>
        <v>979747</v>
      </c>
      <c r="E23" s="546">
        <f t="shared" si="2"/>
        <v>218740</v>
      </c>
      <c r="F23" s="546">
        <f t="shared" si="2"/>
        <v>709708</v>
      </c>
      <c r="G23" s="546">
        <f t="shared" si="2"/>
        <v>128296</v>
      </c>
      <c r="H23" s="546">
        <f t="shared" si="2"/>
        <v>17012</v>
      </c>
      <c r="I23" s="547">
        <f>SUM(I7:I22)</f>
        <v>2034364</v>
      </c>
      <c r="J23" s="547">
        <f>SUM(J7:J22)</f>
        <v>2053503</v>
      </c>
      <c r="K23" s="547">
        <f>SUM(K7:K22)</f>
        <v>1703387</v>
      </c>
      <c r="L23" s="548">
        <f>IF(J23=K23,0,IF(K23&gt;0,(J23-K23)/K23,"--"))</f>
        <v>0.20549999999999999</v>
      </c>
      <c r="M23" s="61" t="s">
        <v>53</v>
      </c>
    </row>
    <row r="24" spans="1:25" ht="12" customHeight="1" x14ac:dyDescent="0.3">
      <c r="A24" s="90" t="s">
        <v>118</v>
      </c>
      <c r="C24" s="73"/>
      <c r="D24" s="83"/>
      <c r="E24" s="83"/>
      <c r="F24" s="83"/>
      <c r="G24" s="83"/>
      <c r="H24" s="83"/>
      <c r="I24" s="83"/>
      <c r="J24" s="83"/>
      <c r="K24" s="83"/>
      <c r="L24" s="817">
        <f>IF(J25=K25,0,IF(K25&gt;0,(J25-K25)/K25,"--"))</f>
        <v>0.25769999999999998</v>
      </c>
      <c r="M24" s="562"/>
    </row>
    <row r="25" spans="1:25" ht="12" customHeight="1" x14ac:dyDescent="0.3">
      <c r="A25" s="84" t="s">
        <v>119</v>
      </c>
      <c r="C25" s="85" t="s">
        <v>55</v>
      </c>
      <c r="D25" s="550">
        <f>SUMIFS('Accounting data'!$G$2:$G$37002,'Accounting data'!$H$2:$H$37002,"1000*",'Accounting data'!$I$2:$I$37002,"200*",'Accounting data'!$J$2:$J$37002,"1*",'Accounting data'!$K$2:$K$37002,"61*")+SUMIFS('Accounting data'!$G$2:$G$37002,'Accounting data'!$H$2:$H$37002,"1500*",'Accounting data'!$I$2:$I$37002,"200*",'Accounting data'!$J$2:$J$37002,"1*",'Accounting data'!$K$2:$K$37002,"61*")+SUMIFS('Accounting data'!$G$2:$G$37002,'Accounting data'!$H$2:$H$37002,"1000*",'Accounting data'!$I$2:$I$37002,"270*",'Accounting data'!$J$2:$J$37002,"1*",'Accounting data'!$K$2:$K$37002,"61*")+SUMIFS('Accounting data'!$G$2:$G$37002,'Accounting data'!$H$2:$H$37002,"1500*",'Accounting data'!$I$2:$I$37002,"270*",'Accounting data'!$J$2:$J$37002,"1*",'Accounting data'!$K$2:$K$37002,"61*")</f>
        <v>0</v>
      </c>
      <c r="E25" s="550">
        <f>SUMIFS('Accounting data'!$G$2:$G$37002,'Accounting data'!$H$2:$H$37002,"1000*",'Accounting data'!$I$2:$I$37002,"200*",'Accounting data'!$J$2:$J$37002,"1*",'Accounting data'!$K$2:$K$37002,"62*")+SUMIFS('Accounting data'!$G$2:$G$37002,'Accounting data'!$H$2:$H$37002,"1500*",'Accounting data'!$I$2:$I$37002,"200*",'Accounting data'!$J$2:$J$37002,"1*",'Accounting data'!$K$2:$K$37002,"62*")+SUMIFS('Accounting data'!$G$2:$G$37002,'Accounting data'!$H$2:$H$37002,"1000*",'Accounting data'!$I$2:$I$37002,"270*",'Accounting data'!$J$2:$J$37002,"1*",'Accounting data'!$K$2:$K$37002,"62*")+SUMIFS('Accounting data'!$G$2:$G$37002,'Accounting data'!$H$2:$H$37002,"1500*",'Accounting data'!$I$2:$I$37002,"270*",'Accounting data'!$J$2:$J$37002,"1*",'Accounting data'!$K$2:$K$37002,"62*")</f>
        <v>0</v>
      </c>
      <c r="F25" s="550">
        <f>SUMIFS('Accounting data'!$G$2:$G$37002,'Accounting data'!$H$2:$H$37002,"1000*",'Accounting data'!$I$2:$I$37002,"200*",'Accounting data'!$J$2:$J$37002,"1*",'Accounting data'!$K$2:$K$37002,"63*")+SUMIFS('Accounting data'!$G$2:$G$37002,'Accounting data'!$H$2:$H$37002,"1500*",'Accounting data'!$I$2:$I$37002,"200*",'Accounting data'!$J$2:$J$37002,"1*",'Accounting data'!$K$2:$K$37002,"63*")+SUMIFS('Accounting data'!$G$2:$G$37002,'Accounting data'!$H$2:$H$37002,"1000*",'Accounting data'!$I$2:$I$37002,"270*",'Accounting data'!$J$2:$J$37002,"1*",'Accounting data'!$K$2:$K$37002,"63*")+SUMIFS('Accounting data'!$G$2:$G$37002,'Accounting data'!$H$2:$H$37002,"1500*",'Accounting data'!$I$2:$I$37002,"270*",'Accounting data'!$J$2:$J$37002,"1*",'Accounting data'!$K$2:$K$37002,"63*")</f>
        <v>0</v>
      </c>
      <c r="G25" s="550">
        <f>SUMIFS('Accounting data'!$G$2:$G$37002,'Accounting data'!$H$2:$H$37002,"1000*",'Accounting data'!$I$2:$I$37002,"200*",'Accounting data'!$J$2:$J$37002,"1*",'Accounting data'!$K$2:$K$37002,"66*")+SUMIFS('Accounting data'!$G$2:$G$37002,'Accounting data'!$H$2:$H$37002,"1500*",'Accounting data'!$I$2:$I$37002,"200*",'Accounting data'!$J$2:$J$37002,"1*",'Accounting data'!$K$2:$K$37002,"66*")+SUMIFS('Accounting data'!$G$2:$G$37002,'Accounting data'!$H$2:$H$37002,"1000*",'Accounting data'!$I$2:$I$37002,"270*",'Accounting data'!$J$2:$J$37002,"1*",'Accounting data'!$K$2:$K$37002,"66*")+SUMIFS('Accounting data'!$G$2:$G$37002,'Accounting data'!$H$2:$H$37002,"1500*",'Accounting data'!$I$2:$I$37002,"270*",'Accounting data'!$J$2:$J$37002,"1*",'Accounting data'!$K$2:$K$37002,"66*")</f>
        <v>2411</v>
      </c>
      <c r="H25" s="550">
        <f>SUMIFS('Accounting data'!$G$2:$G$37002,'Accounting data'!$H$2:$H$37002,"1000*",'Accounting data'!$I$2:$I$37002,"200*",'Accounting data'!$J$2:$J$37002,"1*",'Accounting data'!$K$2:$K$37002,"68*")+SUMIFS('Accounting data'!$G$2:$G$37002,'Accounting data'!$H$2:$H$37002,"1500*",'Accounting data'!$I$2:$I$37002,"200*",'Accounting data'!$J$2:$J$37002,"1*",'Accounting data'!$K$2:$K$37002,"68*")+SUMIFS('Accounting data'!$G$2:$G$37002,'Accounting data'!$H$2:$H$37002,"1000*",'Accounting data'!$I$2:$I$37002,"270*",'Accounting data'!$J$2:$J$37002,"1*",'Accounting data'!$K$2:$K$37002,"68*")+SUMIFS('Accounting data'!$G$2:$G$37002,'Accounting data'!$H$2:$H$37002,"1500*",'Accounting data'!$I$2:$I$37002,"270*",'Accounting data'!$J$2:$J$37002,"1*",'Accounting data'!$K$2:$K$37002,"68*")</f>
        <v>0</v>
      </c>
      <c r="I25" s="550">
        <f>[1]!SP1000P200F1000</f>
        <v>4736</v>
      </c>
      <c r="J25" s="550">
        <f>SUM(D25:H25)</f>
        <v>2411</v>
      </c>
      <c r="K25" s="550">
        <f>[2]!SP1000P200F1000</f>
        <v>1917</v>
      </c>
      <c r="L25" s="818"/>
      <c r="M25" s="61" t="s">
        <v>55</v>
      </c>
      <c r="Y25" s="543"/>
    </row>
    <row r="26" spans="1:25" ht="12" customHeight="1" x14ac:dyDescent="0.3">
      <c r="A26" s="84" t="s">
        <v>120</v>
      </c>
      <c r="C26" s="85"/>
      <c r="D26" s="83"/>
      <c r="E26" s="83"/>
      <c r="F26" s="83"/>
      <c r="G26" s="83"/>
      <c r="H26" s="83"/>
      <c r="I26" s="83"/>
      <c r="J26" s="83"/>
      <c r="K26" s="83"/>
      <c r="L26" s="817">
        <f>IF(J27=K27,0,IF(K27&gt;0,(J27-K27)/K27,"--"))</f>
        <v>-7.6799999999999993E-2</v>
      </c>
      <c r="M26" s="61"/>
      <c r="T26" s="543"/>
    </row>
    <row r="27" spans="1:25" ht="12" customHeight="1" x14ac:dyDescent="0.3">
      <c r="A27" s="84" t="s">
        <v>121</v>
      </c>
      <c r="C27" s="85" t="s">
        <v>57</v>
      </c>
      <c r="D27" s="550">
        <f>SUMIFS('Accounting data'!$G$2:$G$37002,'Accounting data'!$H$2:$H$37002,"1000*",'Accounting data'!$I$2:$I$37002,"200*",'Accounting data'!$J$2:$J$37002,"21*",'Accounting data'!$K$2:$K$37002,"61*")+SUMIFS('Accounting data'!$G$2:$G$37002,'Accounting data'!$H$2:$H$37002,"1500*",'Accounting data'!$I$2:$I$37002,"200*",'Accounting data'!$J$2:$J$37002,"21*",'Accounting data'!$K$2:$K$37002,"61*")+SUMIFS('Accounting data'!$G$2:$G$37002,'Accounting data'!$H$2:$H$37002,"1000*",'Accounting data'!$I$2:$I$37002,"270*",'Accounting data'!$J$2:$J$37002,"21*",'Accounting data'!$K$2:$K$37002,"61*")+SUMIFS('Accounting data'!$G$2:$G$37002,'Accounting data'!$H$2:$H$37002,"1500*",'Accounting data'!$I$2:$I$37002,"270*",'Accounting data'!$J$2:$J$37002,"21*",'Accounting data'!$K$2:$K$37002,"61*")</f>
        <v>20441</v>
      </c>
      <c r="E27" s="550">
        <f>SUMIFS('Accounting data'!$G$2:$G$37002,'Accounting data'!$H$2:$H$37002,"1000*",'Accounting data'!$I$2:$I$37002,"200*",'Accounting data'!$J$2:$J$37002,"21*",'Accounting data'!$K$2:$K$37002,"62*")+SUMIFS('Accounting data'!$G$2:$G$37002,'Accounting data'!$H$2:$H$37002,"1500*",'Accounting data'!$I$2:$I$37002,"200*",'Accounting data'!$J$2:$J$37002,"21*",'Accounting data'!$K$2:$K$37002,"62*")+SUMIFS('Accounting data'!$G$2:$G$37002,'Accounting data'!$H$2:$H$37002,"1000*",'Accounting data'!$I$2:$I$37002,"270*",'Accounting data'!$J$2:$J$37002,"21*",'Accounting data'!$K$2:$K$37002,"62*")+SUMIFS('Accounting data'!$G$2:$G$37002,'Accounting data'!$H$2:$H$37002,"1500*",'Accounting data'!$I$2:$I$37002,"270*",'Accounting data'!$J$2:$J$37002,"21*",'Accounting data'!$K$2:$K$37002,"62*")</f>
        <v>8181</v>
      </c>
      <c r="F27" s="550">
        <f>SUMIFS('Accounting data'!$G$2:$G$37002,'Accounting data'!$H$2:$H$37002,"1000*",'Accounting data'!$I$2:$I$37002,"200*",'Accounting data'!$J$2:$J$37002,"21*",'Accounting data'!$K$2:$K$37002,"63*")+SUMIFS('Accounting data'!$G$2:$G$37002,'Accounting data'!$H$2:$H$37002,"1500*",'Accounting data'!$I$2:$I$37002,"200*",'Accounting data'!$J$2:$J$37002,"21*",'Accounting data'!$K$2:$K$37002,"63*")+SUMIFS('Accounting data'!$G$2:$G$37002,'Accounting data'!$H$2:$H$37002,"1000*",'Accounting data'!$I$2:$I$37002,"270*",'Accounting data'!$J$2:$J$37002,"21*",'Accounting data'!$K$2:$K$37002,"63*")+SUMIFS('Accounting data'!$G$2:$G$37002,'Accounting data'!$H$2:$H$37002,"1500*",'Accounting data'!$I$2:$I$37002,"270*",'Accounting data'!$J$2:$J$37002,"21*",'Accounting data'!$K$2:$K$37002,"63*")</f>
        <v>8045</v>
      </c>
      <c r="G27" s="550">
        <f>SUMIFS('Accounting data'!$G$2:$G$37002,'Accounting data'!$H$2:$H$37002,"1000*",'Accounting data'!$I$2:$I$37002,"200*",'Accounting data'!$J$2:$J$37002,"21*",'Accounting data'!$K$2:$K$37002,"66*")+SUMIFS('Accounting data'!$G$2:$G$37002,'Accounting data'!$H$2:$H$37002,"1500*",'Accounting data'!$I$2:$I$37002,"200*",'Accounting data'!$J$2:$J$37002,"21*",'Accounting data'!$K$2:$K$37002,"66*")+SUMIFS('Accounting data'!$G$2:$G$37002,'Accounting data'!$H$2:$H$37002,"1000*",'Accounting data'!$I$2:$I$37002,"270*",'Accounting data'!$J$2:$J$37002,"21*",'Accounting data'!$K$2:$K$37002,"66*")+SUMIFS('Accounting data'!$G$2:$G$37002,'Accounting data'!$H$2:$H$37002,"1500*",'Accounting data'!$I$2:$I$37002,"270*",'Accounting data'!$J$2:$J$37002,"21*",'Accounting data'!$K$2:$K$37002,"66*")</f>
        <v>979</v>
      </c>
      <c r="H27" s="550">
        <f>SUMIFS('Accounting data'!$G$2:$G$37002,'Accounting data'!$H$2:$H$37002,"1000*",'Accounting data'!$I$2:$I$37002,"200*",'Accounting data'!$J$2:$J$37002,"21*",'Accounting data'!$K$2:$K$37002,"68*")+SUMIFS('Accounting data'!$G$2:$G$37002,'Accounting data'!$H$2:$H$37002,"1500*",'Accounting data'!$I$2:$I$37002,"200*",'Accounting data'!$J$2:$J$37002,"21*",'Accounting data'!$K$2:$K$37002,"68*")+SUMIFS('Accounting data'!$G$2:$G$37002,'Accounting data'!$H$2:$H$37002,"1000*",'Accounting data'!$I$2:$I$37002,"270*",'Accounting data'!$J$2:$J$37002,"21*",'Accounting data'!$K$2:$K$37002,"68*")+SUMIFS('Accounting data'!$G$2:$G$37002,'Accounting data'!$H$2:$H$37002,"1500*",'Accounting data'!$I$2:$I$37002,"270*",'Accounting data'!$J$2:$J$37002,"21*",'Accounting data'!$K$2:$K$37002,"68*")</f>
        <v>0</v>
      </c>
      <c r="I27" s="550">
        <f>[1]!SP1000P200F2100</f>
        <v>44499</v>
      </c>
      <c r="J27" s="550">
        <f>SUM(D27:H27)</f>
        <v>37646</v>
      </c>
      <c r="K27" s="550">
        <f>[2]!SP1000P200F2100</f>
        <v>40777</v>
      </c>
      <c r="L27" s="818"/>
      <c r="M27" s="61" t="s">
        <v>57</v>
      </c>
    </row>
    <row r="28" spans="1:25" ht="12" customHeight="1" x14ac:dyDescent="0.3">
      <c r="A28" s="84" t="s">
        <v>122</v>
      </c>
      <c r="C28" s="85" t="s">
        <v>59</v>
      </c>
      <c r="D28" s="546">
        <f>SUMIFS('Accounting data'!$G$2:$G$37002,'Accounting data'!$H$2:$H$37002,"1000*",'Accounting data'!$I$2:$I$37002,"200*",'Accounting data'!$J$2:$J$37002,"22*",'Accounting data'!$K$2:$K$37002,"61*")+SUMIFS('Accounting data'!$G$2:$G$37002,'Accounting data'!$H$2:$H$37002,"1500*",'Accounting data'!$I$2:$I$37002,"200*",'Accounting data'!$J$2:$J$37002,"22*",'Accounting data'!$K$2:$K$37002,"61*")+SUMIFS('Accounting data'!$G$2:$G$37002,'Accounting data'!$H$2:$H$37002,"1000*",'Accounting data'!$I$2:$I$37002,"270*",'Accounting data'!$J$2:$J$37002,"22*",'Accounting data'!$K$2:$K$37002,"61*")+SUMIFS('Accounting data'!$G$2:$G$37002,'Accounting data'!$H$2:$H$37002,"1500*",'Accounting data'!$I$2:$I$37002,"270*",'Accounting data'!$J$2:$J$37002,"22*",'Accounting data'!$K$2:$K$37002,"61*")</f>
        <v>0</v>
      </c>
      <c r="E28" s="546">
        <f>SUMIFS('Accounting data'!$G$2:$G$37002,'Accounting data'!$H$2:$H$37002,"1000*",'Accounting data'!$I$2:$I$37002,"200*",'Accounting data'!$J$2:$J$37002,"22*",'Accounting data'!$K$2:$K$37002,"62*")+SUMIFS('Accounting data'!$G$2:$G$37002,'Accounting data'!$H$2:$H$37002,"1500*",'Accounting data'!$I$2:$I$37002,"200*",'Accounting data'!$J$2:$J$37002,"22*",'Accounting data'!$K$2:$K$37002,"62*")+SUMIFS('Accounting data'!$G$2:$G$37002,'Accounting data'!$H$2:$H$37002,"1000*",'Accounting data'!$I$2:$I$37002,"270*",'Accounting data'!$J$2:$J$37002,"22*",'Accounting data'!$K$2:$K$37002,"62*")+SUMIFS('Accounting data'!$G$2:$G$37002,'Accounting data'!$H$2:$H$37002,"1500*",'Accounting data'!$I$2:$I$37002,"270*",'Accounting data'!$J$2:$J$37002,"22*",'Accounting data'!$K$2:$K$37002,"62*")</f>
        <v>0</v>
      </c>
      <c r="F28" s="546">
        <f>SUMIFS('Accounting data'!$G$2:$G$37002,'Accounting data'!$H$2:$H$37002,"1000*",'Accounting data'!$I$2:$I$37002,"200*",'Accounting data'!$J$2:$J$37002,"22*",'Accounting data'!$K$2:$K$37002,"63*")+SUMIFS('Accounting data'!$G$2:$G$37002,'Accounting data'!$H$2:$H$37002,"1500*",'Accounting data'!$I$2:$I$37002,"200*",'Accounting data'!$J$2:$J$37002,"22*",'Accounting data'!$K$2:$K$37002,"63*")+SUMIFS('Accounting data'!$G$2:$G$37002,'Accounting data'!$H$2:$H$37002,"1000*",'Accounting data'!$I$2:$I$37002,"270*",'Accounting data'!$J$2:$J$37002,"22*",'Accounting data'!$K$2:$K$37002,"63*")+SUMIFS('Accounting data'!$G$2:$G$37002,'Accounting data'!$H$2:$H$37002,"1500*",'Accounting data'!$I$2:$I$37002,"270*",'Accounting data'!$J$2:$J$37002,"22*",'Accounting data'!$K$2:$K$37002,"63*")</f>
        <v>0</v>
      </c>
      <c r="G28" s="546">
        <f>SUMIFS('Accounting data'!$G$2:$G$37002,'Accounting data'!$H$2:$H$37002,"1000*",'Accounting data'!$I$2:$I$37002,"200*",'Accounting data'!$J$2:$J$37002,"22*",'Accounting data'!$K$2:$K$37002,"66*")+SUMIFS('Accounting data'!$G$2:$G$37002,'Accounting data'!$H$2:$H$37002,"1500*",'Accounting data'!$I$2:$I$37002,"200*",'Accounting data'!$J$2:$J$37002,"22*",'Accounting data'!$K$2:$K$37002,"66*")+SUMIFS('Accounting data'!$G$2:$G$37002,'Accounting data'!$H$2:$H$37002,"1000*",'Accounting data'!$I$2:$I$37002,"270*",'Accounting data'!$J$2:$J$37002,"22*",'Accounting data'!$K$2:$K$37002,"66*")+SUMIFS('Accounting data'!$G$2:$G$37002,'Accounting data'!$H$2:$H$37002,"1500*",'Accounting data'!$I$2:$I$37002,"270*",'Accounting data'!$J$2:$J$37002,"22*",'Accounting data'!$K$2:$K$37002,"66*")</f>
        <v>0</v>
      </c>
      <c r="H28" s="546">
        <f>SUMIFS('Accounting data'!$G$2:$G$37002,'Accounting data'!$H$2:$H$37002,"1000*",'Accounting data'!$I$2:$I$37002,"200*",'Accounting data'!$J$2:$J$37002,"22*",'Accounting data'!$K$2:$K$37002,"68*")+SUMIFS('Accounting data'!$G$2:$G$37002,'Accounting data'!$H$2:$H$37002,"1500*",'Accounting data'!$I$2:$I$37002,"200*",'Accounting data'!$J$2:$J$37002,"22*",'Accounting data'!$K$2:$K$37002,"68*")+SUMIFS('Accounting data'!$G$2:$G$37002,'Accounting data'!$H$2:$H$37002,"1000*",'Accounting data'!$I$2:$I$37002,"270*",'Accounting data'!$J$2:$J$37002,"22*",'Accounting data'!$K$2:$K$37002,"68*")+SUMIFS('Accounting data'!$G$2:$G$37002,'Accounting data'!$H$2:$H$37002,"1500*",'Accounting data'!$I$2:$I$37002,"270*",'Accounting data'!$J$2:$J$37002,"22*",'Accounting data'!$K$2:$K$37002,"68*")</f>
        <v>0</v>
      </c>
      <c r="I28" s="545">
        <f>[1]!SP1000P200F2200</f>
        <v>0</v>
      </c>
      <c r="J28" s="547">
        <f t="shared" ref="J28:J36" si="3">SUM(D28:H28)</f>
        <v>0</v>
      </c>
      <c r="K28" s="545">
        <f>[2]!SP1000P200F2200</f>
        <v>26732</v>
      </c>
      <c r="L28" s="548">
        <f t="shared" ref="L28:L48" si="4">IF(J28=K28,0,IF(K28&gt;0,(J28-K28)/K28,"--"))</f>
        <v>-1</v>
      </c>
      <c r="M28" s="61" t="s">
        <v>59</v>
      </c>
    </row>
    <row r="29" spans="1:25" ht="12" customHeight="1" x14ac:dyDescent="0.3">
      <c r="A29" s="84" t="s">
        <v>123</v>
      </c>
      <c r="C29" s="85" t="s">
        <v>61</v>
      </c>
      <c r="D29" s="546">
        <f>SUMIFS('Accounting data'!$G$2:$G$37002,'Accounting data'!$H$2:$H$37002,"1000*",'Accounting data'!$I$2:$I$37002,"200*",'Accounting data'!$J$2:$J$37002,"23*",'Accounting data'!$K$2:$K$37002,"61*")+SUMIFS('Accounting data'!$G$2:$G$37002,'Accounting data'!$H$2:$H$37002,"1500*",'Accounting data'!$I$2:$I$37002,"200*",'Accounting data'!$J$2:$J$37002,"23*",'Accounting data'!$K$2:$K$37002,"61*")+SUMIFS('Accounting data'!$G$2:$G$37002,'Accounting data'!$H$2:$H$37002,"1000*",'Accounting data'!$I$2:$I$37002,"270*",'Accounting data'!$J$2:$J$37002,"23*",'Accounting data'!$K$2:$K$37002,"61*")+SUMIFS('Accounting data'!$G$2:$G$37002,'Accounting data'!$H$2:$H$37002,"1500*",'Accounting data'!$I$2:$I$37002,"270*",'Accounting data'!$J$2:$J$37002,"23*",'Accounting data'!$K$2:$K$37002,"61*")</f>
        <v>0</v>
      </c>
      <c r="E29" s="546">
        <f>SUMIFS('Accounting data'!$G$2:$G$37002,'Accounting data'!$H$2:$H$37002,"1000*",'Accounting data'!$I$2:$I$37002,"200*",'Accounting data'!$J$2:$J$37002,"23*",'Accounting data'!$K$2:$K$37002,"62*")+SUMIFS('Accounting data'!$G$2:$G$37002,'Accounting data'!$H$2:$H$37002,"1500*",'Accounting data'!$I$2:$I$37002,"200*",'Accounting data'!$J$2:$J$37002,"23*",'Accounting data'!$K$2:$K$37002,"62*")+SUMIFS('Accounting data'!$G$2:$G$37002,'Accounting data'!$H$2:$H$37002,"1000*",'Accounting data'!$I$2:$I$37002,"270*",'Accounting data'!$J$2:$J$37002,"23*",'Accounting data'!$K$2:$K$37002,"62*")+SUMIFS('Accounting data'!$G$2:$G$37002,'Accounting data'!$H$2:$H$37002,"1500*",'Accounting data'!$I$2:$I$37002,"270*",'Accounting data'!$J$2:$J$37002,"23*",'Accounting data'!$K$2:$K$37002,"62*")</f>
        <v>0</v>
      </c>
      <c r="F29" s="546">
        <f>SUMIFS('Accounting data'!$G$2:$G$37002,'Accounting data'!$H$2:$H$37002,"1000*",'Accounting data'!$I$2:$I$37002,"200*",'Accounting data'!$J$2:$J$37002,"23*",'Accounting data'!$K$2:$K$37002,"63*")+SUMIFS('Accounting data'!$G$2:$G$37002,'Accounting data'!$H$2:$H$37002,"1500*",'Accounting data'!$I$2:$I$37002,"200*",'Accounting data'!$J$2:$J$37002,"23*",'Accounting data'!$K$2:$K$37002,"63*")+SUMIFS('Accounting data'!$G$2:$G$37002,'Accounting data'!$H$2:$H$37002,"1000*",'Accounting data'!$I$2:$I$37002,"270*",'Accounting data'!$J$2:$J$37002,"23*",'Accounting data'!$K$2:$K$37002,"63*")+SUMIFS('Accounting data'!$G$2:$G$37002,'Accounting data'!$H$2:$H$37002,"1500*",'Accounting data'!$I$2:$I$37002,"270*",'Accounting data'!$J$2:$J$37002,"23*",'Accounting data'!$K$2:$K$37002,"63*")</f>
        <v>0</v>
      </c>
      <c r="G29" s="546">
        <f>SUMIFS('Accounting data'!$G$2:$G$37002,'Accounting data'!$H$2:$H$37002,"1000*",'Accounting data'!$I$2:$I$37002,"200*",'Accounting data'!$J$2:$J$37002,"23*",'Accounting data'!$K$2:$K$37002,"66*")+SUMIFS('Accounting data'!$G$2:$G$37002,'Accounting data'!$H$2:$H$37002,"1500*",'Accounting data'!$I$2:$I$37002,"200*",'Accounting data'!$J$2:$J$37002,"23*",'Accounting data'!$K$2:$K$37002,"66*")+SUMIFS('Accounting data'!$G$2:$G$37002,'Accounting data'!$H$2:$H$37002,"1000*",'Accounting data'!$I$2:$I$37002,"270*",'Accounting data'!$J$2:$J$37002,"23*",'Accounting data'!$K$2:$K$37002,"66*")+SUMIFS('Accounting data'!$G$2:$G$37002,'Accounting data'!$H$2:$H$37002,"1500*",'Accounting data'!$I$2:$I$37002,"270*",'Accounting data'!$J$2:$J$37002,"23*",'Accounting data'!$K$2:$K$37002,"66*")</f>
        <v>0</v>
      </c>
      <c r="H29" s="546">
        <f>SUMIFS('Accounting data'!$G$2:$G$37002,'Accounting data'!$H$2:$H$37002,"1000*",'Accounting data'!$I$2:$I$37002,"200*",'Accounting data'!$J$2:$J$37002,"23*",'Accounting data'!$K$2:$K$37002,"68*")+SUMIFS('Accounting data'!$G$2:$G$37002,'Accounting data'!$H$2:$H$37002,"1500*",'Accounting data'!$I$2:$I$37002,"200*",'Accounting data'!$J$2:$J$37002,"23*",'Accounting data'!$K$2:$K$37002,"68*")+SUMIFS('Accounting data'!$G$2:$G$37002,'Accounting data'!$H$2:$H$37002,"1000*",'Accounting data'!$I$2:$I$37002,"270*",'Accounting data'!$J$2:$J$37002,"23*",'Accounting data'!$K$2:$K$37002,"68*")+SUMIFS('Accounting data'!$G$2:$G$37002,'Accounting data'!$H$2:$H$37002,"1500*",'Accounting data'!$I$2:$I$37002,"270*",'Accounting data'!$J$2:$J$37002,"23*",'Accounting data'!$K$2:$K$37002,"68*")</f>
        <v>0</v>
      </c>
      <c r="I29" s="545">
        <f>[1]!SP1000P200F2300</f>
        <v>0</v>
      </c>
      <c r="J29" s="547">
        <f t="shared" si="3"/>
        <v>0</v>
      </c>
      <c r="K29" s="545">
        <f>[2]!SP1000P200F2300</f>
        <v>10660</v>
      </c>
      <c r="L29" s="548">
        <f t="shared" si="4"/>
        <v>-1</v>
      </c>
      <c r="M29" s="61" t="s">
        <v>61</v>
      </c>
    </row>
    <row r="30" spans="1:25" ht="12" customHeight="1" x14ac:dyDescent="0.3">
      <c r="A30" s="84" t="s">
        <v>124</v>
      </c>
      <c r="C30" s="85" t="s">
        <v>63</v>
      </c>
      <c r="D30" s="546">
        <f>SUMIFS('Accounting data'!$G$2:$G$37002,'Accounting data'!$H$2:$H$37002,"1000*",'Accounting data'!$I$2:$I$37002,"200*",'Accounting data'!$J$2:$J$37002,"24*",'Accounting data'!$K$2:$K$37002,"61*")+SUMIFS('Accounting data'!$G$2:$G$37002,'Accounting data'!$H$2:$H$37002,"1500*",'Accounting data'!$I$2:$I$37002,"200*",'Accounting data'!$J$2:$J$37002,"24*",'Accounting data'!$K$2:$K$37002,"61*")+SUMIFS('Accounting data'!$G$2:$G$37002,'Accounting data'!$H$2:$H$37002,"1000*",'Accounting data'!$I$2:$I$37002,"270*",'Accounting data'!$J$2:$J$37002,"24*",'Accounting data'!$K$2:$K$37002,"61*")+SUMIFS('Accounting data'!$G$2:$G$37002,'Accounting data'!$H$2:$H$37002,"1500*",'Accounting data'!$I$2:$I$37002,"270*",'Accounting data'!$J$2:$J$37002,"24*",'Accounting data'!$K$2:$K$37002,"61*")</f>
        <v>48453</v>
      </c>
      <c r="E30" s="546">
        <f>SUMIFS('Accounting data'!$G$2:$G$37002,'Accounting data'!$H$2:$H$37002,"1000*",'Accounting data'!$I$2:$I$37002,"200*",'Accounting data'!$J$2:$J$37002,"24*",'Accounting data'!$K$2:$K$37002,"62*")+SUMIFS('Accounting data'!$G$2:$G$37002,'Accounting data'!$H$2:$H$37002,"1500*",'Accounting data'!$I$2:$I$37002,"200*",'Accounting data'!$J$2:$J$37002,"24*",'Accounting data'!$K$2:$K$37002,"62*")+SUMIFS('Accounting data'!$G$2:$G$37002,'Accounting data'!$H$2:$H$37002,"1000*",'Accounting data'!$I$2:$I$37002,"270*",'Accounting data'!$J$2:$J$37002,"24*",'Accounting data'!$K$2:$K$37002,"62*")+SUMIFS('Accounting data'!$G$2:$G$37002,'Accounting data'!$H$2:$H$37002,"1500*",'Accounting data'!$I$2:$I$37002,"270*",'Accounting data'!$J$2:$J$37002,"24*",'Accounting data'!$K$2:$K$37002,"62*")</f>
        <v>11356</v>
      </c>
      <c r="F30" s="546">
        <f>SUMIFS('Accounting data'!$G$2:$G$37002,'Accounting data'!$H$2:$H$37002,"1000*",'Accounting data'!$I$2:$I$37002,"200*",'Accounting data'!$J$2:$J$37002,"24*",'Accounting data'!$K$2:$K$37002,"63*")+SUMIFS('Accounting data'!$G$2:$G$37002,'Accounting data'!$H$2:$H$37002,"1500*",'Accounting data'!$I$2:$I$37002,"200*",'Accounting data'!$J$2:$J$37002,"24*",'Accounting data'!$K$2:$K$37002,"63*")+SUMIFS('Accounting data'!$G$2:$G$37002,'Accounting data'!$H$2:$H$37002,"1000*",'Accounting data'!$I$2:$I$37002,"270*",'Accounting data'!$J$2:$J$37002,"24*",'Accounting data'!$K$2:$K$37002,"63*")+SUMIFS('Accounting data'!$G$2:$G$37002,'Accounting data'!$H$2:$H$37002,"1500*",'Accounting data'!$I$2:$I$37002,"270*",'Accounting data'!$J$2:$J$37002,"24*",'Accounting data'!$K$2:$K$37002,"63*")</f>
        <v>0</v>
      </c>
      <c r="G30" s="546">
        <f>SUMIFS('Accounting data'!$G$2:$G$37002,'Accounting data'!$H$2:$H$37002,"1000*",'Accounting data'!$I$2:$I$37002,"200*",'Accounting data'!$J$2:$J$37002,"24*",'Accounting data'!$K$2:$K$37002,"66*")+SUMIFS('Accounting data'!$G$2:$G$37002,'Accounting data'!$H$2:$H$37002,"1500*",'Accounting data'!$I$2:$I$37002,"200*",'Accounting data'!$J$2:$J$37002,"24*",'Accounting data'!$K$2:$K$37002,"66*")+SUMIFS('Accounting data'!$G$2:$G$37002,'Accounting data'!$H$2:$H$37002,"1000*",'Accounting data'!$I$2:$I$37002,"270*",'Accounting data'!$J$2:$J$37002,"24*",'Accounting data'!$K$2:$K$37002,"66*")+SUMIFS('Accounting data'!$G$2:$G$37002,'Accounting data'!$H$2:$H$37002,"1500*",'Accounting data'!$I$2:$I$37002,"270*",'Accounting data'!$J$2:$J$37002,"24*",'Accounting data'!$K$2:$K$37002,"66*")</f>
        <v>0</v>
      </c>
      <c r="H30" s="546">
        <f>SUMIFS('Accounting data'!$G$2:$G$37002,'Accounting data'!$H$2:$H$37002,"1000*",'Accounting data'!$I$2:$I$37002,"200*",'Accounting data'!$J$2:$J$37002,"24*",'Accounting data'!$K$2:$K$37002,"68*")+SUMIFS('Accounting data'!$G$2:$G$37002,'Accounting data'!$H$2:$H$37002,"1500*",'Accounting data'!$I$2:$I$37002,"200*",'Accounting data'!$J$2:$J$37002,"24*",'Accounting data'!$K$2:$K$37002,"68*")+SUMIFS('Accounting data'!$G$2:$G$37002,'Accounting data'!$H$2:$H$37002,"1000*",'Accounting data'!$I$2:$I$37002,"270*",'Accounting data'!$J$2:$J$37002,"24*",'Accounting data'!$K$2:$K$37002,"68*")+SUMIFS('Accounting data'!$G$2:$G$37002,'Accounting data'!$H$2:$H$37002,"1500*",'Accounting data'!$I$2:$I$37002,"270*",'Accounting data'!$J$2:$J$37002,"24*",'Accounting data'!$K$2:$K$37002,"68*")</f>
        <v>0</v>
      </c>
      <c r="I30" s="545">
        <f>[1]!SP1000P200F2400</f>
        <v>50631</v>
      </c>
      <c r="J30" s="547">
        <f t="shared" si="3"/>
        <v>59809</v>
      </c>
      <c r="K30" s="545">
        <f>[2]!SP1000P200F2400</f>
        <v>13780</v>
      </c>
      <c r="L30" s="548">
        <f t="shared" si="4"/>
        <v>3.3403</v>
      </c>
      <c r="M30" s="61" t="s">
        <v>63</v>
      </c>
    </row>
    <row r="31" spans="1:25" ht="12" customHeight="1" x14ac:dyDescent="0.3">
      <c r="A31" s="84" t="s">
        <v>125</v>
      </c>
      <c r="C31" s="85" t="s">
        <v>65</v>
      </c>
      <c r="D31" s="546">
        <f>SUMIFS('Accounting data'!$G$2:$G$37002,'Accounting data'!$H$2:$H$37002,"1000*",'Accounting data'!$I$2:$I$37002,"200*",'Accounting data'!$J$2:$J$37002,"25*",'Accounting data'!$K$2:$K$37002,"61*")+SUMIFS('Accounting data'!$G$2:$G$37002,'Accounting data'!$H$2:$H$37002,"1500*",'Accounting data'!$I$2:$I$37002,"200*",'Accounting data'!$J$2:$J$37002,"25*",'Accounting data'!$K$2:$K$37002,"61*")+SUMIFS('Accounting data'!$G$2:$G$37002,'Accounting data'!$H$2:$H$37002,"1000*",'Accounting data'!$I$2:$I$37002,"270*",'Accounting data'!$J$2:$J$37002,"25*",'Accounting data'!$K$2:$K$37002,"61*")+SUMIFS('Accounting data'!$G$2:$G$37002,'Accounting data'!$H$2:$H$37002,"1500*",'Accounting data'!$I$2:$I$37002,"270*",'Accounting data'!$J$2:$J$37002,"25*",'Accounting data'!$K$2:$K$37002,"61*")</f>
        <v>0</v>
      </c>
      <c r="E31" s="546">
        <f>SUMIFS('Accounting data'!$G$2:$G$37002,'Accounting data'!$H$2:$H$37002,"1000*",'Accounting data'!$I$2:$I$37002,"200*",'Accounting data'!$J$2:$J$37002,"25*",'Accounting data'!$K$2:$K$37002,"62*")+SUMIFS('Accounting data'!$G$2:$G$37002,'Accounting data'!$H$2:$H$37002,"1500*",'Accounting data'!$I$2:$I$37002,"200*",'Accounting data'!$J$2:$J$37002,"25*",'Accounting data'!$K$2:$K$37002,"62*")+SUMIFS('Accounting data'!$G$2:$G$37002,'Accounting data'!$H$2:$H$37002,"1000*",'Accounting data'!$I$2:$I$37002,"270*",'Accounting data'!$J$2:$J$37002,"25*",'Accounting data'!$K$2:$K$37002,"62*")+SUMIFS('Accounting data'!$G$2:$G$37002,'Accounting data'!$H$2:$H$37002,"1500*",'Accounting data'!$I$2:$I$37002,"270*",'Accounting data'!$J$2:$J$37002,"25*",'Accounting data'!$K$2:$K$37002,"62*")</f>
        <v>0</v>
      </c>
      <c r="F31" s="546">
        <f>SUMIFS('Accounting data'!$G$2:$G$37002,'Accounting data'!$H$2:$H$37002,"1000*",'Accounting data'!$I$2:$I$37002,"200*",'Accounting data'!$J$2:$J$37002,"25*",'Accounting data'!$K$2:$K$37002,"63*")+SUMIFS('Accounting data'!$G$2:$G$37002,'Accounting data'!$H$2:$H$37002,"1500*",'Accounting data'!$I$2:$I$37002,"200*",'Accounting data'!$J$2:$J$37002,"25*",'Accounting data'!$K$2:$K$37002,"63*")+SUMIFS('Accounting data'!$G$2:$G$37002,'Accounting data'!$H$2:$H$37002,"1000*",'Accounting data'!$I$2:$I$37002,"270*",'Accounting data'!$J$2:$J$37002,"25*",'Accounting data'!$K$2:$K$37002,"63*")+SUMIFS('Accounting data'!$G$2:$G$37002,'Accounting data'!$H$2:$H$37002,"1500*",'Accounting data'!$I$2:$I$37002,"270*",'Accounting data'!$J$2:$J$37002,"25*",'Accounting data'!$K$2:$K$37002,"63*")</f>
        <v>0</v>
      </c>
      <c r="G31" s="546">
        <f>SUMIFS('Accounting data'!$G$2:$G$37002,'Accounting data'!$H$2:$H$37002,"1000*",'Accounting data'!$I$2:$I$37002,"200*",'Accounting data'!$J$2:$J$37002,"25*",'Accounting data'!$K$2:$K$37002,"66*")+SUMIFS('Accounting data'!$G$2:$G$37002,'Accounting data'!$H$2:$H$37002,"1500*",'Accounting data'!$I$2:$I$37002,"200*",'Accounting data'!$J$2:$J$37002,"25*",'Accounting data'!$K$2:$K$37002,"66*")+SUMIFS('Accounting data'!$G$2:$G$37002,'Accounting data'!$H$2:$H$37002,"1000*",'Accounting data'!$I$2:$I$37002,"270*",'Accounting data'!$J$2:$J$37002,"25*",'Accounting data'!$K$2:$K$37002,"66*")+SUMIFS('Accounting data'!$G$2:$G$37002,'Accounting data'!$H$2:$H$37002,"1500*",'Accounting data'!$I$2:$I$37002,"270*",'Accounting data'!$J$2:$J$37002,"25*",'Accounting data'!$K$2:$K$37002,"66*")</f>
        <v>0</v>
      </c>
      <c r="H31" s="546">
        <f>SUMIFS('Accounting data'!$G$2:$G$37002,'Accounting data'!$H$2:$H$37002,"1000*",'Accounting data'!$I$2:$I$37002,"200*",'Accounting data'!$J$2:$J$37002,"25*",'Accounting data'!$K$2:$K$37002,"68*")+SUMIFS('Accounting data'!$G$2:$G$37002,'Accounting data'!$H$2:$H$37002,"1500*",'Accounting data'!$I$2:$I$37002,"200*",'Accounting data'!$J$2:$J$37002,"25*",'Accounting data'!$K$2:$K$37002,"68*")+SUMIFS('Accounting data'!$G$2:$G$37002,'Accounting data'!$H$2:$H$37002,"1000*",'Accounting data'!$I$2:$I$37002,"270*",'Accounting data'!$J$2:$J$37002,"25*",'Accounting data'!$K$2:$K$37002,"68*")+SUMIFS('Accounting data'!$G$2:$G$37002,'Accounting data'!$H$2:$H$37002,"1500*",'Accounting data'!$I$2:$I$37002,"270*",'Accounting data'!$J$2:$J$37002,"25*",'Accounting data'!$K$2:$K$37002,"68*")</f>
        <v>0</v>
      </c>
      <c r="I31" s="545">
        <f>[1]!SP1000P200F2500</f>
        <v>0</v>
      </c>
      <c r="J31" s="547">
        <f t="shared" si="3"/>
        <v>0</v>
      </c>
      <c r="K31" s="545">
        <f>[2]!SP1000P200F2500</f>
        <v>0</v>
      </c>
      <c r="L31" s="548">
        <f t="shared" si="4"/>
        <v>0</v>
      </c>
      <c r="M31" s="61" t="s">
        <v>65</v>
      </c>
    </row>
    <row r="32" spans="1:25" ht="12" customHeight="1" x14ac:dyDescent="0.3">
      <c r="A32" s="84" t="s">
        <v>126</v>
      </c>
      <c r="C32" s="85" t="s">
        <v>67</v>
      </c>
      <c r="D32" s="546">
        <f>SUMIFS('Accounting data'!$G$2:$G$37002,'Accounting data'!$H$2:$H$37002,"1000*",'Accounting data'!$I$2:$I$37002,"200*",'Accounting data'!$J$2:$J$37002,"26*",'Accounting data'!$K$2:$K$37002,"61*")+SUMIFS('Accounting data'!$G$2:$G$37002,'Accounting data'!$H$2:$H$37002,"1500*",'Accounting data'!$I$2:$I$37002,"200*",'Accounting data'!$J$2:$J$37002,"26*",'Accounting data'!$K$2:$K$37002,"61*")+SUMIFS('Accounting data'!$G$2:$G$37002,'Accounting data'!$H$2:$H$37002,"1000*",'Accounting data'!$I$2:$I$37002,"270*",'Accounting data'!$J$2:$J$37002,"26*",'Accounting data'!$K$2:$K$37002,"61*")+SUMIFS('Accounting data'!$G$2:$G$37002,'Accounting data'!$H$2:$H$37002,"1500*",'Accounting data'!$I$2:$I$37002,"270*",'Accounting data'!$J$2:$J$37002,"26*",'Accounting data'!$K$2:$K$37002,"61*")</f>
        <v>0</v>
      </c>
      <c r="E32" s="546">
        <f>SUMIFS('Accounting data'!$G$2:$G$37002,'Accounting data'!$H$2:$H$37002,"1000*",'Accounting data'!$I$2:$I$37002,"200*",'Accounting data'!$J$2:$J$37002,"26*",'Accounting data'!$K$2:$K$37002,"62*")+SUMIFS('Accounting data'!$G$2:$G$37002,'Accounting data'!$H$2:$H$37002,"1500*",'Accounting data'!$I$2:$I$37002,"200*",'Accounting data'!$J$2:$J$37002,"26*",'Accounting data'!$K$2:$K$37002,"62*")+SUMIFS('Accounting data'!$G$2:$G$37002,'Accounting data'!$H$2:$H$37002,"1000*",'Accounting data'!$I$2:$I$37002,"270*",'Accounting data'!$J$2:$J$37002,"26*",'Accounting data'!$K$2:$K$37002,"62*")+SUMIFS('Accounting data'!$G$2:$G$37002,'Accounting data'!$H$2:$H$37002,"1500*",'Accounting data'!$I$2:$I$37002,"270*",'Accounting data'!$J$2:$J$37002,"26*",'Accounting data'!$K$2:$K$37002,"62*")</f>
        <v>0</v>
      </c>
      <c r="F32" s="546">
        <f>SUMIFS('Accounting data'!$G$2:$G$37002,'Accounting data'!$H$2:$H$37002,"1000*",'Accounting data'!$I$2:$I$37002,"200*",'Accounting data'!$J$2:$J$37002,"26*",'Accounting data'!$K$2:$K$37002,"63*")+SUMIFS('Accounting data'!$G$2:$G$37002,'Accounting data'!$H$2:$H$37002,"1500*",'Accounting data'!$I$2:$I$37002,"200*",'Accounting data'!$J$2:$J$37002,"26*",'Accounting data'!$K$2:$K$37002,"63*")+SUMIFS('Accounting data'!$G$2:$G$37002,'Accounting data'!$H$2:$H$37002,"1000*",'Accounting data'!$I$2:$I$37002,"270*",'Accounting data'!$J$2:$J$37002,"26*",'Accounting data'!$K$2:$K$37002,"63*")+SUMIFS('Accounting data'!$G$2:$G$37002,'Accounting data'!$H$2:$H$37002,"1500*",'Accounting data'!$I$2:$I$37002,"270*",'Accounting data'!$J$2:$J$37002,"26*",'Accounting data'!$K$2:$K$37002,"63*")</f>
        <v>0</v>
      </c>
      <c r="G32" s="546">
        <f>SUMIFS('Accounting data'!$G$2:$G$37002,'Accounting data'!$H$2:$H$37002,"1000*",'Accounting data'!$I$2:$I$37002,"200*",'Accounting data'!$J$2:$J$37002,"26*",'Accounting data'!$K$2:$K$37002,"66*")+SUMIFS('Accounting data'!$G$2:$G$37002,'Accounting data'!$H$2:$H$37002,"1500*",'Accounting data'!$I$2:$I$37002,"200*",'Accounting data'!$J$2:$J$37002,"26*",'Accounting data'!$K$2:$K$37002,"66*")+SUMIFS('Accounting data'!$G$2:$G$37002,'Accounting data'!$H$2:$H$37002,"1000*",'Accounting data'!$I$2:$I$37002,"270*",'Accounting data'!$J$2:$J$37002,"26*",'Accounting data'!$K$2:$K$37002,"66*")+SUMIFS('Accounting data'!$G$2:$G$37002,'Accounting data'!$H$2:$H$37002,"1500*",'Accounting data'!$I$2:$I$37002,"270*",'Accounting data'!$J$2:$J$37002,"26*",'Accounting data'!$K$2:$K$37002,"66*")</f>
        <v>0</v>
      </c>
      <c r="H32" s="546">
        <f>SUMIFS('Accounting data'!$G$2:$G$37002,'Accounting data'!$H$2:$H$37002,"1000*",'Accounting data'!$I$2:$I$37002,"200*",'Accounting data'!$J$2:$J$37002,"26*",'Accounting data'!$K$2:$K$37002,"68*")+SUMIFS('Accounting data'!$G$2:$G$37002,'Accounting data'!$H$2:$H$37002,"1500*",'Accounting data'!$I$2:$I$37002,"200*",'Accounting data'!$J$2:$J$37002,"26*",'Accounting data'!$K$2:$K$37002,"68*")+SUMIFS('Accounting data'!$G$2:$G$37002,'Accounting data'!$H$2:$H$37002,"1000*",'Accounting data'!$I$2:$I$37002,"270*",'Accounting data'!$J$2:$J$37002,"26*",'Accounting data'!$K$2:$K$37002,"68*")+SUMIFS('Accounting data'!$G$2:$G$37002,'Accounting data'!$H$2:$H$37002,"1500*",'Accounting data'!$I$2:$I$37002,"270*",'Accounting data'!$J$2:$J$37002,"26*",'Accounting data'!$K$2:$K$37002,"68*")</f>
        <v>0</v>
      </c>
      <c r="I32" s="545">
        <f>[1]!SP1000P200F2600</f>
        <v>0</v>
      </c>
      <c r="J32" s="547">
        <f t="shared" si="3"/>
        <v>0</v>
      </c>
      <c r="K32" s="545">
        <f>[2]!SP1000P200F2600</f>
        <v>0</v>
      </c>
      <c r="L32" s="548">
        <f t="shared" si="4"/>
        <v>0</v>
      </c>
      <c r="M32" s="61" t="s">
        <v>67</v>
      </c>
    </row>
    <row r="33" spans="1:13" ht="12" customHeight="1" x14ac:dyDescent="0.3">
      <c r="A33" s="84" t="s">
        <v>127</v>
      </c>
      <c r="C33" s="85" t="s">
        <v>69</v>
      </c>
      <c r="D33" s="546">
        <f>SUMIFS('Accounting data'!$G$2:$G$37002,'Accounting data'!$H$2:$H$37002,"1000*",'Accounting data'!$I$2:$I$37002,"200*",'Accounting data'!$J$2:$J$37002,"29*",'Accounting data'!$K$2:$K$37002,"61*")+SUMIFS('Accounting data'!$G$2:$G$37002,'Accounting data'!$H$2:$H$37002,"1500*",'Accounting data'!$I$2:$I$37002,"200*",'Accounting data'!$J$2:$J$37002,"29*",'Accounting data'!$K$2:$K$37002,"61*")+SUMIFS('Accounting data'!$G$2:$G$37002,'Accounting data'!$H$2:$H$37002,"1000*",'Accounting data'!$I$2:$I$37002,"270*",'Accounting data'!$J$2:$J$37002,"29*",'Accounting data'!$K$2:$K$37002,"61*")+SUMIFS('Accounting data'!$G$2:$G$37002,'Accounting data'!$H$2:$H$37002,"1500*",'Accounting data'!$I$2:$I$37002,"270*",'Accounting data'!$J$2:$J$37002,"29*",'Accounting data'!$K$2:$K$37002,"61*")</f>
        <v>0</v>
      </c>
      <c r="E33" s="546">
        <f>SUMIFS('Accounting data'!$G$2:$G$37002,'Accounting data'!$H$2:$H$37002,"1000*",'Accounting data'!$I$2:$I$37002,"200*",'Accounting data'!$J$2:$J$37002,"29*",'Accounting data'!$K$2:$K$37002,"62*")+SUMIFS('Accounting data'!$G$2:$G$37002,'Accounting data'!$H$2:$H$37002,"1500*",'Accounting data'!$I$2:$I$37002,"200*",'Accounting data'!$J$2:$J$37002,"29*",'Accounting data'!$K$2:$K$37002,"62*")+SUMIFS('Accounting data'!$G$2:$G$37002,'Accounting data'!$H$2:$H$37002,"1000*",'Accounting data'!$I$2:$I$37002,"270*",'Accounting data'!$J$2:$J$37002,"29*",'Accounting data'!$K$2:$K$37002,"62*")+SUMIFS('Accounting data'!$G$2:$G$37002,'Accounting data'!$H$2:$H$37002,"1500*",'Accounting data'!$I$2:$I$37002,"270*",'Accounting data'!$J$2:$J$37002,"29*",'Accounting data'!$K$2:$K$37002,"62*")</f>
        <v>0</v>
      </c>
      <c r="F33" s="546">
        <f>SUMIFS('Accounting data'!$G$2:$G$37002,'Accounting data'!$H$2:$H$37002,"1000*",'Accounting data'!$I$2:$I$37002,"200*",'Accounting data'!$J$2:$J$37002,"29*",'Accounting data'!$K$2:$K$37002,"63*")+SUMIFS('Accounting data'!$G$2:$G$37002,'Accounting data'!$H$2:$H$37002,"1500*",'Accounting data'!$I$2:$I$37002,"200*",'Accounting data'!$J$2:$J$37002,"29*",'Accounting data'!$K$2:$K$37002,"63*")+SUMIFS('Accounting data'!$G$2:$G$37002,'Accounting data'!$H$2:$H$37002,"1000*",'Accounting data'!$I$2:$I$37002,"270*",'Accounting data'!$J$2:$J$37002,"29*",'Accounting data'!$K$2:$K$37002,"63*")+SUMIFS('Accounting data'!$G$2:$G$37002,'Accounting data'!$H$2:$H$37002,"1500*",'Accounting data'!$I$2:$I$37002,"270*",'Accounting data'!$J$2:$J$37002,"29*",'Accounting data'!$K$2:$K$37002,"63*")</f>
        <v>0</v>
      </c>
      <c r="G33" s="546">
        <f>SUMIFS('Accounting data'!$G$2:$G$37002,'Accounting data'!$H$2:$H$37002,"1000*",'Accounting data'!$I$2:$I$37002,"200*",'Accounting data'!$J$2:$J$37002,"29*",'Accounting data'!$K$2:$K$37002,"66*")+SUMIFS('Accounting data'!$G$2:$G$37002,'Accounting data'!$H$2:$H$37002,"1500*",'Accounting data'!$I$2:$I$37002,"200*",'Accounting data'!$J$2:$J$37002,"29*",'Accounting data'!$K$2:$K$37002,"66*")+SUMIFS('Accounting data'!$G$2:$G$37002,'Accounting data'!$H$2:$H$37002,"1000*",'Accounting data'!$I$2:$I$37002,"270*",'Accounting data'!$J$2:$J$37002,"29*",'Accounting data'!$K$2:$K$37002,"66*")+SUMIFS('Accounting data'!$G$2:$G$37002,'Accounting data'!$H$2:$H$37002,"1500*",'Accounting data'!$I$2:$I$37002,"270*",'Accounting data'!$J$2:$J$37002,"29*",'Accounting data'!$K$2:$K$37002,"66*")</f>
        <v>0</v>
      </c>
      <c r="H33" s="546">
        <f>SUMIFS('Accounting data'!$G$2:$G$37002,'Accounting data'!$H$2:$H$37002,"1000*",'Accounting data'!$I$2:$I$37002,"200*",'Accounting data'!$J$2:$J$37002,"29*",'Accounting data'!$K$2:$K$37002,"68*")+SUMIFS('Accounting data'!$G$2:$G$37002,'Accounting data'!$H$2:$H$37002,"1500*",'Accounting data'!$I$2:$I$37002,"200*",'Accounting data'!$J$2:$J$37002,"29*",'Accounting data'!$K$2:$K$37002,"68*")+SUMIFS('Accounting data'!$G$2:$G$37002,'Accounting data'!$H$2:$H$37002,"1000*",'Accounting data'!$I$2:$I$37002,"270*",'Accounting data'!$J$2:$J$37002,"29*",'Accounting data'!$K$2:$K$37002,"68*")+SUMIFS('Accounting data'!$G$2:$G$37002,'Accounting data'!$H$2:$H$37002,"1500*",'Accounting data'!$I$2:$I$37002,"270*",'Accounting data'!$J$2:$J$37002,"29*",'Accounting data'!$K$2:$K$37002,"68*")</f>
        <v>0</v>
      </c>
      <c r="I33" s="545">
        <f>[1]!SP1000P200F2900</f>
        <v>0</v>
      </c>
      <c r="J33" s="547">
        <f t="shared" si="3"/>
        <v>0</v>
      </c>
      <c r="K33" s="545">
        <f>[2]!SP1000P200F2900</f>
        <v>0</v>
      </c>
      <c r="L33" s="548">
        <f t="shared" si="4"/>
        <v>0</v>
      </c>
      <c r="M33" s="61" t="s">
        <v>69</v>
      </c>
    </row>
    <row r="34" spans="1:13" ht="12" customHeight="1" x14ac:dyDescent="0.3">
      <c r="A34" s="84" t="s">
        <v>128</v>
      </c>
      <c r="C34" s="85" t="s">
        <v>71</v>
      </c>
      <c r="D34" s="546">
        <f>SUMIFS('Accounting data'!$G$2:$G$37002,'Accounting data'!$H$2:$H$37002,"1000*",'Accounting data'!$I$2:$I$37002,"200*",'Accounting data'!$J$2:$J$37002,"3*",'Accounting data'!$K$2:$K$37002,"61*")+SUMIFS('Accounting data'!$G$2:$G$37002,'Accounting data'!$H$2:$H$37002,"1500*",'Accounting data'!$I$2:$I$37002,"200*",'Accounting data'!$J$2:$J$37002,"3*",'Accounting data'!$K$2:$K$37002,"61*")+SUMIFS('Accounting data'!$G$2:$G$37002,'Accounting data'!$H$2:$H$37002,"1000*",'Accounting data'!$I$2:$I$37002,"270*",'Accounting data'!$J$2:$J$37002,"3*",'Accounting data'!$K$2:$K$37002,"61*")+SUMIFS('Accounting data'!$G$2:$G$37002,'Accounting data'!$H$2:$H$37002,"1500*",'Accounting data'!$I$2:$I$37002,"270*",'Accounting data'!$J$2:$J$37002,"3*",'Accounting data'!$K$2:$K$37002,"61*")</f>
        <v>0</v>
      </c>
      <c r="E34" s="546">
        <f>SUMIFS('Accounting data'!$G$2:$G$37002,'Accounting data'!$H$2:$H$37002,"1000*",'Accounting data'!$I$2:$I$37002,"200*",'Accounting data'!$J$2:$J$37002,"3*",'Accounting data'!$K$2:$K$37002,"62*")+SUMIFS('Accounting data'!$G$2:$G$37002,'Accounting data'!$H$2:$H$37002,"1500*",'Accounting data'!$I$2:$I$37002,"200*",'Accounting data'!$J$2:$J$37002,"3*",'Accounting data'!$K$2:$K$37002,"62*")+SUMIFS('Accounting data'!$G$2:$G$37002,'Accounting data'!$H$2:$H$37002,"1000*",'Accounting data'!$I$2:$I$37002,"270*",'Accounting data'!$J$2:$J$37002,"3*",'Accounting data'!$K$2:$K$37002,"62*")+SUMIFS('Accounting data'!$G$2:$G$37002,'Accounting data'!$H$2:$H$37002,"1500*",'Accounting data'!$I$2:$I$37002,"270*",'Accounting data'!$J$2:$J$37002,"3*",'Accounting data'!$K$2:$K$37002,"62*")</f>
        <v>0</v>
      </c>
      <c r="F34" s="546">
        <f>SUMIFS('Accounting data'!$G$2:$G$37002,'Accounting data'!$H$2:$H$37002,"1000*",'Accounting data'!$I$2:$I$37002,"200*",'Accounting data'!$J$2:$J$37002,"3*",'Accounting data'!$K$2:$K$37002,"63*")+SUMIFS('Accounting data'!$G$2:$G$37002,'Accounting data'!$H$2:$H$37002,"1500*",'Accounting data'!$I$2:$I$37002,"200*",'Accounting data'!$J$2:$J$37002,"3*",'Accounting data'!$K$2:$K$37002,"63*")+SUMIFS('Accounting data'!$G$2:$G$37002,'Accounting data'!$H$2:$H$37002,"1000*",'Accounting data'!$I$2:$I$37002,"270*",'Accounting data'!$J$2:$J$37002,"3*",'Accounting data'!$K$2:$K$37002,"63*")+SUMIFS('Accounting data'!$G$2:$G$37002,'Accounting data'!$H$2:$H$37002,"1500*",'Accounting data'!$I$2:$I$37002,"270*",'Accounting data'!$J$2:$J$37002,"3*",'Accounting data'!$K$2:$K$37002,"63*")</f>
        <v>0</v>
      </c>
      <c r="G34" s="546">
        <f>SUMIFS('Accounting data'!$G$2:$G$37002,'Accounting data'!$H$2:$H$37002,"1000*",'Accounting data'!$I$2:$I$37002,"200*",'Accounting data'!$J$2:$J$37002,"3*",'Accounting data'!$K$2:$K$37002,"66*")+SUMIFS('Accounting data'!$G$2:$G$37002,'Accounting data'!$H$2:$H$37002,"1500*",'Accounting data'!$I$2:$I$37002,"200*",'Accounting data'!$J$2:$J$37002,"3*",'Accounting data'!$K$2:$K$37002,"66*")+SUMIFS('Accounting data'!$G$2:$G$37002,'Accounting data'!$H$2:$H$37002,"1000*",'Accounting data'!$I$2:$I$37002,"270*",'Accounting data'!$J$2:$J$37002,"3*",'Accounting data'!$K$2:$K$37002,"66*")+SUMIFS('Accounting data'!$G$2:$G$37002,'Accounting data'!$H$2:$H$37002,"1500*",'Accounting data'!$I$2:$I$37002,"270*",'Accounting data'!$J$2:$J$37002,"3*",'Accounting data'!$K$2:$K$37002,"66*")</f>
        <v>0</v>
      </c>
      <c r="H34" s="546">
        <f>SUMIFS('Accounting data'!$G$2:$G$37002,'Accounting data'!$H$2:$H$37002,"1000*",'Accounting data'!$I$2:$I$37002,"200*",'Accounting data'!$J$2:$J$37002,"3*",'Accounting data'!$K$2:$K$37002,"68*")+SUMIFS('Accounting data'!$G$2:$G$37002,'Accounting data'!$H$2:$H$37002,"1500*",'Accounting data'!$I$2:$I$37002,"200*",'Accounting data'!$J$2:$J$37002,"3*",'Accounting data'!$K$2:$K$37002,"68*")+SUMIFS('Accounting data'!$G$2:$G$37002,'Accounting data'!$H$2:$H$37002,"1000*",'Accounting data'!$I$2:$I$37002,"270*",'Accounting data'!$J$2:$J$37002,"3*",'Accounting data'!$K$2:$K$37002,"68*")+SUMIFS('Accounting data'!$G$2:$G$37002,'Accounting data'!$H$2:$H$37002,"1500*",'Accounting data'!$I$2:$I$37002,"270*",'Accounting data'!$J$2:$J$37002,"3*",'Accounting data'!$K$2:$K$37002,"68*")</f>
        <v>0</v>
      </c>
      <c r="I34" s="545">
        <f>[1]!SP1000P200F3000</f>
        <v>0</v>
      </c>
      <c r="J34" s="547">
        <f t="shared" si="3"/>
        <v>0</v>
      </c>
      <c r="K34" s="545">
        <f>[2]!SP1000P200F3000</f>
        <v>0</v>
      </c>
      <c r="L34" s="548">
        <f t="shared" si="4"/>
        <v>0</v>
      </c>
      <c r="M34" s="61" t="s">
        <v>71</v>
      </c>
    </row>
    <row r="35" spans="1:13" ht="12" customHeight="1" x14ac:dyDescent="0.3">
      <c r="A35" s="84" t="s">
        <v>129</v>
      </c>
      <c r="C35" s="85" t="s">
        <v>73</v>
      </c>
      <c r="D35" s="546">
        <f>SUMIFS('Accounting data'!$G$2:$G$37002,'Accounting data'!$H$2:$H$37002,"1000*",'Accounting data'!$I$2:$I$37002,"200*",'Accounting data'!$J$2:$J$37002,"4*",'Accounting data'!$K$2:$K$37002,"61*")+SUMIFS('Accounting data'!$G$2:$G$37002,'Accounting data'!$H$2:$H$37002,"1500*",'Accounting data'!$I$2:$I$37002,"200*",'Accounting data'!$J$2:$J$37002,"4*",'Accounting data'!$K$2:$K$37002,"61*")+SUMIFS('Accounting data'!$G$2:$G$37002,'Accounting data'!$H$2:$H$37002,"1000*",'Accounting data'!$I$2:$I$37002,"270*",'Accounting data'!$J$2:$J$37002,"4*",'Accounting data'!$K$2:$K$37002,"61*")+SUMIFS('Accounting data'!$G$2:$G$37002,'Accounting data'!$H$2:$H$37002,"1500*",'Accounting data'!$I$2:$I$37002,"270*",'Accounting data'!$J$2:$J$37002,"4*",'Accounting data'!$K$2:$K$37002,"61*")</f>
        <v>0</v>
      </c>
      <c r="E35" s="546">
        <f>SUMIFS('Accounting data'!$G$2:$G$37002,'Accounting data'!$H$2:$H$37002,"1000*",'Accounting data'!$I$2:$I$37002,"200*",'Accounting data'!$J$2:$J$37002,"4*",'Accounting data'!$K$2:$K$37002,"62*")+SUMIFS('Accounting data'!$G$2:$G$37002,'Accounting data'!$H$2:$H$37002,"1500*",'Accounting data'!$I$2:$I$37002,"200*",'Accounting data'!$J$2:$J$37002,"4*",'Accounting data'!$K$2:$K$37002,"62*")+SUMIFS('Accounting data'!$G$2:$G$37002,'Accounting data'!$H$2:$H$37002,"1000*",'Accounting data'!$I$2:$I$37002,"270*",'Accounting data'!$J$2:$J$37002,"4*",'Accounting data'!$K$2:$K$37002,"62*")+SUMIFS('Accounting data'!$G$2:$G$37002,'Accounting data'!$H$2:$H$37002,"1500*",'Accounting data'!$I$2:$I$37002,"270*",'Accounting data'!$J$2:$J$37002,"4*",'Accounting data'!$K$2:$K$37002,"62*")</f>
        <v>0</v>
      </c>
      <c r="F35" s="546">
        <f>SUMIFS('Accounting data'!$G$2:$G$37002,'Accounting data'!$H$2:$H$37002,"1000*",'Accounting data'!$I$2:$I$37002,"200*",'Accounting data'!$J$2:$J$37002,"4*",'Accounting data'!$K$2:$K$37002,"63*")+SUMIFS('Accounting data'!$G$2:$G$37002,'Accounting data'!$H$2:$H$37002,"1500*",'Accounting data'!$I$2:$I$37002,"200*",'Accounting data'!$J$2:$J$37002,"4*",'Accounting data'!$K$2:$K$37002,"63*")+SUMIFS('Accounting data'!$G$2:$G$37002,'Accounting data'!$H$2:$H$37002,"1000*",'Accounting data'!$I$2:$I$37002,"270*",'Accounting data'!$J$2:$J$37002,"4*",'Accounting data'!$K$2:$K$37002,"63*")+SUMIFS('Accounting data'!$G$2:$G$37002,'Accounting data'!$H$2:$H$37002,"1500*",'Accounting data'!$I$2:$I$37002,"270*",'Accounting data'!$J$2:$J$37002,"4*",'Accounting data'!$K$2:$K$37002,"63*")</f>
        <v>0</v>
      </c>
      <c r="G35" s="546">
        <f>SUMIFS('Accounting data'!$G$2:$G$37002,'Accounting data'!$H$2:$H$37002,"1000*",'Accounting data'!$I$2:$I$37002,"200*",'Accounting data'!$J$2:$J$37002,"4*",'Accounting data'!$K$2:$K$37002,"66*")+SUMIFS('Accounting data'!$G$2:$G$37002,'Accounting data'!$H$2:$H$37002,"1500*",'Accounting data'!$I$2:$I$37002,"200*",'Accounting data'!$J$2:$J$37002,"4*",'Accounting data'!$K$2:$K$37002,"66*")+SUMIFS('Accounting data'!$G$2:$G$37002,'Accounting data'!$H$2:$H$37002,"1000*",'Accounting data'!$I$2:$I$37002,"270*",'Accounting data'!$J$2:$J$37002,"4*",'Accounting data'!$K$2:$K$37002,"66*")+SUMIFS('Accounting data'!$G$2:$G$37002,'Accounting data'!$H$2:$H$37002,"1500*",'Accounting data'!$I$2:$I$37002,"270*",'Accounting data'!$J$2:$J$37002,"4*",'Accounting data'!$K$2:$K$37002,"66*")</f>
        <v>0</v>
      </c>
      <c r="H35" s="546">
        <f>SUMIFS('Accounting data'!$G$2:$G$37002,'Accounting data'!$H$2:$H$37002,"1000*",'Accounting data'!$I$2:$I$37002,"200*",'Accounting data'!$J$2:$J$37002,"4*",'Accounting data'!$K$2:$K$37002,"68*")+SUMIFS('Accounting data'!$G$2:$G$37002,'Accounting data'!$H$2:$H$37002,"1500*",'Accounting data'!$I$2:$I$37002,"200*",'Accounting data'!$J$2:$J$37002,"4*",'Accounting data'!$K$2:$K$37002,"68*")+SUMIFS('Accounting data'!$G$2:$G$37002,'Accounting data'!$H$2:$H$37002,"1000*",'Accounting data'!$I$2:$I$37002,"270*",'Accounting data'!$J$2:$J$37002,"4*",'Accounting data'!$K$2:$K$37002,"68*")+SUMIFS('Accounting data'!$G$2:$G$37002,'Accounting data'!$H$2:$H$37002,"1500*",'Accounting data'!$I$2:$I$37002,"270*",'Accounting data'!$J$2:$J$37002,"4*",'Accounting data'!$K$2:$K$37002,"68*")</f>
        <v>0</v>
      </c>
      <c r="I35" s="545">
        <f>[1]!SP1000P200F4000</f>
        <v>0</v>
      </c>
      <c r="J35" s="547">
        <f t="shared" si="3"/>
        <v>0</v>
      </c>
      <c r="K35" s="545">
        <f>[2]!SP1000P200F4000</f>
        <v>0</v>
      </c>
      <c r="L35" s="548">
        <f t="shared" si="4"/>
        <v>0</v>
      </c>
      <c r="M35" s="61" t="s">
        <v>73</v>
      </c>
    </row>
    <row r="36" spans="1:13" ht="12" customHeight="1" x14ac:dyDescent="0.3">
      <c r="A36" s="84" t="s">
        <v>130</v>
      </c>
      <c r="C36" s="85" t="s">
        <v>75</v>
      </c>
      <c r="D36" s="546">
        <f>SUMIFS('Accounting data'!$G$2:$G$37002,'Accounting data'!$H$2:$H$37002,"1000*",'Accounting data'!$I$2:$I$37002,"200*",'Accounting data'!$J$2:$J$37002,"5*",'Accounting data'!$K$2:$K$37002,"61*")+SUMIFS('Accounting data'!$G$2:$G$37002,'Accounting data'!$H$2:$H$37002,"1500*",'Accounting data'!$I$2:$I$37002,"200*",'Accounting data'!$J$2:$J$37002,"5*",'Accounting data'!$K$2:$K$37002,"61*")+SUMIFS('Accounting data'!$G$2:$G$37002,'Accounting data'!$H$2:$H$37002,"1000*",'Accounting data'!$I$2:$I$37002,"270*",'Accounting data'!$J$2:$J$37002,"5*",'Accounting data'!$K$2:$K$37002,"61*")+SUMIFS('Accounting data'!$G$2:$G$37002,'Accounting data'!$H$2:$H$37002,"1500*",'Accounting data'!$I$2:$I$37002,"270*",'Accounting data'!$J$2:$J$37002,"5*",'Accounting data'!$K$2:$K$37002,"61*")</f>
        <v>0</v>
      </c>
      <c r="E36" s="546">
        <f>SUMIFS('Accounting data'!$G$2:$G$37002,'Accounting data'!$H$2:$H$37002,"1000*",'Accounting data'!$I$2:$I$37002,"200*",'Accounting data'!$J$2:$J$37002,"5*",'Accounting data'!$K$2:$K$37002,"62*")+SUMIFS('Accounting data'!$G$2:$G$37002,'Accounting data'!$H$2:$H$37002,"1500*",'Accounting data'!$I$2:$I$37002,"200*",'Accounting data'!$J$2:$J$37002,"5*",'Accounting data'!$K$2:$K$37002,"62*")+SUMIFS('Accounting data'!$G$2:$G$37002,'Accounting data'!$H$2:$H$37002,"1000*",'Accounting data'!$I$2:$I$37002,"270*",'Accounting data'!$J$2:$J$37002,"5*",'Accounting data'!$K$2:$K$37002,"62*")+SUMIFS('Accounting data'!$G$2:$G$37002,'Accounting data'!$H$2:$H$37002,"1500*",'Accounting data'!$I$2:$I$37002,"270*",'Accounting data'!$J$2:$J$37002,"5*",'Accounting data'!$K$2:$K$37002,"62*")</f>
        <v>0</v>
      </c>
      <c r="F36" s="546">
        <f>SUMIFS('Accounting data'!$G$2:$G$37002,'Accounting data'!$H$2:$H$37002,"1000*",'Accounting data'!$I$2:$I$37002,"200*",'Accounting data'!$J$2:$J$37002,"5*",'Accounting data'!$K$2:$K$37002,"63*")+SUMIFS('Accounting data'!$G$2:$G$37002,'Accounting data'!$H$2:$H$37002,"1500*",'Accounting data'!$I$2:$I$37002,"200*",'Accounting data'!$J$2:$J$37002,"5*",'Accounting data'!$K$2:$K$37002,"63*")+SUMIFS('Accounting data'!$G$2:$G$37002,'Accounting data'!$H$2:$H$37002,"1000*",'Accounting data'!$I$2:$I$37002,"270*",'Accounting data'!$J$2:$J$37002,"5*",'Accounting data'!$K$2:$K$37002,"63*")+SUMIFS('Accounting data'!$G$2:$G$37002,'Accounting data'!$H$2:$H$37002,"1500*",'Accounting data'!$I$2:$I$37002,"270*",'Accounting data'!$J$2:$J$37002,"5*",'Accounting data'!$K$2:$K$37002,"63*")</f>
        <v>0</v>
      </c>
      <c r="G36" s="546">
        <f>SUMIFS('Accounting data'!$G$2:$G$37002,'Accounting data'!$H$2:$H$37002,"1000*",'Accounting data'!$I$2:$I$37002,"200*",'Accounting data'!$J$2:$J$37002,"5*",'Accounting data'!$K$2:$K$37002,"66*")+SUMIFS('Accounting data'!$G$2:$G$37002,'Accounting data'!$H$2:$H$37002,"1500*",'Accounting data'!$I$2:$I$37002,"200*",'Accounting data'!$J$2:$J$37002,"5*",'Accounting data'!$K$2:$K$37002,"66*")+SUMIFS('Accounting data'!$G$2:$G$37002,'Accounting data'!$H$2:$H$37002,"1000*",'Accounting data'!$I$2:$I$37002,"270*",'Accounting data'!$J$2:$J$37002,"5*",'Accounting data'!$K$2:$K$37002,"66*")+SUMIFS('Accounting data'!$G$2:$G$37002,'Accounting data'!$H$2:$H$37002,"1500*",'Accounting data'!$I$2:$I$37002,"270*",'Accounting data'!$J$2:$J$37002,"5*",'Accounting data'!$K$2:$K$37002,"66*")</f>
        <v>0</v>
      </c>
      <c r="H36" s="546">
        <f>SUMIFS('Accounting data'!$G$2:$G$37002,'Accounting data'!$H$2:$H$37002,"1000*",'Accounting data'!$I$2:$I$37002,"200*",'Accounting data'!$J$2:$J$37002,"5*",'Accounting data'!$K$2:$K$37002,"68*")+SUMIFS('Accounting data'!$G$2:$G$37002,'Accounting data'!$H$2:$H$37002,"1500*",'Accounting data'!$I$2:$I$37002,"200*",'Accounting data'!$J$2:$J$37002,"5*",'Accounting data'!$K$2:$K$37002,"68*")+SUMIFS('Accounting data'!$G$2:$G$37002,'Accounting data'!$H$2:$H$37002,"1000*",'Accounting data'!$I$2:$I$37002,"270*",'Accounting data'!$J$2:$J$37002,"5*",'Accounting data'!$K$2:$K$37002,"68*")+SUMIFS('Accounting data'!$G$2:$G$37002,'Accounting data'!$H$2:$H$37002,"1500*",'Accounting data'!$I$2:$I$37002,"270*",'Accounting data'!$J$2:$J$37002,"5*",'Accounting data'!$K$2:$K$37002,"68*")</f>
        <v>0</v>
      </c>
      <c r="I36" s="545">
        <f>[1]!SP1000P200F5000</f>
        <v>0</v>
      </c>
      <c r="J36" s="547">
        <f t="shared" si="3"/>
        <v>0</v>
      </c>
      <c r="K36" s="545">
        <f>[2]!SP1000P200F5000</f>
        <v>0</v>
      </c>
      <c r="L36" s="548">
        <f t="shared" si="4"/>
        <v>0</v>
      </c>
      <c r="M36" s="61" t="s">
        <v>75</v>
      </c>
    </row>
    <row r="37" spans="1:13" ht="12" customHeight="1" x14ac:dyDescent="0.3">
      <c r="A37" s="88" t="s">
        <v>131</v>
      </c>
      <c r="B37" s="6"/>
      <c r="C37" s="91" t="s">
        <v>77</v>
      </c>
      <c r="D37" s="546">
        <f>SUM(D25:D36)</f>
        <v>68894</v>
      </c>
      <c r="E37" s="546">
        <f t="shared" ref="E37:G37" si="5">SUM(E25:E36)</f>
        <v>19537</v>
      </c>
      <c r="F37" s="546">
        <f t="shared" si="5"/>
        <v>8045</v>
      </c>
      <c r="G37" s="546">
        <f t="shared" si="5"/>
        <v>3390</v>
      </c>
      <c r="H37" s="546">
        <f>SUM(H25:H36)</f>
        <v>0</v>
      </c>
      <c r="I37" s="546">
        <f>SUM(I25:I36)</f>
        <v>99866</v>
      </c>
      <c r="J37" s="546">
        <f>SUM(J25:J36)</f>
        <v>99866</v>
      </c>
      <c r="K37" s="546">
        <f>SUM(K25:K36)</f>
        <v>93866</v>
      </c>
      <c r="L37" s="92">
        <f t="shared" si="4"/>
        <v>6.3899999999999998E-2</v>
      </c>
      <c r="M37" s="93" t="s">
        <v>77</v>
      </c>
    </row>
    <row r="38" spans="1:13" ht="12" customHeight="1" x14ac:dyDescent="0.3">
      <c r="A38" s="94" t="s">
        <v>132</v>
      </c>
      <c r="B38" s="95"/>
      <c r="C38" s="91" t="s">
        <v>79</v>
      </c>
      <c r="D38" s="546">
        <f>SUMIFS('Accounting data'!$G$2:$G$37002,'Accounting data'!$H$2:$H$37002,"1000*",'Accounting data'!$I$2:$I$37002,"400*",'Accounting data'!$K$2:$K$37002,"61*")+SUMIFS('Accounting data'!$G$2:$G$37002,'Accounting data'!$H$2:$H$37002,"1500*",'Accounting data'!$I$2:$I$37002,"400*",'Accounting data'!$K$2:$K$37002,"61*")</f>
        <v>2629</v>
      </c>
      <c r="E38" s="546">
        <f>SUMIFS('Accounting data'!$G$2:$G$37002,'Accounting data'!$H$2:$H$37002,"1000*",'Accounting data'!$I$2:$I$37002,"400*",'Accounting data'!$K$2:$K$37002,"62*")+SUMIFS('Accounting data'!$G$2:$G$37002,'Accounting data'!$H$2:$H$37002,"1500*",'Accounting data'!$I$2:$I$37002,"400*",'Accounting data'!$K$2:$K$37002,"62*")</f>
        <v>515</v>
      </c>
      <c r="F38" s="546">
        <f>SUMIFS('Accounting data'!$G$2:$G$37002,'Accounting data'!$H$2:$H$37002,"1000*",'Accounting data'!$I$2:$I$37002,"400*",'Accounting data'!$K$2:$K$37002,"63*")+SUMIFS('Accounting data'!$G$2:$G$37002,'Accounting data'!$H$2:$H$37002,"1500*",'Accounting data'!$I$2:$I$37002,"400*",'Accounting data'!$K$2:$K$37002,"63*")</f>
        <v>260</v>
      </c>
      <c r="G38" s="546">
        <f>SUMIFS('Accounting data'!$G$2:$G$37002,'Accounting data'!$H$2:$H$37002,"1000*",'Accounting data'!$I$2:$I$37002,"400*",'Accounting data'!$K$2:$K$37002,"66*")+SUMIFS('Accounting data'!$G$2:$G$37002,'Accounting data'!$H$2:$H$37002,"1500*",'Accounting data'!$I$2:$I$37002,"400*",'Accounting data'!$K$2:$K$37002,"66*")</f>
        <v>3303</v>
      </c>
      <c r="H38" s="546">
        <f>SUMIFS('Accounting data'!$G$2:$G$37002,'Accounting data'!$H$2:$H$37002,"1000*",'Accounting data'!$I$2:$I$37002,"400*",'Accounting data'!$K$2:$K$37002,"68*")+SUMIFS('Accounting data'!$G$2:$G$37002,'Accounting data'!$H$2:$H$37002,"1500*",'Accounting data'!$I$2:$I$37002,"400*",'Accounting data'!$K$2:$K$37002,"68*")</f>
        <v>103</v>
      </c>
      <c r="I38" s="545">
        <f>[1]!SP1000P400</f>
        <v>8473</v>
      </c>
      <c r="J38" s="547">
        <f>SUM(D38:H38)</f>
        <v>6810</v>
      </c>
      <c r="K38" s="545">
        <f>[2]!SP1000P400</f>
        <v>26030</v>
      </c>
      <c r="L38" s="548">
        <f t="shared" si="4"/>
        <v>-0.73839999999999995</v>
      </c>
      <c r="M38" s="93" t="s">
        <v>79</v>
      </c>
    </row>
    <row r="39" spans="1:13" ht="12" customHeight="1" x14ac:dyDescent="0.3">
      <c r="A39" s="94" t="s">
        <v>133</v>
      </c>
      <c r="B39" s="95"/>
      <c r="C39" s="96" t="s">
        <v>81</v>
      </c>
      <c r="D39" s="546">
        <f>SUMIFS('Accounting data'!$G$2:$G$37002,'Accounting data'!$H$2:$H$37002,"1000*",'Accounting data'!$I$2:$I$37002,"53*",'Accounting data'!$K$2:$K$37002,"61*")+SUMIFS('Accounting data'!$G$2:$G$37002,'Accounting data'!$H$2:$H$37002,"1500*",'Accounting data'!$I$2:$I$37002,"53*",'Accounting data'!$K$2:$K$37002,"61*")</f>
        <v>0</v>
      </c>
      <c r="E39" s="546">
        <f>SUMIFS('Accounting data'!$G$2:$G$37002,'Accounting data'!$H$2:$H$37002,"1000*",'Accounting data'!$I$2:$I$37002,"53*",'Accounting data'!$K$2:$K$37002,"62*")+SUMIFS('Accounting data'!$G$2:$G$37002,'Accounting data'!$H$2:$H$37002,"1000*",'Accounting data'!$I$2:$I$37002,"53*",'Accounting data'!$K$2:$K$37002,"62*")</f>
        <v>0</v>
      </c>
      <c r="F39" s="546">
        <f>SUMIFS('Accounting data'!$G$2:$G$37002,'Accounting data'!$H$2:$H$37002,"1000*",'Accounting data'!$I$2:$I$37002,"53*",'Accounting data'!$K$2:$K$37002,"63*")+SUMIFS('Accounting data'!$G$2:$G$37002,'Accounting data'!$H$2:$H$37002,"1500*",'Accounting data'!$I$2:$I$37002,"53*",'Accounting data'!$K$2:$K$37002,"63*")</f>
        <v>0</v>
      </c>
      <c r="G39" s="546">
        <f>SUMIFS('Accounting data'!$G$2:$G$37002,'Accounting data'!$H$2:$H$37002,"1000*",'Accounting data'!$I$2:$I$37002,"53*",'Accounting data'!$K$2:$K$37002,"66*")+SUMIFS('Accounting data'!$G$2:$G$37002,'Accounting data'!$H$2:$H$37002,"1500*",'Accounting data'!$I$2:$I$37002,"53*",'Accounting data'!$K$2:$K$37002,"66*")</f>
        <v>0</v>
      </c>
      <c r="H39" s="546">
        <f>SUMIFS('Accounting data'!$G$2:$G$37002,'Accounting data'!$H$2:$H$37002,"1000*",'Accounting data'!$I$2:$I$37002,"53*",'Accounting data'!$K$2:$K$37002,"68*")+SUMIFS('Accounting data'!$G$2:$G$37002,'Accounting data'!$H$2:$H$37002,"1500*",'Accounting data'!$I$2:$I$37002,"53*",'Accounting data'!$K$2:$K$37002,"68*")</f>
        <v>0</v>
      </c>
      <c r="I39" s="545">
        <f>[1]!SP1000P530</f>
        <v>0</v>
      </c>
      <c r="J39" s="547">
        <f>SUM(D39:H39)</f>
        <v>0</v>
      </c>
      <c r="K39" s="545">
        <f>[2]!SP1000P530</f>
        <v>0</v>
      </c>
      <c r="L39" s="548">
        <f t="shared" si="4"/>
        <v>0</v>
      </c>
      <c r="M39" s="93" t="s">
        <v>81</v>
      </c>
    </row>
    <row r="40" spans="1:13" ht="12" customHeight="1" x14ac:dyDescent="0.3">
      <c r="A40" s="94" t="s">
        <v>134</v>
      </c>
      <c r="B40" s="95"/>
      <c r="C40" s="96" t="s">
        <v>83</v>
      </c>
      <c r="D40" s="546">
        <f>SUMIFS('Accounting data'!$G$2:$G$37002,'Accounting data'!$H$2:$H$37002,"1000*",'Accounting data'!$I$2:$I$37002,"54*",'Accounting data'!$K$2:$K$37002,"61*")+SUMIFS('Accounting data'!$G$2:$G$37002,'Accounting data'!$H$2:$H$37002,"1500*",'Accounting data'!$I$2:$I$37002,"54*",'Accounting data'!$K$2:$K$37002,"61*")</f>
        <v>0</v>
      </c>
      <c r="E40" s="546">
        <f>SUMIFS('Accounting data'!$G$2:$G$37002,'Accounting data'!$H$2:$H$37002,"1000*",'Accounting data'!$I$2:$I$37002,"54*",'Accounting data'!$K$2:$K$37002,"62*")+SUMIFS('Accounting data'!$G$2:$G$37002,'Accounting data'!$H$2:$H$37002,"1500*",'Accounting data'!$I$2:$I$37002,"54*",'Accounting data'!$K$2:$K$37002,"62*")</f>
        <v>0</v>
      </c>
      <c r="F40" s="546">
        <f>SUMIFS('Accounting data'!$G$2:$G$37002,'Accounting data'!$H$2:$H$37002,"1000*",'Accounting data'!$I$2:$I$37002,"54*",'Accounting data'!$K$2:$K$37002,"63*")+SUMIFS('Accounting data'!$G$2:$G$37002,'Accounting data'!$H$2:$H$37002,"1500*",'Accounting data'!$I$2:$I$37002,"54*",'Accounting data'!$K$2:$K$37002,"63*")</f>
        <v>0</v>
      </c>
      <c r="G40" s="546">
        <f>SUMIFS('Accounting data'!$G$2:$G$37002,'Accounting data'!$H$2:$H$37002,"1000*",'Accounting data'!$I$2:$I$37002,"54*",'Accounting data'!$K$2:$K$37002,"66*")+SUMIFS('Accounting data'!$G$2:$G$37002,'Accounting data'!$H$2:$H$37002,"1500*",'Accounting data'!$I$2:$I$37002,"54*",'Accounting data'!$K$2:$K$37002,"66*")</f>
        <v>0</v>
      </c>
      <c r="H40" s="546">
        <f>SUMIFS('Accounting data'!$G$2:$G$37002,'Accounting data'!$H$2:$H$37002,"1000*",'Accounting data'!$I$2:$I$37002,"54*",'Accounting data'!$K$2:$K$37002,"68*")+SUMIFS('Accounting data'!$G$2:$G$37002,'Accounting data'!$H$2:$H$37002,"1500*",'Accounting data'!$I$2:$I$37002,"54*",'Accounting data'!$K$2:$K$37002,"68*")</f>
        <v>0</v>
      </c>
      <c r="I40" s="545">
        <f>[1]!SP1000P540</f>
        <v>0</v>
      </c>
      <c r="J40" s="547">
        <f>SUM(D40:H40)</f>
        <v>0</v>
      </c>
      <c r="K40" s="545">
        <f>[2]!SP1000P540</f>
        <v>0</v>
      </c>
      <c r="L40" s="548">
        <f t="shared" si="4"/>
        <v>0</v>
      </c>
      <c r="M40" s="93" t="s">
        <v>83</v>
      </c>
    </row>
    <row r="41" spans="1:13" ht="12" customHeight="1" x14ac:dyDescent="0.3">
      <c r="A41" s="94" t="s">
        <v>135</v>
      </c>
      <c r="B41" s="95"/>
      <c r="C41" s="96" t="s">
        <v>84</v>
      </c>
      <c r="D41" s="546">
        <f>SUMIFS('Accounting data'!$G$2:$G$37002,'Accounting data'!$H$2:$H$37002,"1000*",'Accounting data'!$I$2:$I$37002,"55*",'Accounting data'!$K$2:$K$37002,"61*")+SUMIFS('Accounting data'!$G$2:$G$37002,'Accounting data'!$H$2:$H$37002,"1500*",'Accounting data'!$I$2:$I$37002,"55*",'Accounting data'!$K$2:$K$37002,"61*")</f>
        <v>16427</v>
      </c>
      <c r="E41" s="546">
        <f>SUMIFS('Accounting data'!$G$2:$G$37002,'Accounting data'!$H$2:$H$37002,"1000*",'Accounting data'!$I$2:$I$37002,"55*",'Accounting data'!$K$2:$K$37002,"62*")+SUMIFS('Accounting data'!$G$2:$G$37002,'Accounting data'!$H$2:$H$37002,"1500*",'Accounting data'!$I$2:$I$37002,"55*",'Accounting data'!$K$2:$K$37002,"62*")</f>
        <v>3274</v>
      </c>
      <c r="F41" s="546">
        <f>SUMIFS('Accounting data'!$G$2:$G$37002,'Accounting data'!$H$2:$H$37002,"1000*",'Accounting data'!$I$2:$I$37002,"55*",'Accounting data'!$K$2:$K$37002,"63*")+SUMIFS('Accounting data'!$G$2:$G$37002,'Accounting data'!$H$2:$H$37002,"1500*",'Accounting data'!$I$2:$I$37002,"55*",'Accounting data'!$K$2:$K$37002,"63*")</f>
        <v>0</v>
      </c>
      <c r="G41" s="546">
        <f>SUMIFS('Accounting data'!$G$2:$G$37002,'Accounting data'!$H$2:$H$37002,"1000*",'Accounting data'!$I$2:$I$37002,"55*",'Accounting data'!$K$2:$K$37002,"66*")+SUMIFS('Accounting data'!$G$2:$G$37002,'Accounting data'!$H$2:$H$37002,"1500*",'Accounting data'!$I$2:$I$37002,"55*",'Accounting data'!$K$2:$K$37002,"66*")</f>
        <v>0</v>
      </c>
      <c r="H41" s="546">
        <f>SUMIFS('Accounting data'!$G$2:$G$37002,'Accounting data'!$H$2:$H$37002,"1000*",'Accounting data'!$I$2:$I$37002,"55*",'Accounting data'!$K$2:$K$37002,"68*")+SUMIFS('Accounting data'!$G$2:$G$37002,'Accounting data'!$H$2:$H$37002,"1500*",'Accounting data'!$I$2:$I$37002,"55*",'Accounting data'!$K$2:$K$37002,"68*")</f>
        <v>0</v>
      </c>
      <c r="I41" s="545">
        <f>[1]!SP1000P550</f>
        <v>51883</v>
      </c>
      <c r="J41" s="547">
        <f>SUM(D41:H41)</f>
        <v>19701</v>
      </c>
      <c r="K41" s="545">
        <f>[2]!SP1000P550</f>
        <v>18774</v>
      </c>
      <c r="L41" s="548">
        <f t="shared" si="4"/>
        <v>4.9399999999999999E-2</v>
      </c>
      <c r="M41" s="93" t="s">
        <v>84</v>
      </c>
    </row>
    <row r="42" spans="1:13" ht="12" customHeight="1" x14ac:dyDescent="0.3">
      <c r="A42" s="94" t="s">
        <v>136</v>
      </c>
      <c r="B42" s="95"/>
      <c r="C42" s="96" t="s">
        <v>137</v>
      </c>
      <c r="D42" s="546">
        <f t="shared" ref="D42:I42" si="6">SUM(D38:D41)+D37+D23</f>
        <v>1067697</v>
      </c>
      <c r="E42" s="546">
        <f t="shared" si="6"/>
        <v>242066</v>
      </c>
      <c r="F42" s="546">
        <f t="shared" si="6"/>
        <v>718013</v>
      </c>
      <c r="G42" s="546">
        <f t="shared" si="6"/>
        <v>134989</v>
      </c>
      <c r="H42" s="546">
        <f t="shared" si="6"/>
        <v>17115</v>
      </c>
      <c r="I42" s="545">
        <f t="shared" si="6"/>
        <v>2194586</v>
      </c>
      <c r="J42" s="547">
        <f>SUM(J37:J41)+J23</f>
        <v>2179880</v>
      </c>
      <c r="K42" s="547">
        <f>SUM(K23)+SUM(K37:K41)</f>
        <v>1842057</v>
      </c>
      <c r="L42" s="548">
        <f t="shared" si="4"/>
        <v>0.18340000000000001</v>
      </c>
      <c r="M42" s="93" t="s">
        <v>137</v>
      </c>
    </row>
    <row r="43" spans="1:13" ht="12" customHeight="1" x14ac:dyDescent="0.3">
      <c r="A43" s="94" t="s">
        <v>1154</v>
      </c>
      <c r="B43" s="95"/>
      <c r="C43" s="96" t="s">
        <v>138</v>
      </c>
      <c r="D43" s="546">
        <f>'Page 3'!F13</f>
        <v>181731</v>
      </c>
      <c r="E43" s="546">
        <f>'Page 3'!G13</f>
        <v>28354</v>
      </c>
      <c r="F43" s="546">
        <f>'Page 3'!H13</f>
        <v>16739</v>
      </c>
      <c r="G43" s="546">
        <f>'Page 3'!I13</f>
        <v>0</v>
      </c>
      <c r="H43" s="689">
        <f>'Page 3'!G18</f>
        <v>0</v>
      </c>
      <c r="I43" s="545">
        <f>[1]!SP1000ClassSiteProj</f>
        <v>198423</v>
      </c>
      <c r="J43" s="547">
        <f>SUM(D43:H43)</f>
        <v>226824</v>
      </c>
      <c r="K43" s="545">
        <f>[2]!SP1000ClassSiteProj</f>
        <v>250281</v>
      </c>
      <c r="L43" s="548">
        <f t="shared" si="4"/>
        <v>-9.3700000000000006E-2</v>
      </c>
      <c r="M43" s="93" t="s">
        <v>138</v>
      </c>
    </row>
    <row r="44" spans="1:13" ht="12" customHeight="1" x14ac:dyDescent="0.3">
      <c r="A44" s="94" t="s">
        <v>139</v>
      </c>
      <c r="B44" s="95"/>
      <c r="C44" s="96" t="s">
        <v>140</v>
      </c>
      <c r="D44" s="97"/>
      <c r="E44" s="97"/>
      <c r="F44" s="97"/>
      <c r="G44" s="97"/>
      <c r="H44" s="97"/>
      <c r="I44" s="545">
        <f>[1]!SP1000InstrImpProj</f>
        <v>15429</v>
      </c>
      <c r="J44" s="547">
        <f>SUMIFS('Accounting data'!$G$2:$G$37002,'Accounting data'!$H$2:$H$37002,"1020*",'Accounting data'!$K$2:$K$37002,"6*")</f>
        <v>14647</v>
      </c>
      <c r="K44" s="545">
        <f>[2]!SP1000InstrImpProj</f>
        <v>13424</v>
      </c>
      <c r="L44" s="548">
        <f t="shared" si="4"/>
        <v>9.11E-2</v>
      </c>
      <c r="M44" s="93" t="s">
        <v>140</v>
      </c>
    </row>
    <row r="45" spans="1:13" ht="12" customHeight="1" x14ac:dyDescent="0.3">
      <c r="A45" s="94" t="s">
        <v>141</v>
      </c>
      <c r="B45" s="95"/>
      <c r="C45" s="96" t="s">
        <v>142</v>
      </c>
      <c r="D45" s="546">
        <f>TotalSEIP6100</f>
        <v>0</v>
      </c>
      <c r="E45" s="546">
        <f>TotalSEIP6200</f>
        <v>0</v>
      </c>
      <c r="F45" s="546">
        <f>TotalSEIP630064006500</f>
        <v>0</v>
      </c>
      <c r="G45" s="546">
        <f>TotalSEIP6600</f>
        <v>0</v>
      </c>
      <c r="H45" s="546">
        <f>TotalSEIP6800</f>
        <v>0</v>
      </c>
      <c r="I45" s="545">
        <f>[1]!SP1000StruEngImmProj</f>
        <v>0</v>
      </c>
      <c r="J45" s="547">
        <f>SUM(D45:H45)</f>
        <v>0</v>
      </c>
      <c r="K45" s="545">
        <f>[2]!SP1000StruEngImmProj</f>
        <v>0</v>
      </c>
      <c r="L45" s="548">
        <f t="shared" si="4"/>
        <v>0</v>
      </c>
      <c r="M45" s="93" t="s">
        <v>142</v>
      </c>
    </row>
    <row r="46" spans="1:13" ht="12" customHeight="1" x14ac:dyDescent="0.3">
      <c r="A46" s="94" t="s">
        <v>143</v>
      </c>
      <c r="B46" s="95"/>
      <c r="C46" s="96" t="s">
        <v>144</v>
      </c>
      <c r="D46" s="546">
        <f>TotalCIP6100</f>
        <v>0</v>
      </c>
      <c r="E46" s="546">
        <f>TotalCIP6200</f>
        <v>0</v>
      </c>
      <c r="F46" s="546">
        <f>TotalCIP630064006500</f>
        <v>0</v>
      </c>
      <c r="G46" s="546">
        <f>TotalCIP6600</f>
        <v>0</v>
      </c>
      <c r="H46" s="546">
        <f>TotalCIP6800</f>
        <v>0</v>
      </c>
      <c r="I46" s="545">
        <f>[1]!SP1000CompInstrProj</f>
        <v>0</v>
      </c>
      <c r="J46" s="547">
        <f>SUM(D46:H46)</f>
        <v>0</v>
      </c>
      <c r="K46" s="545">
        <f>[2]!SP1000CompInstrProj</f>
        <v>0</v>
      </c>
      <c r="L46" s="548">
        <f t="shared" si="4"/>
        <v>0</v>
      </c>
      <c r="M46" s="93" t="s">
        <v>144</v>
      </c>
    </row>
    <row r="47" spans="1:13" ht="12" customHeight="1" x14ac:dyDescent="0.3">
      <c r="A47" s="207" t="s">
        <v>1155</v>
      </c>
      <c r="B47" s="98"/>
      <c r="C47" s="96" t="s">
        <v>145</v>
      </c>
      <c r="D47" s="99"/>
      <c r="E47" s="99"/>
      <c r="F47" s="99"/>
      <c r="G47" s="99"/>
      <c r="H47" s="99"/>
      <c r="I47" s="545">
        <f>[1]!SP1000FedStProj</f>
        <v>236355</v>
      </c>
      <c r="J47" s="547">
        <f>ActualTotalFederalAndStateProjects</f>
        <v>239828</v>
      </c>
      <c r="K47" s="545">
        <f>[2]!SP1000FedStProj</f>
        <v>676915</v>
      </c>
      <c r="L47" s="548">
        <f t="shared" si="4"/>
        <v>-0.64570000000000005</v>
      </c>
      <c r="M47" s="93" t="s">
        <v>145</v>
      </c>
    </row>
    <row r="48" spans="1:13" ht="12" customHeight="1" x14ac:dyDescent="0.3">
      <c r="A48" s="94" t="s">
        <v>146</v>
      </c>
      <c r="B48" s="95"/>
      <c r="C48" s="96" t="s">
        <v>147</v>
      </c>
      <c r="D48" s="99"/>
      <c r="E48" s="99"/>
      <c r="F48" s="99"/>
      <c r="G48" s="99"/>
      <c r="H48" s="99"/>
      <c r="I48" s="547">
        <f>SUM(I42:I47)</f>
        <v>2644793</v>
      </c>
      <c r="J48" s="547">
        <f>SUM(J42:J47)</f>
        <v>2661179</v>
      </c>
      <c r="K48" s="547">
        <f>SUM(K42:K47)</f>
        <v>2782677</v>
      </c>
      <c r="L48" s="548">
        <f t="shared" si="4"/>
        <v>-4.3700000000000003E-2</v>
      </c>
      <c r="M48" s="93" t="s">
        <v>147</v>
      </c>
    </row>
  </sheetData>
  <sheetProtection sheet="1" formatCells="0" formatColumns="0" formatRows="0"/>
  <mergeCells count="11">
    <mergeCell ref="N10:AF10"/>
    <mergeCell ref="N9:AF9"/>
    <mergeCell ref="L6:L7"/>
    <mergeCell ref="L8:L9"/>
    <mergeCell ref="L26:L27"/>
    <mergeCell ref="L24:L25"/>
    <mergeCell ref="L21:L22"/>
    <mergeCell ref="B1:C1"/>
    <mergeCell ref="L3:L5"/>
    <mergeCell ref="I3:K3"/>
    <mergeCell ref="I21:I22"/>
  </mergeCells>
  <conditionalFormatting sqref="J10">
    <cfRule type="expression" dxfId="76" priority="1" stopIfTrue="1">
      <formula>$N$10&lt;&gt;""</formula>
    </cfRule>
  </conditionalFormatting>
  <conditionalFormatting sqref="N9:AF9">
    <cfRule type="expression" dxfId="75" priority="11" stopIfTrue="1">
      <formula>$N$9&lt;&gt;""</formula>
    </cfRule>
  </conditionalFormatting>
  <conditionalFormatting sqref="N10:AF10">
    <cfRule type="expression" dxfId="74" priority="10" stopIfTrue="1">
      <formula>$N$10&lt;&gt;""</formula>
    </cfRule>
  </conditionalFormatting>
  <hyperlinks>
    <hyperlink ref="A4" location="ExpensesPage2" display="Expenses"/>
    <hyperlink ref="A47:B47" location="FederalAndStateProjectsPage2" display="Federal and State Projects (from page 9, line 30)"/>
    <hyperlink ref="B3" location="ExpensesPage2" display="Instructions"/>
  </hyperlinks>
  <pageMargins left="0.7" right="0.7" top="0.75" bottom="0.75" header="0.3" footer="0.3"/>
  <pageSetup scale="76" orientation="landscape"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31"/>
  <sheetViews>
    <sheetView showGridLines="0" workbookViewId="0">
      <selection activeCell="H29" sqref="H29"/>
    </sheetView>
  </sheetViews>
  <sheetFormatPr defaultColWidth="9.296875" defaultRowHeight="13" x14ac:dyDescent="0.3"/>
  <cols>
    <col min="1" max="1" width="1.796875" customWidth="1"/>
    <col min="2" max="2" width="2" customWidth="1"/>
    <col min="3" max="3" width="25.796875" customWidth="1"/>
    <col min="4" max="4" width="17.09765625" customWidth="1"/>
    <col min="5" max="5" width="4.296875" customWidth="1"/>
    <col min="6" max="6" width="19.796875" customWidth="1"/>
    <col min="7" max="12" width="16" customWidth="1"/>
    <col min="13" max="13" width="79.69921875" customWidth="1"/>
    <col min="15" max="15" width="8.796875" customWidth="1"/>
  </cols>
  <sheetData>
    <row r="1" spans="1:13" x14ac:dyDescent="0.3">
      <c r="A1" s="544" t="s">
        <v>0</v>
      </c>
      <c r="D1" s="1" t="str">
        <f>'Cover Page'!D1</f>
        <v>Mexicayotl Academy, Inc</v>
      </c>
      <c r="E1" s="562"/>
      <c r="F1" s="57" t="s">
        <v>148</v>
      </c>
      <c r="G1" s="1" t="str">
        <f>'Cover Page'!M1</f>
        <v>Santa Cruz</v>
      </c>
      <c r="H1" s="4"/>
      <c r="I1" s="57" t="s">
        <v>2</v>
      </c>
      <c r="J1" s="2" t="str">
        <f>'Cover Page'!R1</f>
        <v>128703000</v>
      </c>
    </row>
    <row r="4" spans="1:13" x14ac:dyDescent="0.3">
      <c r="A4" s="71"/>
      <c r="B4" s="107"/>
      <c r="C4" s="108"/>
      <c r="D4" s="108"/>
      <c r="E4" s="109"/>
      <c r="F4" s="69"/>
      <c r="G4" s="565" t="s">
        <v>149</v>
      </c>
      <c r="H4" s="565" t="s">
        <v>150</v>
      </c>
      <c r="I4" s="78"/>
      <c r="J4" s="829" t="s">
        <v>87</v>
      </c>
      <c r="K4" s="830"/>
      <c r="L4" s="110"/>
    </row>
    <row r="5" spans="1:13" x14ac:dyDescent="0.3">
      <c r="A5" s="111" t="s">
        <v>89</v>
      </c>
      <c r="C5" s="112"/>
      <c r="D5" s="112"/>
      <c r="E5" s="113"/>
      <c r="F5" s="76" t="s">
        <v>90</v>
      </c>
      <c r="G5" s="74" t="s">
        <v>91</v>
      </c>
      <c r="H5" s="76" t="s">
        <v>92</v>
      </c>
      <c r="I5" s="114" t="s">
        <v>93</v>
      </c>
      <c r="J5" s="76"/>
      <c r="K5" s="76"/>
      <c r="L5" s="115"/>
    </row>
    <row r="6" spans="1:13" x14ac:dyDescent="0.3">
      <c r="A6" s="88"/>
      <c r="B6" s="6"/>
      <c r="C6" s="116"/>
      <c r="D6" s="116"/>
      <c r="E6" s="117"/>
      <c r="F6" s="81">
        <v>6100</v>
      </c>
      <c r="G6" s="570">
        <v>6200</v>
      </c>
      <c r="H6" s="81" t="s">
        <v>97</v>
      </c>
      <c r="I6" s="81">
        <v>6600</v>
      </c>
      <c r="J6" s="81" t="s">
        <v>98</v>
      </c>
      <c r="K6" s="81" t="s">
        <v>23</v>
      </c>
      <c r="L6" s="115"/>
    </row>
    <row r="7" spans="1:13" x14ac:dyDescent="0.3">
      <c r="A7" s="554" t="s">
        <v>151</v>
      </c>
      <c r="B7" s="555"/>
      <c r="C7" s="555"/>
      <c r="D7" s="555"/>
      <c r="E7" s="118"/>
      <c r="F7" s="78"/>
      <c r="G7" s="78"/>
      <c r="H7" s="78"/>
      <c r="I7" s="78"/>
      <c r="J7" s="78"/>
      <c r="K7" s="78"/>
      <c r="L7" s="84"/>
    </row>
    <row r="8" spans="1:13" x14ac:dyDescent="0.3">
      <c r="A8" s="119"/>
      <c r="B8" s="112"/>
      <c r="C8" t="s">
        <v>152</v>
      </c>
      <c r="D8" s="112"/>
      <c r="E8" s="120" t="s">
        <v>24</v>
      </c>
      <c r="F8" s="552">
        <f>SUMIFS('Accounting data'!$G$2:$G$37002,'Accounting data'!$H$2:$H$37002,"1010*",'Accounting data'!$J$2:$J$37002,"1*",'Accounting data'!$K$2:$K$37002,"61*")</f>
        <v>138856</v>
      </c>
      <c r="G8" s="552">
        <f>SUMIFS('Accounting data'!$G$2:$G$37002,'Accounting data'!$H$2:$H$37002,"1010*",'Accounting data'!$J$2:$J$37002,"1*",'Accounting data'!$K$2:$K$37002,"62*")</f>
        <v>14381</v>
      </c>
      <c r="H8" s="552">
        <f>SUMIFS('Accounting data'!$G$2:$G$37002,'Accounting data'!$H$2:$H$37002,"1010*",'Accounting data'!$J$2:$J$37002,"1*",'Accounting data'!$K$2:$K$37002,"63*")</f>
        <v>8237</v>
      </c>
      <c r="I8" s="552">
        <f>SUMIFS('Accounting data'!$G$2:$G$37002,'Accounting data'!$H$2:$H$37002,"1010*",'Accounting data'!$J$2:$J$37002,"1*",'Accounting data'!$K$2:$K$37002,"66*")</f>
        <v>0</v>
      </c>
      <c r="J8" s="551">
        <f t="array" ref="J8">[1]!_CSP1000</f>
        <v>198423</v>
      </c>
      <c r="K8" s="552">
        <f>SUM(F8:I8)</f>
        <v>161474</v>
      </c>
      <c r="L8" s="84"/>
    </row>
    <row r="9" spans="1:13" x14ac:dyDescent="0.3">
      <c r="A9" s="119"/>
      <c r="B9" s="112"/>
      <c r="C9" t="s">
        <v>153</v>
      </c>
      <c r="D9" s="112"/>
      <c r="E9" s="120" t="s">
        <v>26</v>
      </c>
      <c r="F9" s="547">
        <f>SUMIFS('Accounting data'!$G$2:$G$37002,'Accounting data'!$H$2:$H$37002,"1010*",'Accounting data'!$J$2:$J$37002,"21*",'Accounting data'!$K$2:$K$37002,"61*")</f>
        <v>9718</v>
      </c>
      <c r="G9" s="547">
        <f>SUMIFS('Accounting data'!$G$2:$G$37002,'Accounting data'!$H$2:$H$37002,"1010*",'Accounting data'!$J$2:$J$37002,"21*",'Accounting data'!$K$2:$K$37002,"62*")</f>
        <v>1937</v>
      </c>
      <c r="H9" s="547">
        <f>SUMIFS('Accounting data'!$G$2:$G$37002,'Accounting data'!$H$2:$H$37002,"1010*",'Accounting data'!$J$2:$J$37002,"21*",'Accounting data'!$K$2:$K$37002,"63*")</f>
        <v>8502</v>
      </c>
      <c r="I9" s="547">
        <f>SUMIFS('Accounting data'!$G$2:$G$37002,'Accounting data'!$H$2:$H$37002,"1010*",'Accounting data'!$J$2:$J$37002,"21*",'Accounting data'!$K$2:$K$37002,"66*")</f>
        <v>0</v>
      </c>
      <c r="J9" s="545">
        <f t="array" ref="J9">[1]!_CSP2100</f>
        <v>0</v>
      </c>
      <c r="K9" s="547">
        <f t="shared" ref="K9:K13" si="0">SUM(F9:I9)</f>
        <v>20157</v>
      </c>
      <c r="L9" s="84"/>
    </row>
    <row r="10" spans="1:13" x14ac:dyDescent="0.3">
      <c r="A10" s="119"/>
      <c r="B10" s="112"/>
      <c r="C10" t="s">
        <v>154</v>
      </c>
      <c r="D10" s="112"/>
      <c r="E10" s="120" t="s">
        <v>28</v>
      </c>
      <c r="F10" s="547">
        <f>SUMIFS('Accounting data'!$G$2:$G$37002,'Accounting data'!$H$2:$H$37002,"1010*",'Accounting data'!$J$2:$J$37002,"22*",'Accounting data'!$K$2:$K$37002,"61*")</f>
        <v>33157</v>
      </c>
      <c r="G10" s="547">
        <f>SUMIFS('Accounting data'!$G$2:$G$37002,'Accounting data'!$H$2:$H$37002,"1010*",'Accounting data'!$J$2:$J$37002,"22*",'Accounting data'!$K$2:$K$37002,"62*")</f>
        <v>12036</v>
      </c>
      <c r="H10" s="547">
        <f>SUMIFS('Accounting data'!$G$2:$G$37002,'Accounting data'!$H$2:$H$37002,"1010*",'Accounting data'!$J$2:$J$37002,"22*",'Accounting data'!$K$2:$K$37002,"63*")</f>
        <v>0</v>
      </c>
      <c r="I10" s="547">
        <f>SUMIFS('Accounting data'!$G$2:$G$37002,'Accounting data'!$H$2:$H$37002,"1010*",'Accounting data'!$J$2:$J$37002,"22*",'Accounting data'!$K$2:$K$37002,"66*")</f>
        <v>0</v>
      </c>
      <c r="J10" s="545">
        <f t="array" ref="J10">[1]!_CSP2200</f>
        <v>0</v>
      </c>
      <c r="K10" s="547">
        <f t="shared" si="0"/>
        <v>45193</v>
      </c>
      <c r="L10" s="84"/>
    </row>
    <row r="11" spans="1:13" x14ac:dyDescent="0.3">
      <c r="A11" s="119"/>
      <c r="B11" s="112"/>
      <c r="C11" s="207" t="s">
        <v>155</v>
      </c>
      <c r="D11" s="121"/>
      <c r="E11" s="120" t="s">
        <v>31</v>
      </c>
      <c r="F11" s="99"/>
      <c r="G11" s="99"/>
      <c r="H11" s="547">
        <f>SUMIFS('Accounting data'!$G$2:$G$37002,'Accounting data'!$H$2:$H$37002,"1010*",'Accounting data'!$J$2:$J$37002,"23*",'Accounting data'!$K$2:$K$37002,"63*")</f>
        <v>0</v>
      </c>
      <c r="I11" s="99"/>
      <c r="J11" s="545">
        <f t="array" ref="J11">[1]!_CSP2300</f>
        <v>0</v>
      </c>
      <c r="K11" s="547">
        <f t="shared" si="0"/>
        <v>0</v>
      </c>
      <c r="L11" s="84"/>
    </row>
    <row r="12" spans="1:13" ht="12.75" customHeight="1" x14ac:dyDescent="0.3">
      <c r="A12" s="122"/>
      <c r="B12" s="116"/>
      <c r="C12" s="647" t="s">
        <v>156</v>
      </c>
      <c r="D12" s="123"/>
      <c r="E12" s="124" t="s">
        <v>33</v>
      </c>
      <c r="F12" s="547">
        <f>SUMIFS('Accounting data'!$G$2:$G$37002,'Accounting data'!$H$2:$H$37002,"1010*",'Accounting data'!$J$2:$J$37002,"33*",'Accounting data'!$K$2:$K$37002,"61*")</f>
        <v>0</v>
      </c>
      <c r="G12" s="547">
        <f>SUMIFS('Accounting data'!$G$2:$G$37002,'Accounting data'!$H$2:$H$37002,"1010*",'Accounting data'!$J$2:$J$37002,"33*",'Accounting data'!$K$2:$K$37002,"62*")</f>
        <v>0</v>
      </c>
      <c r="H12" s="547">
        <f>SUMIFS('Accounting data'!$G$2:$G$37002,'Accounting data'!$H$2:$H$37002,"1010*",'Accounting data'!$J$2:$J$37002,"33*",'Accounting data'!$K$2:$K$37002,"63*")</f>
        <v>0</v>
      </c>
      <c r="I12" s="99"/>
      <c r="J12" s="545">
        <f t="array" ref="J12">[1]!_CSP3300</f>
        <v>0</v>
      </c>
      <c r="K12" s="547">
        <f t="shared" si="0"/>
        <v>0</v>
      </c>
      <c r="L12" s="84"/>
      <c r="M12" s="831" t="str">
        <f>IF('Page 2'!J48=0,"",IF(OR(K13&lt;=0),"The Charter did not report any expenses for Classroom Site Project. If the Charter did not have any expense, verify by checking the box in A14 on the Cover Page.",""))</f>
        <v/>
      </c>
    </row>
    <row r="13" spans="1:13" ht="12" customHeight="1" x14ac:dyDescent="0.3">
      <c r="A13" s="88" t="s">
        <v>157</v>
      </c>
      <c r="B13" s="116"/>
      <c r="C13" s="6"/>
      <c r="D13" s="116"/>
      <c r="E13" s="124" t="s">
        <v>35</v>
      </c>
      <c r="F13" s="547">
        <f>SUM(F8:F12)</f>
        <v>181731</v>
      </c>
      <c r="G13" s="547">
        <f>SUM(G8:G12)</f>
        <v>28354</v>
      </c>
      <c r="H13" s="547">
        <f>SUM(H8:H12)</f>
        <v>16739</v>
      </c>
      <c r="I13" s="547">
        <f>SUM(I8:I12)</f>
        <v>0</v>
      </c>
      <c r="J13" s="547">
        <f>SUM(J8:J12)</f>
        <v>198423</v>
      </c>
      <c r="K13" s="547">
        <f t="shared" si="0"/>
        <v>226824</v>
      </c>
      <c r="L13" s="84"/>
      <c r="M13" s="831"/>
    </row>
    <row r="16" spans="1:13" ht="16.5" customHeight="1" x14ac:dyDescent="0.3">
      <c r="A16" s="554" t="s">
        <v>158</v>
      </c>
      <c r="B16" s="554"/>
      <c r="C16" s="555"/>
      <c r="D16" s="554"/>
      <c r="E16" s="125"/>
      <c r="F16" s="126" t="s">
        <v>98</v>
      </c>
      <c r="G16" s="576" t="s">
        <v>23</v>
      </c>
    </row>
    <row r="17" spans="1:27" x14ac:dyDescent="0.3">
      <c r="A17" s="66"/>
      <c r="B17" s="127"/>
      <c r="C17" s="67" t="s">
        <v>159</v>
      </c>
      <c r="D17" s="127"/>
      <c r="E17" s="128" t="s">
        <v>36</v>
      </c>
      <c r="F17" s="547">
        <f>'[1]Page 3'!$F$17</f>
        <v>0</v>
      </c>
      <c r="G17" s="100">
        <v>0</v>
      </c>
    </row>
    <row r="18" spans="1:27" ht="14.5" x14ac:dyDescent="0.3">
      <c r="A18" s="84"/>
      <c r="B18" s="543"/>
      <c r="C18" t="s">
        <v>160</v>
      </c>
      <c r="D18" s="543"/>
      <c r="E18" s="60" t="s">
        <v>38</v>
      </c>
      <c r="F18" s="547">
        <f>'[1]Page 3'!$F$18</f>
        <v>0</v>
      </c>
      <c r="G18" s="546">
        <f>SUMIFS('Accounting data'!$G$2:$G$37002,'Accounting data'!$H$2:$H$37002,"1010*",'Accounting data'!$K$2:$K$37002,"685*")</f>
        <v>0</v>
      </c>
      <c r="AA18" s="129" t="str">
        <f>IF(OR(F17="",F18="",F19=""),"yes","")</f>
        <v/>
      </c>
    </row>
    <row r="19" spans="1:27" x14ac:dyDescent="0.3">
      <c r="A19" s="88"/>
      <c r="B19" s="130"/>
      <c r="C19" s="6" t="s">
        <v>161</v>
      </c>
      <c r="D19" s="130"/>
      <c r="E19" s="131" t="s">
        <v>40</v>
      </c>
      <c r="F19" s="547">
        <f>'[1]Page 3'!$F$19</f>
        <v>0</v>
      </c>
      <c r="G19" s="100">
        <v>0</v>
      </c>
    </row>
    <row r="21" spans="1:27" x14ac:dyDescent="0.3">
      <c r="D21" s="6"/>
      <c r="E21" s="132"/>
      <c r="F21" s="6"/>
    </row>
    <row r="22" spans="1:27" x14ac:dyDescent="0.3">
      <c r="A22" s="133"/>
      <c r="B22" s="134"/>
      <c r="C22" s="134"/>
      <c r="D22" s="134"/>
      <c r="E22" s="134"/>
      <c r="F22" s="69" t="s">
        <v>162</v>
      </c>
    </row>
    <row r="23" spans="1:27" x14ac:dyDescent="0.3">
      <c r="A23" s="135" t="s">
        <v>163</v>
      </c>
      <c r="B23" s="136"/>
      <c r="C23" s="136"/>
      <c r="D23" s="137"/>
      <c r="E23" s="132"/>
      <c r="F23" s="81">
        <v>1010</v>
      </c>
    </row>
    <row r="24" spans="1:27" x14ac:dyDescent="0.3">
      <c r="A24" s="66" t="s">
        <v>164</v>
      </c>
      <c r="B24" s="67"/>
      <c r="C24" s="67"/>
      <c r="D24" s="127"/>
      <c r="E24" s="655" t="s">
        <v>42</v>
      </c>
      <c r="F24" s="545">
        <f>'[2]Page 3'!$F$30</f>
        <v>136824</v>
      </c>
    </row>
    <row r="25" spans="1:27" x14ac:dyDescent="0.3">
      <c r="A25" s="207" t="s">
        <v>1256</v>
      </c>
      <c r="B25" s="207"/>
      <c r="C25" s="207"/>
      <c r="D25" s="112"/>
      <c r="E25" s="60" t="s">
        <v>44</v>
      </c>
      <c r="F25" s="49">
        <v>22891</v>
      </c>
    </row>
    <row r="26" spans="1:27" x14ac:dyDescent="0.3">
      <c r="A26" s="84"/>
      <c r="B26" t="s">
        <v>165</v>
      </c>
      <c r="D26" s="112"/>
      <c r="E26" s="655" t="s">
        <v>45</v>
      </c>
      <c r="F26" s="547">
        <f>-(SUMIFS('Accounting data'!$G$2:$G$37002,'Accounting data'!$H$2:$H$37002,"1010*",'Accounting data'!$K$2:$K$37002,"3*"))</f>
        <v>207346</v>
      </c>
    </row>
    <row r="27" spans="1:27" x14ac:dyDescent="0.3">
      <c r="A27" s="84"/>
      <c r="B27" t="s">
        <v>166</v>
      </c>
      <c r="D27" s="112"/>
      <c r="E27" s="655" t="s">
        <v>47</v>
      </c>
      <c r="F27" s="547">
        <f>-(SUMIFS('Accounting data'!$G$2:$G$37002,'Accounting data'!$H$2:$H$37002,"1010*",'Accounting data'!$K$2:$K$37002,"15*"))</f>
        <v>0</v>
      </c>
    </row>
    <row r="28" spans="1:27" x14ac:dyDescent="0.3">
      <c r="A28" s="84" t="s">
        <v>1307</v>
      </c>
      <c r="D28" s="112"/>
      <c r="E28" s="655" t="s">
        <v>49</v>
      </c>
      <c r="F28" s="547">
        <f>F26+F27</f>
        <v>207346</v>
      </c>
    </row>
    <row r="29" spans="1:27" x14ac:dyDescent="0.3">
      <c r="A29" s="84" t="s">
        <v>1308</v>
      </c>
      <c r="D29" s="112"/>
      <c r="E29" s="655" t="s">
        <v>51</v>
      </c>
      <c r="F29" s="547">
        <f>IF(F25="",F24,F25)+F28</f>
        <v>230237</v>
      </c>
    </row>
    <row r="30" spans="1:27" x14ac:dyDescent="0.3">
      <c r="A30" s="84" t="s">
        <v>1309</v>
      </c>
      <c r="D30" s="112"/>
      <c r="E30" s="655" t="s">
        <v>53</v>
      </c>
      <c r="F30" s="547">
        <f>K13+G17+G18+G19</f>
        <v>226824</v>
      </c>
    </row>
    <row r="31" spans="1:27" x14ac:dyDescent="0.3">
      <c r="A31" s="88" t="s">
        <v>1310</v>
      </c>
      <c r="B31" s="6"/>
      <c r="C31" s="6"/>
      <c r="D31" s="116"/>
      <c r="E31" s="668" t="s">
        <v>55</v>
      </c>
      <c r="F31" s="595">
        <f>F29-F30</f>
        <v>3413</v>
      </c>
    </row>
  </sheetData>
  <sheetProtection sheet="1" objects="1" scenarios="1"/>
  <mergeCells count="2">
    <mergeCell ref="J4:K4"/>
    <mergeCell ref="M12:M13"/>
  </mergeCells>
  <conditionalFormatting sqref="F25">
    <cfRule type="containsBlanks" dxfId="73" priority="1">
      <formula>LEN(TRIM(F25))=0</formula>
    </cfRule>
  </conditionalFormatting>
  <conditionalFormatting sqref="F13:I13">
    <cfRule type="expression" dxfId="72" priority="5" stopIfTrue="1">
      <formula>$M$12&lt;&gt;""</formula>
    </cfRule>
  </conditionalFormatting>
  <conditionalFormatting sqref="G17">
    <cfRule type="containsBlanks" dxfId="71" priority="3">
      <formula>LEN(TRIM(G17))=0</formula>
    </cfRule>
  </conditionalFormatting>
  <conditionalFormatting sqref="G19">
    <cfRule type="containsBlanks" dxfId="70" priority="2">
      <formula>LEN(TRIM(G19))=0</formula>
    </cfRule>
  </conditionalFormatting>
  <conditionalFormatting sqref="K13">
    <cfRule type="expression" dxfId="69" priority="4" stopIfTrue="1">
      <formula>$M$12&lt;&gt;""</formula>
    </cfRule>
  </conditionalFormatting>
  <conditionalFormatting sqref="M12">
    <cfRule type="expression" dxfId="68" priority="9" stopIfTrue="1">
      <formula>$M$12&lt;&gt;""</formula>
    </cfRule>
  </conditionalFormatting>
  <hyperlinks>
    <hyperlink ref="A7:C7" location="ClssrmSitepg3" display="Classroom Site Project 1010"/>
    <hyperlink ref="C11" location="CSPlines4914" display="2300 Support services—general administration"/>
    <hyperlink ref="C12" location="CSPlines122615" display="3300 Community services operation"/>
    <hyperlink ref="A16:D16" location="CSPPropertyPayments" display="Classroom Site Project 1010 property payments"/>
    <hyperlink ref="A25:C25" location="Page3AdjBeginProjBal" display="Adjusted beginning project balance"/>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0"/>
  <sheetViews>
    <sheetView showGridLines="0" workbookViewId="0">
      <selection activeCell="F17" sqref="F17"/>
    </sheetView>
  </sheetViews>
  <sheetFormatPr defaultColWidth="8.796875" defaultRowHeight="13" x14ac:dyDescent="0.3"/>
  <cols>
    <col min="1" max="1" width="1.796875" customWidth="1"/>
    <col min="2" max="2" width="20.296875" customWidth="1"/>
    <col min="3" max="3" width="15.296875" customWidth="1"/>
    <col min="4" max="4" width="20" customWidth="1"/>
    <col min="5" max="5" width="5.19921875" customWidth="1"/>
    <col min="6" max="9" width="15.296875" customWidth="1"/>
    <col min="10" max="10" width="2.69921875" bestFit="1" customWidth="1"/>
    <col min="11" max="13" width="15.296875" customWidth="1"/>
    <col min="14" max="15" width="8.796875" customWidth="1"/>
    <col min="16" max="24" width="8.796875" hidden="1" customWidth="1"/>
    <col min="25" max="25" width="8.796875" customWidth="1"/>
    <col min="26" max="26" width="20.19921875" customWidth="1"/>
    <col min="27" max="27" width="8.796875" customWidth="1"/>
  </cols>
  <sheetData>
    <row r="1" spans="1:27" ht="12.75" customHeight="1" x14ac:dyDescent="0.3">
      <c r="A1" s="544" t="s">
        <v>0</v>
      </c>
      <c r="C1" s="809" t="str">
        <f>'Cover Page'!D1</f>
        <v>Mexicayotl Academy, Inc</v>
      </c>
      <c r="D1" s="809"/>
      <c r="F1" s="4"/>
      <c r="G1" s="57" t="s">
        <v>1</v>
      </c>
      <c r="H1" s="809" t="str">
        <f>'Cover Page'!M1</f>
        <v>Santa Cruz</v>
      </c>
      <c r="I1" s="809"/>
      <c r="J1" s="4"/>
      <c r="K1" s="57"/>
      <c r="L1" s="57" t="s">
        <v>2</v>
      </c>
      <c r="M1" s="2" t="str">
        <f>'Cover Page'!R1</f>
        <v>128703000</v>
      </c>
    </row>
    <row r="2" spans="1:27" ht="12.75" customHeight="1" x14ac:dyDescent="0.3">
      <c r="A2" s="4"/>
      <c r="B2" s="4"/>
      <c r="C2" s="4"/>
      <c r="D2" s="4"/>
      <c r="E2" s="4"/>
      <c r="F2" s="4"/>
      <c r="G2" s="4"/>
      <c r="H2" s="4"/>
      <c r="I2" s="4"/>
      <c r="J2" s="4"/>
    </row>
    <row r="3" spans="1:27" ht="12.75" customHeight="1" x14ac:dyDescent="0.3">
      <c r="A3" s="138"/>
      <c r="B3" s="67"/>
      <c r="C3" s="67"/>
      <c r="D3" s="67"/>
      <c r="E3" s="67"/>
      <c r="F3" s="138" t="s">
        <v>20</v>
      </c>
      <c r="G3" s="565" t="s">
        <v>167</v>
      </c>
      <c r="H3" s="829" t="s">
        <v>87</v>
      </c>
      <c r="I3" s="830"/>
      <c r="J3" s="4"/>
    </row>
    <row r="4" spans="1:27" ht="12.75" customHeight="1" x14ac:dyDescent="0.3">
      <c r="A4" s="111" t="s">
        <v>89</v>
      </c>
      <c r="F4" s="74" t="s">
        <v>168</v>
      </c>
      <c r="G4" s="76" t="s">
        <v>92</v>
      </c>
      <c r="H4" s="565"/>
      <c r="I4" s="139"/>
      <c r="J4" s="4"/>
    </row>
    <row r="5" spans="1:27" ht="12.75" customHeight="1" x14ac:dyDescent="0.3">
      <c r="A5" s="88"/>
      <c r="B5" s="6"/>
      <c r="C5" s="6"/>
      <c r="D5" s="6"/>
      <c r="E5" s="6"/>
      <c r="F5" s="74">
        <v>1000</v>
      </c>
      <c r="G5" s="76">
        <v>2000</v>
      </c>
      <c r="H5" s="81" t="s">
        <v>98</v>
      </c>
      <c r="I5" s="571" t="s">
        <v>23</v>
      </c>
      <c r="J5" s="4"/>
    </row>
    <row r="6" spans="1:27" ht="12.75" customHeight="1" x14ac:dyDescent="0.3">
      <c r="A6" s="82" t="s">
        <v>169</v>
      </c>
      <c r="B6" s="67"/>
      <c r="C6" s="67"/>
      <c r="D6" s="67"/>
      <c r="E6" s="140"/>
      <c r="F6" s="141"/>
      <c r="G6" s="141"/>
      <c r="H6" s="141"/>
      <c r="I6" s="141"/>
      <c r="J6" s="142"/>
    </row>
    <row r="7" spans="1:27" ht="12.75" customHeight="1" x14ac:dyDescent="0.3">
      <c r="A7" s="84"/>
      <c r="B7" t="s">
        <v>170</v>
      </c>
      <c r="E7" s="143">
        <v>1</v>
      </c>
      <c r="F7" s="48">
        <v>6459</v>
      </c>
      <c r="G7" s="48">
        <v>0</v>
      </c>
      <c r="H7" s="552">
        <f>[1]!IIPTeacherCompensationIncreases</f>
        <v>0</v>
      </c>
      <c r="I7" s="552">
        <f>SUM(F7:G7)</f>
        <v>6459</v>
      </c>
      <c r="J7" s="144">
        <v>1</v>
      </c>
      <c r="AA7" s="46" t="str">
        <f>IF(OR(F7="",F8="",F9="",F10="",G7="",G9="",G10="",G24="",G25="",G26="",G27="",G28=""),"yes","")</f>
        <v/>
      </c>
    </row>
    <row r="8" spans="1:27" ht="12.75" customHeight="1" x14ac:dyDescent="0.3">
      <c r="A8" s="84"/>
      <c r="B8" t="s">
        <v>171</v>
      </c>
      <c r="E8" s="145">
        <v>2</v>
      </c>
      <c r="F8" s="48">
        <v>0</v>
      </c>
      <c r="G8" s="146"/>
      <c r="H8" s="545">
        <f>[1]!IIPClassSizeReduction</f>
        <v>15429</v>
      </c>
      <c r="I8" s="547">
        <f>SUM(F8:G8)</f>
        <v>0</v>
      </c>
      <c r="J8" s="144">
        <v>2</v>
      </c>
    </row>
    <row r="9" spans="1:27" ht="12.75" customHeight="1" x14ac:dyDescent="0.3">
      <c r="A9" s="84"/>
      <c r="B9" t="s">
        <v>172</v>
      </c>
      <c r="E9" s="145">
        <v>3</v>
      </c>
      <c r="F9" s="47">
        <v>0</v>
      </c>
      <c r="G9" s="47">
        <v>0</v>
      </c>
      <c r="H9" s="545">
        <f>[1]!IIPDropoutPreventionPrograms</f>
        <v>0</v>
      </c>
      <c r="I9" s="547">
        <f>SUM(F9:G9)</f>
        <v>0</v>
      </c>
      <c r="J9" s="144">
        <v>3</v>
      </c>
    </row>
    <row r="10" spans="1:27" ht="12.75" customHeight="1" x14ac:dyDescent="0.3">
      <c r="A10" s="84"/>
      <c r="B10" t="s">
        <v>173</v>
      </c>
      <c r="E10" s="145">
        <v>4</v>
      </c>
      <c r="F10" s="47">
        <v>0</v>
      </c>
      <c r="G10" s="47">
        <f>5631+2557.46</f>
        <v>8188</v>
      </c>
      <c r="H10" s="545">
        <f>[1]!IIPInstructionalImprovementPrograms</f>
        <v>0</v>
      </c>
      <c r="I10" s="547">
        <f>SUM(F10:G10)</f>
        <v>8188</v>
      </c>
      <c r="J10" s="144">
        <v>4</v>
      </c>
      <c r="K10" s="815" t="str">
        <f>IF('Page 2'!J48=0,"",IF(('Page 4'!I11=0),"If the Charter did not have any expense, verify by checking the box in A18 on the Cover Page.",""))</f>
        <v/>
      </c>
      <c r="L10" s="815"/>
      <c r="M10" s="815"/>
      <c r="N10" s="815"/>
      <c r="O10" s="815"/>
      <c r="P10" s="815"/>
      <c r="Q10" s="815"/>
      <c r="R10" s="815"/>
      <c r="S10" s="815"/>
      <c r="T10" s="815"/>
      <c r="U10" s="815"/>
      <c r="V10" s="815"/>
      <c r="W10" s="815"/>
      <c r="X10" s="815"/>
      <c r="Y10" s="815"/>
      <c r="Z10" s="815"/>
    </row>
    <row r="11" spans="1:27" ht="12.75" customHeight="1" x14ac:dyDescent="0.3">
      <c r="A11" s="88" t="s">
        <v>174</v>
      </c>
      <c r="B11" s="6"/>
      <c r="C11" s="6"/>
      <c r="D11" s="6"/>
      <c r="E11" s="147">
        <v>5</v>
      </c>
      <c r="F11" s="547">
        <f>SUM(F6:F10)</f>
        <v>6459</v>
      </c>
      <c r="G11" s="547">
        <f>SUM(G6:G10)</f>
        <v>8188</v>
      </c>
      <c r="H11" s="547">
        <f>SUM(H7:H10)</f>
        <v>15429</v>
      </c>
      <c r="I11" s="547">
        <f>SUM(I7:I10)</f>
        <v>14647</v>
      </c>
      <c r="J11" s="144">
        <v>5</v>
      </c>
      <c r="K11" s="815" t="str">
        <f>IF('Page 2'!J48=0,"",IF(('Page 4'!I11&lt;&gt;'Page 2'!J44),"Total expenses for Instructional Improvement Project on line 5 should agree to the line 35 on page 2.",""))</f>
        <v/>
      </c>
      <c r="L11" s="815"/>
      <c r="M11" s="815"/>
      <c r="N11" s="815"/>
      <c r="O11" s="815"/>
      <c r="P11" s="815"/>
      <c r="Q11" s="815"/>
      <c r="R11" s="815"/>
      <c r="S11" s="815"/>
      <c r="T11" s="815"/>
      <c r="U11" s="815"/>
      <c r="V11" s="815"/>
      <c r="W11" s="815"/>
      <c r="X11" s="815"/>
      <c r="Y11" s="815"/>
      <c r="Z11" s="815"/>
    </row>
    <row r="12" spans="1:27" ht="12.75" customHeight="1" x14ac:dyDescent="0.3">
      <c r="K12" s="562"/>
    </row>
    <row r="13" spans="1:27" ht="12.75" customHeight="1" x14ac:dyDescent="0.3">
      <c r="A13" s="66"/>
      <c r="B13" s="67"/>
      <c r="C13" s="67"/>
      <c r="D13" s="67"/>
      <c r="E13" s="68"/>
      <c r="F13" s="78"/>
    </row>
    <row r="14" spans="1:27" ht="12.75" customHeight="1" x14ac:dyDescent="0.3">
      <c r="A14" s="79" t="s">
        <v>175</v>
      </c>
      <c r="B14" s="6"/>
      <c r="C14" s="6"/>
      <c r="D14" s="6"/>
      <c r="E14" s="80"/>
      <c r="F14" s="148" t="s">
        <v>23</v>
      </c>
    </row>
    <row r="15" spans="1:27" ht="12.75" customHeight="1" x14ac:dyDescent="0.3">
      <c r="A15" s="84" t="s">
        <v>164</v>
      </c>
      <c r="B15" s="4"/>
      <c r="D15" s="149"/>
      <c r="E15" s="150">
        <v>6</v>
      </c>
      <c r="F15" s="545">
        <f>[2]!AddlInstrImprProjEndBal</f>
        <v>-11362</v>
      </c>
      <c r="G15" s="144">
        <v>6</v>
      </c>
      <c r="I15" s="562"/>
      <c r="J15" s="562"/>
    </row>
    <row r="16" spans="1:27" ht="12.75" customHeight="1" x14ac:dyDescent="0.3">
      <c r="A16" s="661" t="s">
        <v>1256</v>
      </c>
      <c r="B16" s="660"/>
      <c r="C16" s="660"/>
      <c r="D16" s="149"/>
      <c r="E16" s="671">
        <v>7</v>
      </c>
      <c r="F16" s="49">
        <v>0</v>
      </c>
      <c r="G16" s="673">
        <v>7</v>
      </c>
      <c r="I16" s="562"/>
      <c r="J16" s="562"/>
    </row>
    <row r="17" spans="1:12" ht="12.75" customHeight="1" x14ac:dyDescent="0.3">
      <c r="A17" s="151" t="s">
        <v>165</v>
      </c>
      <c r="B17" s="24"/>
      <c r="D17" s="152"/>
      <c r="E17" s="671">
        <v>8</v>
      </c>
      <c r="F17" s="547">
        <f>-(SUMIFS('Accounting data'!$G$2:$G$37002,'Accounting data'!$H$2:$H$37002,"1020*",'Accounting data'!$K$2:$K$37002,"1*")+SUMIFS('Accounting data'!$G$2:$G$37002,'Accounting data'!$H$2:$H$37002,"1020*",'Accounting data'!$K$2:$K$37002,"2*")+SUMIFS('Accounting data'!$G$2:$G$37002,'Accounting data'!$H$2:$H$37002,"1020*",'Accounting data'!$K$2:$K$37002,"3*")+SUMIFS('Accounting data'!$G$2:$G$37002,'Accounting data'!$H$2:$H$37002,"1020*",'Accounting data'!$K$2:$K$37002,"4*")+SUMIFS('Accounting data'!$G$2:$G$37002,'Accounting data'!$H$2:$H$37002,"1020*",'Accounting data'!$K$2:$K$37002,"Other*"))</f>
        <v>14647</v>
      </c>
      <c r="G17" s="673">
        <v>8</v>
      </c>
      <c r="I17" s="562"/>
      <c r="J17" s="562"/>
    </row>
    <row r="18" spans="1:12" ht="12.75" customHeight="1" x14ac:dyDescent="0.3">
      <c r="A18" s="669" t="s">
        <v>1311</v>
      </c>
      <c r="B18" s="24"/>
      <c r="D18" s="152"/>
      <c r="E18" s="671">
        <v>9</v>
      </c>
      <c r="F18" s="547">
        <f>IF(F16="",F15,F16)+F17</f>
        <v>14647</v>
      </c>
      <c r="G18" s="673">
        <v>9</v>
      </c>
      <c r="I18" s="562"/>
      <c r="J18" s="562"/>
    </row>
    <row r="19" spans="1:12" ht="12.75" customHeight="1" x14ac:dyDescent="0.3">
      <c r="A19" s="669" t="s">
        <v>176</v>
      </c>
      <c r="D19" s="152"/>
      <c r="E19" s="671">
        <v>10</v>
      </c>
      <c r="F19" s="547">
        <f>ActualTotalInstImpExp</f>
        <v>14647</v>
      </c>
      <c r="G19" s="673">
        <v>10</v>
      </c>
      <c r="I19" s="562"/>
      <c r="J19" s="562"/>
    </row>
    <row r="20" spans="1:12" ht="12.75" customHeight="1" x14ac:dyDescent="0.3">
      <c r="A20" s="670" t="s">
        <v>1312</v>
      </c>
      <c r="B20" s="6"/>
      <c r="C20" s="6"/>
      <c r="D20" s="153"/>
      <c r="E20" s="672">
        <v>11</v>
      </c>
      <c r="F20" s="595">
        <f>F18-F19</f>
        <v>0</v>
      </c>
      <c r="G20" s="673">
        <v>11</v>
      </c>
    </row>
    <row r="21" spans="1:12" ht="12.75" customHeight="1" x14ac:dyDescent="0.3">
      <c r="A21" s="149"/>
      <c r="D21" s="149"/>
      <c r="E21" s="150"/>
      <c r="F21" s="154"/>
      <c r="G21" s="144"/>
    </row>
    <row r="22" spans="1:12" ht="12.75" customHeight="1" x14ac:dyDescent="0.3">
      <c r="A22" s="66"/>
      <c r="B22" s="67"/>
      <c r="C22" s="67"/>
      <c r="D22" s="155"/>
      <c r="E22" s="156"/>
      <c r="F22" s="157"/>
      <c r="G22" s="157"/>
      <c r="H22" s="144"/>
    </row>
    <row r="23" spans="1:12" ht="12.75" customHeight="1" x14ac:dyDescent="0.3">
      <c r="A23" s="832" t="s">
        <v>177</v>
      </c>
      <c r="B23" s="832"/>
      <c r="C23" s="832"/>
      <c r="D23" s="832"/>
      <c r="E23" s="158"/>
      <c r="F23" s="159" t="s">
        <v>98</v>
      </c>
      <c r="G23" s="159" t="s">
        <v>23</v>
      </c>
      <c r="H23" s="160"/>
    </row>
    <row r="24" spans="1:12" ht="12.75" customHeight="1" x14ac:dyDescent="0.3">
      <c r="A24" s="161"/>
      <c r="B24" s="67" t="s">
        <v>178</v>
      </c>
      <c r="C24" s="67"/>
      <c r="D24" s="162"/>
      <c r="E24" s="163">
        <v>1</v>
      </c>
      <c r="F24" s="164"/>
      <c r="G24" s="49">
        <v>0</v>
      </c>
      <c r="H24" s="165">
        <v>1</v>
      </c>
    </row>
    <row r="25" spans="1:12" ht="12.75" customHeight="1" x14ac:dyDescent="0.3">
      <c r="A25" s="166"/>
      <c r="B25" t="s">
        <v>179</v>
      </c>
      <c r="D25" s="152"/>
      <c r="E25" s="167">
        <v>2</v>
      </c>
      <c r="F25" s="164"/>
      <c r="G25" s="49">
        <v>0</v>
      </c>
      <c r="H25" s="165">
        <v>2</v>
      </c>
    </row>
    <row r="26" spans="1:12" ht="12.75" customHeight="1" x14ac:dyDescent="0.3">
      <c r="A26" s="166"/>
      <c r="B26" t="s">
        <v>180</v>
      </c>
      <c r="D26" s="152"/>
      <c r="E26" s="167">
        <v>3</v>
      </c>
      <c r="F26" s="164"/>
      <c r="G26" s="49">
        <v>0</v>
      </c>
      <c r="H26" s="165">
        <v>3</v>
      </c>
    </row>
    <row r="27" spans="1:12" ht="12.75" customHeight="1" x14ac:dyDescent="0.3">
      <c r="A27" s="166"/>
      <c r="B27" t="s">
        <v>181</v>
      </c>
      <c r="D27" s="152"/>
      <c r="E27" s="167">
        <v>4</v>
      </c>
      <c r="F27" s="164"/>
      <c r="G27" s="49">
        <v>0</v>
      </c>
      <c r="H27" s="165">
        <v>4</v>
      </c>
    </row>
    <row r="28" spans="1:12" ht="12.75" customHeight="1" x14ac:dyDescent="0.3">
      <c r="A28" s="166"/>
      <c r="B28" t="s">
        <v>182</v>
      </c>
      <c r="D28" s="152"/>
      <c r="E28" s="167">
        <v>5</v>
      </c>
      <c r="F28" s="164"/>
      <c r="G28" s="49">
        <v>0</v>
      </c>
      <c r="H28" s="165">
        <v>5</v>
      </c>
    </row>
    <row r="29" spans="1:12" ht="12.75" customHeight="1" x14ac:dyDescent="0.3">
      <c r="A29" s="88" t="s">
        <v>183</v>
      </c>
      <c r="B29" s="6"/>
      <c r="C29" s="6"/>
      <c r="D29" s="6"/>
      <c r="E29" s="168">
        <v>6</v>
      </c>
      <c r="F29" s="545">
        <f>'[1]Page 2'!$E$34</f>
        <v>0</v>
      </c>
      <c r="G29" s="547">
        <f>SUM(G24:G28)</f>
        <v>0</v>
      </c>
      <c r="H29" s="165">
        <v>6</v>
      </c>
      <c r="I29" s="4"/>
      <c r="J29" s="4"/>
      <c r="K29" s="4"/>
      <c r="L29" s="4"/>
    </row>
    <row r="30" spans="1:12" ht="12.75" customHeight="1" x14ac:dyDescent="0.3">
      <c r="F30" s="169"/>
      <c r="G30" s="169"/>
      <c r="H30" s="169"/>
      <c r="I30" s="169"/>
      <c r="J30" s="169"/>
      <c r="K30" s="170"/>
      <c r="L30" s="169"/>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67" priority="1">
      <formula>LEN(TRIM(F16))=0</formula>
    </cfRule>
  </conditionalFormatting>
  <conditionalFormatting sqref="G24:G28">
    <cfRule type="expression" dxfId="66" priority="5" stopIfTrue="1">
      <formula>G24=""</formula>
    </cfRule>
  </conditionalFormatting>
  <conditionalFormatting sqref="G7:I7 F7:F10 G9:G10">
    <cfRule type="expression" dxfId="65" priority="6" stopIfTrue="1">
      <formula>F7=""</formula>
    </cfRule>
  </conditionalFormatting>
  <conditionalFormatting sqref="K10:Z10">
    <cfRule type="expression" dxfId="64" priority="2" stopIfTrue="1">
      <formula>$K$10&lt;&gt;""</formula>
    </cfRule>
    <cfRule type="expression" dxfId="63" priority="3" stopIfTrue="1">
      <formula>"K10&lt;&gt;"""""</formula>
    </cfRule>
  </conditionalFormatting>
  <conditionalFormatting sqref="K11:Z11">
    <cfRule type="expression" dxfId="62" priority="7" stopIfTrue="1">
      <formula>$K$11&lt;&gt;""</formula>
    </cfRule>
  </conditionalFormatting>
  <hyperlinks>
    <hyperlink ref="A23:D23" location="ArizonaIndustryCredentialsIncentive" display="Arizona Industry Credentials Incentive Project—detailed expenses"/>
    <hyperlink ref="A16:C16" location="Page4AdjBeginProjBal" display="Adjusted beginning project balance"/>
  </hyperlinks>
  <pageMargins left="0.7" right="0.7" top="0.75" bottom="0.75" header="0.3" footer="0.3"/>
  <pageSetup scale="77" orientation="landscape"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8"/>
  <sheetViews>
    <sheetView showGridLines="0" workbookViewId="0">
      <selection activeCell="F26" sqref="F26"/>
    </sheetView>
  </sheetViews>
  <sheetFormatPr defaultColWidth="9.296875" defaultRowHeight="13" x14ac:dyDescent="0.3"/>
  <cols>
    <col min="1" max="1" width="1.796875" customWidth="1"/>
    <col min="2" max="2" width="2" customWidth="1"/>
    <col min="3" max="3" width="17" customWidth="1"/>
    <col min="4" max="4" width="24" customWidth="1"/>
    <col min="5" max="5" width="4.296875" bestFit="1" customWidth="1"/>
    <col min="6" max="10" width="12.796875" customWidth="1"/>
    <col min="11" max="11" width="14.796875" customWidth="1"/>
    <col min="12" max="16" width="12.796875" customWidth="1"/>
    <col min="17" max="17" width="3.69921875" bestFit="1" customWidth="1"/>
  </cols>
  <sheetData>
    <row r="1" spans="1:17" ht="12" customHeight="1" x14ac:dyDescent="0.3">
      <c r="A1" s="544" t="s">
        <v>0</v>
      </c>
      <c r="D1" s="809" t="str">
        <f>'Cover Page'!D1</f>
        <v>Mexicayotl Academy, Inc</v>
      </c>
      <c r="E1" s="809"/>
      <c r="F1" s="4"/>
      <c r="G1" s="4"/>
      <c r="H1" s="4"/>
      <c r="J1" s="57" t="s">
        <v>1</v>
      </c>
      <c r="K1" s="809" t="str">
        <f>'Cover Page'!M1</f>
        <v>Santa Cruz</v>
      </c>
      <c r="L1" s="809"/>
      <c r="N1" s="57" t="s">
        <v>2</v>
      </c>
      <c r="O1" s="57"/>
      <c r="P1" s="2" t="str">
        <f>'Cover Page'!R1</f>
        <v>128703000</v>
      </c>
    </row>
    <row r="2" spans="1:17" ht="12" customHeight="1" x14ac:dyDescent="0.3">
      <c r="A2" s="64"/>
      <c r="B2" s="64"/>
      <c r="C2" s="64"/>
      <c r="D2" s="64"/>
      <c r="E2" s="64"/>
      <c r="F2" s="64"/>
      <c r="G2" s="64"/>
      <c r="H2" s="64"/>
      <c r="I2" s="64"/>
      <c r="J2" s="64"/>
      <c r="K2" s="64"/>
    </row>
    <row r="3" spans="1:17" ht="12" customHeight="1" x14ac:dyDescent="0.3">
      <c r="A3" s="82"/>
      <c r="B3" s="67"/>
      <c r="C3" s="67"/>
      <c r="D3" s="67"/>
      <c r="E3" s="68"/>
      <c r="F3" s="172" t="s">
        <v>184</v>
      </c>
      <c r="G3" s="849" t="s">
        <v>1258</v>
      </c>
      <c r="H3" s="68"/>
      <c r="I3" s="565"/>
      <c r="J3" s="173" t="s">
        <v>185</v>
      </c>
      <c r="K3" s="565" t="s">
        <v>86</v>
      </c>
      <c r="L3" s="68"/>
      <c r="M3" s="78"/>
      <c r="N3" s="829" t="s">
        <v>186</v>
      </c>
      <c r="O3" s="844"/>
      <c r="P3" s="565" t="s">
        <v>187</v>
      </c>
    </row>
    <row r="4" spans="1:17" ht="12" customHeight="1" x14ac:dyDescent="0.3">
      <c r="A4" s="90" t="s">
        <v>188</v>
      </c>
      <c r="E4" s="73"/>
      <c r="F4" s="76" t="s">
        <v>189</v>
      </c>
      <c r="G4" s="850"/>
      <c r="H4" s="139" t="s">
        <v>23</v>
      </c>
      <c r="I4" s="76" t="s">
        <v>90</v>
      </c>
      <c r="J4" s="74" t="s">
        <v>91</v>
      </c>
      <c r="K4" s="76" t="s">
        <v>92</v>
      </c>
      <c r="L4" s="139" t="s">
        <v>93</v>
      </c>
      <c r="M4" s="76" t="s">
        <v>94</v>
      </c>
      <c r="N4" s="174"/>
      <c r="P4" s="76" t="s">
        <v>189</v>
      </c>
    </row>
    <row r="5" spans="1:17" ht="12" customHeight="1" x14ac:dyDescent="0.3">
      <c r="A5" s="88"/>
      <c r="B5" s="6"/>
      <c r="C5" s="6"/>
      <c r="D5" s="6"/>
      <c r="E5" s="175"/>
      <c r="F5" s="81" t="s">
        <v>190</v>
      </c>
      <c r="G5" s="851"/>
      <c r="H5" s="176" t="s">
        <v>191</v>
      </c>
      <c r="I5" s="81">
        <v>6100</v>
      </c>
      <c r="J5" s="570">
        <v>6200</v>
      </c>
      <c r="K5" s="81" t="s">
        <v>97</v>
      </c>
      <c r="L5" s="571">
        <v>6600</v>
      </c>
      <c r="M5" s="81">
        <v>6800</v>
      </c>
      <c r="N5" s="177" t="s">
        <v>98</v>
      </c>
      <c r="O5" s="178" t="s">
        <v>23</v>
      </c>
      <c r="P5" s="81" t="s">
        <v>190</v>
      </c>
    </row>
    <row r="6" spans="1:17" ht="11.25" customHeight="1" x14ac:dyDescent="0.3">
      <c r="A6" s="82" t="s">
        <v>192</v>
      </c>
      <c r="B6" s="67"/>
      <c r="C6" s="67"/>
      <c r="D6" s="67"/>
      <c r="F6" s="841"/>
      <c r="G6" s="566"/>
      <c r="H6" s="841"/>
      <c r="I6" s="841"/>
      <c r="J6" s="841"/>
      <c r="K6" s="841"/>
      <c r="L6" s="841"/>
      <c r="M6" s="841"/>
      <c r="N6" s="841"/>
      <c r="O6" s="566"/>
      <c r="P6" s="841"/>
    </row>
    <row r="7" spans="1:17" ht="11.25" customHeight="1" x14ac:dyDescent="0.3">
      <c r="A7" s="111" t="s">
        <v>165</v>
      </c>
      <c r="E7" s="179"/>
      <c r="F7" s="842"/>
      <c r="G7" s="641"/>
      <c r="H7" s="842"/>
      <c r="I7" s="842"/>
      <c r="J7" s="842"/>
      <c r="K7" s="842"/>
      <c r="L7" s="842"/>
      <c r="M7" s="842"/>
      <c r="N7" s="842"/>
      <c r="O7" s="567"/>
      <c r="P7" s="842"/>
    </row>
    <row r="8" spans="1:17" ht="12" customHeight="1" x14ac:dyDescent="0.3">
      <c r="A8" s="111"/>
      <c r="B8" t="s">
        <v>193</v>
      </c>
      <c r="E8" s="179">
        <v>1</v>
      </c>
      <c r="F8" s="180"/>
      <c r="G8" s="180"/>
      <c r="H8" s="547">
        <f>-(SUMIFS('Accounting data'!$G$2:$G$37002,'Accounting data'!$H$2:$H$37002,"1071*",'Accounting data'!$K$2:$K$37002,"32*"))</f>
        <v>0</v>
      </c>
      <c r="I8" s="180"/>
      <c r="J8" s="180"/>
      <c r="K8" s="180"/>
      <c r="L8" s="180"/>
      <c r="M8" s="180"/>
      <c r="N8" s="180"/>
      <c r="O8" s="180"/>
      <c r="P8" s="180"/>
      <c r="Q8" s="144">
        <v>1</v>
      </c>
    </row>
    <row r="9" spans="1:17" ht="12" customHeight="1" x14ac:dyDescent="0.3">
      <c r="A9" s="111"/>
      <c r="B9" t="s">
        <v>194</v>
      </c>
      <c r="E9" s="179">
        <v>2</v>
      </c>
      <c r="F9" s="180"/>
      <c r="G9" s="180"/>
      <c r="H9" s="547">
        <f>-(SUMIFS('Accounting data'!$G$2:$G$37002,'Accounting data'!$H$2:$H$37002,"1071*",'Accounting data'!$K$2:$K$37002,"15*"))</f>
        <v>0</v>
      </c>
      <c r="I9" s="180"/>
      <c r="J9" s="180"/>
      <c r="K9" s="180"/>
      <c r="L9" s="180"/>
      <c r="M9" s="180"/>
      <c r="N9" s="180"/>
      <c r="O9" s="180"/>
      <c r="P9" s="180"/>
      <c r="Q9" s="144">
        <v>2</v>
      </c>
    </row>
    <row r="10" spans="1:17" ht="12" customHeight="1" x14ac:dyDescent="0.3">
      <c r="A10" s="84" t="s">
        <v>195</v>
      </c>
      <c r="E10" s="179">
        <v>3</v>
      </c>
      <c r="F10" s="180"/>
      <c r="G10" s="180"/>
      <c r="H10" s="547">
        <f>SUM(H8:H9)</f>
        <v>0</v>
      </c>
      <c r="I10" s="181"/>
      <c r="J10" s="181"/>
      <c r="K10" s="181"/>
      <c r="L10" s="181"/>
      <c r="M10" s="181"/>
      <c r="N10" s="180"/>
      <c r="O10" s="180"/>
      <c r="P10" s="180"/>
      <c r="Q10" s="144">
        <v>3</v>
      </c>
    </row>
    <row r="11" spans="1:17" ht="11.25" customHeight="1" x14ac:dyDescent="0.3">
      <c r="A11" s="111" t="s">
        <v>89</v>
      </c>
      <c r="E11" s="182"/>
      <c r="F11" s="183"/>
      <c r="G11" s="642"/>
      <c r="H11" s="833"/>
      <c r="I11" s="184"/>
      <c r="J11" s="184"/>
      <c r="K11" s="184"/>
      <c r="L11" s="184"/>
      <c r="M11" s="184"/>
      <c r="N11" s="184"/>
      <c r="O11" s="184"/>
      <c r="P11" s="185"/>
    </row>
    <row r="12" spans="1:17" ht="12" customHeight="1" x14ac:dyDescent="0.3">
      <c r="A12" s="84" t="s">
        <v>196</v>
      </c>
      <c r="F12" s="186"/>
      <c r="G12" s="643"/>
      <c r="H12" s="834"/>
      <c r="I12" s="187"/>
      <c r="J12" s="187"/>
      <c r="K12" s="187"/>
      <c r="L12" s="187"/>
      <c r="M12" s="187"/>
      <c r="N12" s="187"/>
      <c r="O12" s="187"/>
      <c r="P12" s="188"/>
    </row>
    <row r="13" spans="1:17" ht="12" customHeight="1" x14ac:dyDescent="0.3">
      <c r="A13" s="84"/>
      <c r="B13" t="s">
        <v>197</v>
      </c>
      <c r="E13" s="182">
        <v>4</v>
      </c>
      <c r="F13" s="189"/>
      <c r="G13" s="644"/>
      <c r="H13" s="843"/>
      <c r="I13" s="552">
        <f>SUMIFS('Accounting data'!$G$2:$G$37002,'Accounting data'!$H$2:$H$37002,"1071*",'Accounting data'!$I$2:$I$37002,"260*",'Accounting data'!$J$2:$J$37002,"1*",'Accounting data'!$K$2:$K$37002,"61*")</f>
        <v>0</v>
      </c>
      <c r="J13" s="552">
        <f>SUMIFS('Accounting data'!$G$2:$G$37002,'Accounting data'!$H$2:$H$37002,"1071*",'Accounting data'!$I$2:$I$37002,"260*",'Accounting data'!$J$2:$J$37002,"1*",'Accounting data'!$K$2:$K$37002,"62*")</f>
        <v>0</v>
      </c>
      <c r="K13" s="552">
        <f>SUMIFS('Accounting data'!$G$2:$G$37002,'Accounting data'!$H$2:$H$37002,"1071*",'Accounting data'!$I$2:$I$37002,"260*",'Accounting data'!$J$2:$J$37002,"1*",'Accounting data'!$K$2:$K$37002,"63*")</f>
        <v>0</v>
      </c>
      <c r="L13" s="552">
        <f>SUMIFS('Accounting data'!$G$2:$G$37002,'Accounting data'!$H$2:$H$37002,"1071*",'Accounting data'!$I$2:$I$37002,"260*",'Accounting data'!$J$2:$J$37002,"1*",'Accounting data'!$K$2:$K$37002,"66*")</f>
        <v>0</v>
      </c>
      <c r="M13" s="552">
        <f>SUMIFS('Accounting data'!$G$2:$G$37002,'Accounting data'!$H$2:$H$37002,"1071*",'Accounting data'!$I$2:$I$37002,"260*",'Accounting data'!$J$2:$J$37002,"1*",'Accounting data'!$K$2:$K$37002,"68*")</f>
        <v>0</v>
      </c>
      <c r="N13" s="552">
        <f>[1]!SEIP1071P260F1000</f>
        <v>0</v>
      </c>
      <c r="O13" s="552">
        <f>SUM(I13:M13)</f>
        <v>0</v>
      </c>
      <c r="P13" s="190"/>
      <c r="Q13" s="144">
        <v>4</v>
      </c>
    </row>
    <row r="14" spans="1:17" ht="12" customHeight="1" x14ac:dyDescent="0.3">
      <c r="A14" s="84"/>
      <c r="B14" t="s">
        <v>198</v>
      </c>
      <c r="F14" s="183"/>
      <c r="G14" s="642"/>
      <c r="H14" s="833"/>
      <c r="I14" s="187"/>
      <c r="J14" s="187"/>
      <c r="K14" s="187"/>
      <c r="L14" s="187"/>
      <c r="M14" s="187"/>
      <c r="N14" s="845">
        <f>[1]!SEIP1071P260F2100</f>
        <v>0</v>
      </c>
      <c r="O14" s="838">
        <f>SUM(I15:M15)</f>
        <v>0</v>
      </c>
      <c r="P14" s="185"/>
    </row>
    <row r="15" spans="1:17" ht="12" customHeight="1" x14ac:dyDescent="0.3">
      <c r="A15" s="84"/>
      <c r="C15" t="s">
        <v>199</v>
      </c>
      <c r="E15" s="179">
        <v>5</v>
      </c>
      <c r="F15" s="189"/>
      <c r="G15" s="644"/>
      <c r="H15" s="843"/>
      <c r="I15" s="552">
        <f>SUMIFS('Accounting data'!$G$2:$G$37002,'Accounting data'!$H$2:$H$37002,"1071*",'Accounting data'!$I$2:$I$37002,"260*",'Accounting data'!$J$2:$J$37002,"21*",'Accounting data'!$K$2:$K$37002,"61*")</f>
        <v>0</v>
      </c>
      <c r="J15" s="552">
        <f>SUMIFS('Accounting data'!$G$2:$G$37002,'Accounting data'!$H$2:$H$37002,"1071*",'Accounting data'!$I$2:$I$37002,"260*",'Accounting data'!$J$2:$J$37002,"21*",'Accounting data'!$K$2:$K$37002,"62*")</f>
        <v>0</v>
      </c>
      <c r="K15" s="552">
        <f>SUMIFS('Accounting data'!$G$2:$G$37002,'Accounting data'!$H$2:$H$37002,"1071*",'Accounting data'!$I$2:$I$37002,"260*",'Accounting data'!$J$2:$J$37002,"21*",'Accounting data'!$K$2:$K$37002,"63*")</f>
        <v>0</v>
      </c>
      <c r="L15" s="552">
        <f>SUMIFS('Accounting data'!$G$2:$G$37002,'Accounting data'!$H$2:$H$37002,"1071*",'Accounting data'!$I$2:$I$37002,"260*",'Accounting data'!$J$2:$J$37002,"21*",'Accounting data'!$K$2:$K$37002,"66*")</f>
        <v>0</v>
      </c>
      <c r="M15" s="552">
        <f>SUMIFS('Accounting data'!$G$2:$G$37002,'Accounting data'!$H$2:$H$37002,"1071*",'Accounting data'!$I$2:$I$37002,"260*",'Accounting data'!$J$2:$J$37002,"21*",'Accounting data'!$K$2:$K$37002,"68*")</f>
        <v>0</v>
      </c>
      <c r="N15" s="846"/>
      <c r="O15" s="839"/>
      <c r="P15" s="190"/>
      <c r="Q15" s="144">
        <v>5</v>
      </c>
    </row>
    <row r="16" spans="1:17" ht="12" customHeight="1" x14ac:dyDescent="0.3">
      <c r="A16" s="84"/>
      <c r="C16" t="s">
        <v>200</v>
      </c>
      <c r="E16" s="182">
        <v>6</v>
      </c>
      <c r="F16" s="191"/>
      <c r="G16" s="645"/>
      <c r="H16" s="192"/>
      <c r="I16" s="552">
        <f>SUMIFS('Accounting data'!$G$2:$G$37002,'Accounting data'!$H$2:$H$37002,"1071*",'Accounting data'!$I$2:$I$37002,"260*",'Accounting data'!$J$2:$J$37002,"22*",'Accounting data'!$K$2:$K$37002,"61*")</f>
        <v>0</v>
      </c>
      <c r="J16" s="552">
        <f>SUMIFS('Accounting data'!$G$2:$G$37002,'Accounting data'!$H$2:$H$37002,"1071*",'Accounting data'!$I$2:$I$37002,"260*",'Accounting data'!$J$2:$J$37002,"22*",'Accounting data'!$K$2:$K$37002,"62*")</f>
        <v>0</v>
      </c>
      <c r="K16" s="552">
        <f>SUMIFS('Accounting data'!$G$2:$G$37002,'Accounting data'!$H$2:$H$37002,"1071*",'Accounting data'!$I$2:$I$37002,"260*",'Accounting data'!$J$2:$J$37002,"22*",'Accounting data'!$K$2:$K$37002,"63*")</f>
        <v>0</v>
      </c>
      <c r="L16" s="552">
        <f>SUMIFS('Accounting data'!$G$2:$G$37002,'Accounting data'!$H$2:$H$37002,"1071*",'Accounting data'!$I$2:$I$37002,"260*",'Accounting data'!$J$2:$J$37002,"22*",'Accounting data'!$K$2:$K$37002,"66*")</f>
        <v>0</v>
      </c>
      <c r="M16" s="552">
        <f>SUMIFS('Accounting data'!$G$2:$G$37002,'Accounting data'!$H$2:$H$37002,"1071*",'Accounting data'!$I$2:$I$37002,"260*",'Accounting data'!$J$2:$J$37002,"22*",'Accounting data'!$K$2:$K$37002,"68*")</f>
        <v>0</v>
      </c>
      <c r="N16" s="545">
        <f>[1]!SEIP1071P260F2200</f>
        <v>0</v>
      </c>
      <c r="O16" s="547">
        <f t="shared" ref="O16:O21" si="0">SUM(I16:M16)</f>
        <v>0</v>
      </c>
      <c r="P16" s="193"/>
      <c r="Q16" s="144">
        <v>6</v>
      </c>
    </row>
    <row r="17" spans="1:17" ht="12" customHeight="1" x14ac:dyDescent="0.3">
      <c r="A17" s="84"/>
      <c r="C17" t="s">
        <v>201</v>
      </c>
      <c r="E17" s="179">
        <v>7</v>
      </c>
      <c r="F17" s="191"/>
      <c r="G17" s="645"/>
      <c r="H17" s="192"/>
      <c r="I17" s="547">
        <f>SUMIFS('Accounting data'!$G$2:$G$37002,'Accounting data'!$H$2:$H$37002,"1071*",'Accounting data'!$I$2:$I$37002,"260*",'Accounting data'!$J$2:$J$37002,"23*",'Accounting data'!$K$2:$K$37002,"61*")</f>
        <v>0</v>
      </c>
      <c r="J17" s="547">
        <f>SUMIFS('Accounting data'!$G$2:$G$37002,'Accounting data'!$H$2:$H$37002,"1071*",'Accounting data'!$I$2:$I$37002,"260*",'Accounting data'!$J$2:$J$37002,"23*",'Accounting data'!$K$2:$K$37002,"62*")</f>
        <v>0</v>
      </c>
      <c r="K17" s="547">
        <f>SUMIFS('Accounting data'!$G$2:$G$37002,'Accounting data'!$H$2:$H$37002,"1071*",'Accounting data'!$I$2:$I$37002,"260*",'Accounting data'!$J$2:$J$37002,"23*",'Accounting data'!$K$2:$K$37002,"63*")</f>
        <v>0</v>
      </c>
      <c r="L17" s="547">
        <f>SUMIFS('Accounting data'!$G$2:$G$37002,'Accounting data'!$H$2:$H$37002,"1071*",'Accounting data'!$I$2:$I$37002,"260*",'Accounting data'!$J$2:$J$37002,"23*",'Accounting data'!$K$2:$K$37002,"66*")</f>
        <v>0</v>
      </c>
      <c r="M17" s="547">
        <f>SUMIFS('Accounting data'!$G$2:$G$37002,'Accounting data'!$H$2:$H$37002,"1071*",'Accounting data'!$I$2:$I$37002,"260*",'Accounting data'!$J$2:$J$37002,"23*",'Accounting data'!$K$2:$K$37002,"68*")</f>
        <v>0</v>
      </c>
      <c r="N17" s="545">
        <f>[1]!SEIP1071P260F2300</f>
        <v>0</v>
      </c>
      <c r="O17" s="547">
        <f t="shared" si="0"/>
        <v>0</v>
      </c>
      <c r="P17" s="193"/>
      <c r="Q17" s="144">
        <v>7</v>
      </c>
    </row>
    <row r="18" spans="1:17" ht="12" customHeight="1" x14ac:dyDescent="0.3">
      <c r="A18" s="84"/>
      <c r="C18" t="s">
        <v>202</v>
      </c>
      <c r="E18" s="179">
        <v>8</v>
      </c>
      <c r="F18" s="191"/>
      <c r="G18" s="645"/>
      <c r="H18" s="192"/>
      <c r="I18" s="547">
        <f>SUMIFS('Accounting data'!$G$2:$G$37002,'Accounting data'!$H$2:$H$37002,"1071*",'Accounting data'!$I$2:$I$37002,"260*",'Accounting data'!$J$2:$J$37002,"24*",'Accounting data'!$K$2:$K$37002,"61*")</f>
        <v>0</v>
      </c>
      <c r="J18" s="547">
        <f>SUMIFS('Accounting data'!$G$2:$G$37002,'Accounting data'!$H$2:$H$37002,"1071*",'Accounting data'!$I$2:$I$37002,"260*",'Accounting data'!$J$2:$J$37002,"24*",'Accounting data'!$K$2:$K$37002,"62*")</f>
        <v>0</v>
      </c>
      <c r="K18" s="547">
        <f>SUMIFS('Accounting data'!$G$2:$G$37002,'Accounting data'!$H$2:$H$37002,"1071*",'Accounting data'!$I$2:$I$37002,"260*",'Accounting data'!$J$2:$J$37002,"24*",'Accounting data'!$K$2:$K$37002,"63*")</f>
        <v>0</v>
      </c>
      <c r="L18" s="547">
        <f>SUMIFS('Accounting data'!$G$2:$G$37002,'Accounting data'!$H$2:$H$37002,"1071*",'Accounting data'!$I$2:$I$37002,"260*",'Accounting data'!$J$2:$J$37002,"24*",'Accounting data'!$K$2:$K$37002,"66*")</f>
        <v>0</v>
      </c>
      <c r="M18" s="547">
        <f>SUMIFS('Accounting data'!$G$2:$G$37002,'Accounting data'!$H$2:$H$37002,"1071*",'Accounting data'!$I$2:$I$37002,"260*",'Accounting data'!$J$2:$J$37002,"24*",'Accounting data'!$K$2:$K$37002,"68*")</f>
        <v>0</v>
      </c>
      <c r="N18" s="545">
        <f>[1]!SEIP1071P260F2400</f>
        <v>0</v>
      </c>
      <c r="O18" s="547">
        <f t="shared" si="0"/>
        <v>0</v>
      </c>
      <c r="P18" s="193"/>
      <c r="Q18" s="144">
        <v>8</v>
      </c>
    </row>
    <row r="19" spans="1:17" ht="12" customHeight="1" x14ac:dyDescent="0.3">
      <c r="A19" s="84"/>
      <c r="C19" t="s">
        <v>203</v>
      </c>
      <c r="E19" s="179">
        <v>9</v>
      </c>
      <c r="F19" s="191"/>
      <c r="G19" s="645"/>
      <c r="H19" s="192"/>
      <c r="I19" s="547">
        <f>SUMIFS('Accounting data'!$G$2:$G$37002,'Accounting data'!$H$2:$H$37002,"1071*",'Accounting data'!$I$2:$I$37002,"260*",'Accounting data'!$J$2:$J$37002,"25*",'Accounting data'!$K$2:$K$37002,"61*")</f>
        <v>0</v>
      </c>
      <c r="J19" s="547">
        <f>SUMIFS('Accounting data'!$G$2:$G$37002,'Accounting data'!$H$2:$H$37002,"1071*",'Accounting data'!$I$2:$I$37002,"260*",'Accounting data'!$J$2:$J$37002,"25*",'Accounting data'!$K$2:$K$37002,"62*")</f>
        <v>0</v>
      </c>
      <c r="K19" s="547">
        <f>SUMIFS('Accounting data'!$G$2:$G$37002,'Accounting data'!$H$2:$H$37002,"1071*",'Accounting data'!$I$2:$I$37002,"260*",'Accounting data'!$J$2:$J$37002,"25*",'Accounting data'!$K$2:$K$37002,"63*")</f>
        <v>0</v>
      </c>
      <c r="L19" s="547">
        <f>SUMIFS('Accounting data'!$G$2:$G$37002,'Accounting data'!$H$2:$H$37002,"1071*",'Accounting data'!$I$2:$I$37002,"260*",'Accounting data'!$J$2:$J$37002,"25*",'Accounting data'!$K$2:$K$37002,"66*")</f>
        <v>0</v>
      </c>
      <c r="M19" s="547">
        <f>SUMIFS('Accounting data'!$G$2:$G$37002,'Accounting data'!$H$2:$H$37002,"1071*",'Accounting data'!$I$2:$I$37002,"260*",'Accounting data'!$J$2:$J$37002,"25*",'Accounting data'!$K$2:$K$37002,"68*")</f>
        <v>0</v>
      </c>
      <c r="N19" s="545">
        <f>[1]!SEIP1071P260F2500</f>
        <v>0</v>
      </c>
      <c r="O19" s="547">
        <f t="shared" si="0"/>
        <v>0</v>
      </c>
      <c r="P19" s="193"/>
      <c r="Q19" s="144">
        <v>9</v>
      </c>
    </row>
    <row r="20" spans="1:17" ht="12" customHeight="1" x14ac:dyDescent="0.3">
      <c r="A20" s="84"/>
      <c r="C20" t="s">
        <v>204</v>
      </c>
      <c r="E20" s="179">
        <v>10</v>
      </c>
      <c r="F20" s="191"/>
      <c r="G20" s="645"/>
      <c r="H20" s="192"/>
      <c r="I20" s="547">
        <f>SUMIFS('Accounting data'!$G$2:$G$37002,'Accounting data'!$H$2:$H$37002,"1071*",'Accounting data'!$I$2:$I$37002,"260*",'Accounting data'!$J$2:$J$37002,"26*",'Accounting data'!$K$2:$K$37002,"61*")</f>
        <v>0</v>
      </c>
      <c r="J20" s="547">
        <f>SUMIFS('Accounting data'!$G$2:$G$37002,'Accounting data'!$H$2:$H$37002,"1071*",'Accounting data'!$I$2:$I$37002,"260*",'Accounting data'!$J$2:$J$37002,"26*",'Accounting data'!$K$2:$K$37002,"62*")</f>
        <v>0</v>
      </c>
      <c r="K20" s="547">
        <f>SUMIFS('Accounting data'!$G$2:$G$37002,'Accounting data'!$H$2:$H$37002,"1071*",'Accounting data'!$I$2:$I$37002,"260*",'Accounting data'!$J$2:$J$37002,"26*",'Accounting data'!$K$2:$K$37002,"63*")</f>
        <v>0</v>
      </c>
      <c r="L20" s="547">
        <f>SUMIFS('Accounting data'!$G$2:$G$37002,'Accounting data'!$H$2:$H$37002,"1071*",'Accounting data'!$I$2:$I$37002,"260*",'Accounting data'!$J$2:$J$37002,"26*",'Accounting data'!$K$2:$K$37002,"66*")</f>
        <v>0</v>
      </c>
      <c r="M20" s="547">
        <f>SUMIFS('Accounting data'!$G$2:$G$37002,'Accounting data'!$H$2:$H$37002,"1071*",'Accounting data'!$I$2:$I$37002,"260*",'Accounting data'!$J$2:$J$37002,"26*",'Accounting data'!$K$2:$K$37002,"68*")</f>
        <v>0</v>
      </c>
      <c r="N20" s="545">
        <f>[1]!SEIP1071P260F2600</f>
        <v>0</v>
      </c>
      <c r="O20" s="547">
        <f t="shared" si="0"/>
        <v>0</v>
      </c>
      <c r="P20" s="193"/>
      <c r="Q20" s="144">
        <v>10</v>
      </c>
    </row>
    <row r="21" spans="1:17" ht="12" customHeight="1" x14ac:dyDescent="0.3">
      <c r="A21" s="84"/>
      <c r="C21" t="s">
        <v>205</v>
      </c>
      <c r="E21" s="179">
        <v>11</v>
      </c>
      <c r="F21" s="191"/>
      <c r="G21" s="645"/>
      <c r="H21" s="192"/>
      <c r="I21" s="547">
        <f>SUMIFS('Accounting data'!$G$2:$G$37002,'Accounting data'!$H$2:$H$37002,"1071*",'Accounting data'!$I$2:$I$37002,"260*",'Accounting data'!$J$2:$J$37002,"29*",'Accounting data'!$K$2:$K$37002,"61*")</f>
        <v>0</v>
      </c>
      <c r="J21" s="547">
        <f>SUMIFS('Accounting data'!$G$2:$G$37002,'Accounting data'!$H$2:$H$37002,"1071*",'Accounting data'!$I$2:$I$37002,"260*",'Accounting data'!$J$2:$J$37002,"29*",'Accounting data'!$K$2:$K$37002,"62*")</f>
        <v>0</v>
      </c>
      <c r="K21" s="547">
        <f>SUMIFS('Accounting data'!$G$2:$G$37002,'Accounting data'!$H$2:$H$37002,"1071*",'Accounting data'!$I$2:$I$37002,"260*",'Accounting data'!$J$2:$J$37002,"29*",'Accounting data'!$K$2:$K$37002,"63*")</f>
        <v>0</v>
      </c>
      <c r="L21" s="547">
        <f>SUMIFS('Accounting data'!$G$2:$G$37002,'Accounting data'!$H$2:$H$37002,"1071*",'Accounting data'!$I$2:$I$37002,"260*",'Accounting data'!$J$2:$J$37002,"29*",'Accounting data'!$K$2:$K$37002,"66*")</f>
        <v>0</v>
      </c>
      <c r="M21" s="547">
        <f>SUMIFS('Accounting data'!$G$2:$G$37002,'Accounting data'!$H$2:$H$37002,"1071*",'Accounting data'!$I$2:$I$37002,"260*",'Accounting data'!$J$2:$J$37002,"29*",'Accounting data'!$K$2:$K$37002,"68*")</f>
        <v>0</v>
      </c>
      <c r="N21" s="545">
        <f>[1]!SEIP1071P260F2900</f>
        <v>0</v>
      </c>
      <c r="O21" s="547">
        <f t="shared" si="0"/>
        <v>0</v>
      </c>
      <c r="P21" s="193"/>
      <c r="Q21" s="144">
        <v>11</v>
      </c>
    </row>
    <row r="22" spans="1:17" ht="12" customHeight="1" x14ac:dyDescent="0.3">
      <c r="A22" s="88"/>
      <c r="B22" s="6" t="s">
        <v>206</v>
      </c>
      <c r="C22" s="6"/>
      <c r="D22" s="6"/>
      <c r="E22" s="175">
        <v>12</v>
      </c>
      <c r="F22" s="191"/>
      <c r="G22" s="646"/>
      <c r="H22" s="194"/>
      <c r="I22" s="547">
        <f>SUM(I13:I21)</f>
        <v>0</v>
      </c>
      <c r="J22" s="547">
        <f t="shared" ref="J22:O22" si="1">SUM(J13:J21)</f>
        <v>0</v>
      </c>
      <c r="K22" s="547">
        <f>SUM(K13:K21)</f>
        <v>0</v>
      </c>
      <c r="L22" s="547">
        <f t="shared" si="1"/>
        <v>0</v>
      </c>
      <c r="M22" s="547">
        <f t="shared" si="1"/>
        <v>0</v>
      </c>
      <c r="N22" s="547">
        <f t="shared" si="1"/>
        <v>0</v>
      </c>
      <c r="O22" s="547">
        <f t="shared" si="1"/>
        <v>0</v>
      </c>
      <c r="P22" s="193"/>
      <c r="Q22" s="195">
        <v>12</v>
      </c>
    </row>
    <row r="23" spans="1:17" ht="12" customHeight="1" x14ac:dyDescent="0.3">
      <c r="A23" s="84" t="s">
        <v>207</v>
      </c>
      <c r="E23" s="179"/>
      <c r="F23" s="183"/>
      <c r="G23" s="642"/>
      <c r="H23" s="833"/>
      <c r="I23" s="78"/>
      <c r="J23" s="78"/>
      <c r="K23" s="78"/>
      <c r="L23" s="78"/>
      <c r="M23" s="78"/>
      <c r="N23" s="78"/>
      <c r="O23" s="78"/>
      <c r="P23" s="185"/>
      <c r="Q23" s="144"/>
    </row>
    <row r="24" spans="1:17" ht="12" customHeight="1" x14ac:dyDescent="0.3">
      <c r="A24" s="84"/>
      <c r="B24" t="s">
        <v>198</v>
      </c>
      <c r="E24" s="179"/>
      <c r="F24" s="186"/>
      <c r="G24" s="643"/>
      <c r="H24" s="834"/>
      <c r="I24" s="590"/>
      <c r="J24" s="590"/>
      <c r="K24" s="590"/>
      <c r="L24" s="590"/>
      <c r="M24" s="590"/>
      <c r="N24" s="590"/>
      <c r="O24" s="187"/>
      <c r="P24" s="188"/>
      <c r="Q24" s="144"/>
    </row>
    <row r="25" spans="1:17" ht="12" customHeight="1" x14ac:dyDescent="0.3">
      <c r="A25" s="84"/>
      <c r="C25" t="s">
        <v>208</v>
      </c>
      <c r="E25" s="179">
        <v>13</v>
      </c>
      <c r="F25" s="189"/>
      <c r="G25" s="644"/>
      <c r="H25" s="843"/>
      <c r="I25" s="590">
        <f>SUMIFS('Accounting data'!$G$2:$G$37002,'Accounting data'!$H$2:$H$37002,"1071*",'Accounting data'!$I$2:$I$37002,"43*",'Accounting data'!$J$2:$J$37002,"27*",'Accounting data'!$K$2:$K$37002,"61*")</f>
        <v>0</v>
      </c>
      <c r="J25" s="590">
        <f>SUMIFS('Accounting data'!$G$2:$G$37002,'Accounting data'!$H$2:$H$37002,"1071*",'Accounting data'!$I$2:$I$37002,"43*",'Accounting data'!$J$2:$J$37002,"27*",'Accounting data'!$K$2:$K$37002,"62*")</f>
        <v>0</v>
      </c>
      <c r="K25" s="590">
        <f>SUMIFS('Accounting data'!$G$2:$G$37002,'Accounting data'!$H$2:$H$37002,"1071*",'Accounting data'!$I$2:$I$37002,"43*",'Accounting data'!$J$2:$J$37002,"27*",'Accounting data'!$K$2:$K$37002,"63*")</f>
        <v>0</v>
      </c>
      <c r="L25" s="590">
        <f>SUMIFS('Accounting data'!$G$2:$G$37002,'Accounting data'!$H$2:$H$37002,"1071*",'Accounting data'!$I$2:$I$37002,"43*",'Accounting data'!$J$2:$J$37002,"27*",'Accounting data'!$K$2:$K$37002,"66*")</f>
        <v>0</v>
      </c>
      <c r="M25" s="590">
        <f>SUMIFS('Accounting data'!$G$2:$G$37002,'Accounting data'!$H$2:$H$37002,"1071*",'Accounting data'!$I$2:$I$37002,"43*",'Accounting data'!$J$2:$J$37002,"27*",'Accounting data'!$K$2:$K$37002,"68*")</f>
        <v>0</v>
      </c>
      <c r="N25" s="590">
        <f>[1]!SEIP1071P430F2700</f>
        <v>0</v>
      </c>
      <c r="O25" s="552">
        <f>SUM(I25:M25)</f>
        <v>0</v>
      </c>
      <c r="P25" s="190"/>
      <c r="Q25" s="195">
        <v>13</v>
      </c>
    </row>
    <row r="26" spans="1:17" ht="12" customHeight="1" x14ac:dyDescent="0.3">
      <c r="A26" s="94" t="s">
        <v>209</v>
      </c>
      <c r="B26" s="95"/>
      <c r="C26" s="95"/>
      <c r="D26" s="95"/>
      <c r="E26" s="196">
        <v>14</v>
      </c>
      <c r="F26" s="545">
        <f>[2]!SEIP1071EndBal</f>
        <v>-82106</v>
      </c>
      <c r="G26" s="49">
        <v>0</v>
      </c>
      <c r="H26" s="547">
        <f>H10</f>
        <v>0</v>
      </c>
      <c r="I26" s="547">
        <f>SUM(I22:I24)</f>
        <v>0</v>
      </c>
      <c r="J26" s="547">
        <f>SUM(J22:J24)</f>
        <v>0</v>
      </c>
      <c r="K26" s="547">
        <f>SUM(K22:K24)</f>
        <v>0</v>
      </c>
      <c r="L26" s="547">
        <f>SUM(L22:L24)</f>
        <v>0</v>
      </c>
      <c r="M26" s="547">
        <f>SUM(M22:M24)</f>
        <v>0</v>
      </c>
      <c r="N26" s="547">
        <f>SUM(N22:N25)</f>
        <v>0</v>
      </c>
      <c r="O26" s="547">
        <f>SUM(O22:O25)</f>
        <v>0</v>
      </c>
      <c r="P26" s="547">
        <f>IF(G26="",F26,G26)+H26-O26</f>
        <v>0</v>
      </c>
      <c r="Q26" s="195">
        <v>14</v>
      </c>
    </row>
    <row r="27" spans="1:17" ht="9" customHeight="1" x14ac:dyDescent="0.3">
      <c r="A27" s="847"/>
      <c r="B27" s="847"/>
      <c r="C27" s="847"/>
      <c r="D27" s="847"/>
      <c r="E27" s="847"/>
      <c r="F27" s="847"/>
      <c r="G27" s="847"/>
      <c r="H27" s="847"/>
      <c r="I27" s="847"/>
      <c r="J27" s="847"/>
      <c r="K27" s="848"/>
      <c r="L27" s="848"/>
      <c r="M27" s="848"/>
    </row>
    <row r="28" spans="1:17" ht="11.25" customHeight="1" x14ac:dyDescent="0.3">
      <c r="A28" s="82" t="s">
        <v>210</v>
      </c>
      <c r="B28" s="67"/>
      <c r="C28" s="67"/>
      <c r="D28" s="67"/>
      <c r="E28" s="197"/>
      <c r="F28" s="836"/>
      <c r="G28" s="638"/>
      <c r="H28" s="836"/>
      <c r="I28" s="836"/>
      <c r="J28" s="836"/>
      <c r="K28" s="836"/>
      <c r="L28" s="836"/>
      <c r="M28" s="835"/>
      <c r="N28" s="835"/>
      <c r="O28" s="835"/>
      <c r="P28" s="836"/>
    </row>
    <row r="29" spans="1:17" ht="11.25" customHeight="1" x14ac:dyDescent="0.3">
      <c r="A29" s="111" t="s">
        <v>165</v>
      </c>
      <c r="E29" s="179"/>
      <c r="F29" s="837"/>
      <c r="G29" s="639"/>
      <c r="H29" s="840"/>
      <c r="I29" s="840"/>
      <c r="J29" s="840"/>
      <c r="K29" s="840"/>
      <c r="L29" s="840"/>
      <c r="M29" s="835"/>
      <c r="N29" s="835"/>
      <c r="O29" s="835"/>
      <c r="P29" s="837"/>
    </row>
    <row r="30" spans="1:17" ht="12" customHeight="1" x14ac:dyDescent="0.3">
      <c r="A30" s="111"/>
      <c r="B30" t="s">
        <v>193</v>
      </c>
      <c r="E30" s="179">
        <v>15</v>
      </c>
      <c r="F30" s="180"/>
      <c r="G30" s="180"/>
      <c r="H30" s="547">
        <f>-(SUMIFS('Accounting data'!$G$2:$G$37002,'Accounting data'!$H$2:$H$37002,"1072*",'Accounting data'!$K$2:$K$37002,"32*"))</f>
        <v>0</v>
      </c>
      <c r="I30" s="180"/>
      <c r="J30" s="180"/>
      <c r="K30" s="180"/>
      <c r="L30" s="180"/>
      <c r="M30" s="198"/>
      <c r="N30" s="180"/>
      <c r="O30" s="180"/>
      <c r="P30" s="180"/>
      <c r="Q30" s="195">
        <v>15</v>
      </c>
    </row>
    <row r="31" spans="1:17" ht="12" customHeight="1" x14ac:dyDescent="0.3">
      <c r="A31" s="111"/>
      <c r="B31" t="s">
        <v>194</v>
      </c>
      <c r="E31" s="179">
        <v>16</v>
      </c>
      <c r="F31" s="180"/>
      <c r="G31" s="180"/>
      <c r="H31" s="547">
        <f>-(SUMIFS('Accounting data'!$G$2:$G$37002,'Accounting data'!$H$2:$H$37002,"1072*",'Accounting data'!$K$2:$K$37002,"15*"))</f>
        <v>0</v>
      </c>
      <c r="I31" s="180"/>
      <c r="J31" s="180"/>
      <c r="K31" s="180"/>
      <c r="L31" s="180"/>
      <c r="M31" s="180"/>
      <c r="N31" s="180"/>
      <c r="O31" s="180"/>
      <c r="P31" s="180"/>
      <c r="Q31" s="195">
        <v>16</v>
      </c>
    </row>
    <row r="32" spans="1:17" ht="12" customHeight="1" x14ac:dyDescent="0.3">
      <c r="A32" s="84" t="s">
        <v>211</v>
      </c>
      <c r="E32" s="179">
        <v>17</v>
      </c>
      <c r="F32" s="181"/>
      <c r="G32" s="181"/>
      <c r="H32" s="547">
        <f>SUM(H30:H31)</f>
        <v>0</v>
      </c>
      <c r="I32" s="181"/>
      <c r="J32" s="181"/>
      <c r="K32" s="181"/>
      <c r="L32" s="181"/>
      <c r="M32" s="181"/>
      <c r="N32" s="181"/>
      <c r="O32" s="181"/>
      <c r="P32" s="181"/>
      <c r="Q32" s="195">
        <v>17</v>
      </c>
    </row>
    <row r="33" spans="1:17" ht="11.25" customHeight="1" x14ac:dyDescent="0.3">
      <c r="A33" s="111" t="s">
        <v>89</v>
      </c>
      <c r="E33" s="182"/>
      <c r="F33" s="183"/>
      <c r="G33" s="642"/>
      <c r="H33" s="199"/>
      <c r="I33" s="141"/>
      <c r="J33" s="141"/>
      <c r="K33" s="141"/>
      <c r="L33" s="141"/>
      <c r="M33" s="141"/>
      <c r="N33" s="141"/>
      <c r="O33" s="141"/>
      <c r="P33" s="183"/>
    </row>
    <row r="34" spans="1:17" ht="12" customHeight="1" x14ac:dyDescent="0.3">
      <c r="A34" s="84" t="s">
        <v>212</v>
      </c>
      <c r="E34" s="182"/>
      <c r="F34" s="186"/>
      <c r="G34" s="643"/>
      <c r="H34" s="200"/>
      <c r="I34" s="187"/>
      <c r="J34" s="187"/>
      <c r="K34" s="187"/>
      <c r="L34" s="187"/>
      <c r="M34" s="187"/>
      <c r="N34" s="187"/>
      <c r="O34" s="187"/>
      <c r="P34" s="186"/>
    </row>
    <row r="35" spans="1:17" ht="12" customHeight="1" x14ac:dyDescent="0.3">
      <c r="A35" s="84"/>
      <c r="B35" t="s">
        <v>197</v>
      </c>
      <c r="E35" s="182">
        <v>18</v>
      </c>
      <c r="F35" s="189"/>
      <c r="G35" s="644"/>
      <c r="H35" s="201"/>
      <c r="I35" s="552">
        <f>SUMIFS('Accounting data'!$G$2:$G$37002,'Accounting data'!$H$2:$H$37002,"1072*",'Accounting data'!$I$2:$I$37002,"265*",'Accounting data'!$J$2:$J$37002,"1*",'Accounting data'!$K$2:$K$37002,"61*")</f>
        <v>0</v>
      </c>
      <c r="J35" s="552">
        <f>SUMIFS('Accounting data'!$G$2:$G$37002,'Accounting data'!$H$2:$H$37002,"1072*",'Accounting data'!$I$2:$I$37002,"265*",'Accounting data'!$J$2:$J$37002,"1*",'Accounting data'!$K$2:$K$37002,"62*")</f>
        <v>0</v>
      </c>
      <c r="K35" s="552">
        <f>SUMIFS('Accounting data'!$G$2:$G$37002,'Accounting data'!$H$2:$H$37002,"1072*",'Accounting data'!$I$2:$I$37002,"265*",'Accounting data'!$J$2:$J$37002,"1*",'Accounting data'!$K$2:$K$37002,"63*")</f>
        <v>0</v>
      </c>
      <c r="L35" s="552">
        <f>SUMIFS('Accounting data'!$G$2:$G$37002,'Accounting data'!$H$2:$H$37002,"1072*",'Accounting data'!$I$2:$I$37002,"265*",'Accounting data'!$J$2:$J$37002,"1*",'Accounting data'!$K$2:$K$37002,"66*")</f>
        <v>0</v>
      </c>
      <c r="M35" s="552">
        <f>SUMIFS('Accounting data'!$G$2:$G$37002,'Accounting data'!$H$2:$H$37002,"1072*",'Accounting data'!$I$2:$I$37002,"265*",'Accounting data'!$J$2:$J$37002,"1*",'Accounting data'!$K$2:$K$37002,"68*")</f>
        <v>0</v>
      </c>
      <c r="N35" s="552">
        <f>[1]!CIP1072P265F1000</f>
        <v>0</v>
      </c>
      <c r="O35" s="552">
        <f>SUM(I35:M35)</f>
        <v>0</v>
      </c>
      <c r="P35" s="189"/>
      <c r="Q35" s="195">
        <v>18</v>
      </c>
    </row>
    <row r="36" spans="1:17" ht="12" customHeight="1" x14ac:dyDescent="0.3">
      <c r="A36" s="84"/>
      <c r="B36" t="s">
        <v>198</v>
      </c>
      <c r="E36" s="179"/>
      <c r="F36" s="183"/>
      <c r="G36" s="643"/>
      <c r="H36" s="834"/>
      <c r="I36" s="184"/>
      <c r="J36" s="184"/>
      <c r="K36" s="184"/>
      <c r="L36" s="184"/>
      <c r="M36" s="184"/>
      <c r="N36" s="184"/>
      <c r="O36" s="184"/>
      <c r="P36" s="183"/>
      <c r="Q36" s="195"/>
    </row>
    <row r="37" spans="1:17" ht="12" customHeight="1" x14ac:dyDescent="0.3">
      <c r="A37" s="84"/>
      <c r="C37" t="s">
        <v>199</v>
      </c>
      <c r="E37" s="179">
        <v>19</v>
      </c>
      <c r="F37" s="189"/>
      <c r="G37" s="643"/>
      <c r="H37" s="834"/>
      <c r="I37" s="552">
        <f>SUMIFS('Accounting data'!$G$2:$G$37002,'Accounting data'!$H$2:$H$37002,"1072*",'Accounting data'!$I$2:$I$37002,"265*",'Accounting data'!$J$2:$J$37002,"21*",'Accounting data'!$K$2:$K$37002,"61*")</f>
        <v>0</v>
      </c>
      <c r="J37" s="552">
        <f>SUMIFS('Accounting data'!$G$2:$G$37002,'Accounting data'!$H$2:$H$37002,"1072*",'Accounting data'!$I$2:$I$37002,"265*",'Accounting data'!$J$2:$J$37002,"21*",'Accounting data'!$K$2:$K$37002,"62*")</f>
        <v>0</v>
      </c>
      <c r="K37" s="552">
        <f>SUMIFS('Accounting data'!$G$2:$G$37002,'Accounting data'!$H$2:$H$37002,"1072*",'Accounting data'!$I$2:$I$37002,"265*",'Accounting data'!$J$2:$J$37002,"21*",'Accounting data'!$K$2:$K$37002,"63*")</f>
        <v>0</v>
      </c>
      <c r="L37" s="552">
        <f>SUMIFS('Accounting data'!$G$2:$G$37002,'Accounting data'!$H$2:$H$37002,"1072*",'Accounting data'!$I$2:$I$37002,"265*",'Accounting data'!$J$2:$J$37002,"21*",'Accounting data'!$K$2:$K$37002,"66*")</f>
        <v>0</v>
      </c>
      <c r="M37" s="552">
        <f>SUMIFS('Accounting data'!$G$2:$G$37002,'Accounting data'!$H$2:$H$37002,"1072*",'Accounting data'!$I$2:$I$37002,"265*",'Accounting data'!$J$2:$J$37002,"21*",'Accounting data'!$K$2:$K$37002,"68*")</f>
        <v>0</v>
      </c>
      <c r="N37" s="552">
        <f>[1]!CIP1072P265F2100</f>
        <v>0</v>
      </c>
      <c r="O37" s="552">
        <f>SUM(I37:M37)</f>
        <v>0</v>
      </c>
      <c r="P37" s="189"/>
      <c r="Q37" s="195">
        <v>19</v>
      </c>
    </row>
    <row r="38" spans="1:17" ht="12" customHeight="1" x14ac:dyDescent="0.3">
      <c r="A38" s="84"/>
      <c r="C38" t="s">
        <v>200</v>
      </c>
      <c r="E38" s="179">
        <v>20</v>
      </c>
      <c r="F38" s="191"/>
      <c r="G38" s="645"/>
      <c r="H38" s="192"/>
      <c r="I38" s="547">
        <f>SUMIFS('Accounting data'!$G$2:$G$37002,'Accounting data'!$H$2:$H$37002,"1072*",'Accounting data'!$I$2:$I$37002,"265*",'Accounting data'!$J$2:$J$37002,"22*",'Accounting data'!$K$2:$K$37002,"61*")</f>
        <v>0</v>
      </c>
      <c r="J38" s="547">
        <f>SUMIFS('Accounting data'!$G$2:$G$37002,'Accounting data'!$H$2:$H$37002,"1072*",'Accounting data'!$I$2:$I$37002,"265*",'Accounting data'!$J$2:$J$37002,"22*",'Accounting data'!$K$2:$K$37002,"62*")</f>
        <v>0</v>
      </c>
      <c r="K38" s="547">
        <f>SUMIFS('Accounting data'!$G$2:$G$37002,'Accounting data'!$H$2:$H$37002,"1072*",'Accounting data'!$I$2:$I$37002,"265*",'Accounting data'!$J$2:$J$37002,"22*",'Accounting data'!$K$2:$K$37002,"63*")</f>
        <v>0</v>
      </c>
      <c r="L38" s="547">
        <f>SUMIFS('Accounting data'!$G$2:$G$37002,'Accounting data'!$H$2:$H$37002,"1072*",'Accounting data'!$I$2:$I$37002,"265*",'Accounting data'!$J$2:$J$37002,"22*",'Accounting data'!$K$2:$K$37002,"66*")</f>
        <v>0</v>
      </c>
      <c r="M38" s="547">
        <f>SUMIFS('Accounting data'!$G$2:$G$37002,'Accounting data'!$H$2:$H$37002,"1072*",'Accounting data'!$I$2:$I$37002,"265*",'Accounting data'!$J$2:$J$37002,"22*",'Accounting data'!$K$2:$K$37002,"68*")</f>
        <v>0</v>
      </c>
      <c r="N38" s="545">
        <f>[1]!CIP1072P265F2200</f>
        <v>0</v>
      </c>
      <c r="O38" s="547">
        <f t="shared" ref="O38:O43" si="2">SUM(I38:M38)</f>
        <v>0</v>
      </c>
      <c r="P38" s="191"/>
      <c r="Q38" s="195">
        <v>20</v>
      </c>
    </row>
    <row r="39" spans="1:17" ht="12" customHeight="1" x14ac:dyDescent="0.3">
      <c r="A39" s="84"/>
      <c r="C39" t="s">
        <v>201</v>
      </c>
      <c r="E39" s="179">
        <v>21</v>
      </c>
      <c r="F39" s="191"/>
      <c r="G39" s="645"/>
      <c r="H39" s="192"/>
      <c r="I39" s="547">
        <f>SUMIFS('Accounting data'!$G$2:$G$37002,'Accounting data'!$H$2:$H$37002,"1072*",'Accounting data'!$I$2:$I$37002,"265*",'Accounting data'!$J$2:$J$37002,"23*",'Accounting data'!$K$2:$K$37002,"61*")</f>
        <v>0</v>
      </c>
      <c r="J39" s="547">
        <f>SUMIFS('Accounting data'!$G$2:$G$37002,'Accounting data'!$H$2:$H$37002,"1072*",'Accounting data'!$I$2:$I$37002,"265*",'Accounting data'!$J$2:$J$37002,"23*",'Accounting data'!$K$2:$K$37002,"62*")</f>
        <v>0</v>
      </c>
      <c r="K39" s="547">
        <f>SUMIFS('Accounting data'!$G$2:$G$37002,'Accounting data'!$H$2:$H$37002,"1072*",'Accounting data'!$I$2:$I$37002,"265*",'Accounting data'!$J$2:$J$37002,"23*",'Accounting data'!$K$2:$K$37002,"63*")</f>
        <v>0</v>
      </c>
      <c r="L39" s="547">
        <f>SUMIFS('Accounting data'!$G$2:$G$37002,'Accounting data'!$H$2:$H$37002,"1072*",'Accounting data'!$I$2:$I$37002,"265*",'Accounting data'!$J$2:$J$37002,"23*",'Accounting data'!$K$2:$K$37002,"66*")</f>
        <v>0</v>
      </c>
      <c r="M39" s="547">
        <f>SUMIFS('Accounting data'!$G$2:$G$37002,'Accounting data'!$H$2:$H$37002,"1072*",'Accounting data'!$I$2:$I$37002,"265*",'Accounting data'!$J$2:$J$37002,"23*",'Accounting data'!$K$2:$K$37002,"68*")</f>
        <v>0</v>
      </c>
      <c r="N39" s="545">
        <f>[1]!CIP1072P265F2300</f>
        <v>0</v>
      </c>
      <c r="O39" s="547">
        <f t="shared" si="2"/>
        <v>0</v>
      </c>
      <c r="P39" s="191"/>
      <c r="Q39" s="195">
        <v>21</v>
      </c>
    </row>
    <row r="40" spans="1:17" ht="12" customHeight="1" x14ac:dyDescent="0.3">
      <c r="A40" s="84"/>
      <c r="C40" t="s">
        <v>202</v>
      </c>
      <c r="E40" s="179">
        <v>22</v>
      </c>
      <c r="F40" s="191"/>
      <c r="G40" s="645"/>
      <c r="H40" s="192"/>
      <c r="I40" s="547">
        <f>SUMIFS('Accounting data'!$G$2:$G$37002,'Accounting data'!$H$2:$H$37002,"1072*",'Accounting data'!$I$2:$I$37002,"265*",'Accounting data'!$J$2:$J$37002,"24*",'Accounting data'!$K$2:$K$37002,"61*")</f>
        <v>0</v>
      </c>
      <c r="J40" s="547">
        <f>SUMIFS('Accounting data'!$G$2:$G$37002,'Accounting data'!$H$2:$H$37002,"1072*",'Accounting data'!$I$2:$I$37002,"265*",'Accounting data'!$J$2:$J$37002,"24*",'Accounting data'!$K$2:$K$37002,"62*")</f>
        <v>0</v>
      </c>
      <c r="K40" s="547">
        <f>SUMIFS('Accounting data'!$G$2:$G$37002,'Accounting data'!$H$2:$H$37002,"1072*",'Accounting data'!$I$2:$I$37002,"265*",'Accounting data'!$J$2:$J$37002,"24*",'Accounting data'!$K$2:$K$37002,"63*")</f>
        <v>0</v>
      </c>
      <c r="L40" s="547">
        <f>SUMIFS('Accounting data'!$G$2:$G$37002,'Accounting data'!$H$2:$H$37002,"1072*",'Accounting data'!$I$2:$I$37002,"265*",'Accounting data'!$J$2:$J$37002,"24*",'Accounting data'!$K$2:$K$37002,"66*")</f>
        <v>0</v>
      </c>
      <c r="M40" s="547">
        <f>SUMIFS('Accounting data'!$G$2:$G$37002,'Accounting data'!$H$2:$H$37002,"1072*",'Accounting data'!$I$2:$I$37002,"265*",'Accounting data'!$J$2:$J$37002,"24*",'Accounting data'!$K$2:$K$37002,"68*")</f>
        <v>0</v>
      </c>
      <c r="N40" s="545">
        <f>[1]!CIP1072P265F2400</f>
        <v>0</v>
      </c>
      <c r="O40" s="547">
        <f t="shared" si="2"/>
        <v>0</v>
      </c>
      <c r="P40" s="191"/>
      <c r="Q40" s="195">
        <v>22</v>
      </c>
    </row>
    <row r="41" spans="1:17" ht="12" customHeight="1" x14ac:dyDescent="0.3">
      <c r="A41" s="84"/>
      <c r="C41" t="s">
        <v>203</v>
      </c>
      <c r="E41" s="179">
        <v>23</v>
      </c>
      <c r="F41" s="191"/>
      <c r="G41" s="645"/>
      <c r="H41" s="192"/>
      <c r="I41" s="547">
        <f>SUMIFS('Accounting data'!$G$2:$G$37002,'Accounting data'!$H$2:$H$37002,"1072*",'Accounting data'!$I$2:$I$37002,"265*",'Accounting data'!$J$2:$J$37002,"25*",'Accounting data'!$K$2:$K$37002,"61*")</f>
        <v>0</v>
      </c>
      <c r="J41" s="547">
        <f>SUMIFS('Accounting data'!$G$2:$G$37002,'Accounting data'!$H$2:$H$37002,"1072*",'Accounting data'!$I$2:$I$37002,"265*",'Accounting data'!$J$2:$J$37002,"25*",'Accounting data'!$K$2:$K$37002,"62*")</f>
        <v>0</v>
      </c>
      <c r="K41" s="547">
        <f>SUMIFS('Accounting data'!$G$2:$G$37002,'Accounting data'!$H$2:$H$37002,"1072*",'Accounting data'!$I$2:$I$37002,"265*",'Accounting data'!$J$2:$J$37002,"25*",'Accounting data'!$K$2:$K$37002,"63*")</f>
        <v>0</v>
      </c>
      <c r="L41" s="547">
        <f>SUMIFS('Accounting data'!$G$2:$G$37002,'Accounting data'!$H$2:$H$37002,"1072*",'Accounting data'!$I$2:$I$37002,"265*",'Accounting data'!$J$2:$J$37002,"25*",'Accounting data'!$K$2:$K$37002,"66*")</f>
        <v>0</v>
      </c>
      <c r="M41" s="547">
        <f>SUMIFS('Accounting data'!$G$2:$G$37002,'Accounting data'!$H$2:$H$37002,"1072*",'Accounting data'!$I$2:$I$37002,"265*",'Accounting data'!$J$2:$J$37002,"25*",'Accounting data'!$K$2:$K$37002,"68*")</f>
        <v>0</v>
      </c>
      <c r="N41" s="545">
        <f>[1]!CIP1072P265F2500</f>
        <v>0</v>
      </c>
      <c r="O41" s="547">
        <f t="shared" si="2"/>
        <v>0</v>
      </c>
      <c r="P41" s="191"/>
      <c r="Q41" s="195">
        <v>23</v>
      </c>
    </row>
    <row r="42" spans="1:17" ht="12" customHeight="1" x14ac:dyDescent="0.3">
      <c r="A42" s="84"/>
      <c r="C42" t="s">
        <v>204</v>
      </c>
      <c r="E42" s="179">
        <v>24</v>
      </c>
      <c r="F42" s="191"/>
      <c r="G42" s="645"/>
      <c r="H42" s="192"/>
      <c r="I42" s="547">
        <f>SUMIFS('Accounting data'!$G$2:$G$37002,'Accounting data'!$H$2:$H$37002,"1072*",'Accounting data'!$I$2:$I$37002,"265*",'Accounting data'!$J$2:$J$37002,"26*",'Accounting data'!$K$2:$K$37002,"61*")</f>
        <v>0</v>
      </c>
      <c r="J42" s="547">
        <f>SUMIFS('Accounting data'!$G$2:$G$37002,'Accounting data'!$H$2:$H$37002,"1072*",'Accounting data'!$I$2:$I$37002,"265*",'Accounting data'!$J$2:$J$37002,"26*",'Accounting data'!$K$2:$K$37002,"62*")</f>
        <v>0</v>
      </c>
      <c r="K42" s="547">
        <f>SUMIFS('Accounting data'!$G$2:$G$37002,'Accounting data'!$H$2:$H$37002,"1072*",'Accounting data'!$I$2:$I$37002,"265*",'Accounting data'!$J$2:$J$37002,"26*",'Accounting data'!$K$2:$K$37002,"63*")</f>
        <v>0</v>
      </c>
      <c r="L42" s="547">
        <f>SUMIFS('Accounting data'!$G$2:$G$37002,'Accounting data'!$H$2:$H$37002,"1072*",'Accounting data'!$I$2:$I$37002,"265*",'Accounting data'!$J$2:$J$37002,"26*",'Accounting data'!$K$2:$K$37002,"66*")</f>
        <v>0</v>
      </c>
      <c r="M42" s="547">
        <f>SUMIFS('Accounting data'!$G$2:$G$37002,'Accounting data'!$H$2:$H$37002,"1072*",'Accounting data'!$I$2:$I$37002,"265*",'Accounting data'!$J$2:$J$37002,"26*",'Accounting data'!$K$2:$K$37002,"68*")</f>
        <v>0</v>
      </c>
      <c r="N42" s="545">
        <f>[1]!CIP1072P265F2600</f>
        <v>0</v>
      </c>
      <c r="O42" s="547">
        <f t="shared" si="2"/>
        <v>0</v>
      </c>
      <c r="P42" s="191"/>
      <c r="Q42" s="195">
        <v>24</v>
      </c>
    </row>
    <row r="43" spans="1:17" ht="12" customHeight="1" x14ac:dyDescent="0.3">
      <c r="A43" s="84"/>
      <c r="C43" t="s">
        <v>205</v>
      </c>
      <c r="E43" s="179">
        <v>25</v>
      </c>
      <c r="F43" s="191"/>
      <c r="G43" s="645"/>
      <c r="H43" s="192"/>
      <c r="I43" s="547">
        <f>SUMIFS('Accounting data'!$G$2:$G$37002,'Accounting data'!$H$2:$H$37002,"1072*",'Accounting data'!$I$2:$I$37002,"265*",'Accounting data'!$J$2:$J$37002,"29*",'Accounting data'!$K$2:$K$37002,"61*")</f>
        <v>0</v>
      </c>
      <c r="J43" s="547">
        <f>SUMIFS('Accounting data'!$G$2:$G$37002,'Accounting data'!$H$2:$H$37002,"1072*",'Accounting data'!$I$2:$I$37002,"265*",'Accounting data'!$J$2:$J$37002,"29*",'Accounting data'!$K$2:$K$37002,"62*")</f>
        <v>0</v>
      </c>
      <c r="K43" s="547">
        <f>SUMIFS('Accounting data'!$G$2:$G$37002,'Accounting data'!$H$2:$H$37002,"1072*",'Accounting data'!$I$2:$I$37002,"265*",'Accounting data'!$J$2:$J$37002,"29*",'Accounting data'!$K$2:$K$37002,"63*")</f>
        <v>0</v>
      </c>
      <c r="L43" s="547">
        <f>SUMIFS('Accounting data'!$G$2:$G$37002,'Accounting data'!$H$2:$H$37002,"1072*",'Accounting data'!$I$2:$I$37002,"265*",'Accounting data'!$J$2:$J$37002,"29*",'Accounting data'!$K$2:$K$37002,"66*")</f>
        <v>0</v>
      </c>
      <c r="M43" s="547">
        <f>SUMIFS('Accounting data'!$G$2:$G$37002,'Accounting data'!$H$2:$H$37002,"1072*",'Accounting data'!$I$2:$I$37002,"265*",'Accounting data'!$J$2:$J$37002,"29*",'Accounting data'!$K$2:$K$37002,"68*")</f>
        <v>0</v>
      </c>
      <c r="N43" s="545">
        <f>[1]!CIP1072P265F2900</f>
        <v>0</v>
      </c>
      <c r="O43" s="547">
        <f t="shared" si="2"/>
        <v>0</v>
      </c>
      <c r="P43" s="191"/>
      <c r="Q43" s="195">
        <v>25</v>
      </c>
    </row>
    <row r="44" spans="1:17" ht="12" customHeight="1" x14ac:dyDescent="0.3">
      <c r="A44" s="88"/>
      <c r="B44" s="6" t="s">
        <v>213</v>
      </c>
      <c r="C44" s="6"/>
      <c r="D44" s="6"/>
      <c r="E44" s="175">
        <v>26</v>
      </c>
      <c r="F44" s="191"/>
      <c r="G44" s="645"/>
      <c r="H44" s="192"/>
      <c r="I44" s="202">
        <f>SUM(I35:I43)</f>
        <v>0</v>
      </c>
      <c r="J44" s="202">
        <f t="shared" ref="J44:M44" si="3">SUM(J35:J43)</f>
        <v>0</v>
      </c>
      <c r="K44" s="202">
        <f>SUM(K35:K43)</f>
        <v>0</v>
      </c>
      <c r="L44" s="202">
        <f>SUM(L35:L43)</f>
        <v>0</v>
      </c>
      <c r="M44" s="202">
        <f t="shared" si="3"/>
        <v>0</v>
      </c>
      <c r="N44" s="202">
        <f>SUM(N35:N43)</f>
        <v>0</v>
      </c>
      <c r="O44" s="202">
        <f>SUM(O35:O43)</f>
        <v>0</v>
      </c>
      <c r="P44" s="191"/>
      <c r="Q44" s="195">
        <v>26</v>
      </c>
    </row>
    <row r="45" spans="1:17" ht="12" customHeight="1" x14ac:dyDescent="0.3">
      <c r="A45" s="84" t="s">
        <v>214</v>
      </c>
      <c r="E45" s="179"/>
      <c r="F45" s="183"/>
      <c r="G45" s="642"/>
      <c r="H45" s="833"/>
      <c r="I45" s="141"/>
      <c r="J45" s="141"/>
      <c r="K45" s="141"/>
      <c r="L45" s="141"/>
      <c r="M45" s="141"/>
      <c r="N45" s="141"/>
      <c r="O45" s="141"/>
      <c r="P45" s="183"/>
      <c r="Q45" s="195"/>
    </row>
    <row r="46" spans="1:17" ht="12" customHeight="1" x14ac:dyDescent="0.3">
      <c r="A46" s="84"/>
      <c r="B46" t="s">
        <v>198</v>
      </c>
      <c r="E46" s="179"/>
      <c r="F46" s="186"/>
      <c r="G46" s="643"/>
      <c r="H46" s="834"/>
      <c r="I46" s="187"/>
      <c r="J46" s="187"/>
      <c r="K46" s="187"/>
      <c r="L46" s="187"/>
      <c r="M46" s="187"/>
      <c r="N46" s="187"/>
      <c r="O46" s="187"/>
      <c r="P46" s="186"/>
      <c r="Q46" s="195"/>
    </row>
    <row r="47" spans="1:17" ht="12" customHeight="1" x14ac:dyDescent="0.3">
      <c r="A47" s="84"/>
      <c r="C47" t="s">
        <v>208</v>
      </c>
      <c r="E47" s="179">
        <v>27</v>
      </c>
      <c r="F47" s="186"/>
      <c r="G47" s="643"/>
      <c r="H47" s="834"/>
      <c r="I47" s="552">
        <f>SUMIFS('Accounting data'!$G$2:$G$37002,'Accounting data'!$H$2:$H$37002,"1072*",'Accounting data'!$I$2:$I$37002,"435*",'Accounting data'!$J$2:$J$37002,"27*",'Accounting data'!$K$2:$K$37002,"61*")</f>
        <v>0</v>
      </c>
      <c r="J47" s="552">
        <f>SUMIFS('Accounting data'!$G$2:$G$37002,'Accounting data'!$H$2:$H$37002,"1072*",'Accounting data'!$I$2:$I$37002,"435*",'Accounting data'!$J$2:$J$37002,"27*",'Accounting data'!$K$2:$K$37002,"62*")</f>
        <v>0</v>
      </c>
      <c r="K47" s="552">
        <f>SUMIFS('Accounting data'!$G$2:$G$37002,'Accounting data'!$H$2:$H$37002,"1072*",'Accounting data'!$I$2:$I$37002,"435*",'Accounting data'!$J$2:$J$37002,"27*",'Accounting data'!$K$2:$K$37002,"63*")</f>
        <v>0</v>
      </c>
      <c r="L47" s="552">
        <f>SUMIFS('Accounting data'!$G$2:$G$37002,'Accounting data'!$H$2:$H$37002,"1072*",'Accounting data'!$I$2:$I$37002,"435*",'Accounting data'!$J$2:$J$37002,"27*",'Accounting data'!$K$2:$K$37002,"66*")</f>
        <v>0</v>
      </c>
      <c r="M47" s="552">
        <f>SUMIFS('Accounting data'!$G$2:$G$37002,'Accounting data'!$H$2:$H$37002,"1072*",'Accounting data'!$I$2:$I$37002,"435*",'Accounting data'!$J$2:$J$37002,"27*",'Accounting data'!$K$2:$K$37002,"68*")</f>
        <v>0</v>
      </c>
      <c r="N47" s="552">
        <f>[1]!CIP1072P435F2700</f>
        <v>0</v>
      </c>
      <c r="O47" s="552">
        <f>SUM(I47:M47)</f>
        <v>0</v>
      </c>
      <c r="P47" s="186"/>
      <c r="Q47" s="195">
        <v>27</v>
      </c>
    </row>
    <row r="48" spans="1:17" ht="12" customHeight="1" x14ac:dyDescent="0.3">
      <c r="A48" s="94" t="s">
        <v>215</v>
      </c>
      <c r="B48" s="95"/>
      <c r="C48" s="95"/>
      <c r="D48" s="95"/>
      <c r="E48" s="196">
        <v>28</v>
      </c>
      <c r="F48" s="545">
        <f>[2]!CIP1072EndBal</f>
        <v>0</v>
      </c>
      <c r="G48" s="49"/>
      <c r="H48" s="547">
        <f>H32</f>
        <v>0</v>
      </c>
      <c r="I48" s="552">
        <f t="shared" ref="I48:M48" si="4">SUM(I44:I47)</f>
        <v>0</v>
      </c>
      <c r="J48" s="552">
        <f t="shared" si="4"/>
        <v>0</v>
      </c>
      <c r="K48" s="552">
        <f t="shared" si="4"/>
        <v>0</v>
      </c>
      <c r="L48" s="552">
        <f t="shared" si="4"/>
        <v>0</v>
      </c>
      <c r="M48" s="552">
        <f t="shared" si="4"/>
        <v>0</v>
      </c>
      <c r="N48" s="547">
        <f>SUM(N44:N47)</f>
        <v>0</v>
      </c>
      <c r="O48" s="547">
        <f>SUM(O44:O47)</f>
        <v>0</v>
      </c>
      <c r="P48" s="547">
        <f>IF(G48="",F48,G48)+H48-O48</f>
        <v>0</v>
      </c>
      <c r="Q48" s="195">
        <v>28</v>
      </c>
    </row>
  </sheetData>
  <sheetProtection sheet="1" formatCells="0" formatColumns="0" formatRows="0"/>
  <mergeCells count="31">
    <mergeCell ref="D1:E1"/>
    <mergeCell ref="K1:L1"/>
    <mergeCell ref="A27:M27"/>
    <mergeCell ref="I6:I7"/>
    <mergeCell ref="J6:J7"/>
    <mergeCell ref="K6:K7"/>
    <mergeCell ref="G3:G5"/>
    <mergeCell ref="F28:F29"/>
    <mergeCell ref="F6:F7"/>
    <mergeCell ref="N3:O3"/>
    <mergeCell ref="N14:N15"/>
    <mergeCell ref="N6:N7"/>
    <mergeCell ref="P6:P7"/>
    <mergeCell ref="H11:H13"/>
    <mergeCell ref="H23:H25"/>
    <mergeCell ref="H14:H15"/>
    <mergeCell ref="H6:H7"/>
    <mergeCell ref="L6:L7"/>
    <mergeCell ref="M6:M7"/>
    <mergeCell ref="H45:H47"/>
    <mergeCell ref="N28:N29"/>
    <mergeCell ref="O28:O29"/>
    <mergeCell ref="P28:P29"/>
    <mergeCell ref="O14:O15"/>
    <mergeCell ref="H28:H29"/>
    <mergeCell ref="H36:H37"/>
    <mergeCell ref="I28:I29"/>
    <mergeCell ref="J28:J29"/>
    <mergeCell ref="K28:K29"/>
    <mergeCell ref="L28:L29"/>
    <mergeCell ref="M28:M29"/>
  </mergeCells>
  <conditionalFormatting sqref="G26">
    <cfRule type="containsBlanks" dxfId="61" priority="2">
      <formula>LEN(TRIM(G26))=0</formula>
    </cfRule>
  </conditionalFormatting>
  <conditionalFormatting sqref="G48">
    <cfRule type="containsBlanks" dxfId="60" priority="1">
      <formula>LEN(TRIM(G48))=0</formula>
    </cfRule>
  </conditionalFormatting>
  <hyperlinks>
    <hyperlink ref="G3" location="Page5AdjBeginProjBal" display="Adjusted"/>
  </hyperlinks>
  <pageMargins left="0.7" right="0.7" top="0.75" bottom="0.75" header="0.3" footer="0.3"/>
  <pageSetup scale="70"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1"/>
  <sheetViews>
    <sheetView showGridLines="0" workbookViewId="0">
      <selection activeCell="G16" sqref="G16"/>
    </sheetView>
  </sheetViews>
  <sheetFormatPr defaultColWidth="9.296875" defaultRowHeight="13" x14ac:dyDescent="0.3"/>
  <cols>
    <col min="1" max="1" width="3.796875" customWidth="1"/>
    <col min="2" max="2" width="33.296875" customWidth="1"/>
    <col min="3" max="3" width="2" customWidth="1"/>
    <col min="4" max="4" width="16" customWidth="1"/>
    <col min="5" max="5" width="3" customWidth="1"/>
    <col min="6" max="6" width="12.796875" customWidth="1"/>
    <col min="7" max="7" width="13" customWidth="1"/>
    <col min="8" max="9" width="3.796875" customWidth="1"/>
    <col min="10" max="10" width="2.296875" customWidth="1"/>
    <col min="11" max="11" width="11" customWidth="1"/>
    <col min="12" max="12" width="18.69921875" customWidth="1"/>
    <col min="13" max="13" width="6.296875" customWidth="1"/>
    <col min="14" max="14" width="5.296875" customWidth="1"/>
    <col min="15" max="15" width="7.296875" customWidth="1"/>
    <col min="16" max="16" width="6.796875" customWidth="1"/>
    <col min="17" max="17" width="9" customWidth="1"/>
    <col min="18" max="18" width="15.796875" customWidth="1"/>
    <col min="19" max="19" width="15" customWidth="1"/>
    <col min="20" max="20" width="15.296875" customWidth="1"/>
    <col min="21" max="21" width="12.796875" customWidth="1"/>
    <col min="22" max="22" width="15.796875" customWidth="1"/>
    <col min="23" max="23" width="9.296875" customWidth="1"/>
  </cols>
  <sheetData>
    <row r="1" spans="1:27" ht="12" customHeight="1" x14ac:dyDescent="0.3">
      <c r="A1" s="544" t="s">
        <v>0</v>
      </c>
      <c r="C1" s="809" t="str">
        <f>'Cover Page'!D1</f>
        <v>Mexicayotl Academy, Inc</v>
      </c>
      <c r="D1" s="809"/>
      <c r="E1" s="809"/>
      <c r="F1" s="809"/>
      <c r="H1" t="s">
        <v>20</v>
      </c>
      <c r="I1" s="544" t="s">
        <v>1</v>
      </c>
      <c r="L1" s="1" t="str">
        <f>'Cover Page'!M1</f>
        <v>Santa Cruz</v>
      </c>
      <c r="T1" s="57" t="s">
        <v>2</v>
      </c>
      <c r="U1" s="203" t="str">
        <f>'Cover Page'!R1</f>
        <v>128703000</v>
      </c>
    </row>
    <row r="2" spans="1:27" hidden="1" x14ac:dyDescent="0.3">
      <c r="T2" s="64"/>
      <c r="U2" s="64"/>
    </row>
    <row r="3" spans="1:27" x14ac:dyDescent="0.3">
      <c r="V3" s="149"/>
    </row>
    <row r="4" spans="1:27" x14ac:dyDescent="0.3">
      <c r="A4" s="204" t="s">
        <v>216</v>
      </c>
      <c r="B4" s="64"/>
      <c r="C4" s="64"/>
      <c r="D4" s="64"/>
      <c r="E4" s="64"/>
      <c r="F4" s="64"/>
      <c r="G4" s="64"/>
      <c r="H4" s="64"/>
      <c r="I4" s="64"/>
      <c r="J4" s="64"/>
      <c r="K4" s="64"/>
      <c r="L4" s="64"/>
      <c r="M4" s="64"/>
      <c r="N4" s="64"/>
      <c r="O4" s="64"/>
      <c r="P4" s="64"/>
      <c r="Q4" s="64"/>
      <c r="R4" s="64"/>
      <c r="S4" s="64"/>
      <c r="T4" s="64"/>
      <c r="U4" s="64"/>
    </row>
    <row r="5" spans="1:27" x14ac:dyDescent="0.3">
      <c r="B5" s="685" t="s">
        <v>726</v>
      </c>
      <c r="D5" s="674" t="s">
        <v>1313</v>
      </c>
      <c r="F5" s="674" t="s">
        <v>1314</v>
      </c>
    </row>
    <row r="6" spans="1:27" x14ac:dyDescent="0.3">
      <c r="A6" t="s">
        <v>217</v>
      </c>
      <c r="B6" t="s">
        <v>218</v>
      </c>
      <c r="C6" s="7" t="s">
        <v>16</v>
      </c>
      <c r="D6" s="205">
        <f>[2]!CashBal</f>
        <v>1356540</v>
      </c>
      <c r="E6" s="7" t="s">
        <v>16</v>
      </c>
      <c r="F6" s="53">
        <v>1082513</v>
      </c>
      <c r="I6" t="s">
        <v>219</v>
      </c>
      <c r="J6" s="206" t="s">
        <v>24</v>
      </c>
      <c r="K6" s="207" t="s">
        <v>220</v>
      </c>
      <c r="L6" s="649"/>
      <c r="M6" s="648"/>
      <c r="N6" s="649"/>
      <c r="O6" s="648"/>
      <c r="P6" s="208"/>
      <c r="Q6" s="209"/>
      <c r="T6" s="22">
        <v>1</v>
      </c>
      <c r="U6" s="815"/>
      <c r="V6" s="815"/>
      <c r="W6" s="815"/>
      <c r="X6" s="815"/>
      <c r="Y6" s="815"/>
      <c r="Z6" s="815"/>
      <c r="AA6" s="815"/>
    </row>
    <row r="7" spans="1:27" x14ac:dyDescent="0.3">
      <c r="D7" s="211"/>
      <c r="F7" s="211"/>
      <c r="J7" s="206" t="s">
        <v>26</v>
      </c>
      <c r="K7" s="207" t="s">
        <v>221</v>
      </c>
      <c r="L7" s="649"/>
      <c r="M7" s="648"/>
      <c r="N7" s="649"/>
      <c r="O7" s="648"/>
      <c r="P7" s="208"/>
      <c r="Q7" s="209"/>
      <c r="T7" s="22">
        <v>12</v>
      </c>
      <c r="AA7" s="212" t="str">
        <f>IF(OR(CashBal="",F9="",G9="",F10="",G10="",G14="",G15="",G16="",G17="",G18="",G19="",F23="",F24="",F25="",F26="",F27="",F28="",G33="",G34="",G35="",G36="",G38="",G40=""),"yes","")</f>
        <v/>
      </c>
    </row>
    <row r="8" spans="1:27" x14ac:dyDescent="0.3">
      <c r="A8" t="s">
        <v>222</v>
      </c>
      <c r="B8" s="207" t="s">
        <v>223</v>
      </c>
      <c r="C8" s="7"/>
      <c r="E8" s="7"/>
      <c r="F8" s="576" t="s">
        <v>98</v>
      </c>
      <c r="G8" s="576" t="s">
        <v>23</v>
      </c>
      <c r="J8" s="206" t="s">
        <v>28</v>
      </c>
      <c r="K8" s="207" t="s">
        <v>224</v>
      </c>
      <c r="L8" s="649"/>
      <c r="M8" s="648"/>
      <c r="N8" s="649"/>
      <c r="O8" s="648"/>
      <c r="P8" s="208"/>
      <c r="Q8" s="209"/>
      <c r="T8" s="25">
        <v>1</v>
      </c>
      <c r="AA8" s="212" t="str">
        <f>IF(OR(T6="",T7="",T8="",T9="",T10="",T11="",T12="",T13="",T29=""),"yes","")</f>
        <v/>
      </c>
    </row>
    <row r="9" spans="1:27" x14ac:dyDescent="0.3">
      <c r="B9" t="s">
        <v>225</v>
      </c>
      <c r="C9" s="7"/>
      <c r="E9" s="7"/>
      <c r="F9" s="49">
        <v>13000</v>
      </c>
      <c r="G9" s="49">
        <v>17370</v>
      </c>
      <c r="J9" s="213" t="s">
        <v>31</v>
      </c>
      <c r="K9" t="s">
        <v>226</v>
      </c>
      <c r="T9" s="23">
        <v>2</v>
      </c>
      <c r="AA9" s="212" t="str">
        <f>IF(OR(M19="",P19="",R19="",S19="",T19="",M20="",P20="",R20="",S20="",T20="",M21="",P21="",R21="",S21="",T21="",M22="",P22="",R22="",S22="",T22="",M24="",P24="",R24="",S24="",T24=""),"yes","")</f>
        <v/>
      </c>
    </row>
    <row r="10" spans="1:27" ht="13.5" thickBot="1" x14ac:dyDescent="0.35">
      <c r="B10" t="s">
        <v>227</v>
      </c>
      <c r="F10" s="52">
        <v>0</v>
      </c>
      <c r="G10" s="52">
        <v>0</v>
      </c>
      <c r="J10" s="213" t="s">
        <v>33</v>
      </c>
      <c r="K10" t="s">
        <v>228</v>
      </c>
      <c r="T10" s="22">
        <v>180</v>
      </c>
      <c r="AA10" s="212" t="str">
        <f>IF(AND(AA7="",AA8="",AA9=""),"","yes")</f>
        <v/>
      </c>
    </row>
    <row r="11" spans="1:27" ht="13.5" thickBot="1" x14ac:dyDescent="0.35">
      <c r="B11" t="s">
        <v>229</v>
      </c>
      <c r="F11" s="215">
        <f>SUM(F9:F10)</f>
        <v>13000</v>
      </c>
      <c r="G11" s="215">
        <f>SUM(G9:G10)</f>
        <v>17370</v>
      </c>
      <c r="J11" s="86" t="s">
        <v>35</v>
      </c>
      <c r="K11" t="s">
        <v>230</v>
      </c>
      <c r="S11" s="7" t="s">
        <v>16</v>
      </c>
      <c r="T11" s="23">
        <v>0</v>
      </c>
    </row>
    <row r="12" spans="1:27" ht="13.5" thickTop="1" x14ac:dyDescent="0.3">
      <c r="J12" s="86" t="s">
        <v>36</v>
      </c>
      <c r="K12" t="s">
        <v>231</v>
      </c>
      <c r="S12" s="7" t="s">
        <v>16</v>
      </c>
      <c r="T12" s="23">
        <v>0</v>
      </c>
    </row>
    <row r="13" spans="1:27" x14ac:dyDescent="0.3">
      <c r="A13" t="s">
        <v>232</v>
      </c>
      <c r="B13" s="207" t="s">
        <v>233</v>
      </c>
      <c r="F13" s="576" t="s">
        <v>98</v>
      </c>
      <c r="G13" s="576" t="s">
        <v>23</v>
      </c>
      <c r="J13" s="86" t="s">
        <v>38</v>
      </c>
      <c r="K13" t="s">
        <v>234</v>
      </c>
      <c r="S13" s="7" t="s">
        <v>16</v>
      </c>
      <c r="T13" s="569">
        <v>4093</v>
      </c>
    </row>
    <row r="14" spans="1:27" x14ac:dyDescent="0.3">
      <c r="B14" t="s">
        <v>235</v>
      </c>
      <c r="F14" s="545">
        <f>[1]!CA0181IntangibleAssets</f>
        <v>0</v>
      </c>
      <c r="G14" s="47">
        <v>0</v>
      </c>
      <c r="J14" s="86"/>
      <c r="T14" s="7"/>
      <c r="U14" s="216"/>
    </row>
    <row r="15" spans="1:27" x14ac:dyDescent="0.3">
      <c r="B15" t="s">
        <v>236</v>
      </c>
      <c r="F15" s="545">
        <f>[1]!CA0191Land</f>
        <v>0</v>
      </c>
      <c r="G15" s="47">
        <v>0</v>
      </c>
    </row>
    <row r="16" spans="1:27" ht="12.75" customHeight="1" x14ac:dyDescent="0.3">
      <c r="B16" t="s">
        <v>237</v>
      </c>
      <c r="F16" s="545">
        <f>[1]!CA0192SiteImprovements</f>
        <v>0</v>
      </c>
      <c r="G16" s="47">
        <v>175070</v>
      </c>
      <c r="M16" s="853" t="s">
        <v>238</v>
      </c>
      <c r="N16" s="854"/>
      <c r="O16" s="855"/>
      <c r="P16" s="853" t="s">
        <v>239</v>
      </c>
      <c r="Q16" s="855"/>
      <c r="R16" s="217" t="s">
        <v>238</v>
      </c>
      <c r="S16" s="217" t="s">
        <v>239</v>
      </c>
      <c r="T16" s="217" t="s">
        <v>240</v>
      </c>
      <c r="V16" s="8"/>
      <c r="W16" s="8"/>
    </row>
    <row r="17" spans="1:21" ht="12.75" customHeight="1" x14ac:dyDescent="0.3">
      <c r="B17" t="s">
        <v>241</v>
      </c>
      <c r="F17" s="545">
        <f>[1]!CA0194Buildings</f>
        <v>149137</v>
      </c>
      <c r="G17" s="47">
        <v>8200</v>
      </c>
      <c r="I17" t="s">
        <v>242</v>
      </c>
      <c r="J17" s="207" t="s">
        <v>243</v>
      </c>
      <c r="K17" s="207"/>
      <c r="L17" s="207"/>
      <c r="M17" s="862" t="s">
        <v>244</v>
      </c>
      <c r="N17" s="878"/>
      <c r="O17" s="863"/>
      <c r="P17" s="862" t="s">
        <v>244</v>
      </c>
      <c r="Q17" s="863"/>
      <c r="R17" s="218" t="s">
        <v>245</v>
      </c>
      <c r="S17" s="218" t="s">
        <v>245</v>
      </c>
      <c r="T17" s="218" t="s">
        <v>244</v>
      </c>
    </row>
    <row r="18" spans="1:21" ht="12.75" customHeight="1" x14ac:dyDescent="0.3">
      <c r="B18" t="s">
        <v>246</v>
      </c>
      <c r="F18" s="545">
        <f>[1]!CA0196Equipment</f>
        <v>33058</v>
      </c>
      <c r="G18" s="47">
        <v>33058</v>
      </c>
      <c r="J18" s="207" t="s">
        <v>247</v>
      </c>
      <c r="K18" s="207"/>
      <c r="L18" s="207"/>
      <c r="M18" s="873" t="s">
        <v>248</v>
      </c>
      <c r="N18" s="879"/>
      <c r="O18" s="874"/>
      <c r="P18" s="873" t="s">
        <v>249</v>
      </c>
      <c r="Q18" s="874"/>
      <c r="R18" s="219" t="s">
        <v>250</v>
      </c>
      <c r="S18" s="219" t="s">
        <v>251</v>
      </c>
      <c r="T18" s="219" t="s">
        <v>252</v>
      </c>
    </row>
    <row r="19" spans="1:21" ht="12.75" customHeight="1" thickBot="1" x14ac:dyDescent="0.35">
      <c r="B19" s="207" t="s">
        <v>253</v>
      </c>
      <c r="F19" s="214">
        <f>[1]!CA0198CIP</f>
        <v>0</v>
      </c>
      <c r="G19" s="51">
        <v>0</v>
      </c>
      <c r="J19" s="206" t="s">
        <v>24</v>
      </c>
      <c r="K19" s="207" t="s">
        <v>254</v>
      </c>
      <c r="L19" s="207"/>
      <c r="M19" s="859">
        <f>22717.92+1125</f>
        <v>23843</v>
      </c>
      <c r="N19" s="860"/>
      <c r="O19" s="861"/>
      <c r="P19" s="859">
        <f>54783.15+444559.63+1215.63</f>
        <v>500558</v>
      </c>
      <c r="Q19" s="860"/>
      <c r="R19" s="26">
        <v>0</v>
      </c>
      <c r="S19" s="26">
        <v>42072</v>
      </c>
      <c r="T19" s="26">
        <v>43753</v>
      </c>
    </row>
    <row r="20" spans="1:21" ht="13.5" customHeight="1" thickBot="1" x14ac:dyDescent="0.35">
      <c r="B20" t="s">
        <v>255</v>
      </c>
      <c r="F20" s="535">
        <f>SUM(F14:F19)</f>
        <v>182195</v>
      </c>
      <c r="G20" s="215">
        <f>SUM(G14:G19)</f>
        <v>216328</v>
      </c>
      <c r="J20" s="206" t="s">
        <v>26</v>
      </c>
      <c r="K20" s="207" t="s">
        <v>256</v>
      </c>
      <c r="L20" s="207"/>
      <c r="M20" s="859">
        <v>0</v>
      </c>
      <c r="N20" s="860"/>
      <c r="O20" s="861"/>
      <c r="P20" s="859">
        <v>0</v>
      </c>
      <c r="Q20" s="860"/>
      <c r="R20" s="26">
        <v>0</v>
      </c>
      <c r="S20" s="26">
        <v>0</v>
      </c>
      <c r="T20" s="26">
        <v>0</v>
      </c>
    </row>
    <row r="21" spans="1:21" ht="13.5" thickTop="1" x14ac:dyDescent="0.3">
      <c r="J21" s="206" t="s">
        <v>28</v>
      </c>
      <c r="K21" s="207" t="s">
        <v>257</v>
      </c>
      <c r="L21" s="207"/>
      <c r="M21" s="859">
        <v>0</v>
      </c>
      <c r="N21" s="860"/>
      <c r="O21" s="861"/>
      <c r="P21" s="859">
        <v>0</v>
      </c>
      <c r="Q21" s="860"/>
      <c r="R21" s="26">
        <v>0</v>
      </c>
      <c r="S21" s="26">
        <v>0</v>
      </c>
      <c r="T21" s="26">
        <v>0</v>
      </c>
      <c r="U21" s="216"/>
    </row>
    <row r="22" spans="1:21" ht="13.5" customHeight="1" x14ac:dyDescent="0.3">
      <c r="A22" t="s">
        <v>258</v>
      </c>
      <c r="B22" s="207" t="s">
        <v>1325</v>
      </c>
      <c r="C22" s="221"/>
      <c r="D22" s="221"/>
      <c r="E22" s="207"/>
      <c r="F22" s="207"/>
      <c r="J22" s="206" t="s">
        <v>31</v>
      </c>
      <c r="K22" s="207" t="s">
        <v>259</v>
      </c>
      <c r="L22" s="207"/>
      <c r="M22" s="875">
        <v>0</v>
      </c>
      <c r="N22" s="876"/>
      <c r="O22" s="877"/>
      <c r="P22" s="859">
        <v>0</v>
      </c>
      <c r="Q22" s="861"/>
      <c r="R22" s="26">
        <v>0</v>
      </c>
      <c r="S22" s="26">
        <v>0</v>
      </c>
      <c r="T22" s="26">
        <v>0</v>
      </c>
      <c r="U22" s="216"/>
    </row>
    <row r="23" spans="1:21" ht="13.5" customHeight="1" x14ac:dyDescent="0.3">
      <c r="B23" t="s">
        <v>235</v>
      </c>
      <c r="E23" s="7" t="s">
        <v>16</v>
      </c>
      <c r="F23" s="22">
        <v>0</v>
      </c>
      <c r="J23" s="206" t="s">
        <v>33</v>
      </c>
      <c r="K23" s="856" t="s">
        <v>260</v>
      </c>
      <c r="L23" s="857"/>
      <c r="M23" s="222"/>
      <c r="N23" s="223"/>
      <c r="O23" s="224"/>
      <c r="P23" s="223"/>
      <c r="Q23" s="224"/>
      <c r="R23" s="225"/>
      <c r="S23" s="225"/>
      <c r="T23" s="225"/>
      <c r="U23" s="216"/>
    </row>
    <row r="24" spans="1:21" ht="13.5" customHeight="1" x14ac:dyDescent="0.3">
      <c r="B24" t="s">
        <v>236</v>
      </c>
      <c r="E24" s="7" t="s">
        <v>16</v>
      </c>
      <c r="F24" s="22">
        <v>353660</v>
      </c>
      <c r="J24" s="226"/>
      <c r="K24" s="856"/>
      <c r="L24" s="857"/>
      <c r="M24" s="870">
        <v>0</v>
      </c>
      <c r="N24" s="871"/>
      <c r="O24" s="872"/>
      <c r="P24" s="870">
        <v>0</v>
      </c>
      <c r="Q24" s="871"/>
      <c r="R24" s="27">
        <v>0</v>
      </c>
      <c r="S24" s="27">
        <v>0</v>
      </c>
      <c r="T24" s="27">
        <v>0</v>
      </c>
      <c r="U24" s="216"/>
    </row>
    <row r="25" spans="1:21" ht="13.5" customHeight="1" x14ac:dyDescent="0.3">
      <c r="B25" t="s">
        <v>237</v>
      </c>
      <c r="E25" s="7" t="s">
        <v>16</v>
      </c>
      <c r="F25" s="22">
        <v>185572</v>
      </c>
      <c r="M25" s="24"/>
      <c r="N25" s="24"/>
      <c r="O25" s="24"/>
      <c r="P25" s="24"/>
      <c r="Q25" s="24"/>
      <c r="R25" s="24"/>
      <c r="S25" s="24"/>
      <c r="T25" s="24"/>
      <c r="U25" s="24"/>
    </row>
    <row r="26" spans="1:21" ht="13.5" customHeight="1" x14ac:dyDescent="0.3">
      <c r="B26" t="s">
        <v>241</v>
      </c>
      <c r="E26" s="7" t="s">
        <v>16</v>
      </c>
      <c r="F26" s="23">
        <v>2000564</v>
      </c>
      <c r="M26" s="216"/>
      <c r="N26" s="216"/>
      <c r="O26" s="216"/>
      <c r="P26" s="216"/>
      <c r="Q26" s="216"/>
      <c r="R26" s="216"/>
      <c r="S26" s="216"/>
      <c r="T26" s="216"/>
      <c r="U26" s="216"/>
    </row>
    <row r="27" spans="1:21" ht="15.75" customHeight="1" thickBot="1" x14ac:dyDescent="0.35">
      <c r="B27" t="s">
        <v>246</v>
      </c>
      <c r="E27" s="7" t="s">
        <v>16</v>
      </c>
      <c r="F27" s="22">
        <v>1014519</v>
      </c>
      <c r="I27" t="s">
        <v>261</v>
      </c>
      <c r="J27" s="207" t="s">
        <v>262</v>
      </c>
      <c r="K27" s="227"/>
      <c r="L27" s="227"/>
      <c r="M27" s="227"/>
      <c r="N27" s="227"/>
      <c r="O27" s="227"/>
      <c r="P27" s="227"/>
      <c r="Q27" s="227"/>
      <c r="R27" s="227"/>
      <c r="S27" s="543"/>
    </row>
    <row r="28" spans="1:21" ht="13.5" customHeight="1" thickBot="1" x14ac:dyDescent="0.4">
      <c r="B28" s="207" t="s">
        <v>253</v>
      </c>
      <c r="E28" s="7" t="s">
        <v>16</v>
      </c>
      <c r="F28" s="22">
        <v>0</v>
      </c>
      <c r="I28" s="86"/>
      <c r="K28" s="28"/>
      <c r="L28" s="665" t="s">
        <v>1315</v>
      </c>
      <c r="M28" s="228"/>
      <c r="N28" s="228"/>
      <c r="O28" s="228"/>
      <c r="P28" s="228"/>
      <c r="Q28" s="228"/>
      <c r="U28" s="543"/>
    </row>
    <row r="29" spans="1:21" ht="13.5" customHeight="1" thickBot="1" x14ac:dyDescent="0.35">
      <c r="B29" t="s">
        <v>263</v>
      </c>
      <c r="E29" s="7" t="s">
        <v>16</v>
      </c>
      <c r="F29" s="229">
        <f>SUM(F23:F28)</f>
        <v>3554315</v>
      </c>
      <c r="I29" s="86"/>
      <c r="J29" t="s">
        <v>24</v>
      </c>
      <c r="K29" s="665" t="s">
        <v>1316</v>
      </c>
      <c r="N29" s="230"/>
      <c r="S29" s="7" t="s">
        <v>16</v>
      </c>
      <c r="T29" s="54">
        <v>37089</v>
      </c>
      <c r="U29" s="543"/>
    </row>
    <row r="30" spans="1:21" ht="13.5" thickTop="1" x14ac:dyDescent="0.3">
      <c r="I30" s="86"/>
      <c r="J30" t="s">
        <v>26</v>
      </c>
      <c r="K30" s="665" t="s">
        <v>1317</v>
      </c>
      <c r="L30" s="152"/>
      <c r="M30" s="152"/>
      <c r="S30" s="7" t="s">
        <v>16</v>
      </c>
      <c r="T30" s="231">
        <f>'[2]Page 6'!$T$29</f>
        <v>36914</v>
      </c>
      <c r="U30" s="543"/>
    </row>
    <row r="31" spans="1:21" x14ac:dyDescent="0.3">
      <c r="A31" t="s">
        <v>264</v>
      </c>
      <c r="B31" s="207" t="s">
        <v>265</v>
      </c>
      <c r="C31" s="207"/>
      <c r="D31" s="207"/>
      <c r="E31" s="232"/>
      <c r="J31" t="s">
        <v>28</v>
      </c>
      <c r="K31" s="665" t="s">
        <v>1318</v>
      </c>
      <c r="L31" s="152"/>
      <c r="M31" s="152"/>
      <c r="S31" s="7" t="s">
        <v>16</v>
      </c>
      <c r="T31" s="233">
        <f>T29-T30</f>
        <v>175</v>
      </c>
      <c r="U31" s="543"/>
    </row>
    <row r="32" spans="1:21" ht="13.5" thickBot="1" x14ac:dyDescent="0.35">
      <c r="B32" t="s">
        <v>266</v>
      </c>
      <c r="F32" s="7"/>
      <c r="G32" s="24"/>
      <c r="J32" s="234" t="s">
        <v>31</v>
      </c>
      <c r="K32" t="s">
        <v>267</v>
      </c>
      <c r="L32" s="235"/>
      <c r="M32" s="235"/>
      <c r="P32" s="112"/>
      <c r="Q32" s="112"/>
      <c r="R32" s="112"/>
      <c r="S32" s="7" t="s">
        <v>16</v>
      </c>
      <c r="T32" s="236">
        <f>IF(PriorYearSalary&gt;0,T31/T30,0)</f>
        <v>5.0000000000000001E-3</v>
      </c>
      <c r="U32" s="543"/>
    </row>
    <row r="33" spans="1:21" ht="13.5" customHeight="1" thickTop="1" x14ac:dyDescent="0.3">
      <c r="B33" t="s">
        <v>268</v>
      </c>
      <c r="F33" s="7" t="s">
        <v>16</v>
      </c>
      <c r="G33" s="22">
        <v>798198</v>
      </c>
      <c r="H33" s="826" t="str">
        <f>IF('Page 2'!J48=0,"",IF(OR(G36&lt;=0),"The Charter did not report any current expenses for student support services on line 4. If the Charter did not have any expense, verify by checking the box in A16 on the Cover Page.",""))</f>
        <v/>
      </c>
      <c r="I33" s="826"/>
      <c r="J33" s="826"/>
      <c r="K33" s="826"/>
      <c r="L33" s="826"/>
      <c r="M33" s="826"/>
      <c r="N33" s="826"/>
      <c r="O33" s="826"/>
      <c r="P33" s="826"/>
      <c r="Q33" s="826"/>
      <c r="R33" s="826"/>
      <c r="S33" s="826"/>
      <c r="T33" s="8"/>
      <c r="U33" s="8"/>
    </row>
    <row r="34" spans="1:21" ht="13.5" customHeight="1" x14ac:dyDescent="0.3">
      <c r="B34" t="s">
        <v>269</v>
      </c>
      <c r="C34" s="232"/>
      <c r="D34" s="232"/>
      <c r="E34" s="232"/>
      <c r="F34" s="7" t="s">
        <v>16</v>
      </c>
      <c r="G34" s="22">
        <v>41823</v>
      </c>
      <c r="H34" s="826"/>
      <c r="I34" s="826"/>
      <c r="J34" s="826"/>
      <c r="K34" s="826"/>
      <c r="L34" s="826"/>
      <c r="M34" s="826"/>
      <c r="N34" s="826"/>
      <c r="O34" s="826"/>
      <c r="P34" s="826"/>
      <c r="Q34" s="826"/>
      <c r="R34" s="826"/>
      <c r="S34" s="826"/>
      <c r="T34" s="8"/>
      <c r="U34" s="8"/>
    </row>
    <row r="35" spans="1:21" x14ac:dyDescent="0.3">
      <c r="B35" t="s">
        <v>270</v>
      </c>
      <c r="C35" s="232"/>
      <c r="D35" s="232"/>
      <c r="E35" s="232"/>
      <c r="F35" s="7" t="s">
        <v>16</v>
      </c>
      <c r="G35" s="23">
        <v>653519</v>
      </c>
      <c r="K35" t="s">
        <v>271</v>
      </c>
    </row>
    <row r="36" spans="1:21" x14ac:dyDescent="0.3">
      <c r="B36" t="s">
        <v>272</v>
      </c>
      <c r="C36" s="232"/>
      <c r="D36" s="232"/>
      <c r="E36" s="232"/>
      <c r="F36" s="7" t="s">
        <v>16</v>
      </c>
      <c r="G36" s="22">
        <v>273609</v>
      </c>
      <c r="K36" s="864" t="s">
        <v>1400</v>
      </c>
      <c r="L36" s="865"/>
      <c r="M36" s="865"/>
      <c r="N36" s="865"/>
      <c r="O36" s="865"/>
      <c r="P36" s="865"/>
      <c r="Q36" s="865"/>
      <c r="R36" s="865"/>
      <c r="S36" s="865"/>
      <c r="T36" s="866"/>
    </row>
    <row r="37" spans="1:21" ht="14" x14ac:dyDescent="0.3">
      <c r="A37" s="237"/>
      <c r="B37" t="s">
        <v>273</v>
      </c>
      <c r="E37" s="232"/>
      <c r="F37" s="7"/>
      <c r="G37" s="24"/>
      <c r="K37" s="867"/>
      <c r="L37" s="868"/>
      <c r="M37" s="868"/>
      <c r="N37" s="868"/>
      <c r="O37" s="868"/>
      <c r="P37" s="868"/>
      <c r="Q37" s="868"/>
      <c r="R37" s="868"/>
      <c r="S37" s="868"/>
      <c r="T37" s="869"/>
    </row>
    <row r="38" spans="1:21" ht="14" x14ac:dyDescent="0.3">
      <c r="A38" s="237"/>
      <c r="B38" t="s">
        <v>274</v>
      </c>
      <c r="E38" s="232"/>
      <c r="F38" s="7" t="s">
        <v>16</v>
      </c>
      <c r="G38" s="22">
        <v>895645</v>
      </c>
      <c r="J38" s="213"/>
      <c r="K38" s="543"/>
      <c r="S38" s="7"/>
      <c r="T38" s="238"/>
    </row>
    <row r="39" spans="1:21" ht="14.5" thickBot="1" x14ac:dyDescent="0.35">
      <c r="A39" s="237"/>
      <c r="B39" s="86" t="s">
        <v>275</v>
      </c>
      <c r="F39" s="7" t="s">
        <v>16</v>
      </c>
      <c r="G39" s="229">
        <f>SUM(G33:G38)</f>
        <v>2662794</v>
      </c>
    </row>
    <row r="40" spans="1:21" ht="13.5" customHeight="1" thickTop="1" x14ac:dyDescent="0.3">
      <c r="B40" s="852" t="s">
        <v>276</v>
      </c>
      <c r="C40" s="852"/>
      <c r="D40" s="852"/>
      <c r="E40" s="852"/>
      <c r="F40" s="7" t="s">
        <v>16</v>
      </c>
      <c r="G40" s="22">
        <v>352720</v>
      </c>
    </row>
    <row r="41" spans="1:21" x14ac:dyDescent="0.3">
      <c r="B41" s="858" t="s">
        <v>277</v>
      </c>
      <c r="C41" s="858"/>
      <c r="D41" s="858"/>
      <c r="E41" s="858"/>
      <c r="F41" s="7" t="s">
        <v>16</v>
      </c>
      <c r="G41" s="210">
        <f>G39-G40</f>
        <v>2310074</v>
      </c>
    </row>
  </sheetData>
  <sheetProtection sheet="1" formatCells="0" formatColumns="0" formatRows="0"/>
  <mergeCells count="23">
    <mergeCell ref="C1:F1"/>
    <mergeCell ref="P16:Q16"/>
    <mergeCell ref="P21:Q21"/>
    <mergeCell ref="M22:O22"/>
    <mergeCell ref="P22:Q22"/>
    <mergeCell ref="M17:O17"/>
    <mergeCell ref="M18:O18"/>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s>
  <conditionalFormatting sqref="F6 F9:F10">
    <cfRule type="expression" dxfId="59" priority="16" stopIfTrue="1">
      <formula>$F6=""</formula>
    </cfRule>
  </conditionalFormatting>
  <conditionalFormatting sqref="F23:F28">
    <cfRule type="expression" dxfId="58" priority="10" stopIfTrue="1">
      <formula>$F23=""</formula>
    </cfRule>
  </conditionalFormatting>
  <conditionalFormatting sqref="G9:G10">
    <cfRule type="expression" dxfId="57" priority="15" stopIfTrue="1">
      <formula>$G9=""</formula>
    </cfRule>
  </conditionalFormatting>
  <conditionalFormatting sqref="G14:G19">
    <cfRule type="expression" dxfId="56" priority="11" stopIfTrue="1">
      <formula>$G14=""</formula>
    </cfRule>
  </conditionalFormatting>
  <conditionalFormatting sqref="G33:G36 G38 G40">
    <cfRule type="expression" dxfId="55" priority="8" stopIfTrue="1">
      <formula>$G33=""</formula>
    </cfRule>
  </conditionalFormatting>
  <conditionalFormatting sqref="G36">
    <cfRule type="expression" dxfId="54" priority="9" stopIfTrue="1">
      <formula>$H$33&lt;&gt;""</formula>
    </cfRule>
  </conditionalFormatting>
  <conditionalFormatting sqref="H33">
    <cfRule type="expression" dxfId="53" priority="18" stopIfTrue="1">
      <formula>$H$33&lt;&gt;""</formula>
    </cfRule>
  </conditionalFormatting>
  <conditionalFormatting sqref="M19:T22">
    <cfRule type="expression" dxfId="52" priority="5" stopIfTrue="1">
      <formula>M19=""</formula>
    </cfRule>
  </conditionalFormatting>
  <conditionalFormatting sqref="M24:T24">
    <cfRule type="expression" dxfId="51" priority="6" stopIfTrue="1">
      <formula>M24=""</formula>
    </cfRule>
  </conditionalFormatting>
  <conditionalFormatting sqref="T6:T13">
    <cfRule type="expression" dxfId="50" priority="7" stopIfTrue="1">
      <formula>$T6=""</formula>
    </cfRule>
  </conditionalFormatting>
  <conditionalFormatting sqref="T29:T30">
    <cfRule type="expression" dxfId="49" priority="14" stopIfTrue="1">
      <formula>$T29=""</formula>
    </cfRule>
  </conditionalFormatting>
  <dataValidations count="1">
    <dataValidation type="list" allowBlank="1" showInputMessage="1" showErrorMessage="1" sqref="K28">
      <formula1>"X"</formula1>
    </dataValidation>
  </dataValidations>
  <hyperlinks>
    <hyperlink ref="B8" location="AuditServices" display="AUDIT SERVICES"/>
    <hyperlink ref="B13" location="CapitalAcquisitions" display="CAPITAL ACQUISITIONS"/>
    <hyperlink ref="B22:F22" location="InvestmentInCapitalAssets" display="INVESTMENT IN CAPITAL ASSETS AS OF JUNE 30, 2013"/>
    <hyperlink ref="B31:D31" location="CurrentExpensesByCategory" display="CURRENT EXPENSES BY CATEGORY"/>
    <hyperlink ref="J17:L18" location="TeacherSalaries" display="TEACHER SALARIES (1)"/>
    <hyperlink ref="J19:L19" location="TeacherSalariesLine1" display="1."/>
    <hyperlink ref="J20:L20" location="TeacherSalariesLine2" display="2."/>
    <hyperlink ref="J21:L21" location="TeacherSalariesLine3" display="3."/>
    <hyperlink ref="J22:L22" location="TeacherSalariesLine4" display="4."/>
    <hyperlink ref="B19" location="CapitalAcquisitionsLine5" display="5.  0198  Construction in Progress"/>
    <hyperlink ref="B28" location="InvestmentInCapitalAssetsLine5" display="5.  0198  Construction in Progress"/>
    <hyperlink ref="B40:D40" location="CurrentExpensesbyCategoryLines7and8" display="7. Current Expenses from Federal Projects, excluding those projects intended to replace local tax revenues (e.g., most Impact Aid Projects)"/>
    <hyperlink ref="B41:E41" location="CurrentExpensesbyCategoryLines7and8" display="8. Current Expenses from State and Local Projects, including those projects intended to replace local tax revenues (e.g., most Impact Aid Projects)"/>
    <hyperlink ref="K23:L24" location="TeacherSalariesLine5" display="Cocurr. Act., Athletics, &amp; Other (Program 600)"/>
    <hyperlink ref="J27:R27" location="AverageTeacherSalary" display="AVERAGE TEACHER SALARY (A.R.S. §15-189.05, as added by Laws 2018, Ch. 285, §3)"/>
    <hyperlink ref="J23" location="TeacherSalariesLine5" display="5."/>
    <hyperlink ref="B5" location="AuditServices" display="Instructions"/>
    <hyperlink ref="J6:Q8" location="FullTimeEquivalentTeachers" display="1."/>
  </hyperlinks>
  <pageMargins left="0.7" right="0.7" top="0.75" bottom="0.75" header="0.3" footer="0.3"/>
  <pageSetup scale="62" orientation="landscape"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6"/>
  <sheetViews>
    <sheetView showGridLines="0" workbookViewId="0"/>
  </sheetViews>
  <sheetFormatPr defaultColWidth="9.296875" defaultRowHeight="12.75" customHeight="1" x14ac:dyDescent="0.3"/>
  <cols>
    <col min="1" max="1" width="2.796875" customWidth="1"/>
    <col min="2" max="2" width="9.796875" customWidth="1"/>
    <col min="3" max="3" width="10.296875" customWidth="1"/>
    <col min="4" max="4" width="10.796875" customWidth="1"/>
    <col min="5" max="17" width="6.796875" customWidth="1"/>
    <col min="18" max="18" width="9.69921875" customWidth="1"/>
    <col min="19" max="19" width="10.796875" customWidth="1"/>
    <col min="20" max="20" width="10.3984375" customWidth="1"/>
    <col min="21" max="22" width="11" customWidth="1"/>
    <col min="23" max="23" width="3.796875" customWidth="1"/>
    <col min="24" max="24" width="9.296875" customWidth="1"/>
  </cols>
  <sheetData>
    <row r="1" spans="1:27" ht="12.75" customHeight="1" x14ac:dyDescent="0.3">
      <c r="A1" s="544" t="s">
        <v>0</v>
      </c>
      <c r="D1" s="809" t="str">
        <f>'Cover Page'!D1</f>
        <v>Mexicayotl Academy, Inc</v>
      </c>
      <c r="E1" s="809"/>
      <c r="F1" s="809"/>
      <c r="G1" s="809"/>
      <c r="K1" s="57" t="s">
        <v>1</v>
      </c>
      <c r="L1" s="809" t="str">
        <f>'Cover Page'!M1</f>
        <v>Santa Cruz</v>
      </c>
      <c r="M1" s="809"/>
      <c r="P1" s="64"/>
      <c r="U1" s="57" t="s">
        <v>2</v>
      </c>
      <c r="V1" s="203" t="str">
        <f>'Cover Page'!R1</f>
        <v>128703000</v>
      </c>
    </row>
    <row r="2" spans="1:27" ht="12.75" customHeight="1" x14ac:dyDescent="0.3">
      <c r="Q2" s="64"/>
      <c r="T2" s="64"/>
    </row>
    <row r="3" spans="1:27" ht="12.75" customHeight="1" x14ac:dyDescent="0.3">
      <c r="A3" s="3" t="s">
        <v>278</v>
      </c>
      <c r="B3" s="4"/>
      <c r="C3" s="4"/>
      <c r="F3" s="891" t="s">
        <v>726</v>
      </c>
      <c r="G3" s="891"/>
      <c r="H3" s="891"/>
      <c r="K3" s="64"/>
      <c r="O3" s="64"/>
      <c r="P3" s="64"/>
      <c r="Q3" s="64"/>
      <c r="R3" s="64"/>
      <c r="S3" s="64"/>
      <c r="T3" s="64"/>
      <c r="U3" s="64"/>
      <c r="Y3" s="57"/>
    </row>
    <row r="4" spans="1:27" ht="6" customHeight="1" x14ac:dyDescent="0.3"/>
    <row r="5" spans="1:27" ht="12.75" customHeight="1" x14ac:dyDescent="0.3">
      <c r="A5" t="s">
        <v>279</v>
      </c>
    </row>
    <row r="6" spans="1:27" ht="12.75" customHeight="1" x14ac:dyDescent="0.3">
      <c r="E6" s="829" t="s">
        <v>280</v>
      </c>
      <c r="F6" s="844"/>
      <c r="G6" s="844"/>
      <c r="H6" s="844"/>
      <c r="I6" s="844"/>
      <c r="J6" s="844"/>
      <c r="K6" s="844"/>
      <c r="L6" s="844"/>
      <c r="M6" s="844"/>
      <c r="N6" s="844"/>
      <c r="O6" s="844"/>
      <c r="P6" s="844"/>
      <c r="Q6" s="844"/>
      <c r="R6" s="830"/>
    </row>
    <row r="7" spans="1:27" ht="12.75" customHeight="1" x14ac:dyDescent="0.3">
      <c r="B7" t="s">
        <v>281</v>
      </c>
      <c r="E7" s="576" t="s">
        <v>282</v>
      </c>
      <c r="F7" s="576">
        <v>1</v>
      </c>
      <c r="G7" s="576">
        <v>2</v>
      </c>
      <c r="H7" s="576">
        <v>3</v>
      </c>
      <c r="I7" s="576">
        <v>4</v>
      </c>
      <c r="J7" s="576">
        <v>5</v>
      </c>
      <c r="K7" s="576">
        <v>6</v>
      </c>
      <c r="L7" s="576">
        <v>7</v>
      </c>
      <c r="M7" s="576">
        <v>8</v>
      </c>
      <c r="N7" s="576">
        <v>9</v>
      </c>
      <c r="O7" s="576">
        <v>10</v>
      </c>
      <c r="P7" s="576">
        <v>11</v>
      </c>
      <c r="Q7" s="576">
        <v>12</v>
      </c>
      <c r="R7" s="576" t="s">
        <v>283</v>
      </c>
      <c r="S7" s="4"/>
      <c r="T7" s="4"/>
      <c r="AA7" s="46"/>
    </row>
    <row r="8" spans="1:27" ht="12.75" customHeight="1" x14ac:dyDescent="0.3">
      <c r="B8" t="s">
        <v>284</v>
      </c>
      <c r="E8" s="47">
        <v>0</v>
      </c>
      <c r="F8" s="47">
        <v>0</v>
      </c>
      <c r="G8" s="47">
        <v>0</v>
      </c>
      <c r="H8" s="47">
        <v>0</v>
      </c>
      <c r="I8" s="47">
        <v>0</v>
      </c>
      <c r="J8" s="47">
        <v>0</v>
      </c>
      <c r="K8" s="47">
        <v>0</v>
      </c>
      <c r="L8" s="47">
        <v>0</v>
      </c>
      <c r="M8" s="47">
        <v>0</v>
      </c>
      <c r="N8" s="47">
        <v>0</v>
      </c>
      <c r="O8" s="47">
        <v>0</v>
      </c>
      <c r="P8" s="47">
        <v>0</v>
      </c>
      <c r="Q8" s="47">
        <v>0</v>
      </c>
      <c r="R8" s="547">
        <f>SUM(E8:Q8)</f>
        <v>0</v>
      </c>
      <c r="S8" s="239" t="s">
        <v>24</v>
      </c>
      <c r="AA8" s="46" t="str">
        <f>IF(OR(E8="",F8="",G8="",H8="",I8="",J8="",K8="",L8="",M8="",N8="",O8="",P8="",Q8="",E9="",F9="",G9="",H9="",I9="",J9="",K9="",L9="",M9="",N9="",O9="",P9="",Q9=""),"yes","")</f>
        <v/>
      </c>
    </row>
    <row r="9" spans="1:27" ht="12.75" customHeight="1" x14ac:dyDescent="0.3">
      <c r="B9" t="s">
        <v>285</v>
      </c>
      <c r="E9" s="47">
        <v>0</v>
      </c>
      <c r="F9" s="47">
        <v>0</v>
      </c>
      <c r="G9" s="47">
        <v>0</v>
      </c>
      <c r="H9" s="47">
        <v>0</v>
      </c>
      <c r="I9" s="47">
        <v>0</v>
      </c>
      <c r="J9" s="47">
        <v>0</v>
      </c>
      <c r="K9" s="47">
        <v>0</v>
      </c>
      <c r="L9" s="47">
        <v>0</v>
      </c>
      <c r="M9" s="47">
        <v>0</v>
      </c>
      <c r="N9" s="47">
        <v>0</v>
      </c>
      <c r="O9" s="47">
        <v>0</v>
      </c>
      <c r="P9" s="47">
        <v>0</v>
      </c>
      <c r="Q9" s="47">
        <v>0</v>
      </c>
      <c r="R9" s="547">
        <f>SUM(E9:Q9)</f>
        <v>0</v>
      </c>
      <c r="S9" s="239" t="s">
        <v>26</v>
      </c>
      <c r="AA9" s="46" t="str">
        <f>IF(OR(E10="",F10="",G10="",H10="",I10="",J10="",K10="",L10="",M10="",N10="",O10="",P10="",Q10=""),"yes","")</f>
        <v/>
      </c>
    </row>
    <row r="10" spans="1:27" ht="12.75" customHeight="1" thickBot="1" x14ac:dyDescent="0.35">
      <c r="B10" t="s">
        <v>286</v>
      </c>
      <c r="E10" s="51">
        <v>0</v>
      </c>
      <c r="F10" s="51">
        <v>0</v>
      </c>
      <c r="G10" s="51">
        <v>0</v>
      </c>
      <c r="H10" s="51">
        <v>0</v>
      </c>
      <c r="I10" s="51">
        <v>0</v>
      </c>
      <c r="J10" s="51">
        <v>0</v>
      </c>
      <c r="K10" s="51">
        <v>0</v>
      </c>
      <c r="L10" s="51">
        <v>0</v>
      </c>
      <c r="M10" s="51">
        <v>0</v>
      </c>
      <c r="N10" s="51">
        <v>0</v>
      </c>
      <c r="O10" s="51">
        <v>0</v>
      </c>
      <c r="P10" s="51">
        <v>0</v>
      </c>
      <c r="Q10" s="51">
        <v>0</v>
      </c>
      <c r="R10" s="220">
        <f>SUM(E10:Q10)</f>
        <v>0</v>
      </c>
      <c r="S10" s="239" t="s">
        <v>28</v>
      </c>
      <c r="AA10" s="46"/>
    </row>
    <row r="11" spans="1:27" ht="12.75" customHeight="1" x14ac:dyDescent="0.3">
      <c r="B11" t="s">
        <v>287</v>
      </c>
      <c r="E11" s="886">
        <f t="shared" ref="E11:Q11" si="0">SUM(E8:E10)</f>
        <v>0</v>
      </c>
      <c r="F11" s="886">
        <f t="shared" si="0"/>
        <v>0</v>
      </c>
      <c r="G11" s="886">
        <f t="shared" si="0"/>
        <v>0</v>
      </c>
      <c r="H11" s="886">
        <f t="shared" si="0"/>
        <v>0</v>
      </c>
      <c r="I11" s="886">
        <f t="shared" si="0"/>
        <v>0</v>
      </c>
      <c r="J11" s="886">
        <f t="shared" ref="J11" si="1">SUM(J8:J10)</f>
        <v>0</v>
      </c>
      <c r="K11" s="886">
        <f t="shared" si="0"/>
        <v>0</v>
      </c>
      <c r="L11" s="886">
        <f t="shared" si="0"/>
        <v>0</v>
      </c>
      <c r="M11" s="886">
        <f>SUM(M8:M10)</f>
        <v>0</v>
      </c>
      <c r="N11" s="886">
        <f t="shared" si="0"/>
        <v>0</v>
      </c>
      <c r="O11" s="886">
        <f t="shared" si="0"/>
        <v>0</v>
      </c>
      <c r="P11" s="886">
        <f t="shared" si="0"/>
        <v>0</v>
      </c>
      <c r="Q11" s="886">
        <f t="shared" si="0"/>
        <v>0</v>
      </c>
      <c r="R11" s="886">
        <f>SUM(E11:Q11)</f>
        <v>0</v>
      </c>
      <c r="S11" s="239"/>
      <c r="AA11" s="46" t="str">
        <f>IF(OR(D17="",D18="",T16="",T17="",T18="",T19="",T20="",T21="",T22="",T25=""),"yes","")</f>
        <v/>
      </c>
    </row>
    <row r="12" spans="1:27" ht="13.5" thickBot="1" x14ac:dyDescent="0.35">
      <c r="B12" t="s">
        <v>288</v>
      </c>
      <c r="E12" s="887"/>
      <c r="F12" s="887"/>
      <c r="G12" s="887"/>
      <c r="H12" s="887"/>
      <c r="I12" s="887"/>
      <c r="J12" s="887"/>
      <c r="K12" s="887"/>
      <c r="L12" s="887"/>
      <c r="M12" s="887"/>
      <c r="N12" s="887"/>
      <c r="O12" s="887"/>
      <c r="P12" s="887"/>
      <c r="Q12" s="887"/>
      <c r="R12" s="887"/>
      <c r="S12" s="239" t="s">
        <v>31</v>
      </c>
      <c r="AA12" s="46" t="str">
        <f>IF(AND(AA8="",AA9="",AA11=""),"","yes")</f>
        <v/>
      </c>
    </row>
    <row r="13" spans="1:27" ht="16.5" customHeight="1" thickTop="1" x14ac:dyDescent="0.3">
      <c r="AA13" s="46"/>
    </row>
    <row r="14" spans="1:27" ht="12.75" customHeight="1" x14ac:dyDescent="0.3">
      <c r="A14" s="888" t="s">
        <v>289</v>
      </c>
      <c r="B14" s="888"/>
      <c r="C14" s="888"/>
      <c r="D14" s="888"/>
      <c r="E14" s="888"/>
      <c r="G14" s="240"/>
      <c r="AA14" s="46"/>
    </row>
    <row r="15" spans="1:27" ht="26" customHeight="1" x14ac:dyDescent="0.3">
      <c r="A15" s="207"/>
      <c r="B15" s="890" t="s">
        <v>290</v>
      </c>
      <c r="C15" s="890"/>
      <c r="D15" s="890"/>
      <c r="E15" s="890"/>
      <c r="G15" s="241"/>
      <c r="K15" s="536" t="s">
        <v>291</v>
      </c>
      <c r="L15" s="536"/>
      <c r="M15" s="536"/>
      <c r="N15" s="536"/>
      <c r="O15" s="536"/>
      <c r="P15" s="536"/>
      <c r="Q15" s="536"/>
      <c r="R15" s="536"/>
      <c r="S15" s="242" t="s">
        <v>292</v>
      </c>
      <c r="T15" s="243" t="s">
        <v>293</v>
      </c>
      <c r="AA15" s="46"/>
    </row>
    <row r="16" spans="1:27" ht="12.75" customHeight="1" x14ac:dyDescent="0.3">
      <c r="B16" s="562" t="s">
        <v>294</v>
      </c>
      <c r="K16" s="61" t="s">
        <v>24</v>
      </c>
      <c r="L16" s="888" t="s">
        <v>295</v>
      </c>
      <c r="M16" s="888"/>
      <c r="N16" s="888"/>
      <c r="O16" s="888"/>
      <c r="P16" s="888"/>
      <c r="S16" s="545">
        <f>'[1]Page 2'!$N$5</f>
        <v>99866</v>
      </c>
      <c r="T16" s="49">
        <f>'Page 2'!J37</f>
        <v>99866</v>
      </c>
      <c r="U16" s="239" t="s">
        <v>24</v>
      </c>
    </row>
    <row r="17" spans="1:21" ht="12.75" customHeight="1" x14ac:dyDescent="0.3">
      <c r="B17" t="s">
        <v>296</v>
      </c>
      <c r="C17" s="7" t="s">
        <v>16</v>
      </c>
      <c r="D17" s="22">
        <v>0</v>
      </c>
      <c r="K17" s="61" t="s">
        <v>26</v>
      </c>
      <c r="L17" s="888" t="s">
        <v>297</v>
      </c>
      <c r="M17" s="888"/>
      <c r="N17" s="888"/>
      <c r="O17" s="171"/>
      <c r="S17" s="545">
        <f>[1]!P200GiftedEducation</f>
        <v>0</v>
      </c>
      <c r="T17" s="49">
        <v>0</v>
      </c>
      <c r="U17" s="239" t="s">
        <v>26</v>
      </c>
    </row>
    <row r="18" spans="1:21" ht="12.75" customHeight="1" x14ac:dyDescent="0.3">
      <c r="B18" s="239" t="s">
        <v>298</v>
      </c>
      <c r="C18" s="7" t="s">
        <v>16</v>
      </c>
      <c r="D18" s="23">
        <v>0</v>
      </c>
      <c r="K18" s="61" t="s">
        <v>28</v>
      </c>
      <c r="L18" t="s">
        <v>299</v>
      </c>
      <c r="S18" s="549">
        <f>[1]!P200ELLIncrementalCosts</f>
        <v>0</v>
      </c>
      <c r="T18" s="49">
        <v>0</v>
      </c>
      <c r="U18" s="239" t="s">
        <v>28</v>
      </c>
    </row>
    <row r="19" spans="1:21" ht="12.75" customHeight="1" thickBot="1" x14ac:dyDescent="0.35">
      <c r="B19" t="s">
        <v>300</v>
      </c>
      <c r="C19" s="7" t="s">
        <v>16</v>
      </c>
      <c r="D19" s="244">
        <f>SUM(D17:D18)</f>
        <v>0</v>
      </c>
      <c r="E19" s="171"/>
      <c r="K19" s="61" t="s">
        <v>31</v>
      </c>
      <c r="L19" t="s">
        <v>301</v>
      </c>
      <c r="S19" s="545">
        <f>[1]!P200ELLCompensatoryInstruction</f>
        <v>0</v>
      </c>
      <c r="T19" s="49">
        <v>0</v>
      </c>
      <c r="U19" s="239" t="s">
        <v>31</v>
      </c>
    </row>
    <row r="20" spans="1:21" ht="12.75" customHeight="1" thickTop="1" x14ac:dyDescent="0.3">
      <c r="K20" s="61" t="s">
        <v>33</v>
      </c>
      <c r="L20" t="s">
        <v>302</v>
      </c>
      <c r="S20" s="545">
        <f>[1]!P200RemedialEducation</f>
        <v>0</v>
      </c>
      <c r="T20" s="49">
        <v>0</v>
      </c>
      <c r="U20" s="239" t="s">
        <v>33</v>
      </c>
    </row>
    <row r="21" spans="1:21" ht="13" x14ac:dyDescent="0.3">
      <c r="K21" s="61" t="s">
        <v>35</v>
      </c>
      <c r="L21" t="s">
        <v>303</v>
      </c>
      <c r="S21" s="545">
        <f>[1]!P200VocationalandTechnologicalEd</f>
        <v>0</v>
      </c>
      <c r="T21" s="49">
        <v>0</v>
      </c>
      <c r="U21" s="239" t="s">
        <v>35</v>
      </c>
    </row>
    <row r="22" spans="1:21" ht="12" customHeight="1" thickBot="1" x14ac:dyDescent="0.35">
      <c r="K22" s="61" t="s">
        <v>36</v>
      </c>
      <c r="L22" t="s">
        <v>304</v>
      </c>
      <c r="S22" s="214">
        <f>[1]!P200CareerEducation</f>
        <v>0</v>
      </c>
      <c r="T22" s="52">
        <v>0</v>
      </c>
      <c r="U22" s="239" t="s">
        <v>36</v>
      </c>
    </row>
    <row r="23" spans="1:21" ht="12.75" customHeight="1" thickBot="1" x14ac:dyDescent="0.35">
      <c r="K23" s="61" t="s">
        <v>38</v>
      </c>
      <c r="L23" s="889" t="s">
        <v>305</v>
      </c>
      <c r="M23" s="889"/>
      <c r="N23" s="889"/>
      <c r="O23" s="889"/>
      <c r="P23" s="889"/>
      <c r="Q23" s="8"/>
      <c r="S23" s="245">
        <f>SUM(S16:S22)</f>
        <v>99866</v>
      </c>
      <c r="T23" s="245">
        <f>SUM(T16:T22)</f>
        <v>99866</v>
      </c>
      <c r="U23" s="239" t="s">
        <v>38</v>
      </c>
    </row>
    <row r="24" spans="1:21" ht="12.75" customHeight="1" thickTop="1" x14ac:dyDescent="0.3">
      <c r="A24" s="7"/>
      <c r="B24" s="815"/>
      <c r="C24" s="815"/>
      <c r="D24" s="815"/>
      <c r="E24" s="815"/>
      <c r="F24" s="815"/>
      <c r="G24" s="815"/>
      <c r="H24" s="815"/>
      <c r="K24" s="61"/>
      <c r="U24" s="239"/>
    </row>
    <row r="25" spans="1:21" ht="12.75" customHeight="1" x14ac:dyDescent="0.3">
      <c r="A25" s="7"/>
      <c r="B25" s="815"/>
      <c r="C25" s="815"/>
      <c r="D25" s="815"/>
      <c r="E25" s="815"/>
      <c r="F25" s="815"/>
      <c r="G25" s="815"/>
      <c r="H25" s="815"/>
      <c r="K25" s="61" t="s">
        <v>40</v>
      </c>
      <c r="L25" s="882" t="s">
        <v>306</v>
      </c>
      <c r="M25" s="882"/>
      <c r="N25" s="882"/>
      <c r="O25" s="882"/>
      <c r="P25" s="882"/>
      <c r="Q25" s="882"/>
      <c r="R25" s="883"/>
      <c r="S25" s="880">
        <f>'[1]Page 2'!$N$14</f>
        <v>0</v>
      </c>
      <c r="T25" s="884">
        <v>0</v>
      </c>
      <c r="U25" s="239" t="s">
        <v>40</v>
      </c>
    </row>
    <row r="26" spans="1:21" ht="19.5" customHeight="1" thickBot="1" x14ac:dyDescent="0.35">
      <c r="A26" s="61"/>
      <c r="L26" s="882"/>
      <c r="M26" s="882"/>
      <c r="N26" s="882"/>
      <c r="O26" s="882"/>
      <c r="P26" s="882"/>
      <c r="Q26" s="882"/>
      <c r="R26" s="883"/>
      <c r="S26" s="881"/>
      <c r="T26" s="885"/>
    </row>
  </sheetData>
  <sheetProtection sheet="1" formatCells="0" formatColumns="0" formatRows="0"/>
  <mergeCells count="28">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 ref="B24:H24"/>
    <mergeCell ref="B25:H25"/>
    <mergeCell ref="L17:N17"/>
    <mergeCell ref="L23:P23"/>
    <mergeCell ref="A14:E14"/>
    <mergeCell ref="B15:E15"/>
    <mergeCell ref="L16:P16"/>
    <mergeCell ref="S25:S26"/>
    <mergeCell ref="L25:R26"/>
    <mergeCell ref="T25:T26"/>
    <mergeCell ref="Q11:Q12"/>
    <mergeCell ref="R11:R12"/>
  </mergeCells>
  <conditionalFormatting sqref="D17:D18">
    <cfRule type="expression" dxfId="48" priority="2" stopIfTrue="1">
      <formula>$D17=""</formula>
    </cfRule>
  </conditionalFormatting>
  <conditionalFormatting sqref="E8:Q10">
    <cfRule type="expression" dxfId="47" priority="5" stopIfTrue="1">
      <formula>E8=""</formula>
    </cfRule>
  </conditionalFormatting>
  <conditionalFormatting sqref="T16:T22 T25">
    <cfRule type="expression" dxfId="46" priority="3" stopIfTrue="1">
      <formula>$T16=""</formula>
    </cfRule>
  </conditionalFormatting>
  <hyperlinks>
    <hyperlink ref="K17:N17" location="TotalActualGiftedExpenses" display="15."/>
    <hyperlink ref="K23:P23" r:id="rId1" display="22."/>
    <hyperlink ref="A14:E15" location="TotalActualGiftedExpenses" display="B. EXPENSES FOR GIFTED PUPILS "/>
    <hyperlink ref="L16:P16" location="AllDisabilityClassifications" display="Total All Disability Classifications"/>
    <hyperlink ref="K25" r:id="rId2" display="22."/>
    <hyperlink ref="L25:R26" location="Section_C_Transportation" display="Expenses incurred for transporting students with disabilities (as defined in A.R.S. §15-761) unique to the IEP"/>
    <hyperlink ref="L15" location="SpecialEdProgramsByType" display="D. SPECIAL EDUCATION PROGRAMS BY TYPE"/>
    <hyperlink ref="S15" location="SpecialEdProgramsByType" display="Program 200 budget"/>
    <hyperlink ref="T15" location="SpecialEdProgramsByType" display="Program 200 actual"/>
    <hyperlink ref="K15:R15" location="SpecialEdProgramsByType" display="C. Special education programs by type"/>
    <hyperlink ref="F3:H3" location="TotalActualGiftedExpenses" display="Instructions"/>
  </hyperlinks>
  <pageMargins left="0.7" right="0.7" top="0.75" bottom="0.75" header="0.3" footer="0.3"/>
  <pageSetup scale="77" orientation="landscape"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42"/>
  <sheetViews>
    <sheetView showGridLines="0" workbookViewId="0">
      <selection activeCell="K13" sqref="K13"/>
    </sheetView>
  </sheetViews>
  <sheetFormatPr defaultColWidth="9.296875" defaultRowHeight="13" x14ac:dyDescent="0.3"/>
  <cols>
    <col min="1" max="1" width="21.296875" customWidth="1"/>
    <col min="2" max="2" width="19.296875" customWidth="1"/>
    <col min="3" max="3" width="13" customWidth="1"/>
    <col min="4" max="4" width="3.796875" style="7" customWidth="1"/>
    <col min="5" max="12" width="13.796875" customWidth="1"/>
    <col min="13" max="13" width="15.296875" customWidth="1"/>
    <col min="14" max="14" width="13.796875" customWidth="1"/>
    <col min="15" max="15" width="3.296875" bestFit="1" customWidth="1"/>
    <col min="16" max="17" width="9.296875" customWidth="1"/>
    <col min="18" max="18" width="9.296875" hidden="1" customWidth="1"/>
    <col min="19" max="19" width="11" hidden="1" customWidth="1"/>
    <col min="20" max="25" width="9.296875" hidden="1" customWidth="1"/>
    <col min="26" max="26" width="9.296875" customWidth="1"/>
  </cols>
  <sheetData>
    <row r="1" spans="1:29" x14ac:dyDescent="0.3">
      <c r="A1" s="544" t="s">
        <v>0</v>
      </c>
      <c r="B1" s="809" t="str">
        <f>'Cover Page'!D1</f>
        <v>Mexicayotl Academy, Inc</v>
      </c>
      <c r="C1" s="809"/>
      <c r="D1" s="809"/>
      <c r="G1" s="57" t="s">
        <v>1</v>
      </c>
      <c r="H1" s="809" t="str">
        <f>'Cover Page'!M1</f>
        <v>Santa Cruz</v>
      </c>
      <c r="I1" s="809"/>
      <c r="M1" s="57" t="s">
        <v>2</v>
      </c>
      <c r="N1" s="2" t="str">
        <f>'Cover Page'!R1</f>
        <v>128703000</v>
      </c>
    </row>
    <row r="3" spans="1:29" x14ac:dyDescent="0.3">
      <c r="A3" s="793" t="s">
        <v>307</v>
      </c>
      <c r="B3" s="793"/>
      <c r="C3" s="793"/>
      <c r="D3" s="892"/>
      <c r="E3" s="565" t="s">
        <v>184</v>
      </c>
      <c r="F3" s="602" t="s">
        <v>308</v>
      </c>
      <c r="G3" s="565"/>
      <c r="H3" s="565" t="s">
        <v>309</v>
      </c>
      <c r="I3" s="565"/>
      <c r="J3" s="173"/>
      <c r="K3" s="172"/>
      <c r="L3" s="172" t="s">
        <v>310</v>
      </c>
      <c r="M3" s="565" t="s">
        <v>311</v>
      </c>
      <c r="N3" s="565" t="s">
        <v>187</v>
      </c>
    </row>
    <row r="4" spans="1:29" x14ac:dyDescent="0.3">
      <c r="B4" s="891" t="s">
        <v>726</v>
      </c>
      <c r="C4" s="891"/>
      <c r="E4" s="76" t="s">
        <v>190</v>
      </c>
      <c r="F4" s="603" t="s">
        <v>184</v>
      </c>
      <c r="G4" s="76" t="s">
        <v>21</v>
      </c>
      <c r="H4" s="76" t="s">
        <v>312</v>
      </c>
      <c r="I4" s="76" t="s">
        <v>313</v>
      </c>
      <c r="J4" s="893" t="s">
        <v>89</v>
      </c>
      <c r="K4" s="894"/>
      <c r="L4" s="246" t="s">
        <v>314</v>
      </c>
      <c r="M4" s="76" t="s">
        <v>315</v>
      </c>
      <c r="N4" s="76" t="s">
        <v>190</v>
      </c>
      <c r="AA4" s="543"/>
      <c r="AB4" s="46"/>
      <c r="AC4" s="46"/>
    </row>
    <row r="5" spans="1:29" x14ac:dyDescent="0.3">
      <c r="A5" s="544" t="s">
        <v>316</v>
      </c>
      <c r="E5" s="81" t="s">
        <v>99</v>
      </c>
      <c r="F5" s="604" t="s">
        <v>483</v>
      </c>
      <c r="G5" s="81" t="s">
        <v>99</v>
      </c>
      <c r="H5" s="81" t="s">
        <v>99</v>
      </c>
      <c r="I5" s="81" t="s">
        <v>99</v>
      </c>
      <c r="J5" s="576" t="s">
        <v>98</v>
      </c>
      <c r="K5" s="576" t="s">
        <v>23</v>
      </c>
      <c r="L5" s="81" t="s">
        <v>317</v>
      </c>
      <c r="M5" s="81" t="s">
        <v>99</v>
      </c>
      <c r="N5" s="81" t="s">
        <v>99</v>
      </c>
      <c r="T5" s="543"/>
      <c r="AB5" s="46"/>
      <c r="AC5" s="46"/>
    </row>
    <row r="6" spans="1:29" x14ac:dyDescent="0.3">
      <c r="A6" t="s">
        <v>318</v>
      </c>
      <c r="D6" s="7" t="s">
        <v>24</v>
      </c>
      <c r="E6" s="545">
        <f>[2]!FP11001130EndBal</f>
        <v>1</v>
      </c>
      <c r="F6" s="49">
        <v>0</v>
      </c>
      <c r="G6" s="545">
        <f>-(SUMIFS('Accounting data'!$G$2:$G$37002,'Accounting data'!$H$2:$H$37002,"1100*",'Accounting data'!$K$2:$K$37002,"1*")+SUMIFS('Accounting data'!$G$2:$G$37002,'Accounting data'!$H$2:$H$37002,"1100*",'Accounting data'!$K$2:$K$37002,"2*")+SUMIFS('Accounting data'!$G$2:$G$37002,'Accounting data'!$H$2:$H$37002,"1100*",'Accounting data'!$K$2:$K$37002,"3*")+SUMIFS('Accounting data'!$G$2:$G$37002,'Accounting data'!$H$2:$H$37002,"1100*",'Accounting data'!$K$2:$K$37002,"4*")+SUMIFS('Accounting data'!$G$2:$G$37002,'Accounting data'!$H$2:$H$37002,"1100*",'Accounting data'!$K$2:$K$37002,"Other*"))</f>
        <v>99425</v>
      </c>
      <c r="H6" s="547">
        <f>SUMIFS('Accounting data'!$G$2:$G$37002,'Accounting data'!$H$2:$H$37002,"1100*",'Accounting data'!$K$2:$K$37002,"69*")</f>
        <v>1360</v>
      </c>
      <c r="I6" s="47">
        <v>0</v>
      </c>
      <c r="J6" s="545">
        <f>[1]!FP11001130TitleI</f>
        <v>98065</v>
      </c>
      <c r="K6" s="547">
        <f>SUMIFS('Accounting data'!$G$2:$G$37002,'Accounting data'!$H$2:$H$37002,"1100*",'Accounting data'!$K$2:$K$37002,"6*")-SUMIFS('Accounting data'!$G$2:$G$37002,'Accounting data'!$H$2:$H$37002,"1100*",'Accounting data'!$K$2:$K$37002,"69*")-SUMIFS('Accounting data'!$G$2:$G$37002,'Accounting data'!$H$2:$H$37002,"1100*",'Accounting data'!$K$2:$K$37002,"67*")</f>
        <v>98065</v>
      </c>
      <c r="L6" s="247"/>
      <c r="M6" s="47">
        <v>0</v>
      </c>
      <c r="N6" s="547">
        <f>SUM(IF(F6="",E6,F6)+G6-H6-I6-K6-M6)</f>
        <v>0</v>
      </c>
      <c r="O6" s="213" t="s">
        <v>24</v>
      </c>
      <c r="P6" s="24"/>
      <c r="AB6" s="46"/>
      <c r="AC6" s="46" t="str">
        <f>IF(OR(I6="",I7="",I8="",I9="",I10="",I11="",I12="",I13="",I14="",I15="",I16="",I17="",I18="",I19="",I20="",I21="",I22=""),"yes","")</f>
        <v/>
      </c>
    </row>
    <row r="7" spans="1:29" x14ac:dyDescent="0.3">
      <c r="A7" t="s">
        <v>319</v>
      </c>
      <c r="D7" s="7" t="s">
        <v>26</v>
      </c>
      <c r="E7" s="545">
        <f>[2]!FP11401150EndBal</f>
        <v>0</v>
      </c>
      <c r="F7" s="49">
        <v>0</v>
      </c>
      <c r="G7" s="545">
        <f>-(SUMIFS('Accounting data'!$G$2:$G$37002,'Accounting data'!$H$2:$H$37002,"1140*",'Accounting data'!$K$2:$K$37002,"1*")+SUMIFS('Accounting data'!$G$2:$G$37002,'Accounting data'!$H$2:$H$37002,"1140*",'Accounting data'!$K$2:$K$37002,"2*")+SUMIFS('Accounting data'!$G$2:$G$37002,'Accounting data'!$H$2:$H$37002,"1140*",'Accounting data'!$K$2:$K$37002,"3*")+SUMIFS('Accounting data'!$G$2:$G$37002,'Accounting data'!$H$2:$H$37002,"1140*",'Accounting data'!$K$2:$K$37002,"4*")+SUMIFS('Accounting data'!$G$2:$G$37002,'Accounting data'!$H$2:$H$37002,"1140*",'Accounting data'!$K$2:$K$37002,"Other*"))</f>
        <v>12939</v>
      </c>
      <c r="H7" s="547">
        <f>SUMIFS('Accounting data'!$G$2:$G$37002,'Accounting data'!$H$2:$H$37002,"1140*",'Accounting data'!$K$2:$K$37002,"69*")</f>
        <v>0</v>
      </c>
      <c r="I7" s="47">
        <v>0</v>
      </c>
      <c r="J7" s="545">
        <f>[1]!FP11401150TitleII</f>
        <v>23654</v>
      </c>
      <c r="K7" s="547">
        <f>SUMIFS('Accounting data'!$G$2:$G$37002,'Accounting data'!$H$2:$H$37002,"1140*",'Accounting data'!$K$2:$K$37002,"6*")-SUMIFS('Accounting data'!$G$2:$G$37002,'Accounting data'!$H$2:$H$37002,"1140*",'Accounting data'!$K$2:$K$37002,"69*")-SUMIFS('Accounting data'!$G$2:$G$37002,'Accounting data'!$H$2:$H$37002,"1140*",'Accounting data'!$K$2:$K$37002,"67*")</f>
        <v>12939</v>
      </c>
      <c r="L7" s="247"/>
      <c r="M7" s="47">
        <v>0</v>
      </c>
      <c r="N7" s="547">
        <f>SUM(IF(F7="",E7,F7)+G7-H7-I7-K7-M7)</f>
        <v>0</v>
      </c>
      <c r="O7" t="s">
        <v>26</v>
      </c>
      <c r="AB7" s="46"/>
      <c r="AC7" s="46" t="str">
        <f>IF(OR(M6="",M7="",M8="",M9="",M10="",M11="",M12="",M13="",M14="",M15="",M16="",M17="",M18="",M19="",M20="",M21="",M22=""),"yes","")</f>
        <v/>
      </c>
    </row>
    <row r="8" spans="1:29" x14ac:dyDescent="0.3">
      <c r="A8" t="s">
        <v>320</v>
      </c>
      <c r="D8" s="7" t="s">
        <v>28</v>
      </c>
      <c r="E8" s="545">
        <f>[2]!FP1160EndBal</f>
        <v>0</v>
      </c>
      <c r="F8" s="49">
        <v>0</v>
      </c>
      <c r="G8" s="545">
        <f>-(SUMIFS('Accounting data'!$G$2:$G$37002,'Accounting data'!$H$2:$H$37002,"1160*",'Accounting data'!$K$2:$K$37002,"1*")+SUMIFS('Accounting data'!$G$2:$G$37002,'Accounting data'!$H$2:$H$37002,"1160*",'Accounting data'!$K$2:$K$37002,"2*")+SUMIFS('Accounting data'!$G$2:$G$37002,'Accounting data'!$H$2:$H$37002,"1160*",'Accounting data'!$K$2:$K$37002,"3*")+SUMIFS('Accounting data'!$G$2:$G$37002,'Accounting data'!$H$2:$H$37002,"1160*",'Accounting data'!$K$2:$K$37002,"4*")+SUMIFS('Accounting data'!$G$2:$G$37002,'Accounting data'!$H$2:$H$37002,"1160*",'Accounting data'!$K$2:$K$37002,"Other*"))</f>
        <v>10065</v>
      </c>
      <c r="H8" s="547">
        <f>SUMIFS('Accounting data'!$G$2:$G$37002,'Accounting data'!$H$2:$H$37002,"1160*",'Accounting data'!$K$2:$K$37002,"69*")</f>
        <v>0</v>
      </c>
      <c r="I8" s="47">
        <v>0</v>
      </c>
      <c r="J8" s="545">
        <f>[1]!FP1160TitleIV</f>
        <v>10065</v>
      </c>
      <c r="K8" s="547">
        <f>SUMIFS('Accounting data'!$G$2:$G$37002,'Accounting data'!$H$2:$H$37002,"1160*",'Accounting data'!$K$2:$K$37002,"6*")-SUMIFS('Accounting data'!$G$2:$G$37002,'Accounting data'!$H$2:$H$37002,"1160*",'Accounting data'!$K$2:$K$37002,"69*")-SUMIFS('Accounting data'!$G$2:$G$37002,'Accounting data'!$H$2:$H$37002,"1160*",'Accounting data'!$K$2:$K$37002,"67*")</f>
        <v>10065</v>
      </c>
      <c r="L8" s="247"/>
      <c r="M8" s="47">
        <v>0</v>
      </c>
      <c r="N8" s="547">
        <f t="shared" ref="N8:N21" si="0">SUM(IF(F8="",E8,F8)+G8-H8-I8-K8-M8)</f>
        <v>0</v>
      </c>
      <c r="O8" t="s">
        <v>28</v>
      </c>
      <c r="AB8" s="46"/>
      <c r="AC8" s="46" t="str">
        <f>IF(OR(I25="",J25="",M25=""),"yes","")</f>
        <v>yes</v>
      </c>
    </row>
    <row r="9" spans="1:29" x14ac:dyDescent="0.3">
      <c r="A9" t="s">
        <v>321</v>
      </c>
      <c r="D9" s="7" t="s">
        <v>31</v>
      </c>
      <c r="E9" s="545">
        <f>[2]!FP11701180EndBal</f>
        <v>0</v>
      </c>
      <c r="F9" s="49">
        <v>0</v>
      </c>
      <c r="G9" s="545">
        <f>-(SUMIFS('Accounting data'!$G$2:$G$37002,'Accounting data'!$H$2:$H$37002,"1170*",'Accounting data'!$K$2:$K$37002,"1*")+SUMIFS('Accounting data'!$G$2:$G$37002,'Accounting data'!$H$2:$H$37002,"1170*",'Accounting data'!$K$2:$K$37002,"2*")+SUMIFS('Accounting data'!$G$2:$G$37002,'Accounting data'!$H$2:$H$37002,"1170*",'Accounting data'!$K$2:$K$37002,"3*")+SUMIFS('Accounting data'!$G$2:$G$37002,'Accounting data'!$H$2:$H$37002,"1170*",'Accounting data'!$K$2:$K$37002,"4*")+SUMIFS('Accounting data'!$G$2:$G$37002,'Accounting data'!$H$2:$H$37002,"1170*",'Accounting data'!$K$2:$K$37002,"Other*"))</f>
        <v>0</v>
      </c>
      <c r="H9" s="547">
        <f>SUMIFS('Accounting data'!$G$2:$G$37002,'Accounting data'!$H$2:$H$37002,"1170*",'Accounting data'!$K$2:$K$37002,"69*")</f>
        <v>0</v>
      </c>
      <c r="I9" s="47">
        <v>0</v>
      </c>
      <c r="J9" s="545">
        <f>[1]!FP11701180TitleV</f>
        <v>0</v>
      </c>
      <c r="K9" s="547">
        <f>SUMIFS('Accounting data'!$G$2:$G$37002,'Accounting data'!$H$2:$H$37002,"1170*",'Accounting data'!$K$2:$K$37002,"6*")-SUMIFS('Accounting data'!$G$2:$G$37002,'Accounting data'!$H$2:$H$37002,"1170*",'Accounting data'!$K$2:$K$37002,"69*")-SUMIFS('Accounting data'!$G$2:$G$37002,'Accounting data'!$H$2:$H$37002,"1170*",'Accounting data'!$K$2:$K$37002,"67*")</f>
        <v>0</v>
      </c>
      <c r="L9" s="247"/>
      <c r="M9" s="47">
        <v>0</v>
      </c>
      <c r="N9" s="547">
        <f t="shared" si="0"/>
        <v>0</v>
      </c>
      <c r="O9" t="s">
        <v>31</v>
      </c>
      <c r="AB9" s="46"/>
      <c r="AC9" s="46" t="str">
        <f>IF(OR(I28="",I29="",I30="",I31="",I32="",I33="",I34="",I35="",I36="",I37="",I38="",I39=""),"yes","")</f>
        <v/>
      </c>
    </row>
    <row r="10" spans="1:29" x14ac:dyDescent="0.3">
      <c r="A10" t="s">
        <v>322</v>
      </c>
      <c r="D10" s="7" t="s">
        <v>33</v>
      </c>
      <c r="E10" s="545">
        <f>[2]!FP1190EndBal</f>
        <v>0</v>
      </c>
      <c r="F10" s="49">
        <v>0</v>
      </c>
      <c r="G10" s="545">
        <f>-(SUMIFS('Accounting data'!$G$2:$G$37002,'Accounting data'!$H$2:$H$37002,"1190*",'Accounting data'!$K$2:$K$37002,"1*")+SUMIFS('Accounting data'!$G$2:$G$37002,'Accounting data'!$H$2:$H$37002,"1190*",'Accounting data'!$K$2:$K$37002,"2*")+SUMIFS('Accounting data'!$G$2:$G$37002,'Accounting data'!$H$2:$H$37002,"1190*",'Accounting data'!$K$2:$K$37002,"3*")+SUMIFS('Accounting data'!$G$2:$G$37002,'Accounting data'!$H$2:$H$37002,"1190*",'Accounting data'!$K$2:$K$37002,"4*")+SUMIFS('Accounting data'!$G$2:$G$37002,'Accounting data'!$H$2:$H$37002,"1190*",'Accounting data'!$K$2:$K$37002,"Other*"))</f>
        <v>18199</v>
      </c>
      <c r="H10" s="547">
        <f>SUMIFS('Accounting data'!$G$2:$G$37002,'Accounting data'!$H$2:$H$37002,"1190*",'Accounting data'!$K$2:$K$37002,"69*")</f>
        <v>921</v>
      </c>
      <c r="I10" s="47">
        <v>0</v>
      </c>
      <c r="J10" s="545">
        <f>[1]!FP1190TitleIII</f>
        <v>10966</v>
      </c>
      <c r="K10" s="547">
        <f>SUMIFS('Accounting data'!$G$2:$G$37002,'Accounting data'!$H$2:$H$37002,"1190*",'Accounting data'!$K$2:$K$37002,"6*")-SUMIFS('Accounting data'!$G$2:$G$37002,'Accounting data'!$H$2:$H$37002,"1190*",'Accounting data'!$K$2:$K$37002,"69*")-SUMIFS('Accounting data'!$G$2:$G$37002,'Accounting data'!$H$2:$H$37002,"1190*",'Accounting data'!$K$2:$K$37002,"67*")</f>
        <v>17278</v>
      </c>
      <c r="L10" s="247"/>
      <c r="M10" s="47">
        <v>0</v>
      </c>
      <c r="N10" s="547">
        <f t="shared" si="0"/>
        <v>0</v>
      </c>
      <c r="O10" t="s">
        <v>33</v>
      </c>
      <c r="AB10" s="46"/>
      <c r="AC10" s="46" t="str">
        <f>IF(OR(M28="",M29="",M30="",M31="",M32="",M33="",M34="",M35="",M36="",M37="",M38="",M39=""),"yes","")</f>
        <v/>
      </c>
    </row>
    <row r="11" spans="1:29" x14ac:dyDescent="0.3">
      <c r="A11" t="s">
        <v>323</v>
      </c>
      <c r="D11" s="7" t="s">
        <v>35</v>
      </c>
      <c r="E11" s="545">
        <f>[2]!FP1200EndBal</f>
        <v>0</v>
      </c>
      <c r="F11" s="49">
        <v>0</v>
      </c>
      <c r="G11" s="545">
        <f>-(SUMIFS('Accounting data'!$G$2:$G$37002,'Accounting data'!$H$2:$H$37002,"1200*",'Accounting data'!$K$2:$K$37002,"1*")+SUMIFS('Accounting data'!$G$2:$G$37002,'Accounting data'!$H$2:$H$37002,"1200*",'Accounting data'!$K$2:$K$37002,"2*")+SUMIFS('Accounting data'!$G$2:$G$37002,'Accounting data'!$H$2:$H$37002,"1200*",'Accounting data'!$K$2:$K$37002,"3*")+SUMIFS('Accounting data'!$G$2:$G$37002,'Accounting data'!$H$2:$H$37002,"1200*",'Accounting data'!$K$2:$K$37002,"4*")+SUMIFS('Accounting data'!$G$2:$G$37002,'Accounting data'!$H$2:$H$37002,"1200*",'Accounting data'!$K$2:$K$37002,"Other*"))</f>
        <v>0</v>
      </c>
      <c r="H11" s="547">
        <f>SUMIFS('Accounting data'!$G$2:$G$37002,'Accounting data'!$H$2:$H$37002,"1200*",'Accounting data'!$K$2:$K$37002,"69*")</f>
        <v>0</v>
      </c>
      <c r="I11" s="47">
        <v>0</v>
      </c>
      <c r="J11" s="545">
        <f>[1]!FP1200TitleVII</f>
        <v>0</v>
      </c>
      <c r="K11" s="547">
        <f>SUMIFS('Accounting data'!$G$2:$G$37002,'Accounting data'!$H$2:$H$37002,"1200*",'Accounting data'!$K$2:$K$37002,"6*")-SUMIFS('Accounting data'!$G$2:$G$37002,'Accounting data'!$H$2:$H$37002,"1200*",'Accounting data'!$K$2:$K$37002,"69*")-SUMIFS('Accounting data'!$G$2:$G$37002,'Accounting data'!$H$2:$H$37002,"1200*",'Accounting data'!$K$2:$K$37002,"67*")</f>
        <v>0</v>
      </c>
      <c r="L11" s="247"/>
      <c r="M11" s="47">
        <v>0</v>
      </c>
      <c r="N11" s="547">
        <f t="shared" si="0"/>
        <v>0</v>
      </c>
      <c r="O11" t="s">
        <v>35</v>
      </c>
      <c r="AB11" s="46"/>
      <c r="AC11" s="46" t="str">
        <f>IF(AND(AC6="",AC8="",AC9="",AC7="",AC10=""),"","yes")</f>
        <v>yes</v>
      </c>
    </row>
    <row r="12" spans="1:29" x14ac:dyDescent="0.3">
      <c r="A12" t="s">
        <v>324</v>
      </c>
      <c r="D12" s="7" t="s">
        <v>36</v>
      </c>
      <c r="E12" s="545">
        <f>[2]!FP1210EndBal</f>
        <v>0</v>
      </c>
      <c r="F12" s="49">
        <v>0</v>
      </c>
      <c r="G12" s="545">
        <f>-(SUMIFS('Accounting data'!$G$2:$G$37002,'Accounting data'!$H$2:$H$37002,"1210*",'Accounting data'!$K$2:$K$37002,"1*")+SUMIFS('Accounting data'!$G$2:$G$37002,'Accounting data'!$H$2:$H$37002,"1210*",'Accounting data'!$K$2:$K$37002,"2*")+SUMIFS('Accounting data'!$G$2:$G$37002,'Accounting data'!$H$2:$H$37002,"1210*",'Accounting data'!$K$2:$K$37002,"3*")+SUMIFS('Accounting data'!$G$2:$G$37002,'Accounting data'!$H$2:$H$37002,"1210*",'Accounting data'!$K$2:$K$37002,"4*")+SUMIFS('Accounting data'!$G$2:$G$37002,'Accounting data'!$H$2:$H$37002,"1210*",'Accounting data'!$K$2:$K$37002,"Other*"))</f>
        <v>0</v>
      </c>
      <c r="H12" s="547">
        <f>SUMIFS('Accounting data'!$G$2:$G$37002,'Accounting data'!$H$2:$H$37002,"1210*",'Accounting data'!$K$2:$K$37002,"69*")</f>
        <v>0</v>
      </c>
      <c r="I12" s="47">
        <v>0</v>
      </c>
      <c r="J12" s="545">
        <f>[1]!FP1210TitleVI</f>
        <v>0</v>
      </c>
      <c r="K12" s="547">
        <f>SUMIFS('Accounting data'!$G$2:$G$37002,'Accounting data'!$H$2:$H$37002,"1210*",'Accounting data'!$K$2:$K$37002,"6*")-SUMIFS('Accounting data'!$G$2:$G$37002,'Accounting data'!$H$2:$H$37002,"1210*",'Accounting data'!$K$2:$K$37002,"69*")-SUMIFS('Accounting data'!$G$2:$G$37002,'Accounting data'!$H$2:$H$37002,"1210*",'Accounting data'!$K$2:$K$37002,"67*")</f>
        <v>0</v>
      </c>
      <c r="L12" s="247"/>
      <c r="M12" s="47">
        <v>0</v>
      </c>
      <c r="N12" s="547">
        <f t="shared" si="0"/>
        <v>0</v>
      </c>
      <c r="O12" t="s">
        <v>36</v>
      </c>
      <c r="AB12" s="46"/>
      <c r="AC12" s="46"/>
    </row>
    <row r="13" spans="1:29" x14ac:dyDescent="0.3">
      <c r="A13" t="s">
        <v>325</v>
      </c>
      <c r="D13" s="7" t="s">
        <v>38</v>
      </c>
      <c r="E13" s="545">
        <f>[2]!FP1220EndBal</f>
        <v>0</v>
      </c>
      <c r="F13" s="49">
        <v>0</v>
      </c>
      <c r="G13" s="545">
        <f>-(SUMIFS('Accounting data'!$G$2:$G$37002,'Accounting data'!$H$2:$H$37002,"122*",'Accounting data'!$K$2:$K$37002,"1*")+SUMIFS('Accounting data'!$G$2:$G$37002,'Accounting data'!$H$2:$H$37002,"122*",'Accounting data'!$K$2:$K$37002,"2*")+SUMIFS('Accounting data'!$G$2:$G$37002,'Accounting data'!$H$2:$H$37002,"122*",'Accounting data'!$K$2:$K$37002,"3*")+SUMIFS('Accounting data'!$G$2:$G$37002,'Accounting data'!$H$2:$H$37002,"122*",'Accounting data'!$K$2:$K$37002,"4*")+SUMIFS('Accounting data'!$G$2:$G$37002,'Accounting data'!$H$2:$H$37002,"122*",'Accounting data'!$K$2:$K$37002,"Other*"))</f>
        <v>33037</v>
      </c>
      <c r="H13" s="545">
        <f>SUMIFS('Accounting data'!$G$2:$G$37002,'Accounting data'!$H$2:$H$37002,"122*",'Accounting data'!$K$2:$K$37002,"69*")</f>
        <v>2438</v>
      </c>
      <c r="I13" s="47">
        <v>0</v>
      </c>
      <c r="J13" s="545">
        <f>[1]!FP1220IDEA</f>
        <v>37146</v>
      </c>
      <c r="K13" s="547">
        <f>SUMIFS('Accounting data'!$G$2:$G$37002,'Accounting data'!$H$2:$H$37002,"122*",'Accounting data'!$K$2:$K$37002,"6*")-SUMIFS('Accounting data'!$G$2:$G$37002,'Accounting data'!$H$2:$H$37002,"122*",'Accounting data'!$K$2:$K$37002,"69*")-SUMIFS('Accounting data'!$G$2:$G$37002,'Accounting data'!$H$2:$H$37002,"122*",'Accounting data'!$K$2:$K$37002,"67*")</f>
        <v>30599</v>
      </c>
      <c r="L13" s="247"/>
      <c r="M13" s="47">
        <v>0</v>
      </c>
      <c r="N13" s="547">
        <f t="shared" si="0"/>
        <v>0</v>
      </c>
      <c r="O13" t="s">
        <v>38</v>
      </c>
      <c r="AB13" s="46"/>
      <c r="AC13" s="46"/>
    </row>
    <row r="14" spans="1:29" x14ac:dyDescent="0.3">
      <c r="A14" t="s">
        <v>326</v>
      </c>
      <c r="D14" s="7" t="s">
        <v>40</v>
      </c>
      <c r="E14" s="545">
        <f>[2]!FP1230EndBal</f>
        <v>0</v>
      </c>
      <c r="F14" s="49">
        <v>0</v>
      </c>
      <c r="G14" s="545">
        <f>-(SUMIFS('Accounting data'!$G$2:$G$37002,'Accounting data'!$H$2:$H$37002,"1230*",'Accounting data'!$K$2:$K$37002,"1*")+SUMIFS('Accounting data'!$G$2:$G$37002,'Accounting data'!$H$2:$H$37002,"1230*",'Accounting data'!$K$2:$K$37002,"2*")+SUMIFS('Accounting data'!$G$2:$G$37002,'Accounting data'!$H$2:$H$37002,"1230*",'Accounting data'!$K$2:$K$37002,"3*")+SUMIFS('Accounting data'!$G$2:$G$37002,'Accounting data'!$H$2:$H$37002,"1230*",'Accounting data'!$K$2:$K$37002,"4*")+SUMIFS('Accounting data'!$G$2:$G$37002,'Accounting data'!$H$2:$H$37002,"1230*",'Accounting data'!$K$2:$K$37002,"Other*"))</f>
        <v>0</v>
      </c>
      <c r="H14" s="547">
        <f>SUMIFS('Accounting data'!$G$2:$G$37002,'Accounting data'!$H$2:$H$37002,"1230*",'Accounting data'!$K$2:$K$37002,"69*")</f>
        <v>0</v>
      </c>
      <c r="I14" s="47">
        <v>0</v>
      </c>
      <c r="J14" s="545">
        <f>[1]!FP1230Johnson</f>
        <v>0</v>
      </c>
      <c r="K14" s="547">
        <f>SUMIFS('Accounting data'!$G$2:$G$37002,'Accounting data'!$H$2:$H$37002,"1230*",'Accounting data'!$K$2:$K$37002,"6*")-SUMIFS('Accounting data'!$G$2:$G$37002,'Accounting data'!$H$2:$H$37002,"1230*",'Accounting data'!$K$2:$K$37002,"69*")-SUMIFS('Accounting data'!$G$2:$G$37002,'Accounting data'!$H$2:$H$37002,"1230*",'Accounting data'!$K$2:$K$37002,"67*")</f>
        <v>0</v>
      </c>
      <c r="L14" s="247"/>
      <c r="M14" s="47">
        <v>0</v>
      </c>
      <c r="N14" s="547">
        <f t="shared" si="0"/>
        <v>0</v>
      </c>
      <c r="O14" t="s">
        <v>40</v>
      </c>
      <c r="AB14" s="46"/>
      <c r="AC14" s="46"/>
    </row>
    <row r="15" spans="1:29" x14ac:dyDescent="0.3">
      <c r="A15" t="s">
        <v>327</v>
      </c>
      <c r="D15" s="7" t="s">
        <v>42</v>
      </c>
      <c r="E15" s="545">
        <f>[2]!FP1240EndBal</f>
        <v>0</v>
      </c>
      <c r="F15" s="49">
        <v>0</v>
      </c>
      <c r="G15" s="545">
        <f>-(SUMIFS('Accounting data'!$G$2:$G$37002,'Accounting data'!$H$2:$H$37002,"1240*",'Accounting data'!$K$2:$K$37002,"1*")+SUMIFS('Accounting data'!$G$2:$G$37002,'Accounting data'!$H$2:$H$37002,"1240*",'Accounting data'!$K$2:$K$37002,"2*")+SUMIFS('Accounting data'!$G$2:$G$37002,'Accounting data'!$H$2:$H$37002,"1240*",'Accounting data'!$K$2:$K$37002,"3*")+SUMIFS('Accounting data'!$G$2:$G$37002,'Accounting data'!$H$2:$H$37002,"1240*",'Accounting data'!$K$2:$K$37002,"4*")+SUMIFS('Accounting data'!$G$2:$G$37002,'Accounting data'!$H$2:$H$37002,"1240*",'Accounting data'!$K$2:$K$37002,"Other*"))</f>
        <v>0</v>
      </c>
      <c r="H15" s="547">
        <f>SUMIFS('Accounting data'!$G$2:$G$37002,'Accounting data'!$H$2:$H$37002,"1240*",'Accounting data'!$K$2:$K$37002,"69*")</f>
        <v>0</v>
      </c>
      <c r="I15" s="47">
        <v>0</v>
      </c>
      <c r="J15" s="545">
        <f>[1]!FP1240WIA</f>
        <v>0</v>
      </c>
      <c r="K15" s="547">
        <f>SUMIFS('Accounting data'!$G$2:$G$37002,'Accounting data'!$H$2:$H$37002,"1240*",'Accounting data'!$K$2:$K$37002,"6*")-SUMIFS('Accounting data'!$G$2:$G$37002,'Accounting data'!$H$2:$H$37002,"1240*",'Accounting data'!$K$2:$K$37002,"69*")-SUMIFS('Accounting data'!$G$2:$G$37002,'Accounting data'!$H$2:$H$37002,"1240*",'Accounting data'!$K$2:$K$37002,"67*")</f>
        <v>0</v>
      </c>
      <c r="L15" s="247"/>
      <c r="M15" s="47">
        <v>0</v>
      </c>
      <c r="N15" s="547">
        <f t="shared" si="0"/>
        <v>0</v>
      </c>
      <c r="O15" t="s">
        <v>42</v>
      </c>
      <c r="AB15" s="46"/>
      <c r="AC15" s="46"/>
    </row>
    <row r="16" spans="1:29" x14ac:dyDescent="0.3">
      <c r="A16" t="s">
        <v>328</v>
      </c>
      <c r="D16" s="7" t="s">
        <v>44</v>
      </c>
      <c r="E16" s="545">
        <f>[2]!FP1250EndBal</f>
        <v>0</v>
      </c>
      <c r="F16" s="49">
        <v>0</v>
      </c>
      <c r="G16" s="545">
        <f>-(SUMIFS('Accounting data'!$G$2:$G$37002,'Accounting data'!$H$2:$H$37002,"1250*",'Accounting data'!$K$2:$K$37002,"1*")+SUMIFS('Accounting data'!$G$2:$G$37002,'Accounting data'!$H$2:$H$37002,"1250*",'Accounting data'!$K$2:$K$37002,"2*")+SUMIFS('Accounting data'!$G$2:$G$37002,'Accounting data'!$H$2:$H$37002,"1250*",'Accounting data'!$K$2:$K$37002,"3*")+SUMIFS('Accounting data'!$G$2:$G$37002,'Accounting data'!$H$2:$H$37002,"1250*",'Accounting data'!$K$2:$K$37002,"4*")+SUMIFS('Accounting data'!$G$2:$G$37002,'Accounting data'!$H$2:$H$37002,"1250*",'Accounting data'!$K$2:$K$37002,"Other*"))</f>
        <v>0</v>
      </c>
      <c r="H16" s="547">
        <f>SUMIFS('Accounting data'!$G$2:$G$37002,'Accounting data'!$H$2:$H$37002,"1250*",'Accounting data'!$K$2:$K$37002,"69*")</f>
        <v>0</v>
      </c>
      <c r="I16" s="47">
        <v>0</v>
      </c>
      <c r="J16" s="545">
        <f>[1]!FP1250AEA</f>
        <v>0</v>
      </c>
      <c r="K16" s="547">
        <f>SUMIFS('Accounting data'!$G$2:$G$37002,'Accounting data'!$H$2:$H$37002,"1250*",'Accounting data'!$K$2:$K$37002,"6*")-SUMIFS('Accounting data'!$G$2:$G$37002,'Accounting data'!$H$2:$H$37002,"1250*",'Accounting data'!$K$2:$K$37002,"69*")-SUMIFS('Accounting data'!$G$2:$G$37002,'Accounting data'!$H$2:$H$37002,"1250*",'Accounting data'!$K$2:$K$37002,"67*")</f>
        <v>0</v>
      </c>
      <c r="L16" s="247"/>
      <c r="M16" s="47">
        <v>0</v>
      </c>
      <c r="N16" s="547">
        <f t="shared" si="0"/>
        <v>0</v>
      </c>
      <c r="O16" t="s">
        <v>44</v>
      </c>
      <c r="AB16" s="46"/>
      <c r="AC16" s="46"/>
    </row>
    <row r="17" spans="1:26" x14ac:dyDescent="0.3">
      <c r="A17" t="s">
        <v>329</v>
      </c>
      <c r="D17" s="7" t="s">
        <v>45</v>
      </c>
      <c r="E17" s="545">
        <f>[2]!FP1260EndBal</f>
        <v>0</v>
      </c>
      <c r="F17" s="49">
        <v>0</v>
      </c>
      <c r="G17" s="545">
        <f>-(SUMIFS('Accounting data'!$G$2:$G$37002,'Accounting data'!$H$2:$H$37002,"1260*",'Accounting data'!$K$2:$K$37002,"1*")+SUMIFS('Accounting data'!$G$2:$G$37002,'Accounting data'!$H$2:$H$37002,"1260*",'Accounting data'!$K$2:$K$37002,"2*")+SUMIFS('Accounting data'!$G$2:$G$37002,'Accounting data'!$H$2:$H$37002,"1260*",'Accounting data'!$K$2:$K$37002,"3*")+SUMIFS('Accounting data'!$G$2:$G$37002,'Accounting data'!$H$2:$H$37002,"1260*",'Accounting data'!$K$2:$K$37002,"4*")+SUMIFS('Accounting data'!$G$2:$G$37002,'Accounting data'!$H$2:$H$37002,"1260*",'Accounting data'!$K$2:$K$37002,"Other*"))</f>
        <v>0</v>
      </c>
      <c r="H17" s="547">
        <f>SUMIFS('Accounting data'!$G$2:$G$37002,'Accounting data'!$H$2:$H$37002,"1260*",'Accounting data'!$K$2:$K$37002,"69*")</f>
        <v>0</v>
      </c>
      <c r="I17" s="47">
        <v>0</v>
      </c>
      <c r="J17" s="545">
        <f>[1]!FP12601270VocEd</f>
        <v>0</v>
      </c>
      <c r="K17" s="547">
        <f>SUMIFS('Accounting data'!$G$2:$G$37002,'Accounting data'!$H$2:$H$37002,"1260*",'Accounting data'!$K$2:$K$37002,"6*")-SUMIFS('Accounting data'!$G$2:$G$37002,'Accounting data'!$H$2:$H$37002,"1260*",'Accounting data'!$K$2:$K$37002,"69*")-SUMIFS('Accounting data'!$G$2:$G$37002,'Accounting data'!$H$2:$H$37002,"1260*",'Accounting data'!$K$2:$K$37002,"67*")</f>
        <v>0</v>
      </c>
      <c r="L17" s="247"/>
      <c r="M17" s="47">
        <v>0</v>
      </c>
      <c r="N17" s="547">
        <f t="shared" si="0"/>
        <v>0</v>
      </c>
      <c r="O17" t="s">
        <v>45</v>
      </c>
    </row>
    <row r="18" spans="1:26" x14ac:dyDescent="0.3">
      <c r="A18" t="s">
        <v>330</v>
      </c>
      <c r="D18" s="7" t="s">
        <v>47</v>
      </c>
      <c r="E18" s="545">
        <f>[2]!FP1280EndBal</f>
        <v>0</v>
      </c>
      <c r="F18" s="49">
        <v>0</v>
      </c>
      <c r="G18" s="545">
        <f>-(SUMIFS('Accounting data'!$G$2:$G$37002,'Accounting data'!$H$2:$H$37002,"1280*",'Accounting data'!$K$2:$K$37002,"1*")+SUMIFS('Accounting data'!$G$2:$G$37002,'Accounting data'!$H$2:$H$37002,"1280*",'Accounting data'!$K$2:$K$37002,"2*")+SUMIFS('Accounting data'!$G$2:$G$37002,'Accounting data'!$H$2:$H$37002,"1280*",'Accounting data'!$K$2:$K$37002,"3*")+SUMIFS('Accounting data'!$G$2:$G$37002,'Accounting data'!$H$2:$H$37002,"1280*",'Accounting data'!$K$2:$K$37002,"4*")+SUMIFS('Accounting data'!$G$2:$G$37002,'Accounting data'!$H$2:$H$37002,"1280*",'Accounting data'!$K$2:$K$37002,"Other*"))</f>
        <v>0</v>
      </c>
      <c r="H18" s="547">
        <f>SUMIFS('Accounting data'!$G$2:$G$37002,'Accounting data'!$H$2:$H$37002,"1280*",'Accounting data'!$K$2:$K$37002,"69*")</f>
        <v>0</v>
      </c>
      <c r="I18" s="47">
        <v>0</v>
      </c>
      <c r="J18" s="545">
        <f>[1]!FP1280TitleX</f>
        <v>0</v>
      </c>
      <c r="K18" s="547">
        <f>SUMIFS('Accounting data'!$G$2:$G$37002,'Accounting data'!$H$2:$H$37002,"1280*",'Accounting data'!$K$2:$K$37002,"6*")-SUMIFS('Accounting data'!$G$2:$G$37002,'Accounting data'!$H$2:$H$37002,"1280*",'Accounting data'!$K$2:$K$37002,"69*")-SUMIFS('Accounting data'!$G$2:$G$37002,'Accounting data'!$H$2:$H$37002,"1280*",'Accounting data'!$K$2:$K$37002,"67*")</f>
        <v>0</v>
      </c>
      <c r="L18" s="247"/>
      <c r="M18" s="47">
        <v>0</v>
      </c>
      <c r="N18" s="547">
        <f t="shared" si="0"/>
        <v>0</v>
      </c>
      <c r="O18" t="s">
        <v>47</v>
      </c>
      <c r="P18" s="543"/>
    </row>
    <row r="19" spans="1:26" x14ac:dyDescent="0.3">
      <c r="A19" t="s">
        <v>331</v>
      </c>
      <c r="D19" s="7" t="s">
        <v>49</v>
      </c>
      <c r="E19" s="545">
        <f>[2]!FP1290EndBal</f>
        <v>0</v>
      </c>
      <c r="F19" s="49">
        <v>0</v>
      </c>
      <c r="G19" s="545">
        <f>-(SUMIFS('Accounting data'!$G$2:$G$37002,'Accounting data'!$H$2:$H$37002,"1290*",'Accounting data'!$K$2:$K$37002,"1*")+SUMIFS('Accounting data'!$G$2:$G$37002,'Accounting data'!$H$2:$H$37002,"1290*",'Accounting data'!$K$2:$K$37002,"2*")+SUMIFS('Accounting data'!$G$2:$G$37002,'Accounting data'!$H$2:$H$37002,"1290*",'Accounting data'!$K$2:$K$37002,"3*")+SUMIFS('Accounting data'!$G$2:$G$37002,'Accounting data'!$H$2:$H$37002,"1290*",'Accounting data'!$K$2:$K$37002,"4*")+SUMIFS('Accounting data'!$G$2:$G$37002,'Accounting data'!$H$2:$H$37002,"1290*",'Accounting data'!$K$2:$K$37002,"Other*"))</f>
        <v>0</v>
      </c>
      <c r="H19" s="547">
        <f>SUMIFS('Accounting data'!$G$2:$G$37002,'Accounting data'!$H$2:$H$37002,"1290*",'Accounting data'!$K$2:$K$37002,"69*")</f>
        <v>0</v>
      </c>
      <c r="I19" s="47">
        <v>0</v>
      </c>
      <c r="J19" s="545">
        <f>[1]!FP1290Medicaid</f>
        <v>0</v>
      </c>
      <c r="K19" s="547">
        <f>SUMIFS('Accounting data'!$G$2:$G$37002,'Accounting data'!$H$2:$H$37002,"1290*",'Accounting data'!$K$2:$K$37002,"6*")-SUMIFS('Accounting data'!$G$2:$G$37002,'Accounting data'!$H$2:$H$37002,"1290*",'Accounting data'!$K$2:$K$37002,"69*")-SUMIFS('Accounting data'!$G$2:$G$37002,'Accounting data'!$H$2:$H$37002,"1290*",'Accounting data'!$K$2:$K$37002,"67*")</f>
        <v>0</v>
      </c>
      <c r="L19" s="247"/>
      <c r="M19" s="47">
        <v>0</v>
      </c>
      <c r="N19" s="547">
        <f t="shared" si="0"/>
        <v>0</v>
      </c>
      <c r="O19" t="s">
        <v>49</v>
      </c>
      <c r="P19" s="112"/>
      <c r="Q19" s="112"/>
      <c r="S19" s="24"/>
    </row>
    <row r="20" spans="1:26" x14ac:dyDescent="0.3">
      <c r="A20" t="s">
        <v>332</v>
      </c>
      <c r="D20" s="61" t="s">
        <v>51</v>
      </c>
      <c r="E20" s="545">
        <f>[2]!FP1300EndBal</f>
        <v>0</v>
      </c>
      <c r="F20" s="49">
        <v>0</v>
      </c>
      <c r="G20" s="545">
        <f>-(SUMIFS('Accounting data'!$G$2:$G$37002,'Accounting data'!$H$2:$H$37002,"1300*",'Accounting data'!$K$2:$K$37002,"1*")+SUMIFS('Accounting data'!$G$2:$G$37002,'Accounting data'!$H$2:$H$37002,"1300*",'Accounting data'!$K$2:$K$37002,"2*")+SUMIFS('Accounting data'!$G$2:$G$37002,'Accounting data'!$H$2:$H$37002,"1300*",'Accounting data'!$K$2:$K$37002,"3*")+SUMIFS('Accounting data'!$G$2:$G$37002,'Accounting data'!$H$2:$H$37002,"1300*",'Accounting data'!$K$2:$K$37002,"4*")+SUMIFS('Accounting data'!$G$2:$G$37002,'Accounting data'!$H$2:$H$37002,"1300*",'Accounting data'!$K$2:$K$37002,"Other*"))</f>
        <v>0</v>
      </c>
      <c r="H20" s="547">
        <f>SUMIFS('Accounting data'!$G$2:$G$37002,'Accounting data'!$H$2:$H$37002,"1300*",'Accounting data'!$K$2:$K$37002,"69*")</f>
        <v>0</v>
      </c>
      <c r="I20" s="47">
        <v>0</v>
      </c>
      <c r="J20" s="545">
        <f>[1]!FP1300Charter</f>
        <v>0</v>
      </c>
      <c r="K20" s="547">
        <f>SUMIFS('Accounting data'!$G$2:$G$37002,'Accounting data'!$H$2:$H$37002,"1300*",'Accounting data'!$K$2:$K$37002,"6*")-SUMIFS('Accounting data'!$G$2:$G$37002,'Accounting data'!$H$2:$H$37002,"1300*",'Accounting data'!$K$2:$K$37002,"69*")-SUMIFS('Accounting data'!$G$2:$G$37002,'Accounting data'!$H$2:$H$37002,"1300*",'Accounting data'!$K$2:$K$37002,"67*")</f>
        <v>0</v>
      </c>
      <c r="L20" s="247"/>
      <c r="M20" s="47">
        <v>0</v>
      </c>
      <c r="N20" s="547">
        <f t="shared" si="0"/>
        <v>0</v>
      </c>
      <c r="O20" s="239" t="s">
        <v>51</v>
      </c>
      <c r="P20" s="112"/>
      <c r="Q20" s="112"/>
      <c r="S20" s="24"/>
    </row>
    <row r="21" spans="1:26" x14ac:dyDescent="0.3">
      <c r="A21" s="207" t="s">
        <v>333</v>
      </c>
      <c r="B21" s="207"/>
      <c r="C21" s="207"/>
      <c r="D21" s="65" t="s">
        <v>53</v>
      </c>
      <c r="E21" s="545">
        <f>[2]!FP13XXImpactAidEndBal</f>
        <v>0</v>
      </c>
      <c r="F21" s="49">
        <v>0</v>
      </c>
      <c r="G21" s="545">
        <f>-(SUMIFS('Accounting data'!$G$2:$G$37002,'Accounting data'!$H$2:$H$37002,"13XX*",'Accounting data'!$K$2:$K$37002,"1*")+SUMIFS('Accounting data'!$G$2:$G$37002,'Accounting data'!$H$2:$H$37002,"13XX*",'Accounting data'!$K$2:$K$37002,"2*")+SUMIFS('Accounting data'!$G$2:$G$37002,'Accounting data'!$H$2:$H$37002,"13XX*",'Accounting data'!$K$2:$K$37002,"3*")+SUMIFS('Accounting data'!$G$2:$G$37002,'Accounting data'!$H$2:$H$37002,"13XX*",'Accounting data'!$K$2:$K$37002,"4*")+SUMIFS('Accounting data'!$G$2:$G$37002,'Accounting data'!$H$2:$H$37002,"13XX*",'Accounting data'!$K$2:$K$37002,"Other*"))</f>
        <v>0</v>
      </c>
      <c r="H21" s="547">
        <f>SUMIFS('Accounting data'!$G$2:$G$37002,'Accounting data'!$H$2:$H$37002,"13XX*",'Accounting data'!$K$2:$K$37002,"69*")</f>
        <v>0</v>
      </c>
      <c r="I21" s="47">
        <v>0</v>
      </c>
      <c r="J21" s="545">
        <f>[1]!FP13__ImpactAid</f>
        <v>0</v>
      </c>
      <c r="K21" s="547">
        <f>SUMIFS('Accounting data'!$G$2:$G$37002,'Accounting data'!$H$2:$H$37002,"13XX*",'Accounting data'!$K$2:$K$37002,"6*")-SUMIFS('Accounting data'!$G$2:$G$37002,'Accounting data'!$H$2:$H$37002,"13XX*",'Accounting data'!$K$2:$K$37002,"69*")-SUMIFS('Accounting data'!$G$2:$G$37002,'Accounting data'!$H$2:$H$37002,"13XX*",'Accounting data'!$K$2:$K$37002,"67*")</f>
        <v>0</v>
      </c>
      <c r="L21" s="247"/>
      <c r="M21" s="47">
        <v>0</v>
      </c>
      <c r="N21" s="547">
        <f t="shared" si="0"/>
        <v>0</v>
      </c>
      <c r="O21" s="239" t="s">
        <v>53</v>
      </c>
      <c r="P21" s="112"/>
      <c r="Q21" s="112"/>
      <c r="S21" s="24"/>
    </row>
    <row r="22" spans="1:26" ht="13.5" thickBot="1" x14ac:dyDescent="0.35">
      <c r="A22" s="207" t="s">
        <v>334</v>
      </c>
      <c r="B22" s="207"/>
      <c r="C22" s="207"/>
      <c r="D22" s="61" t="s">
        <v>55</v>
      </c>
      <c r="E22" s="214">
        <f>[2]!FP13101399EndBal</f>
        <v>1</v>
      </c>
      <c r="F22" s="49">
        <v>0</v>
      </c>
      <c r="G22" s="214">
        <f>-(SUMIFS('Accounting data'!$G$2:$G$37002,'Accounting data'!$H$2:$H$37002,"1310*",'Accounting data'!$K$2:$K$37002,"1*")+SUMIFS('Accounting data'!$G$2:$G$37002,'Accounting data'!$H$2:$H$37002,"1310*",'Accounting data'!$K$2:$K$37002,"2*")+SUMIFS('Accounting data'!$G$2:$G$37002,'Accounting data'!$H$2:$H$37002,"1310*",'Accounting data'!$K$2:$K$37002,"3*")+SUMIFS('Accounting data'!$G$2:$G$37002,'Accounting data'!$H$2:$H$37002,"1310*",'Accounting data'!$K$2:$K$37002,"4*")+SUMIFS('Accounting data'!$G$2:$G$37002,'Accounting data'!$H$2:$H$37002,"1310*",'Accounting data'!$K$2:$K$37002,"Other*"))</f>
        <v>29776</v>
      </c>
      <c r="H22" s="220">
        <f>SUMIFS('Accounting data'!$G$2:$G$37002,'Accounting data'!$H$2:$H$37002,"1310*",'Accounting data'!$K$2:$K$37002,"69*")</f>
        <v>0</v>
      </c>
      <c r="I22" s="47">
        <v>0</v>
      </c>
      <c r="J22" s="214">
        <f>[1]!FP13101399Other</f>
        <v>33285</v>
      </c>
      <c r="K22" s="220">
        <f>SUMIFS('Accounting data'!$G$2:$G$37002,'Accounting data'!$H$2:$H$37002,"1310*",'Accounting data'!$K$2:$K$37002,"6*")-SUMIFS('Accounting data'!$G$2:$G$37002,'Accounting data'!$H$2:$H$37002,"1310*",'Accounting data'!$K$2:$K$37002,"69*")-SUMIFS('Accounting data'!$G$2:$G$37002,'Accounting data'!$H$2:$H$37002,"1310*",'Accounting data'!$K$2:$K$37002,"67*")</f>
        <v>29776</v>
      </c>
      <c r="L22" s="51">
        <v>0</v>
      </c>
      <c r="M22" s="47">
        <v>0</v>
      </c>
      <c r="N22" s="547">
        <f>SUM(IF(F22="",E22,F22)+G22-H22-I22-K22-M22-L22)</f>
        <v>0</v>
      </c>
      <c r="O22" s="239" t="s">
        <v>55</v>
      </c>
      <c r="P22" s="112"/>
      <c r="Q22" s="112"/>
      <c r="S22" s="24"/>
    </row>
    <row r="23" spans="1:26" ht="13.5" thickBot="1" x14ac:dyDescent="0.35">
      <c r="A23" t="s">
        <v>335</v>
      </c>
      <c r="D23" s="61" t="s">
        <v>57</v>
      </c>
      <c r="E23" s="215">
        <f t="shared" ref="E23:M23" si="1">SUM(E6:E22)</f>
        <v>2</v>
      </c>
      <c r="F23" s="215" cm="1">
        <f t="array" ref="F23">SUM(IF(F6:F22="",E6:E22,F6:F22))</f>
        <v>0</v>
      </c>
      <c r="G23" s="215">
        <f t="shared" si="1"/>
        <v>203441</v>
      </c>
      <c r="H23" s="215">
        <f t="shared" si="1"/>
        <v>4719</v>
      </c>
      <c r="I23" s="215">
        <f>SUM(I6:I22)</f>
        <v>0</v>
      </c>
      <c r="J23" s="215">
        <f>SUM(J6:J22)</f>
        <v>213181</v>
      </c>
      <c r="K23" s="215">
        <f t="shared" si="1"/>
        <v>198722</v>
      </c>
      <c r="L23" s="215">
        <f>SUM(L6:L22)</f>
        <v>0</v>
      </c>
      <c r="M23" s="215">
        <f t="shared" si="1"/>
        <v>0</v>
      </c>
      <c r="N23" s="547">
        <f>SUM(IF(F23="",E23,F23)+G23-H23-I23-K23-M23)</f>
        <v>0</v>
      </c>
      <c r="O23" s="239" t="s">
        <v>57</v>
      </c>
    </row>
    <row r="24" spans="1:26" ht="13.5" thickTop="1" x14ac:dyDescent="0.3">
      <c r="D24" s="61"/>
      <c r="E24" s="24"/>
      <c r="F24" s="24"/>
      <c r="G24" s="24"/>
      <c r="H24" s="24"/>
      <c r="I24" s="24"/>
      <c r="J24" s="24"/>
      <c r="K24" s="24"/>
      <c r="L24" s="24"/>
      <c r="M24" s="24"/>
      <c r="N24" s="24"/>
      <c r="O24" s="239"/>
    </row>
    <row r="25" spans="1:26" x14ac:dyDescent="0.3">
      <c r="A25" s="207" t="s">
        <v>336</v>
      </c>
      <c r="B25" s="207"/>
      <c r="C25" s="207"/>
      <c r="D25" s="61" t="s">
        <v>59</v>
      </c>
      <c r="E25" s="545">
        <f>'[2]Page 8'!$N$25</f>
        <v>0</v>
      </c>
      <c r="F25" s="49">
        <v>0</v>
      </c>
      <c r="G25" s="547">
        <f>Q25+Z25</f>
        <v>0</v>
      </c>
      <c r="H25" s="545">
        <f t="array" ref="H25">SUM(SUMIFS('Accounting data'!$G$2:$G$37002,'Accounting data'!$H$2:$H$37002,{"1310-1399-COVID-19*","1227*","1228*"},'Accounting data'!$K$2:$K$37002,"69*"))</f>
        <v>0</v>
      </c>
      <c r="I25" s="49">
        <v>0</v>
      </c>
      <c r="J25" s="99"/>
      <c r="K25" s="547">
        <f t="array" ref="K25">SUM(SUMIFS('Accounting data'!$G$2:$G$37002,'Accounting data'!$H$2:$H$37002,{"1310-1399-COVID-19*","1227*","1228*"},'Accounting data'!$K$2:$K$37002,"6*"))-SUM(SUMIFS('Accounting data'!$G$2:$G$37002,'Accounting data'!$H$2:$H$37002,{"1310-1399-COVID-19*","1227*","1228*"},'Accounting data'!$K$2:$K$37002,"69*"))-SUM(SUMIFS('Accounting data'!$G$2:$G$37002,'Accounting data'!$H$2:$H$37002,{"1310-1399-COVID-19*","1227*","1228*"},'Accounting data'!$K$2:$K$37002,"67*"))</f>
        <v>0</v>
      </c>
      <c r="L25" s="47">
        <v>0</v>
      </c>
      <c r="M25" s="49">
        <v>0</v>
      </c>
      <c r="N25" s="547">
        <f>SUM(IF(F25="",E25,F25)+G25-H25-I25-K25-M25-L25)</f>
        <v>0</v>
      </c>
      <c r="O25" s="61" t="s">
        <v>59</v>
      </c>
      <c r="Q25" s="46">
        <f t="array" ref="Q25">-(SUMIFS('Accounting data'!$G$2:$G$37002,'Accounting data'!$H$2:$H$37002,"1310-1399-COVID-19*",'Accounting data'!$K$2:$K$37002,"1*")+SUMIFS('Accounting data'!$G$2:$G$37002,'Accounting data'!$H$2:$H$37002,"1310-1399-COVID-19*",'Accounting data'!$K$2:$K$37002,"2*")+SUMIFS('Accounting data'!$G$2:$G$37002,'Accounting data'!$H$2:$H$37002,"1310-1399-COVID-19*",'Accounting data'!$K$2:$K$37002,"3*")+SUMIFS('Accounting data'!$G$2:$G$37002,'Accounting data'!$H$2:$H$37002,"1310-1399-COVID-19*",'Accounting data'!$K$2:$K$37002,"4*")+SUMIFS('Accounting data'!$G$2:$G$37002,'Accounting data'!$H$2:$H$37002,"1310-1399-COVID-19*",'Accounting data'!$K$2:$K$37002,"Other*")+SUM(SUMIFS('Accounting data'!$G$2:$G$37002,'Accounting data'!$H$2:$H$37002,"1227*",'Accounting data'!$K$2:$K$37002,{"1*","2*","3*","4*","Other*"})))</f>
        <v>0</v>
      </c>
      <c r="R25" s="46"/>
      <c r="S25" s="46"/>
      <c r="T25" s="46"/>
      <c r="U25" s="46"/>
      <c r="V25" s="46"/>
      <c r="W25" s="46"/>
      <c r="X25" s="46"/>
      <c r="Y25" s="46"/>
      <c r="Z25" s="46">
        <f t="array" ref="Z25">-SUM(SUMIFS('Accounting data'!$G$2:$G$37002,'Accounting data'!$H$2:$H$37002,"1228*",'Accounting data'!$K$2:$K$37002,{"1*","2*","3*","4*","Other*"}))</f>
        <v>0</v>
      </c>
    </row>
    <row r="26" spans="1:26" x14ac:dyDescent="0.3">
      <c r="D26" s="61"/>
      <c r="E26" s="24"/>
      <c r="F26" s="24"/>
      <c r="G26" s="24"/>
      <c r="H26" s="24"/>
      <c r="I26" s="24"/>
      <c r="J26" s="24"/>
      <c r="K26" s="24"/>
      <c r="L26" s="24"/>
      <c r="M26" s="24"/>
      <c r="N26" s="24"/>
      <c r="O26" s="239"/>
    </row>
    <row r="27" spans="1:26" x14ac:dyDescent="0.3">
      <c r="A27" s="544" t="s">
        <v>337</v>
      </c>
      <c r="E27" s="210"/>
      <c r="F27" s="210"/>
      <c r="G27" s="210"/>
      <c r="H27" s="210"/>
      <c r="I27" s="210"/>
      <c r="J27" s="210"/>
      <c r="K27" s="210"/>
      <c r="L27" s="210"/>
      <c r="M27" s="210"/>
      <c r="N27" s="210"/>
    </row>
    <row r="28" spans="1:26" x14ac:dyDescent="0.3">
      <c r="A28" t="s">
        <v>338</v>
      </c>
      <c r="D28" s="61" t="s">
        <v>61</v>
      </c>
      <c r="E28" s="545">
        <f>[2]!StP1400EndBal</f>
        <v>0</v>
      </c>
      <c r="F28" s="49">
        <v>0</v>
      </c>
      <c r="G28" s="545">
        <f>-(SUMIFS('Accounting data'!$G$2:$G$37002,'Accounting data'!$H$2:$H$37002,"1400*",'Accounting data'!$K$2:$K$37002,"1*")+SUMIFS('Accounting data'!$G$2:$G$37002,'Accounting data'!$H$2:$H$37002,"1400*",'Accounting data'!$K$2:$K$37002,"2*")+SUMIFS('Accounting data'!$G$2:$G$37002,'Accounting data'!$H$2:$H$37002,"1400*",'Accounting data'!$K$2:$K$37002,"3*")+SUMIFS('Accounting data'!$G$2:$G$37002,'Accounting data'!$H$2:$H$37002,"1400*",'Accounting data'!$K$2:$K$37002,"4*")+SUMIFS('Accounting data'!$G$2:$G$37002,'Accounting data'!$H$2:$H$37002,"1400*",'Accounting data'!$K$2:$K$37002,"Other*"))</f>
        <v>0</v>
      </c>
      <c r="H28" s="97"/>
      <c r="I28" s="47">
        <v>0</v>
      </c>
      <c r="J28" s="545">
        <f>[1]!SP1400VocEd</f>
        <v>0</v>
      </c>
      <c r="K28" s="547">
        <f>SUMIFS('Accounting data'!$G$2:$G$37002,'Accounting data'!$H$2:$H$37002,"1400*",'Accounting data'!$K$2:$K$37002,"6*")-SUMIFS('Accounting data'!$G$2:$G$37002,'Accounting data'!$H$2:$H$37002,"1400*",'Accounting data'!$K$2:$K$37002,"69*")-SUMIFS('Accounting data'!$G$2:$G$37002,'Accounting data'!$H$2:$H$37002,"1400*",'Accounting data'!$K$2:$K$37002,"67*")</f>
        <v>0</v>
      </c>
      <c r="L28" s="47">
        <v>0</v>
      </c>
      <c r="M28" s="47">
        <v>0</v>
      </c>
      <c r="N28" s="547">
        <f>SUM(IF(F28="",E28,F28)+G28-H28-I28-K28-L28-M28)</f>
        <v>0</v>
      </c>
      <c r="O28" s="61" t="s">
        <v>61</v>
      </c>
    </row>
    <row r="29" spans="1:26" x14ac:dyDescent="0.3">
      <c r="A29" t="s">
        <v>339</v>
      </c>
      <c r="D29" s="61" t="s">
        <v>63</v>
      </c>
      <c r="E29" s="545">
        <f>[2]!StP1410EndBal</f>
        <v>0</v>
      </c>
      <c r="F29" s="49">
        <v>0</v>
      </c>
      <c r="G29" s="545">
        <f>-(SUMIFS('Accounting data'!$G$2:$G$37002,'Accounting data'!$H$2:$H$37002,"1410*",'Accounting data'!$K$2:$K$37002,"1*")+SUMIFS('Accounting data'!$G$2:$G$37002,'Accounting data'!$H$2:$H$37002,"1410*",'Accounting data'!$K$2:$K$37002,"2*")+SUMIFS('Accounting data'!$G$2:$G$37002,'Accounting data'!$H$2:$H$37002,"1410*",'Accounting data'!$K$2:$K$37002,"3*")+SUMIFS('Accounting data'!$G$2:$G$37002,'Accounting data'!$H$2:$H$37002,"1410*",'Accounting data'!$K$2:$K$37002,"4*")+SUMIFS('Accounting data'!$G$2:$G$37002,'Accounting data'!$H$2:$H$37002,"1410*",'Accounting data'!$K$2:$K$37002,"Other*"))</f>
        <v>0</v>
      </c>
      <c r="H29" s="97"/>
      <c r="I29" s="47">
        <v>0</v>
      </c>
      <c r="J29" s="545">
        <f>[1]!SP1410EarlyChildhoodBlockGrant</f>
        <v>0</v>
      </c>
      <c r="K29" s="547">
        <f>SUMIFS('Accounting data'!$G$2:$G$37002,'Accounting data'!$H$2:$H$37002,"1410*",'Accounting data'!$K$2:$K$37002,"6*")-SUMIFS('Accounting data'!$G$2:$G$37002,'Accounting data'!$H$2:$H$37002,"1410*",'Accounting data'!$K$2:$K$37002,"69*")-SUMIFS('Accounting data'!$G$2:$G$37002,'Accounting data'!$H$2:$H$37002,"1410*",'Accounting data'!$K$2:$K$37002,"67*")</f>
        <v>0</v>
      </c>
      <c r="L29" s="47">
        <v>0</v>
      </c>
      <c r="M29" s="47">
        <v>0</v>
      </c>
      <c r="N29" s="547">
        <f t="shared" ref="N29:N39" si="2">SUM(IF(F29="",E29,F29)+G29-H29-I29-K29-L29-M29)</f>
        <v>0</v>
      </c>
      <c r="O29" s="61" t="s">
        <v>63</v>
      </c>
    </row>
    <row r="30" spans="1:26" x14ac:dyDescent="0.3">
      <c r="A30" t="s">
        <v>340</v>
      </c>
      <c r="D30" s="61" t="s">
        <v>65</v>
      </c>
      <c r="E30" s="545">
        <f>[2]!StP1420EndBal</f>
        <v>0</v>
      </c>
      <c r="F30" s="49">
        <v>0</v>
      </c>
      <c r="G30" s="545">
        <f>-(SUMIFS('Accounting data'!$G$2:$G$37002,'Accounting data'!$H$2:$H$37002,"1420*",'Accounting data'!$K$2:$K$37002,"1*")+SUMIFS('Accounting data'!$G$2:$G$37002,'Accounting data'!$H$2:$H$37002,"1420*",'Accounting data'!$K$2:$K$37002,"2*")+SUMIFS('Accounting data'!$G$2:$G$37002,'Accounting data'!$H$2:$H$37002,"1420*",'Accounting data'!$K$2:$K$37002,"3*")+SUMIFS('Accounting data'!$G$2:$G$37002,'Accounting data'!$H$2:$H$37002,"1420*",'Accounting data'!$K$2:$K$37002,"4*")+SUMIFS('Accounting data'!$G$2:$G$37002,'Accounting data'!$H$2:$H$37002,"1420*",'Accounting data'!$K$2:$K$37002,"Other*"))</f>
        <v>0</v>
      </c>
      <c r="H30" s="97"/>
      <c r="I30" s="47">
        <v>0</v>
      </c>
      <c r="J30" s="545">
        <f>[1]!FP1420ExtendedSchool</f>
        <v>0</v>
      </c>
      <c r="K30" s="547">
        <f>SUMIFS('Accounting data'!$G$2:$G$37002,'Accounting data'!$H$2:$H$37002,"1420*",'Accounting data'!$K$2:$K$37002,"6*")-SUMIFS('Accounting data'!$G$2:$G$37002,'Accounting data'!$H$2:$H$37002,"1420*",'Accounting data'!$K$2:$K$37002,"69*")-SUMIFS('Accounting data'!$G$2:$G$37002,'Accounting data'!$H$2:$H$37002,"1420*",'Accounting data'!$K$2:$K$37002,"67*")</f>
        <v>0</v>
      </c>
      <c r="L30" s="47">
        <v>0</v>
      </c>
      <c r="M30" s="47">
        <v>0</v>
      </c>
      <c r="N30" s="547">
        <f t="shared" si="2"/>
        <v>0</v>
      </c>
      <c r="O30" s="61" t="s">
        <v>65</v>
      </c>
    </row>
    <row r="31" spans="1:26" x14ac:dyDescent="0.3">
      <c r="A31" t="s">
        <v>341</v>
      </c>
      <c r="D31" s="61" t="s">
        <v>67</v>
      </c>
      <c r="E31" s="545">
        <f>[2]!StP1425EndBal</f>
        <v>0</v>
      </c>
      <c r="F31" s="49">
        <v>0</v>
      </c>
      <c r="G31" s="545">
        <f>-(SUMIFS('Accounting data'!$G$2:$G$37002,'Accounting data'!$H$2:$H$37002,"1425*",'Accounting data'!$K$2:$K$37002,"1*")+SUMIFS('Accounting data'!$G$2:$G$37002,'Accounting data'!$H$2:$H$37002,"1425*",'Accounting data'!$K$2:$K$37002,"2*")+SUMIFS('Accounting data'!$G$2:$G$37002,'Accounting data'!$H$2:$H$37002,"1425*",'Accounting data'!$K$2:$K$37002,"3*")+SUMIFS('Accounting data'!$G$2:$G$37002,'Accounting data'!$H$2:$H$37002,"1425*",'Accounting data'!$K$2:$K$37002,"4*")+SUMIFS('Accounting data'!$G$2:$G$37002,'Accounting data'!$H$2:$H$37002,"1425*",'Accounting data'!$K$2:$K$37002,"Other*"))</f>
        <v>0</v>
      </c>
      <c r="H31" s="97"/>
      <c r="I31" s="47">
        <v>0</v>
      </c>
      <c r="J31" s="545">
        <f>[1]!SP1425AdultBasicEd</f>
        <v>0</v>
      </c>
      <c r="K31" s="547">
        <f>SUMIFS('Accounting data'!$G$2:$G$37002,'Accounting data'!$H$2:$H$37002,"1425*",'Accounting data'!$K$2:$K$37002,"6*")-SUMIFS('Accounting data'!$G$2:$G$37002,'Accounting data'!$H$2:$H$37002,"1425*",'Accounting data'!$K$2:$K$37002,"69*")-SUMIFS('Accounting data'!$G$2:$G$37002,'Accounting data'!$H$2:$H$37002,"1425*",'Accounting data'!$K$2:$K$37002,"67*")</f>
        <v>0</v>
      </c>
      <c r="L31" s="47">
        <v>0</v>
      </c>
      <c r="M31" s="47">
        <v>0</v>
      </c>
      <c r="N31" s="547">
        <f t="shared" si="2"/>
        <v>0</v>
      </c>
      <c r="O31" s="61" t="s">
        <v>67</v>
      </c>
    </row>
    <row r="32" spans="1:26" x14ac:dyDescent="0.3">
      <c r="A32" t="s">
        <v>342</v>
      </c>
      <c r="D32" s="61" t="s">
        <v>69</v>
      </c>
      <c r="E32" s="545">
        <f>[2]!StP1430EndBal</f>
        <v>0</v>
      </c>
      <c r="F32" s="49">
        <v>0</v>
      </c>
      <c r="G32" s="545">
        <f>-(SUMIFS('Accounting data'!$G$2:$G$37002,'Accounting data'!$H$2:$H$37002,"1430*",'Accounting data'!$K$2:$K$37002,"1*")+SUMIFS('Accounting data'!$G$2:$G$37002,'Accounting data'!$H$2:$H$37002,"1430*",'Accounting data'!$K$2:$K$37002,"2*")+SUMIFS('Accounting data'!$G$2:$G$37002,'Accounting data'!$H$2:$H$37002,"1430*",'Accounting data'!$K$2:$K$37002,"3*")+SUMIFS('Accounting data'!$G$2:$G$37002,'Accounting data'!$H$2:$H$37002,"1430*",'Accounting data'!$K$2:$K$37002,"4*")+SUMIFS('Accounting data'!$G$2:$G$37002,'Accounting data'!$H$2:$H$37002,"1430*",'Accounting data'!$K$2:$K$37002,"Other*"))</f>
        <v>0</v>
      </c>
      <c r="H32" s="97"/>
      <c r="I32" s="47">
        <v>0</v>
      </c>
      <c r="J32" s="545">
        <f>[1]!SP1430ChemicalAbuse</f>
        <v>0</v>
      </c>
      <c r="K32" s="547">
        <f>SUMIFS('Accounting data'!$G$2:$G$37002,'Accounting data'!$H$2:$H$37002,"1430*",'Accounting data'!$K$2:$K$37002,"6*")-SUMIFS('Accounting data'!$G$2:$G$37002,'Accounting data'!$H$2:$H$37002,"1430*",'Accounting data'!$K$2:$K$37002,"69*")-SUMIFS('Accounting data'!$G$2:$G$37002,'Accounting data'!$H$2:$H$37002,"1430*",'Accounting data'!$K$2:$K$37002,"67*")</f>
        <v>0</v>
      </c>
      <c r="L32" s="47">
        <v>0</v>
      </c>
      <c r="M32" s="47">
        <v>0</v>
      </c>
      <c r="N32" s="547">
        <f t="shared" si="2"/>
        <v>0</v>
      </c>
      <c r="O32" s="61" t="s">
        <v>69</v>
      </c>
    </row>
    <row r="33" spans="1:15" ht="12.75" customHeight="1" x14ac:dyDescent="0.3">
      <c r="A33" t="s">
        <v>343</v>
      </c>
      <c r="D33" s="61" t="s">
        <v>71</v>
      </c>
      <c r="E33" s="545">
        <f>[2]!StP1435EndBal</f>
        <v>0</v>
      </c>
      <c r="F33" s="49">
        <v>0</v>
      </c>
      <c r="G33" s="545">
        <f>-(SUMIFS('Accounting data'!$G$2:$G$37002,'Accounting data'!$H$2:$H$37002,"1435*",'Accounting data'!$K$2:$K$37002,"1*")+SUMIFS('Accounting data'!$G$2:$G$37002,'Accounting data'!$H$2:$H$37002,"1435*",'Accounting data'!$K$2:$K$37002,"2*")+SUMIFS('Accounting data'!$G$2:$G$37002,'Accounting data'!$H$2:$H$37002,"1435*",'Accounting data'!$K$2:$K$37002,"3*")+SUMIFS('Accounting data'!$G$2:$G$37002,'Accounting data'!$H$2:$H$37002,"1435*",'Accounting data'!$K$2:$K$37002,"4*")+SUMIFS('Accounting data'!$G$2:$G$37002,'Accounting data'!$H$2:$H$37002,"1435*",'Accounting data'!$K$2:$K$37002,"Other*"))</f>
        <v>0</v>
      </c>
      <c r="H33" s="97"/>
      <c r="I33" s="47">
        <v>0</v>
      </c>
      <c r="J33" s="545">
        <f>[1]!SP1435AcademicContests</f>
        <v>0</v>
      </c>
      <c r="K33" s="547">
        <f>SUMIFS('Accounting data'!$G$2:$G$37002,'Accounting data'!$H$2:$H$37002,"1435*",'Accounting data'!$K$2:$K$37002,"6*")-SUMIFS('Accounting data'!$G$2:$G$37002,'Accounting data'!$H$2:$H$37002,"1435*",'Accounting data'!$K$2:$K$37002,"69*")-SUMIFS('Accounting data'!$G$2:$G$37002,'Accounting data'!$H$2:$H$37002,"1435*",'Accounting data'!$K$2:$K$37002,"67*")</f>
        <v>0</v>
      </c>
      <c r="L33" s="47">
        <v>0</v>
      </c>
      <c r="M33" s="47">
        <v>0</v>
      </c>
      <c r="N33" s="547">
        <f t="shared" si="2"/>
        <v>0</v>
      </c>
      <c r="O33" s="61" t="s">
        <v>71</v>
      </c>
    </row>
    <row r="34" spans="1:15" ht="12.75" customHeight="1" x14ac:dyDescent="0.3">
      <c r="A34" t="s">
        <v>344</v>
      </c>
      <c r="D34" s="61" t="s">
        <v>73</v>
      </c>
      <c r="E34" s="545">
        <f>[2]!StP1450EndBal</f>
        <v>0</v>
      </c>
      <c r="F34" s="49">
        <v>0</v>
      </c>
      <c r="G34" s="545">
        <f>-(SUMIFS('Accounting data'!$G$2:$G$37002,'Accounting data'!$H$2:$H$37002,"1450*",'Accounting data'!$K$2:$K$37002,"1*")+SUMIFS('Accounting data'!$G$2:$G$37002,'Accounting data'!$H$2:$H$37002,"1450*",'Accounting data'!$K$2:$K$37002,"2*")+SUMIFS('Accounting data'!$G$2:$G$37002,'Accounting data'!$H$2:$H$37002,"1450*",'Accounting data'!$K$2:$K$37002,"3*")+SUMIFS('Accounting data'!$G$2:$G$37002,'Accounting data'!$H$2:$H$37002,"1450*",'Accounting data'!$K$2:$K$37002,"4*")+SUMIFS('Accounting data'!$G$2:$G$37002,'Accounting data'!$H$2:$H$37002,"1450*",'Accounting data'!$K$2:$K$37002,"Other*"))</f>
        <v>0</v>
      </c>
      <c r="H34" s="97"/>
      <c r="I34" s="47">
        <v>0</v>
      </c>
      <c r="J34" s="545">
        <f>[1]!SP1450GiftedEd</f>
        <v>0</v>
      </c>
      <c r="K34" s="547">
        <f>SUMIFS('Accounting data'!$G$2:$G$37002,'Accounting data'!$H$2:$H$37002,"1450*",'Accounting data'!$K$2:$K$37002,"6*")-SUMIFS('Accounting data'!$G$2:$G$37002,'Accounting data'!$H$2:$H$37002,"1450*",'Accounting data'!$K$2:$K$37002,"69*")-SUMIFS('Accounting data'!$G$2:$G$37002,'Accounting data'!$H$2:$H$37002,"1450*",'Accounting data'!$K$2:$K$37002,"67*")</f>
        <v>0</v>
      </c>
      <c r="L34" s="47">
        <v>0</v>
      </c>
      <c r="M34" s="47">
        <v>0</v>
      </c>
      <c r="N34" s="547">
        <f t="shared" si="2"/>
        <v>0</v>
      </c>
      <c r="O34" s="61" t="s">
        <v>73</v>
      </c>
    </row>
    <row r="35" spans="1:15" ht="12.75" customHeight="1" x14ac:dyDescent="0.3">
      <c r="A35" t="s">
        <v>345</v>
      </c>
      <c r="D35" s="61" t="s">
        <v>75</v>
      </c>
      <c r="E35" s="545" cm="1">
        <f t="array" ref="E35">[2]!StP1456EndBal</f>
        <v>0</v>
      </c>
      <c r="F35" s="49">
        <v>0</v>
      </c>
      <c r="G35" s="545">
        <f>-(SUMIFS('Accounting data'!$G$2:$G$37002,'Accounting data'!$H$2:$H$37002,"1456*",'Accounting data'!$K$2:$K$37002,"1*")+SUMIFS('Accounting data'!$G$2:$G$37002,'Accounting data'!$H$2:$H$37002,"1456*",'Accounting data'!$K$2:$K$37002,"2*")+SUMIFS('Accounting data'!$G$2:$G$37002,'Accounting data'!$H$2:$H$37002,"1456*",'Accounting data'!$K$2:$K$37002,"3*")+SUMIFS('Accounting data'!$G$2:$G$37002,'Accounting data'!$H$2:$H$37002,"1456*",'Accounting data'!$K$2:$K$37002,"4*")+SUMIFS('Accounting data'!$G$2:$G$37002,'Accounting data'!$H$2:$H$37002,"1456*",'Accounting data'!$K$2:$K$37002,"Other*"))</f>
        <v>0</v>
      </c>
      <c r="H35" s="97"/>
      <c r="I35" s="47">
        <v>0</v>
      </c>
      <c r="J35" s="545">
        <f>+'[1]Page 2'!$E$31</f>
        <v>0</v>
      </c>
      <c r="K35" s="547">
        <f>SUMIFS('Accounting data'!$G$2:$G$37002,'Accounting data'!$H$2:$H$37002,"1456*",'Accounting data'!$K$2:$K$37002,"6*")-SUMIFS('Accounting data'!$G$2:$G$37002,'Accounting data'!$H$2:$H$37002,"1456*",'Accounting data'!$K$2:$K$37002,"69*")-SUMIFS('Accounting data'!$G$2:$G$37002,'Accounting data'!$H$2:$H$37002,"1456*",'Accounting data'!$K$2:$K$37002,"67*")</f>
        <v>0</v>
      </c>
      <c r="L35" s="47">
        <v>0</v>
      </c>
      <c r="M35" s="47">
        <v>0</v>
      </c>
      <c r="N35" s="547">
        <f t="shared" si="2"/>
        <v>0</v>
      </c>
      <c r="O35" s="61" t="s">
        <v>75</v>
      </c>
    </row>
    <row r="36" spans="1:15" x14ac:dyDescent="0.3">
      <c r="A36" t="s">
        <v>346</v>
      </c>
      <c r="D36" s="61" t="s">
        <v>77</v>
      </c>
      <c r="E36" s="545">
        <f>[2]!StP1460EndBal</f>
        <v>0</v>
      </c>
      <c r="F36" s="49">
        <v>0</v>
      </c>
      <c r="G36" s="545">
        <f>-(SUMIFS('Accounting data'!$G$2:$G$37002,'Accounting data'!$H$2:$H$37002,"1460*",'Accounting data'!$K$2:$K$37002,"1*")+SUMIFS('Accounting data'!$G$2:$G$37002,'Accounting data'!$H$2:$H$37002,"1460*",'Accounting data'!$K$2:$K$37002,"2*")+SUMIFS('Accounting data'!$G$2:$G$37002,'Accounting data'!$H$2:$H$37002,"1460*",'Accounting data'!$K$2:$K$37002,"3*")+SUMIFS('Accounting data'!$G$2:$G$37002,'Accounting data'!$H$2:$H$37002,"1460*",'Accounting data'!$K$2:$K$37002,"4*")+SUMIFS('Accounting data'!$G$2:$G$37002,'Accounting data'!$H$2:$H$37002,"1460*",'Accounting data'!$K$2:$K$37002,"Other*"))</f>
        <v>0</v>
      </c>
      <c r="H36" s="180"/>
      <c r="I36" s="47">
        <v>0</v>
      </c>
      <c r="J36" s="545">
        <f>[1]!SP1460EnvironmentalSpecialPlate</f>
        <v>0</v>
      </c>
      <c r="K36" s="547">
        <f>SUMIFS('Accounting data'!$G$2:$G$37002,'Accounting data'!$H$2:$H$37002,"1460*",'Accounting data'!$K$2:$K$37002,"6*")-SUMIFS('Accounting data'!$G$2:$G$37002,'Accounting data'!$H$2:$H$37002,"1460*",'Accounting data'!$K$2:$K$37002,"69*")-SUMIFS('Accounting data'!$G$2:$G$37002,'Accounting data'!$H$2:$H$37002,"1460*",'Accounting data'!$K$2:$K$37002,"67*")</f>
        <v>0</v>
      </c>
      <c r="L36" s="47">
        <v>0</v>
      </c>
      <c r="M36" s="47">
        <v>0</v>
      </c>
      <c r="N36" s="547">
        <f t="shared" si="2"/>
        <v>0</v>
      </c>
      <c r="O36" s="61" t="s">
        <v>79</v>
      </c>
    </row>
    <row r="37" spans="1:15" ht="12.75" customHeight="1" x14ac:dyDescent="0.3">
      <c r="A37" t="s">
        <v>347</v>
      </c>
      <c r="D37" s="61" t="s">
        <v>79</v>
      </c>
      <c r="E37" s="545">
        <f>[2]!StP1465EndBal</f>
        <v>0</v>
      </c>
      <c r="F37" s="49">
        <v>0</v>
      </c>
      <c r="G37" s="545">
        <f>-(SUMIFS('Accounting data'!$G$2:$G$37002,'Accounting data'!$H$2:$H$37002,"1465*",'Accounting data'!$K$2:$K$37002,"1*")+SUMIFS('Accounting data'!$G$2:$G$37002,'Accounting data'!$H$2:$H$37002,"1465*",'Accounting data'!$K$2:$K$37002,"2*")+SUMIFS('Accounting data'!$G$2:$G$37002,'Accounting data'!$H$2:$H$37002,"1465*",'Accounting data'!$K$2:$K$37002,"3*")+SUMIFS('Accounting data'!$G$2:$G$37002,'Accounting data'!$H$2:$H$37002,"1465*",'Accounting data'!$K$2:$K$37002,"4*")+SUMIFS('Accounting data'!$G$2:$G$37002,'Accounting data'!$H$2:$H$37002,"1465*",'Accounting data'!$K$2:$K$37002,"Other*"))</f>
        <v>0</v>
      </c>
      <c r="H37" s="248"/>
      <c r="I37" s="47">
        <v>0</v>
      </c>
      <c r="J37" s="545">
        <f>[1]!SP1465CharterSchool</f>
        <v>0</v>
      </c>
      <c r="K37" s="547">
        <f>SUMIFS('Accounting data'!$G$2:$G$37002,'Accounting data'!$H$2:$H$37002,"1465*",'Accounting data'!$K$2:$K$37002,"6*")-SUMIFS('Accounting data'!$G$2:$G$37002,'Accounting data'!$H$2:$H$37002,"1465*",'Accounting data'!$K$2:$K$37002,"69*")-SUMIFS('Accounting data'!$G$2:$G$37002,'Accounting data'!$H$2:$H$37002,"1465*",'Accounting data'!$K$2:$K$37002,"67*")</f>
        <v>0</v>
      </c>
      <c r="L37" s="47">
        <v>0</v>
      </c>
      <c r="M37" s="47">
        <v>0</v>
      </c>
      <c r="N37" s="547">
        <f t="shared" si="2"/>
        <v>0</v>
      </c>
      <c r="O37" s="61" t="s">
        <v>81</v>
      </c>
    </row>
    <row r="38" spans="1:15" ht="12.75" customHeight="1" x14ac:dyDescent="0.3">
      <c r="A38" s="249" t="s">
        <v>348</v>
      </c>
      <c r="B38" s="249"/>
      <c r="C38" s="249"/>
      <c r="D38" s="65" t="s">
        <v>81</v>
      </c>
      <c r="E38" s="545">
        <f t="array" ref="E38">[2]!StP14XXEndBal</f>
        <v>0</v>
      </c>
      <c r="F38" s="49">
        <v>0</v>
      </c>
      <c r="G38" s="545">
        <f>-(SUMIFS('Accounting data'!$G$2:$G$37002,'Accounting data'!$H$2:$H$37002,"14XX*",'Accounting data'!$K$2:$K$37002,"1*")+SUMIFS('Accounting data'!$G$2:$G$37002,'Accounting data'!$H$2:$H$37002,"14XX*",'Accounting data'!$K$2:$K$37002,"2*")+SUMIFS('Accounting data'!$G$2:$G$37002,'Accounting data'!$H$2:$H$37002,"14XX*",'Accounting data'!$K$2:$K$37002,"3*")+SUMIFS('Accounting data'!$G$2:$G$37002,'Accounting data'!$H$2:$H$37002,"14XX*",'Accounting data'!$K$2:$K$37002,"4*")+SUMIFS('Accounting data'!$G$2:$G$37002,'Accounting data'!$H$2:$H$37002,"14XX*",'Accounting data'!$K$2:$K$37002,"Other*"))</f>
        <v>0</v>
      </c>
      <c r="H38" s="248"/>
      <c r="I38" s="47">
        <v>0</v>
      </c>
      <c r="J38" s="545">
        <f>'[1]Page 2'!$E$34</f>
        <v>0</v>
      </c>
      <c r="K38" s="547">
        <f>SUMIFS('Accounting data'!$G$2:$G$37002,'Accounting data'!$H$2:$H$37002,"14XX*",'Accounting data'!$K$2:$K$37002,"6*")-SUMIFS('Accounting data'!$G$2:$G$37002,'Accounting data'!$H$2:$H$37002,"14XX*",'Accounting data'!$K$2:$K$37002,"69*")-SUMIFS('Accounting data'!$G$2:$G$37002,'Accounting data'!$H$2:$H$37002,"14XX*",'Accounting data'!$K$2:$K$37002,"67*")</f>
        <v>0</v>
      </c>
      <c r="L38" s="47">
        <v>0</v>
      </c>
      <c r="M38" s="47">
        <v>0</v>
      </c>
      <c r="N38" s="547">
        <f t="shared" si="2"/>
        <v>0</v>
      </c>
      <c r="O38" s="65" t="s">
        <v>83</v>
      </c>
    </row>
    <row r="39" spans="1:15" ht="12.75" customHeight="1" thickBot="1" x14ac:dyDescent="0.35">
      <c r="A39" t="s">
        <v>349</v>
      </c>
      <c r="D39" s="61" t="s">
        <v>83</v>
      </c>
      <c r="E39" s="214">
        <f>[2]!StP14701499EndBal</f>
        <v>0</v>
      </c>
      <c r="F39" s="49">
        <v>0</v>
      </c>
      <c r="G39" s="214">
        <f>-(SUMIFS('Accounting data'!$G$2:$G$37002,'Accounting data'!$H$2:$H$37002,"1470*",'Accounting data'!$K$2:$K$37002,"1*")+SUMIFS('Accounting data'!$G$2:$G$37002,'Accounting data'!$H$2:$H$37002,"1470*",'Accounting data'!$K$2:$K$37002,"2*")+SUMIFS('Accounting data'!$G$2:$G$37002,'Accounting data'!$H$2:$H$37002,"1470*",'Accounting data'!$K$2:$K$37002,"3*")+SUMIFS('Accounting data'!$G$2:$G$37002,'Accounting data'!$H$2:$H$37002,"1470*",'Accounting data'!$K$2:$K$37002,"4*")+SUMIFS('Accounting data'!$G$2:$G$37002,'Accounting data'!$H$2:$H$37002,"1470*",'Accounting data'!$K$2:$K$37002,"Other*"))</f>
        <v>41106</v>
      </c>
      <c r="H39" s="250"/>
      <c r="I39" s="47">
        <v>0</v>
      </c>
      <c r="J39" s="214">
        <f>[1]!SP14701499Other</f>
        <v>23174</v>
      </c>
      <c r="K39" s="220">
        <f>SUMIFS('Accounting data'!$G$2:$G$37002,'Accounting data'!$H$2:$H$37002,"1470*",'Accounting data'!$K$2:$K$37002,"6*")-SUMIFS('Accounting data'!$G$2:$G$37002,'Accounting data'!$H$2:$H$37002,"1470*",'Accounting data'!$K$2:$K$37002,"69*")-SUMIFS('Accounting data'!$G$2:$G$37002,'Accounting data'!$H$2:$H$37002,"1470*",'Accounting data'!$K$2:$K$37002,"67*")</f>
        <v>41106</v>
      </c>
      <c r="L39" s="47">
        <v>0</v>
      </c>
      <c r="M39" s="47">
        <v>0</v>
      </c>
      <c r="N39" s="547">
        <f t="shared" si="2"/>
        <v>0</v>
      </c>
      <c r="O39" s="61" t="s">
        <v>84</v>
      </c>
    </row>
    <row r="40" spans="1:15" ht="13.5" thickBot="1" x14ac:dyDescent="0.35">
      <c r="A40" t="s">
        <v>1130</v>
      </c>
      <c r="D40" s="61" t="s">
        <v>84</v>
      </c>
      <c r="E40" s="215">
        <f>SUM(E28:E39)</f>
        <v>0</v>
      </c>
      <c r="F40" s="215" cm="1">
        <f t="array" ref="F40">SUM(IF(F28:F39="",E28:E39,F28:F39))</f>
        <v>0</v>
      </c>
      <c r="G40" s="215">
        <f>SUM(G28:G39)</f>
        <v>41106</v>
      </c>
      <c r="H40" s="251"/>
      <c r="I40" s="215">
        <f>SUM(I28:I39)</f>
        <v>0</v>
      </c>
      <c r="J40" s="215">
        <f>SUM(J28:J39)</f>
        <v>23174</v>
      </c>
      <c r="K40" s="215">
        <f>SUM(K28:K39)</f>
        <v>41106</v>
      </c>
      <c r="L40" s="215">
        <f>SUM(L28:L39)</f>
        <v>0</v>
      </c>
      <c r="M40" s="215">
        <f>SUM(M28:M39)</f>
        <v>0</v>
      </c>
      <c r="N40" s="547">
        <f>SUM(IF(F40="",E40,F40)+G40-H40-I40-K40-L40-M40)</f>
        <v>0</v>
      </c>
      <c r="O40" s="61" t="s">
        <v>137</v>
      </c>
    </row>
    <row r="41" spans="1:15" ht="13.5" thickTop="1" x14ac:dyDescent="0.3">
      <c r="D41" s="252"/>
      <c r="E41" s="24"/>
      <c r="F41" s="24"/>
      <c r="G41" s="24"/>
      <c r="H41" s="24"/>
      <c r="I41" s="24"/>
      <c r="J41" s="24"/>
      <c r="K41" s="24"/>
      <c r="L41" s="24"/>
      <c r="M41" s="24"/>
      <c r="N41" s="24"/>
      <c r="O41" s="253"/>
    </row>
    <row r="42" spans="1:15" ht="13.5" thickBot="1" x14ac:dyDescent="0.35">
      <c r="A42" s="207" t="s">
        <v>1129</v>
      </c>
      <c r="B42" s="207"/>
      <c r="C42" s="207"/>
      <c r="D42" s="61" t="s">
        <v>137</v>
      </c>
      <c r="E42" s="254">
        <f>SUM(E23+E40)</f>
        <v>2</v>
      </c>
      <c r="F42" s="254">
        <f>SUM(F23+F40)</f>
        <v>0</v>
      </c>
      <c r="G42" s="254">
        <f>SUM(G23+G40)</f>
        <v>244547</v>
      </c>
      <c r="H42" s="553">
        <f>H23</f>
        <v>4719</v>
      </c>
      <c r="I42" s="254">
        <f>SUM(I23+I40)</f>
        <v>0</v>
      </c>
      <c r="J42" s="254">
        <f>SUM(J23+J40)</f>
        <v>236355</v>
      </c>
      <c r="K42" s="254">
        <f>SUM(K23+K40)</f>
        <v>239828</v>
      </c>
      <c r="L42" s="254">
        <f>SUM(L23+L40)</f>
        <v>0</v>
      </c>
      <c r="M42" s="254">
        <f>SUM(M23+M40)</f>
        <v>0</v>
      </c>
      <c r="N42" s="547">
        <f>SUM(IF(F42="",E42,F42)+G42-H42-I42-K42-L42-M42)</f>
        <v>0</v>
      </c>
      <c r="O42" s="61" t="s">
        <v>138</v>
      </c>
    </row>
  </sheetData>
  <sheetProtection sheet="1" formatCells="0" formatColumns="0" formatRows="0"/>
  <mergeCells count="5">
    <mergeCell ref="A3:D3"/>
    <mergeCell ref="B1:D1"/>
    <mergeCell ref="H1:I1"/>
    <mergeCell ref="J4:K4"/>
    <mergeCell ref="B4:C4"/>
  </mergeCells>
  <conditionalFormatting sqref="F6:F22 F25 F28:F39">
    <cfRule type="expression" dxfId="45" priority="1" stopIfTrue="1">
      <formula>$F6=""</formula>
    </cfRule>
  </conditionalFormatting>
  <conditionalFormatting sqref="I6:I22 I28:I39">
    <cfRule type="expression" dxfId="44" priority="7" stopIfTrue="1">
      <formula>$I6=""</formula>
    </cfRule>
  </conditionalFormatting>
  <conditionalFormatting sqref="I25 M25">
    <cfRule type="expression" dxfId="43" priority="5" stopIfTrue="1">
      <formula>I$25=""</formula>
    </cfRule>
  </conditionalFormatting>
  <conditionalFormatting sqref="L22 L28:L39">
    <cfRule type="containsBlanks" dxfId="42" priority="4">
      <formula>LEN(TRIM(L22))=0</formula>
    </cfRule>
  </conditionalFormatting>
  <conditionalFormatting sqref="L25">
    <cfRule type="containsBlanks" dxfId="41" priority="3">
      <formula>LEN(TRIM(L25))=0</formula>
    </cfRule>
  </conditionalFormatting>
  <conditionalFormatting sqref="M6:M22 M28:M39">
    <cfRule type="expression" dxfId="40" priority="6" stopIfTrue="1">
      <formula>$M6=""</formula>
    </cfRule>
  </conditionalFormatting>
  <hyperlinks>
    <hyperlink ref="A3:D3" location="FederalAndStateProjectsPage9" display="FEDERAL AND STATE PROJECTS"/>
    <hyperlink ref="A42:C42" location="FederalAndStateProjectsPage9Line30" display="     Total Federal and State Projects (lines 17 and 29)"/>
    <hyperlink ref="A21:C22" location="ImpactAidandOtherFederalProjects" display="13__ Impact Aid"/>
    <hyperlink ref="A25:C25" location="ImpactAidandOtherFederalProjects" display="Total COVID-19 federal relief projects included in line 17"/>
    <hyperlink ref="F3" location="FederalAndStateProjectsAdjustedBeginningProjectBalance" display="Adjusted"/>
    <hyperlink ref="F4" location="FederalAndStateProjectsAdjustedBeginningProjectBalance" display="Beginning"/>
    <hyperlink ref="F5" location="FederalAndStateProjectsAdjustedBeginningProjectBalance" display="Project Balance"/>
    <hyperlink ref="B4" location="FederalAndStateProjectsPage9" display="Instructions"/>
  </hyperlinks>
  <pageMargins left="0.7" right="0.7" top="0.75" bottom="0.75" header="0.3" footer="0.3"/>
  <pageSetup scale="67" orientation="landscape"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9546AE-F54D-4B62-93F3-D9FA282DB1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588712f8-bc12-4b67-b29b-a9d0f63287e2"/>
    <ds:schemaRef ds:uri="http://purl.org/dc/terms/"/>
    <ds:schemaRef ds:uri="d7c5e3bf-8d4c-41de-aaa1-f4451f02d99d"/>
    <ds:schemaRef ds:uri="http://www.w3.org/XML/1998/namespace"/>
    <ds:schemaRef ds:uri="http://purl.org/dc/elements/1.1/"/>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creator>AZ Auditor General</dc:creator>
  <cp:lastModifiedBy>Lupita Loustaunau</cp:lastModifiedBy>
  <cp:lastPrinted>2025-08-06T17:38:46Z</cp:lastPrinted>
  <dcterms:created xsi:type="dcterms:W3CDTF">1997-10-09T09:56:13Z</dcterms:created>
  <dcterms:modified xsi:type="dcterms:W3CDTF">2025-10-08T18:16:57Z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0x010100508054D55F91284EBB1107762FB3C5FA</vt:lpwstr>
  </property>
  <property fmtid="{D5CDD505-2E9C-101B-9397-08002B2CF9AE}" pid="7" name="MediaServiceImageTags">
    <vt:lpwstr/>
  </property>
  <property fmtid="{D5CDD505-2E9C-101B-9397-08002B2CF9AE}" pid="8" name="ADEGUID">
    <vt:lpwstr>2FA88DA1-0A61-4956-8BBE-A52B9F9C88BB</vt:lpwstr>
  </property>
</Properties>
</file>