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 Smithies\Desktop\PEVC\"/>
    </mc:Choice>
  </mc:AlternateContent>
  <xr:revisionPtr revIDLastSave="0" documentId="13_ncr:1_{844B5C3D-218F-4911-9960-F5F4E4739F3A}" xr6:coauthVersionLast="47" xr6:coauthVersionMax="47" xr10:uidLastSave="{00000000-0000-0000-0000-000000000000}"/>
  <bookViews>
    <workbookView xWindow="-120" yWindow="-120" windowWidth="29040" windowHeight="15840" xr2:uid="{147843C8-0B7B-4CF8-93E9-CF4680590C9F}"/>
  </bookViews>
  <sheets>
    <sheet name="Prompt 1" sheetId="4" r:id="rId1"/>
    <sheet name="P1 Response" sheetId="5" r:id="rId2"/>
    <sheet name="P1 Answer" sheetId="6" r:id="rId3"/>
    <sheet name="Prompt 2" sheetId="7" r:id="rId4"/>
    <sheet name="P2 Response" sheetId="8" r:id="rId5"/>
    <sheet name="P2 Answer" sheetId="9" r:id="rId6"/>
    <sheet name="Prompt 3" sheetId="10" r:id="rId7"/>
    <sheet name="P3 Response" sheetId="11" r:id="rId8"/>
    <sheet name="P3 Answer" sheetId="12" r:id="rId9"/>
    <sheet name="Prompt 4" sheetId="13" r:id="rId10"/>
    <sheet name="P4 Response" sheetId="14" r:id="rId11"/>
    <sheet name="P4 Answer" sheetId="15" r:id="rId12"/>
    <sheet name="Prompt 5" sheetId="1" r:id="rId13"/>
    <sheet name="P5 Response" sheetId="3" r:id="rId14"/>
    <sheet name="P5 Answer" sheetId="2" r:id="rId15"/>
  </sheets>
  <calcPr calcId="191029" calcMode="manual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E96" i="2"/>
  <c r="F96" i="2"/>
  <c r="G96" i="2"/>
  <c r="H96" i="2"/>
  <c r="I96" i="2"/>
  <c r="D96" i="2"/>
  <c r="C10" i="2"/>
  <c r="C11" i="2"/>
  <c r="B11" i="2"/>
  <c r="B10" i="2"/>
  <c r="D70" i="2"/>
  <c r="D80" i="2" s="1"/>
  <c r="E80" i="2" s="1"/>
  <c r="F80" i="2" s="1"/>
  <c r="G80" i="2" s="1"/>
  <c r="H80" i="2" s="1"/>
  <c r="I80" i="2" s="1"/>
  <c r="D66" i="2"/>
  <c r="D77" i="2" s="1"/>
  <c r="E77" i="2" s="1"/>
  <c r="F77" i="2" s="1"/>
  <c r="G77" i="2" s="1"/>
  <c r="H77" i="2" s="1"/>
  <c r="I77" i="2" s="1"/>
  <c r="E23" i="15"/>
  <c r="C11" i="15"/>
  <c r="C10" i="15"/>
  <c r="B73" i="15"/>
  <c r="C60" i="15"/>
  <c r="C54" i="15"/>
  <c r="D49" i="15"/>
  <c r="D48" i="15"/>
  <c r="D37" i="15"/>
  <c r="E37" i="15" s="1"/>
  <c r="E35" i="15"/>
  <c r="D35" i="15"/>
  <c r="D27" i="15"/>
  <c r="E27" i="15" s="1"/>
  <c r="E25" i="15"/>
  <c r="F25" i="15" s="1"/>
  <c r="D24" i="15"/>
  <c r="D28" i="15" s="1"/>
  <c r="D30" i="15" s="1"/>
  <c r="F23" i="15"/>
  <c r="G23" i="15" s="1"/>
  <c r="H23" i="15" s="1"/>
  <c r="I23" i="15" s="1"/>
  <c r="E22" i="15"/>
  <c r="F22" i="15" s="1"/>
  <c r="G22" i="15" s="1"/>
  <c r="H22" i="15" s="1"/>
  <c r="I22" i="15" s="1"/>
  <c r="B11" i="15"/>
  <c r="B10" i="15"/>
  <c r="F7" i="15"/>
  <c r="C7" i="15"/>
  <c r="C9" i="15" s="1"/>
  <c r="B73" i="12"/>
  <c r="B11" i="12"/>
  <c r="C11" i="12"/>
  <c r="C10" i="12"/>
  <c r="B10" i="12"/>
  <c r="C60" i="12"/>
  <c r="C54" i="12"/>
  <c r="D49" i="12"/>
  <c r="D48" i="12"/>
  <c r="D37" i="12"/>
  <c r="E37" i="12" s="1"/>
  <c r="D35" i="12"/>
  <c r="E35" i="12" s="1"/>
  <c r="D27" i="12"/>
  <c r="E27" i="12" s="1"/>
  <c r="E25" i="12"/>
  <c r="F25" i="12" s="1"/>
  <c r="D24" i="12"/>
  <c r="D28" i="12" s="1"/>
  <c r="D30" i="12" s="1"/>
  <c r="F23" i="12"/>
  <c r="G23" i="12" s="1"/>
  <c r="H23" i="12" s="1"/>
  <c r="I23" i="12" s="1"/>
  <c r="E22" i="12"/>
  <c r="F7" i="12"/>
  <c r="C7" i="12"/>
  <c r="C9" i="12" s="1"/>
  <c r="C59" i="12" s="1"/>
  <c r="F45" i="2"/>
  <c r="G45" i="2"/>
  <c r="H45" i="2"/>
  <c r="I45" i="2"/>
  <c r="E45" i="2"/>
  <c r="C61" i="2"/>
  <c r="C55" i="2"/>
  <c r="C62" i="2"/>
  <c r="D50" i="2"/>
  <c r="D49" i="2"/>
  <c r="F7" i="2"/>
  <c r="D50" i="15" l="1"/>
  <c r="E34" i="15"/>
  <c r="E42" i="15" s="1"/>
  <c r="C59" i="15"/>
  <c r="C61" i="15" s="1"/>
  <c r="C56" i="15" s="1"/>
  <c r="C12" i="15"/>
  <c r="C14" i="15" s="1"/>
  <c r="C64" i="15" s="1"/>
  <c r="F27" i="15"/>
  <c r="E26" i="15"/>
  <c r="G25" i="15"/>
  <c r="F24" i="15"/>
  <c r="E36" i="15"/>
  <c r="E38" i="15" s="1"/>
  <c r="E43" i="15" s="1"/>
  <c r="F37" i="15"/>
  <c r="E54" i="15"/>
  <c r="D31" i="15"/>
  <c r="D32" i="15" s="1"/>
  <c r="E49" i="15"/>
  <c r="C13" i="15"/>
  <c r="E24" i="15"/>
  <c r="D41" i="15"/>
  <c r="D59" i="15"/>
  <c r="C48" i="15"/>
  <c r="D54" i="15"/>
  <c r="D60" i="15"/>
  <c r="F35" i="15"/>
  <c r="E48" i="15"/>
  <c r="C49" i="15"/>
  <c r="C13" i="12"/>
  <c r="C12" i="12"/>
  <c r="D59" i="12"/>
  <c r="D54" i="12"/>
  <c r="D60" i="12"/>
  <c r="D50" i="12"/>
  <c r="E49" i="12" s="1"/>
  <c r="F22" i="12"/>
  <c r="G22" i="12" s="1"/>
  <c r="E26" i="12"/>
  <c r="F27" i="12"/>
  <c r="G27" i="12" s="1"/>
  <c r="H27" i="12" s="1"/>
  <c r="C49" i="12"/>
  <c r="C61" i="12"/>
  <c r="E34" i="12"/>
  <c r="E42" i="12" s="1"/>
  <c r="F35" i="12"/>
  <c r="E36" i="12"/>
  <c r="E38" i="12" s="1"/>
  <c r="E43" i="12" s="1"/>
  <c r="F37" i="12"/>
  <c r="D31" i="12"/>
  <c r="D32" i="12" s="1"/>
  <c r="G25" i="12"/>
  <c r="E24" i="12"/>
  <c r="D41" i="12"/>
  <c r="C48" i="12"/>
  <c r="D51" i="2"/>
  <c r="E49" i="2" s="1"/>
  <c r="E59" i="15" l="1"/>
  <c r="E60" i="15"/>
  <c r="E50" i="15"/>
  <c r="G35" i="15"/>
  <c r="F34" i="15"/>
  <c r="F42" i="15" s="1"/>
  <c r="D61" i="15"/>
  <c r="C50" i="15"/>
  <c r="E41" i="15"/>
  <c r="E28" i="15"/>
  <c r="E30" i="15" s="1"/>
  <c r="F36" i="15"/>
  <c r="F38" i="15" s="1"/>
  <c r="F43" i="15" s="1"/>
  <c r="G37" i="15"/>
  <c r="F41" i="15"/>
  <c r="H25" i="15"/>
  <c r="G24" i="15"/>
  <c r="G27" i="15"/>
  <c r="F26" i="15"/>
  <c r="F28" i="15" s="1"/>
  <c r="F30" i="15" s="1"/>
  <c r="E48" i="12"/>
  <c r="E50" i="12" s="1"/>
  <c r="F26" i="12"/>
  <c r="C14" i="12"/>
  <c r="C64" i="12" s="1"/>
  <c r="D61" i="12"/>
  <c r="H22" i="12"/>
  <c r="I22" i="12" s="1"/>
  <c r="G26" i="12"/>
  <c r="F24" i="12"/>
  <c r="F41" i="12" s="1"/>
  <c r="C50" i="12"/>
  <c r="E41" i="12"/>
  <c r="E28" i="12"/>
  <c r="E30" i="12" s="1"/>
  <c r="F36" i="12"/>
  <c r="F38" i="12" s="1"/>
  <c r="F43" i="12" s="1"/>
  <c r="G37" i="12"/>
  <c r="H25" i="12"/>
  <c r="G24" i="12"/>
  <c r="G35" i="12"/>
  <c r="F34" i="12"/>
  <c r="F42" i="12" s="1"/>
  <c r="C56" i="12"/>
  <c r="E60" i="12"/>
  <c r="E59" i="12"/>
  <c r="E61" i="12" s="1"/>
  <c r="I27" i="12"/>
  <c r="I26" i="12" s="1"/>
  <c r="H26" i="12"/>
  <c r="E50" i="2"/>
  <c r="E51" i="2" s="1"/>
  <c r="E61" i="15" l="1"/>
  <c r="I25" i="15"/>
  <c r="I24" i="15" s="1"/>
  <c r="H24" i="15"/>
  <c r="H37" i="15"/>
  <c r="G36" i="15"/>
  <c r="G38" i="15" s="1"/>
  <c r="G43" i="15" s="1"/>
  <c r="F31" i="15"/>
  <c r="F44" i="15" s="1"/>
  <c r="F45" i="15" s="1"/>
  <c r="E31" i="15"/>
  <c r="E44" i="15" s="1"/>
  <c r="E45" i="15" s="1"/>
  <c r="H27" i="15"/>
  <c r="G26" i="15"/>
  <c r="G28" i="15" s="1"/>
  <c r="G30" i="15" s="1"/>
  <c r="C53" i="15"/>
  <c r="C68" i="15"/>
  <c r="G41" i="15"/>
  <c r="H35" i="15"/>
  <c r="G34" i="15"/>
  <c r="G42" i="15" s="1"/>
  <c r="C53" i="12"/>
  <c r="D53" i="12" s="1"/>
  <c r="C68" i="12"/>
  <c r="F28" i="12"/>
  <c r="F30" i="12" s="1"/>
  <c r="H35" i="12"/>
  <c r="G34" i="12"/>
  <c r="G42" i="12" s="1"/>
  <c r="G41" i="12"/>
  <c r="G28" i="12"/>
  <c r="G30" i="12" s="1"/>
  <c r="F31" i="12"/>
  <c r="F44" i="12" s="1"/>
  <c r="F45" i="12" s="1"/>
  <c r="I25" i="12"/>
  <c r="I24" i="12" s="1"/>
  <c r="C65" i="12" s="1"/>
  <c r="C66" i="12" s="1"/>
  <c r="C72" i="12" s="1"/>
  <c r="H24" i="12"/>
  <c r="H37" i="12"/>
  <c r="G36" i="12"/>
  <c r="G38" i="12" s="1"/>
  <c r="G43" i="12" s="1"/>
  <c r="E31" i="12"/>
  <c r="E44" i="12" s="1"/>
  <c r="E45" i="12" s="1"/>
  <c r="E54" i="12"/>
  <c r="E53" i="12"/>
  <c r="G31" i="15" l="1"/>
  <c r="G44" i="15" s="1"/>
  <c r="I27" i="15"/>
  <c r="I26" i="15" s="1"/>
  <c r="H26" i="15"/>
  <c r="H28" i="15" s="1"/>
  <c r="H30" i="15" s="1"/>
  <c r="E32" i="15"/>
  <c r="F32" i="15"/>
  <c r="G45" i="15"/>
  <c r="I35" i="15"/>
  <c r="I34" i="15" s="1"/>
  <c r="I42" i="15" s="1"/>
  <c r="H34" i="15"/>
  <c r="H42" i="15" s="1"/>
  <c r="I37" i="15"/>
  <c r="I36" i="15" s="1"/>
  <c r="H36" i="15"/>
  <c r="H38" i="15" s="1"/>
  <c r="H43" i="15" s="1"/>
  <c r="H41" i="15"/>
  <c r="E53" i="15"/>
  <c r="D53" i="15"/>
  <c r="C55" i="15"/>
  <c r="C65" i="15"/>
  <c r="C66" i="15" s="1"/>
  <c r="C72" i="15" s="1"/>
  <c r="I41" i="15"/>
  <c r="I28" i="15"/>
  <c r="I30" i="15" s="1"/>
  <c r="C55" i="12"/>
  <c r="D77" i="12" s="1"/>
  <c r="E55" i="12"/>
  <c r="D55" i="12"/>
  <c r="D56" i="12" s="1"/>
  <c r="E56" i="12"/>
  <c r="I37" i="12"/>
  <c r="I36" i="12" s="1"/>
  <c r="H36" i="12"/>
  <c r="H38" i="12" s="1"/>
  <c r="H43" i="12" s="1"/>
  <c r="I41" i="12"/>
  <c r="I28" i="12"/>
  <c r="I30" i="12" s="1"/>
  <c r="H41" i="12"/>
  <c r="H28" i="12"/>
  <c r="H30" i="12" s="1"/>
  <c r="E32" i="12"/>
  <c r="F32" i="12"/>
  <c r="G31" i="12"/>
  <c r="G44" i="12" s="1"/>
  <c r="G45" i="12" s="1"/>
  <c r="I35" i="12"/>
  <c r="I34" i="12" s="1"/>
  <c r="I42" i="12" s="1"/>
  <c r="H34" i="12"/>
  <c r="H42" i="12" s="1"/>
  <c r="I38" i="15" l="1"/>
  <c r="I43" i="15" s="1"/>
  <c r="H31" i="15"/>
  <c r="H44" i="15" s="1"/>
  <c r="I31" i="15"/>
  <c r="I44" i="15" s="1"/>
  <c r="I45" i="15"/>
  <c r="H45" i="15"/>
  <c r="C69" i="15" s="1"/>
  <c r="C70" i="15" s="1"/>
  <c r="C73" i="15" s="1"/>
  <c r="C74" i="15" s="1"/>
  <c r="E55" i="15"/>
  <c r="E56" i="15" s="1"/>
  <c r="D77" i="15"/>
  <c r="D55" i="15"/>
  <c r="D56" i="15" s="1"/>
  <c r="G32" i="15"/>
  <c r="H31" i="12"/>
  <c r="H44" i="12" s="1"/>
  <c r="H45" i="12" s="1"/>
  <c r="I31" i="12"/>
  <c r="I44" i="12" s="1"/>
  <c r="G32" i="12"/>
  <c r="I38" i="12"/>
  <c r="I43" i="12" s="1"/>
  <c r="C80" i="15" l="1"/>
  <c r="I77" i="15"/>
  <c r="C81" i="15"/>
  <c r="H32" i="15"/>
  <c r="I32" i="15"/>
  <c r="I45" i="12"/>
  <c r="C69" i="12" s="1"/>
  <c r="C70" i="12" s="1"/>
  <c r="C73" i="12" s="1"/>
  <c r="C74" i="12" s="1"/>
  <c r="C80" i="12" s="1"/>
  <c r="H32" i="12"/>
  <c r="I32" i="12"/>
  <c r="D36" i="2"/>
  <c r="E36" i="2" s="1"/>
  <c r="D34" i="2"/>
  <c r="E34" i="2" s="1"/>
  <c r="E21" i="2"/>
  <c r="D23" i="2"/>
  <c r="E70" i="2" s="1"/>
  <c r="F22" i="2"/>
  <c r="G22" i="2" s="1"/>
  <c r="H22" i="2" s="1"/>
  <c r="I22" i="2" s="1"/>
  <c r="E24" i="2"/>
  <c r="F24" i="2" s="1"/>
  <c r="G24" i="2" s="1"/>
  <c r="H24" i="2" s="1"/>
  <c r="I24" i="2" s="1"/>
  <c r="D26" i="2"/>
  <c r="E26" i="2" s="1"/>
  <c r="E25" i="2" s="1"/>
  <c r="C7" i="2"/>
  <c r="C9" i="2" s="1"/>
  <c r="C6" i="9"/>
  <c r="C2" i="9"/>
  <c r="C16" i="9" s="1"/>
  <c r="C18" i="9" s="1"/>
  <c r="C25" i="9" s="1"/>
  <c r="C7" i="9"/>
  <c r="G31" i="7"/>
  <c r="E31" i="7"/>
  <c r="G30" i="7"/>
  <c r="E30" i="7"/>
  <c r="G29" i="7"/>
  <c r="G32" i="7" s="1"/>
  <c r="E29" i="7"/>
  <c r="C7" i="6"/>
  <c r="G30" i="4"/>
  <c r="G31" i="4"/>
  <c r="E30" i="4"/>
  <c r="E31" i="4"/>
  <c r="E29" i="4"/>
  <c r="C60" i="2" l="1"/>
  <c r="C12" i="2"/>
  <c r="C13" i="2" s="1"/>
  <c r="C88" i="2" s="1"/>
  <c r="I77" i="12"/>
  <c r="C81" i="12" s="1"/>
  <c r="C63" i="2"/>
  <c r="E33" i="2"/>
  <c r="E41" i="2" s="1"/>
  <c r="F34" i="2"/>
  <c r="E35" i="2"/>
  <c r="E37" i="2" s="1"/>
  <c r="E42" i="2" s="1"/>
  <c r="F36" i="2"/>
  <c r="G36" i="2" s="1"/>
  <c r="D27" i="2"/>
  <c r="D40" i="2"/>
  <c r="C49" i="2"/>
  <c r="E66" i="2" s="1"/>
  <c r="C50" i="2"/>
  <c r="F21" i="2"/>
  <c r="G21" i="2" s="1"/>
  <c r="H21" i="2" s="1"/>
  <c r="E23" i="2"/>
  <c r="F26" i="2"/>
  <c r="C4" i="9"/>
  <c r="F11" i="9" s="1"/>
  <c r="F13" i="9" s="1"/>
  <c r="C13" i="9" s="1"/>
  <c r="C8" i="9"/>
  <c r="C11" i="9" s="1"/>
  <c r="E32" i="7"/>
  <c r="E32" i="4"/>
  <c r="C2" i="6" s="1"/>
  <c r="D60" i="2" l="1"/>
  <c r="D61" i="2"/>
  <c r="C57" i="2"/>
  <c r="D62" i="2"/>
  <c r="G23" i="2"/>
  <c r="G40" i="2" s="1"/>
  <c r="C51" i="2"/>
  <c r="C54" i="2" s="1"/>
  <c r="F23" i="2"/>
  <c r="F40" i="2" s="1"/>
  <c r="F35" i="2"/>
  <c r="F37" i="2" s="1"/>
  <c r="F42" i="2" s="1"/>
  <c r="G34" i="2"/>
  <c r="F33" i="2"/>
  <c r="F41" i="2" s="1"/>
  <c r="E27" i="2"/>
  <c r="E40" i="2"/>
  <c r="H36" i="2"/>
  <c r="G35" i="2"/>
  <c r="G26" i="2"/>
  <c r="F25" i="2"/>
  <c r="I21" i="2"/>
  <c r="H23" i="2"/>
  <c r="H40" i="2" s="1"/>
  <c r="C12" i="9"/>
  <c r="E29" i="9" s="1"/>
  <c r="C20" i="9"/>
  <c r="C22" i="9" s="1"/>
  <c r="C23" i="9" s="1"/>
  <c r="C26" i="9" s="1"/>
  <c r="C27" i="9" s="1"/>
  <c r="C4" i="6"/>
  <c r="F11" i="6" s="1"/>
  <c r="F13" i="6" s="1"/>
  <c r="C13" i="6" s="1"/>
  <c r="C16" i="6"/>
  <c r="C18" i="6" s="1"/>
  <c r="C25" i="6" s="1"/>
  <c r="G29" i="4"/>
  <c r="G32" i="4" s="1"/>
  <c r="C6" i="6" s="1"/>
  <c r="C8" i="6" s="1"/>
  <c r="D63" i="2" l="1"/>
  <c r="D54" i="2"/>
  <c r="C56" i="2"/>
  <c r="D55" i="2"/>
  <c r="G37" i="2"/>
  <c r="G42" i="2" s="1"/>
  <c r="H34" i="2"/>
  <c r="G33" i="2"/>
  <c r="G41" i="2" s="1"/>
  <c r="F27" i="2"/>
  <c r="I36" i="2"/>
  <c r="I35" i="2" s="1"/>
  <c r="H35" i="2"/>
  <c r="H37" i="2" s="1"/>
  <c r="H42" i="2" s="1"/>
  <c r="H26" i="2"/>
  <c r="G25" i="2"/>
  <c r="G27" i="2" s="1"/>
  <c r="I23" i="2"/>
  <c r="J29" i="9"/>
  <c r="C30" i="9" s="1"/>
  <c r="C29" i="9"/>
  <c r="C11" i="6"/>
  <c r="C12" i="6" s="1"/>
  <c r="E29" i="6" s="1"/>
  <c r="C20" i="6"/>
  <c r="D56" i="2" l="1"/>
  <c r="D97" i="2"/>
  <c r="I40" i="2"/>
  <c r="C87" i="2"/>
  <c r="C89" i="2" s="1"/>
  <c r="D57" i="2"/>
  <c r="I34" i="2"/>
  <c r="I33" i="2" s="1"/>
  <c r="I41" i="2" s="1"/>
  <c r="H33" i="2"/>
  <c r="H41" i="2" s="1"/>
  <c r="I37" i="2"/>
  <c r="I42" i="2" s="1"/>
  <c r="I26" i="2"/>
  <c r="I25" i="2" s="1"/>
  <c r="I27" i="2" s="1"/>
  <c r="H25" i="2"/>
  <c r="H27" i="2" s="1"/>
  <c r="C22" i="6"/>
  <c r="C23" i="6" s="1"/>
  <c r="C26" i="6" s="1"/>
  <c r="C27" i="6" s="1"/>
  <c r="C29" i="6" l="1"/>
  <c r="J29" i="6"/>
  <c r="C30" i="6" s="1"/>
  <c r="E28" i="2" l="1"/>
  <c r="F28" i="2"/>
  <c r="G28" i="2"/>
  <c r="H28" i="2"/>
  <c r="I28" i="2"/>
  <c r="E29" i="2"/>
  <c r="F29" i="2"/>
  <c r="G29" i="2"/>
  <c r="H29" i="2"/>
  <c r="I29" i="2"/>
  <c r="E30" i="2"/>
  <c r="F30" i="2"/>
  <c r="G30" i="2"/>
  <c r="H30" i="2"/>
  <c r="I30" i="2"/>
  <c r="E31" i="2"/>
  <c r="F31" i="2"/>
  <c r="G31" i="2"/>
  <c r="H31" i="2"/>
  <c r="I31" i="2"/>
  <c r="E43" i="2"/>
  <c r="F43" i="2"/>
  <c r="G43" i="2"/>
  <c r="H43" i="2"/>
  <c r="I43" i="2"/>
  <c r="E44" i="2"/>
  <c r="F44" i="2"/>
  <c r="G44" i="2"/>
  <c r="H44" i="2"/>
  <c r="I44" i="2"/>
  <c r="E46" i="2"/>
  <c r="F46" i="2"/>
  <c r="G46" i="2"/>
  <c r="H46" i="2"/>
  <c r="I46" i="2"/>
  <c r="F66" i="2"/>
  <c r="G66" i="2"/>
  <c r="H66" i="2"/>
  <c r="I66" i="2"/>
  <c r="E67" i="2"/>
  <c r="F67" i="2"/>
  <c r="G67" i="2"/>
  <c r="H67" i="2"/>
  <c r="I67" i="2"/>
  <c r="E68" i="2"/>
  <c r="F68" i="2"/>
  <c r="G68" i="2"/>
  <c r="H68" i="2"/>
  <c r="I68" i="2"/>
  <c r="F70" i="2"/>
  <c r="G70" i="2"/>
  <c r="H70" i="2"/>
  <c r="I70" i="2"/>
  <c r="E71" i="2"/>
  <c r="F71" i="2"/>
  <c r="G71" i="2"/>
  <c r="H71" i="2"/>
  <c r="I71" i="2"/>
  <c r="E72" i="2"/>
  <c r="F72" i="2"/>
  <c r="G72" i="2"/>
  <c r="H72" i="2"/>
  <c r="I72" i="2"/>
  <c r="E74" i="2"/>
  <c r="F74" i="2"/>
  <c r="G74" i="2"/>
  <c r="H74" i="2"/>
  <c r="I74" i="2"/>
  <c r="E78" i="2"/>
  <c r="F78" i="2"/>
  <c r="G78" i="2"/>
  <c r="H78" i="2"/>
  <c r="I78" i="2"/>
  <c r="E81" i="2"/>
  <c r="F81" i="2"/>
  <c r="G81" i="2"/>
  <c r="H81" i="2"/>
  <c r="I81" i="2"/>
  <c r="E83" i="2"/>
  <c r="F83" i="2"/>
  <c r="G83" i="2"/>
  <c r="H83" i="2"/>
  <c r="I83" i="2"/>
  <c r="C90" i="2"/>
  <c r="C91" i="2"/>
  <c r="C93" i="2"/>
  <c r="C94" i="2"/>
  <c r="I97" i="2"/>
</calcChain>
</file>

<file path=xl/sharedStrings.xml><?xml version="1.0" encoding="utf-8"?>
<sst xmlns="http://schemas.openxmlformats.org/spreadsheetml/2006/main" count="341" uniqueCount="102">
  <si>
    <t>IRR</t>
  </si>
  <si>
    <t xml:space="preserve"> </t>
  </si>
  <si>
    <t>EBITDA</t>
  </si>
  <si>
    <t>Entry multiple</t>
  </si>
  <si>
    <t>Wine Down Delights</t>
  </si>
  <si>
    <t>The Corky Comedian</t>
  </si>
  <si>
    <t>Wine About It Estates</t>
  </si>
  <si>
    <t>Sales</t>
  </si>
  <si>
    <t>Debt</t>
  </si>
  <si>
    <t>Enterprise Value</t>
  </si>
  <si>
    <t>EV / EBITDA</t>
  </si>
  <si>
    <t>Average</t>
  </si>
  <si>
    <t>Debt / EBITDA</t>
  </si>
  <si>
    <t>Entry EV</t>
  </si>
  <si>
    <t>Leverage multiple</t>
  </si>
  <si>
    <t>Total debt</t>
  </si>
  <si>
    <t xml:space="preserve">Sources </t>
  </si>
  <si>
    <t>Uses</t>
  </si>
  <si>
    <t>Sponsor Equity</t>
  </si>
  <si>
    <t>Total sources</t>
  </si>
  <si>
    <t>Purchase of EV</t>
  </si>
  <si>
    <t>Total uses</t>
  </si>
  <si>
    <t>Exit</t>
  </si>
  <si>
    <t>Exit multiple</t>
  </si>
  <si>
    <t>Exit EBITDA</t>
  </si>
  <si>
    <t>Exit EV</t>
  </si>
  <si>
    <t>Beginning debt</t>
  </si>
  <si>
    <t>Ending debt</t>
  </si>
  <si>
    <t xml:space="preserve">% debt paydown </t>
  </si>
  <si>
    <t>Debt paydown</t>
  </si>
  <si>
    <t>Ending equity</t>
  </si>
  <si>
    <t>Cash-on-cash</t>
  </si>
  <si>
    <t>Year</t>
  </si>
  <si>
    <t>Pole-ite Fishing Cruises</t>
  </si>
  <si>
    <t>Fish Tales &amp; Ales</t>
  </si>
  <si>
    <t>Baited Breath Fishing Co.</t>
  </si>
  <si>
    <t>Share price</t>
  </si>
  <si>
    <t>Offer premium</t>
  </si>
  <si>
    <t>Offer share price</t>
  </si>
  <si>
    <t>Shares outstanding</t>
  </si>
  <si>
    <t>Equity value</t>
  </si>
  <si>
    <t>Assumptions</t>
  </si>
  <si>
    <t>Bank debt</t>
  </si>
  <si>
    <t>Senior notes</t>
  </si>
  <si>
    <t>xEBITDA</t>
  </si>
  <si>
    <t>Operating</t>
  </si>
  <si>
    <t>D&amp;A</t>
  </si>
  <si>
    <t>% sales growth</t>
  </si>
  <si>
    <t>% EBITDA margin</t>
  </si>
  <si>
    <t>EBITDA margin increase</t>
  </si>
  <si>
    <t>Entry</t>
  </si>
  <si>
    <t>Tax rate</t>
  </si>
  <si>
    <t>Financials</t>
  </si>
  <si>
    <t>Interest expense</t>
  </si>
  <si>
    <t>EBIT</t>
  </si>
  <si>
    <t>% D&amp;A of sales</t>
  </si>
  <si>
    <t>EBT</t>
  </si>
  <si>
    <t>Tax expense</t>
  </si>
  <si>
    <t>Net income</t>
  </si>
  <si>
    <t>FCF</t>
  </si>
  <si>
    <t>Capex</t>
  </si>
  <si>
    <t>NWC</t>
  </si>
  <si>
    <t>Change in NWC</t>
  </si>
  <si>
    <t>Less - Tax expense</t>
  </si>
  <si>
    <t>Less - Change in NWC</t>
  </si>
  <si>
    <t>Less - Capex</t>
  </si>
  <si>
    <t>Amount</t>
  </si>
  <si>
    <t>%</t>
  </si>
  <si>
    <t>Sponsor equity</t>
  </si>
  <si>
    <t>Purchase of equity</t>
  </si>
  <si>
    <t>Cash on B/S</t>
  </si>
  <si>
    <t>Refinance debt</t>
  </si>
  <si>
    <t>Existing debt</t>
  </si>
  <si>
    <t>x</t>
  </si>
  <si>
    <t>Debt schedule</t>
  </si>
  <si>
    <t>Cash available for paydown</t>
  </si>
  <si>
    <t>Ending bank debt</t>
  </si>
  <si>
    <t>Bank debt  interest rate</t>
  </si>
  <si>
    <t>Senior notes interest rate</t>
  </si>
  <si>
    <t>Rate</t>
  </si>
  <si>
    <t>Beginning senior notes amount</t>
  </si>
  <si>
    <t>Beginning bank debt amount</t>
  </si>
  <si>
    <t>Total interest expense</t>
  </si>
  <si>
    <t>Minimum cash</t>
  </si>
  <si>
    <t>Min. cash</t>
  </si>
  <si>
    <t>Cash available for debt paydown</t>
  </si>
  <si>
    <t xml:space="preserve">Exit </t>
  </si>
  <si>
    <t>Enterprise value</t>
  </si>
  <si>
    <t>Implied entry multiple</t>
  </si>
  <si>
    <t>Cash for debt paydown</t>
  </si>
  <si>
    <t>Initital sponsor equity</t>
  </si>
  <si>
    <t>Ending sponsor equity</t>
  </si>
  <si>
    <t>Sales growth</t>
  </si>
  <si>
    <t>Bank debt interest expense</t>
  </si>
  <si>
    <t>Senior notes interest expense</t>
  </si>
  <si>
    <t>Circ switch</t>
  </si>
  <si>
    <t>Total ending debt</t>
  </si>
  <si>
    <t>Returns</t>
  </si>
  <si>
    <t>Exit mulltiple</t>
  </si>
  <si>
    <t>Cash-on-cash return</t>
  </si>
  <si>
    <t>Free Cash Flow</t>
  </si>
  <si>
    <t>Operating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</si>
</sst>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\x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9" fontId="0" fillId="0" borderId="0" xfId="1" applyFont="1"/>
    <xf numFmtId="9" fontId="0" fillId="0" borderId="0" xfId="0" applyNumberFormat="1"/>
    <xf numFmtId="0" fontId="3" fillId="0" borderId="0" xfId="0" applyFont="1"/>
    <xf numFmtId="9" fontId="3" fillId="0" borderId="0" xfId="0" applyNumberFormat="1" applyFont="1"/>
    <xf numFmtId="0" fontId="4" fillId="0" borderId="0" xfId="0" applyFont="1"/>
    <xf numFmtId="9" fontId="4" fillId="0" borderId="0" xfId="0" applyNumberFormat="1" applyFont="1"/>
    <xf numFmtId="0" fontId="5" fillId="0" borderId="0" xfId="0" applyFont="1"/>
    <xf numFmtId="37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37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7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7" fontId="5" fillId="0" borderId="1" xfId="0" applyNumberFormat="1" applyFont="1" applyBorder="1" applyAlignment="1">
      <alignment horizontal="center"/>
    </xf>
    <xf numFmtId="37" fontId="5" fillId="0" borderId="2" xfId="0" applyNumberFormat="1" applyFont="1" applyBorder="1" applyAlignment="1">
      <alignment horizontal="center"/>
    </xf>
    <xf numFmtId="37" fontId="5" fillId="0" borderId="3" xfId="0" applyNumberFormat="1" applyFont="1" applyBorder="1" applyAlignment="1">
      <alignment horizontal="center"/>
    </xf>
    <xf numFmtId="37" fontId="5" fillId="0" borderId="4" xfId="0" applyNumberFormat="1" applyFont="1" applyBorder="1" applyAlignment="1">
      <alignment horizontal="center"/>
    </xf>
    <xf numFmtId="0" fontId="6" fillId="0" borderId="1" xfId="0" applyFont="1" applyBorder="1"/>
    <xf numFmtId="164" fontId="4" fillId="0" borderId="0" xfId="0" applyNumberFormat="1" applyFont="1"/>
    <xf numFmtId="0" fontId="6" fillId="0" borderId="0" xfId="0" applyFont="1"/>
    <xf numFmtId="1" fontId="4" fillId="0" borderId="0" xfId="0" applyNumberFormat="1" applyFont="1"/>
    <xf numFmtId="1" fontId="6" fillId="0" borderId="1" xfId="0" applyNumberFormat="1" applyFont="1" applyBorder="1"/>
    <xf numFmtId="2" fontId="6" fillId="0" borderId="0" xfId="0" applyNumberFormat="1" applyFont="1"/>
    <xf numFmtId="1" fontId="6" fillId="0" borderId="0" xfId="0" applyNumberFormat="1" applyFont="1"/>
    <xf numFmtId="1" fontId="4" fillId="0" borderId="0" xfId="0" applyNumberFormat="1" applyFont="1" applyAlignment="1">
      <alignment horizontal="center"/>
    </xf>
    <xf numFmtId="0" fontId="4" fillId="0" borderId="5" xfId="0" applyFont="1" applyBorder="1"/>
    <xf numFmtId="164" fontId="4" fillId="0" borderId="5" xfId="0" applyNumberFormat="1" applyFont="1" applyBorder="1"/>
    <xf numFmtId="165" fontId="4" fillId="0" borderId="5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0" fillId="0" borderId="1" xfId="0" applyBorder="1"/>
    <xf numFmtId="0" fontId="9" fillId="0" borderId="0" xfId="0" applyFont="1" applyAlignment="1">
      <alignment horizontal="left" indent="1"/>
    </xf>
    <xf numFmtId="0" fontId="9" fillId="0" borderId="0" xfId="0" applyFont="1"/>
    <xf numFmtId="9" fontId="9" fillId="0" borderId="0" xfId="0" applyNumberFormat="1" applyFont="1"/>
    <xf numFmtId="1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165" fontId="9" fillId="0" borderId="0" xfId="0" applyNumberFormat="1" applyFont="1"/>
    <xf numFmtId="5" fontId="0" fillId="0" borderId="0" xfId="0" applyNumberFormat="1"/>
    <xf numFmtId="37" fontId="0" fillId="0" borderId="1" xfId="0" applyNumberFormat="1" applyBorder="1"/>
    <xf numFmtId="0" fontId="2" fillId="0" borderId="1" xfId="0" applyFont="1" applyBorder="1"/>
    <xf numFmtId="37" fontId="2" fillId="0" borderId="1" xfId="0" applyNumberFormat="1" applyFont="1" applyBorder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1" xfId="0" applyNumberFormat="1" applyBorder="1"/>
    <xf numFmtId="9" fontId="0" fillId="0" borderId="1" xfId="1" applyFont="1" applyBorder="1"/>
    <xf numFmtId="39" fontId="0" fillId="0" borderId="0" xfId="0" applyNumberFormat="1"/>
    <xf numFmtId="0" fontId="2" fillId="0" borderId="5" xfId="0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Border="1"/>
    <xf numFmtId="37" fontId="0" fillId="0" borderId="0" xfId="0" applyNumberFormat="1" applyBorder="1"/>
    <xf numFmtId="0" fontId="2" fillId="0" borderId="2" xfId="0" applyFont="1" applyBorder="1"/>
    <xf numFmtId="0" fontId="0" fillId="0" borderId="3" xfId="0" applyBorder="1"/>
    <xf numFmtId="9" fontId="0" fillId="0" borderId="7" xfId="1" applyFont="1" applyBorder="1"/>
    <xf numFmtId="0" fontId="0" fillId="0" borderId="8" xfId="0" applyBorder="1"/>
    <xf numFmtId="37" fontId="0" fillId="0" borderId="9" xfId="0" applyNumberFormat="1" applyBorder="1"/>
    <xf numFmtId="9" fontId="0" fillId="0" borderId="10" xfId="1" applyFont="1" applyBorder="1"/>
    <xf numFmtId="164" fontId="0" fillId="0" borderId="0" xfId="0" applyNumberFormat="1" applyBorder="1"/>
    <xf numFmtId="164" fontId="0" fillId="0" borderId="9" xfId="0" applyNumberFormat="1" applyBorder="1"/>
    <xf numFmtId="0" fontId="0" fillId="0" borderId="6" xfId="0" applyBorder="1"/>
    <xf numFmtId="37" fontId="0" fillId="0" borderId="7" xfId="0" applyNumberFormat="1" applyBorder="1"/>
    <xf numFmtId="37" fontId="2" fillId="0" borderId="6" xfId="0" applyNumberFormat="1" applyFont="1" applyBorder="1"/>
    <xf numFmtId="0" fontId="2" fillId="0" borderId="8" xfId="0" applyFont="1" applyBorder="1"/>
    <xf numFmtId="0" fontId="2" fillId="0" borderId="9" xfId="0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37" fontId="0" fillId="0" borderId="6" xfId="0" applyNumberFormat="1" applyBorder="1"/>
    <xf numFmtId="0" fontId="0" fillId="0" borderId="7" xfId="0" applyBorder="1"/>
    <xf numFmtId="0" fontId="2" fillId="0" borderId="4" xfId="0" applyFont="1" applyFill="1" applyBorder="1"/>
    <xf numFmtId="0" fontId="2" fillId="0" borderId="11" xfId="0" applyFont="1" applyBorder="1"/>
    <xf numFmtId="37" fontId="2" fillId="0" borderId="11" xfId="0" applyNumberFormat="1" applyFont="1" applyBorder="1"/>
    <xf numFmtId="37" fontId="2" fillId="0" borderId="12" xfId="0" applyNumberFormat="1" applyFont="1" applyBorder="1"/>
    <xf numFmtId="9" fontId="0" fillId="0" borderId="0" xfId="0" applyNumberFormat="1" applyBorder="1"/>
    <xf numFmtId="9" fontId="0" fillId="0" borderId="7" xfId="0" applyNumberFormat="1" applyBorder="1"/>
    <xf numFmtId="0" fontId="2" fillId="0" borderId="4" xfId="0" applyFont="1" applyBorder="1"/>
    <xf numFmtId="0" fontId="0" fillId="0" borderId="5" xfId="0" applyBorder="1"/>
    <xf numFmtId="164" fontId="0" fillId="0" borderId="5" xfId="0" applyNumberFormat="1" applyBorder="1"/>
    <xf numFmtId="165" fontId="0" fillId="0" borderId="5" xfId="0" applyNumberFormat="1" applyBorder="1"/>
    <xf numFmtId="39" fontId="0" fillId="0" borderId="7" xfId="0" applyNumberFormat="1" applyBorder="1"/>
    <xf numFmtId="0" fontId="0" fillId="0" borderId="4" xfId="0" applyFont="1" applyBorder="1"/>
    <xf numFmtId="164" fontId="0" fillId="0" borderId="12" xfId="0" applyNumberFormat="1" applyFont="1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37" fontId="0" fillId="0" borderId="11" xfId="0" applyNumberFormat="1" applyBorder="1"/>
    <xf numFmtId="0" fontId="0" fillId="0" borderId="12" xfId="0" applyBorder="1"/>
    <xf numFmtId="10" fontId="0" fillId="0" borderId="7" xfId="0" applyNumberFormat="1" applyBorder="1"/>
    <xf numFmtId="9" fontId="0" fillId="0" borderId="12" xfId="0" applyNumberFormat="1" applyBorder="1"/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5" fontId="0" fillId="0" borderId="0" xfId="0" applyNumberFormat="1" applyBorder="1"/>
    <xf numFmtId="5" fontId="0" fillId="0" borderId="7" xfId="0" applyNumberFormat="1" applyBorder="1"/>
    <xf numFmtId="0" fontId="9" fillId="0" borderId="3" xfId="0" applyFont="1" applyBorder="1" applyAlignment="1">
      <alignment horizontal="left" indent="1"/>
    </xf>
    <xf numFmtId="0" fontId="9" fillId="0" borderId="0" xfId="0" applyFont="1" applyBorder="1"/>
    <xf numFmtId="9" fontId="9" fillId="0" borderId="0" xfId="0" applyNumberFormat="1" applyFont="1" applyBorder="1"/>
    <xf numFmtId="9" fontId="9" fillId="0" borderId="7" xfId="0" applyNumberFormat="1" applyFont="1" applyBorder="1"/>
    <xf numFmtId="165" fontId="9" fillId="0" borderId="0" xfId="0" applyNumberFormat="1" applyFont="1" applyBorder="1"/>
    <xf numFmtId="165" fontId="9" fillId="0" borderId="7" xfId="0" applyNumberFormat="1" applyFont="1" applyBorder="1"/>
    <xf numFmtId="0" fontId="0" fillId="0" borderId="3" xfId="0" applyBorder="1" applyAlignment="1">
      <alignment horizontal="left"/>
    </xf>
    <xf numFmtId="0" fontId="0" fillId="0" borderId="11" xfId="0" applyBorder="1"/>
    <xf numFmtId="37" fontId="0" fillId="0" borderId="12" xfId="0" applyNumberFormat="1" applyBorder="1"/>
    <xf numFmtId="164" fontId="0" fillId="0" borderId="7" xfId="0" applyNumberFormat="1" applyBorder="1"/>
    <xf numFmtId="0" fontId="0" fillId="0" borderId="3" xfId="0" applyFill="1" applyBorder="1"/>
    <xf numFmtId="0" fontId="0" fillId="0" borderId="8" xfId="0" applyFill="1" applyBorder="1"/>
    <xf numFmtId="37" fontId="0" fillId="0" borderId="10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D0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514349</xdr:colOff>
      <xdr:row>1</xdr:row>
      <xdr:rowOff>19050</xdr:rowOff>
    </xdr:from>
    <xdr:to>
      <xdr:col>9</xdr:col>
      <xdr:colOff>504824</xdr:colOff>
      <xdr:row>17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2580B5-6C5E-46B3-8B63-92B50119BBC5}"/>
            </a:ext>
          </a:extLst>
        </xdr:cNvPr>
        <xdr:cNvSpPr txBox="1"/>
      </xdr:nvSpPr>
      <xdr:spPr>
        <a:xfrm>
          <a:off x="514349" y="209550"/>
          <a:ext cx="9496425" cy="3133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work at Red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Grape Capital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are tasked with a quick paper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LBO on wine company, Sip Happens.</a:t>
          </a:r>
        </a:p>
        <a:p>
          <a:endParaRPr lang="en-US" sz="16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/>
            <a:t>You</a:t>
          </a:r>
          <a:r>
            <a:rPr lang="en-US" sz="1600" baseline="0"/>
            <a:t> were able to find some of their public financial numbers:</a:t>
          </a:r>
        </a:p>
        <a:p>
          <a:endParaRPr lang="en-US" sz="1600" baseline="0"/>
        </a:p>
        <a:p>
          <a:r>
            <a:rPr lang="en-US" sz="1600" baseline="0"/>
            <a:t>EBITDA		20</a:t>
          </a:r>
        </a:p>
        <a:p>
          <a:r>
            <a:rPr lang="en-US" sz="1600" baseline="0"/>
            <a:t>Cash		0</a:t>
          </a:r>
        </a:p>
        <a:p>
          <a:r>
            <a:rPr lang="en-US" sz="1600" baseline="0"/>
            <a:t>Debt		0</a:t>
          </a:r>
        </a:p>
        <a:p>
          <a:r>
            <a:rPr lang="en-US" sz="1600" baseline="0"/>
            <a:t>Year 5 EBITDA	45</a:t>
          </a:r>
        </a:p>
        <a:p>
          <a:endParaRPr lang="en-US" sz="1600" baseline="0"/>
        </a:p>
        <a:p>
          <a:r>
            <a:rPr lang="en-US" sz="1600" baseline="0"/>
            <a:t>You assume you have a similar risk profile to your competitors and can get a similar leverage ratio for debt and paydown at exit 45% of total debt. Figure out the appropriate entry/exit multiple using some of Sip Happens competitors below. Is the IRR for this LBO above 20%, the minimum return at Red Grape Capital?</a:t>
          </a:r>
        </a:p>
      </xdr:txBody>
    </xdr:sp>
    <xdr:clientData/>
  </xdr:twoCellAnchor>
  <xdr:twoCellAnchor>
    <xdr:from>
      <xdr:col>0</xdr:col>
      <xdr:colOff>514350</xdr:colOff>
      <xdr:row>18</xdr:row>
      <xdr:rowOff>47625</xdr:rowOff>
    </xdr:from>
    <xdr:to>
      <xdr:col>9</xdr:col>
      <xdr:colOff>533400</xdr:colOff>
      <xdr:row>26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B04C4F-A290-4D1D-B5E9-A693055805D1}"/>
            </a:ext>
          </a:extLst>
        </xdr:cNvPr>
        <xdr:cNvSpPr txBox="1"/>
      </xdr:nvSpPr>
      <xdr:spPr>
        <a:xfrm>
          <a:off x="514350" y="3476625"/>
          <a:ext cx="95250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aseline="0"/>
            <a:t>Enterprise Value = the total value of a company. Can be found by adding all the equity (value of publicly traded stock) + existing debt (because you're buying the full company) - cash (will use whatever cash the company has to help pay for the transaction).</a:t>
          </a:r>
        </a:p>
        <a:p>
          <a:endParaRPr lang="en-US" sz="1600" baseline="0"/>
        </a:p>
        <a:p>
          <a:r>
            <a:rPr lang="en-US" sz="1600" baseline="0"/>
            <a:t>EV = Equity value + Debt - Cash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514349</xdr:colOff>
      <xdr:row>1</xdr:row>
      <xdr:rowOff>19050</xdr:rowOff>
    </xdr:from>
    <xdr:to>
      <xdr:col>9</xdr:col>
      <xdr:colOff>504824</xdr:colOff>
      <xdr:row>17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60027A-6233-4FA5-8BDB-0F1CF80EB01C}"/>
            </a:ext>
          </a:extLst>
        </xdr:cNvPr>
        <xdr:cNvSpPr txBox="1"/>
      </xdr:nvSpPr>
      <xdr:spPr>
        <a:xfrm>
          <a:off x="514349" y="209550"/>
          <a:ext cx="9496425" cy="3133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work at Shark Tooth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Partners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are tasked with a quick paper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LBO on fishing company, Reel Fun Guys.</a:t>
          </a:r>
        </a:p>
        <a:p>
          <a:endParaRPr lang="en-US" sz="16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/>
            <a:t>You</a:t>
          </a:r>
          <a:r>
            <a:rPr lang="en-US" sz="1600" baseline="0"/>
            <a:t> were able to find some of their public financial numbers:</a:t>
          </a:r>
        </a:p>
        <a:p>
          <a:endParaRPr lang="en-US" sz="1600" baseline="0"/>
        </a:p>
        <a:p>
          <a:r>
            <a:rPr lang="en-US" sz="1600" baseline="0"/>
            <a:t>EBITDA		50</a:t>
          </a:r>
        </a:p>
        <a:p>
          <a:r>
            <a:rPr lang="en-US" sz="1600" baseline="0"/>
            <a:t>Cash		0</a:t>
          </a:r>
        </a:p>
        <a:p>
          <a:r>
            <a:rPr lang="en-US" sz="1600" baseline="0"/>
            <a:t>Debt		0</a:t>
          </a:r>
        </a:p>
        <a:p>
          <a:r>
            <a:rPr lang="en-US" sz="1600" baseline="0"/>
            <a:t>Year 5 EBITDA	80</a:t>
          </a:r>
        </a:p>
        <a:p>
          <a:endParaRPr lang="en-US" sz="1600" baseline="0"/>
        </a:p>
        <a:p>
          <a:r>
            <a:rPr lang="en-US" sz="1600" baseline="0"/>
            <a:t>You assume you have a similar risk profile to your competitors and can get a similar leverage ratio for debt and paydown at exit 60% of total debt. Figure out the appropriate entry/exit multiple using some of Reel Fun Guys competitors below. Is the IRR for this LBO above 25%, the minimum return at Shark Tooth Partners?</a:t>
          </a:r>
        </a:p>
      </xdr:txBody>
    </xdr:sp>
    <xdr:clientData/>
  </xdr:twoCellAnchor>
  <xdr:twoCellAnchor>
    <xdr:from>
      <xdr:col>0</xdr:col>
      <xdr:colOff>514350</xdr:colOff>
      <xdr:row>18</xdr:row>
      <xdr:rowOff>47625</xdr:rowOff>
    </xdr:from>
    <xdr:to>
      <xdr:col>9</xdr:col>
      <xdr:colOff>533400</xdr:colOff>
      <xdr:row>26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3D2B5D4-0667-4147-A444-B95E07F5C0A3}"/>
            </a:ext>
          </a:extLst>
        </xdr:cNvPr>
        <xdr:cNvSpPr txBox="1"/>
      </xdr:nvSpPr>
      <xdr:spPr>
        <a:xfrm>
          <a:off x="514350" y="3476625"/>
          <a:ext cx="95250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aseline="0"/>
            <a:t>Enterprise Value = the total value of a company. Can be found by adding all the equity (value of publicly traded stock) + existing debt (because you're buying the full company) - cash (will use whatever cash the company has to help pay for the transaction).</a:t>
          </a:r>
        </a:p>
        <a:p>
          <a:endParaRPr lang="en-US" sz="1600" baseline="0"/>
        </a:p>
        <a:p>
          <a:r>
            <a:rPr lang="en-US" sz="1600" baseline="0"/>
            <a:t>EV = Equity value + Debt - Cash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171451</xdr:rowOff>
    </xdr:from>
    <xdr:to>
      <xdr:col>17</xdr:col>
      <xdr:colOff>342900</xdr:colOff>
      <xdr:row>28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E5747E-B058-4868-B19F-8D0B2AF33022}"/>
            </a:ext>
          </a:extLst>
        </xdr:cNvPr>
        <xdr:cNvSpPr txBox="1"/>
      </xdr:nvSpPr>
      <xdr:spPr>
        <a:xfrm>
          <a:off x="714375" y="571501"/>
          <a:ext cx="9991725" cy="5133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work at Giggles and Gains Partners and an interesting opportunity for PixelForge, a video game company, comes across your desk. The company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currently trading at $20.00 a share with 150 million shares outstanding. </a:t>
          </a:r>
        </a:p>
        <a:p>
          <a:endParaRPr lang="en-US" sz="16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/>
            <a:t>You</a:t>
          </a:r>
          <a:r>
            <a:rPr lang="en-US" sz="1600" baseline="0"/>
            <a:t> were able to find some of their financial numbers:</a:t>
          </a:r>
        </a:p>
        <a:p>
          <a:endParaRPr lang="en-US" sz="1600" baseline="0"/>
        </a:p>
        <a:p>
          <a:r>
            <a:rPr lang="en-US" sz="1600" baseline="0"/>
            <a:t>Sales 		2,000</a:t>
          </a:r>
        </a:p>
        <a:p>
          <a:r>
            <a:rPr lang="en-US" sz="1600" baseline="0"/>
            <a:t>EBITDA margin 	30%</a:t>
          </a:r>
        </a:p>
        <a:p>
          <a:r>
            <a:rPr lang="en-US" sz="1600" baseline="0"/>
            <a:t>D&amp;A		100</a:t>
          </a:r>
        </a:p>
        <a:p>
          <a:r>
            <a:rPr lang="en-US" sz="1600" baseline="0"/>
            <a:t>Capex		50</a:t>
          </a:r>
        </a:p>
        <a:p>
          <a:r>
            <a:rPr lang="en-US" sz="1600" baseline="0"/>
            <a:t>NWC		75</a:t>
          </a:r>
        </a:p>
        <a:p>
          <a:endParaRPr lang="en-US" sz="1600" baseline="0"/>
        </a:p>
        <a:p>
          <a:r>
            <a:rPr lang="en-US" sz="1600"/>
            <a:t>Current debt 	1,800</a:t>
          </a:r>
        </a:p>
        <a:p>
          <a:r>
            <a:rPr lang="en-US" sz="1600"/>
            <a:t>Cash</a:t>
          </a:r>
          <a:r>
            <a:rPr lang="en-US" sz="1600" baseline="0"/>
            <a:t> on B/S	1,200</a:t>
          </a:r>
        </a:p>
        <a:p>
          <a:endParaRPr lang="en-US" sz="1600" baseline="0"/>
        </a:p>
        <a:p>
          <a:endParaRPr lang="en-US" sz="1600"/>
        </a:p>
        <a:p>
          <a:r>
            <a:rPr lang="en-US" sz="1600"/>
            <a:t>Assume sales</a:t>
          </a:r>
          <a:r>
            <a:rPr lang="en-US" sz="1600" baseline="0"/>
            <a:t> grow 5% each year and EBITDA margin increases 50bps each year. D&amp;A, Capex, and NWC remain the same percentage of sales. The deal is expected to be funded by 3.0x Bank Debt and 1.5x Senior Notes. The tax rate is 30% and assume the same entry and exit multiple. Does an LBO on PixelForge meet the minimum return for Giggles and Gains Partners of 25% if the shares are bought at a 30% premium?</a:t>
          </a:r>
          <a:endParaRPr lang="en-US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171451</xdr:rowOff>
    </xdr:from>
    <xdr:to>
      <xdr:col>17</xdr:col>
      <xdr:colOff>342900</xdr:colOff>
      <xdr:row>28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46EFB4-C538-44EC-8336-A5013E3C9F7A}"/>
            </a:ext>
          </a:extLst>
        </xdr:cNvPr>
        <xdr:cNvSpPr txBox="1"/>
      </xdr:nvSpPr>
      <xdr:spPr>
        <a:xfrm>
          <a:off x="714375" y="571501"/>
          <a:ext cx="9991725" cy="5133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work at Laughing Stocks Investments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an opportunity to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acquire the NY Mets arises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The company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currently trading at $25.00 a share with 200 million shares outstanding. </a:t>
          </a:r>
        </a:p>
        <a:p>
          <a:endParaRPr lang="en-US" sz="16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/>
            <a:t>You</a:t>
          </a:r>
          <a:r>
            <a:rPr lang="en-US" sz="1600" baseline="0"/>
            <a:t> were able to find some of their financial numbers:</a:t>
          </a:r>
        </a:p>
        <a:p>
          <a:endParaRPr lang="en-US" sz="1600" baseline="0"/>
        </a:p>
        <a:p>
          <a:r>
            <a:rPr lang="en-US" sz="1600" baseline="0"/>
            <a:t>Sales 		3,000</a:t>
          </a:r>
        </a:p>
        <a:p>
          <a:r>
            <a:rPr lang="en-US" sz="1600" baseline="0"/>
            <a:t>EBITDA margin 	25%</a:t>
          </a:r>
        </a:p>
        <a:p>
          <a:r>
            <a:rPr lang="en-US" sz="1600" baseline="0"/>
            <a:t>D&amp;A		150</a:t>
          </a:r>
        </a:p>
        <a:p>
          <a:r>
            <a:rPr lang="en-US" sz="1600" baseline="0"/>
            <a:t>Capex		80</a:t>
          </a:r>
        </a:p>
        <a:p>
          <a:r>
            <a:rPr lang="en-US" sz="1600" baseline="0"/>
            <a:t>NWC		90</a:t>
          </a:r>
        </a:p>
        <a:p>
          <a:endParaRPr lang="en-US" sz="1600" baseline="0"/>
        </a:p>
        <a:p>
          <a:r>
            <a:rPr lang="en-US" sz="1600"/>
            <a:t>Current debt 	2,100</a:t>
          </a:r>
        </a:p>
        <a:p>
          <a:r>
            <a:rPr lang="en-US" sz="1600"/>
            <a:t>Cash</a:t>
          </a:r>
          <a:r>
            <a:rPr lang="en-US" sz="1600" baseline="0"/>
            <a:t> on B/S	1,800</a:t>
          </a:r>
        </a:p>
        <a:p>
          <a:endParaRPr lang="en-US" sz="1600" baseline="0"/>
        </a:p>
        <a:p>
          <a:endParaRPr lang="en-US" sz="1600"/>
        </a:p>
        <a:p>
          <a:r>
            <a:rPr lang="en-US" sz="1600"/>
            <a:t>Assume sales</a:t>
          </a:r>
          <a:r>
            <a:rPr lang="en-US" sz="1600" baseline="0"/>
            <a:t> grow 6% each year and EBITDA margin increases 25bps each year. D&amp;A, Capex, and NWC remain the same percentage of sales. The deal is expected to be funded by 2.5x Bank Debt and 2.0x Senior Notes. The tax rate is 25% and assume the same entry and exit multiple. Does an LBO on PixelForge meet the minimum return for Giggles and Gains Partners of 25% if the shares are bought at a 20% premium?</a:t>
          </a:r>
          <a:endParaRPr lang="en-US" sz="16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171451</xdr:rowOff>
    </xdr:from>
    <xdr:to>
      <xdr:col>17</xdr:col>
      <xdr:colOff>342900</xdr:colOff>
      <xdr:row>28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B86B4F-8D98-4344-3B3F-3D73B3CA8442}"/>
            </a:ext>
          </a:extLst>
        </xdr:cNvPr>
        <xdr:cNvSpPr txBox="1"/>
      </xdr:nvSpPr>
      <xdr:spPr>
        <a:xfrm>
          <a:off x="714375" y="571501"/>
          <a:ext cx="9991725" cy="5133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work at Giggles and Gains Partners and an interesting opportunity for PixelForge, a video game company, comes across your desk. The company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currently trading at $20.00 a share with 150 million shares outstanding. </a:t>
          </a:r>
        </a:p>
        <a:p>
          <a:endParaRPr lang="en-US" sz="16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600"/>
            <a:t>You</a:t>
          </a:r>
          <a:r>
            <a:rPr lang="en-US" sz="1600" baseline="0"/>
            <a:t> were able to find some of their financial numbers:</a:t>
          </a:r>
        </a:p>
        <a:p>
          <a:endParaRPr lang="en-US" sz="1600" baseline="0"/>
        </a:p>
        <a:p>
          <a:r>
            <a:rPr lang="en-US" sz="1600" baseline="0"/>
            <a:t>Sales 		2,000</a:t>
          </a:r>
        </a:p>
        <a:p>
          <a:r>
            <a:rPr lang="en-US" sz="1600" baseline="0"/>
            <a:t>EBITDA margin 	30%</a:t>
          </a:r>
        </a:p>
        <a:p>
          <a:r>
            <a:rPr lang="en-US" sz="1600" baseline="0"/>
            <a:t>D&amp;A		100</a:t>
          </a:r>
        </a:p>
        <a:p>
          <a:r>
            <a:rPr lang="en-US" sz="1600" baseline="0"/>
            <a:t>Capex		50</a:t>
          </a:r>
        </a:p>
        <a:p>
          <a:r>
            <a:rPr lang="en-US" sz="1600" baseline="0"/>
            <a:t>NWC		75</a:t>
          </a:r>
        </a:p>
        <a:p>
          <a:endParaRPr lang="en-US" sz="1600" baseline="0"/>
        </a:p>
        <a:p>
          <a:r>
            <a:rPr lang="en-US" sz="1600"/>
            <a:t>Current debt 	1,800</a:t>
          </a:r>
        </a:p>
        <a:p>
          <a:r>
            <a:rPr lang="en-US" sz="1600"/>
            <a:t>Cash</a:t>
          </a:r>
          <a:r>
            <a:rPr lang="en-US" sz="1600" baseline="0"/>
            <a:t> on B/S	1,200</a:t>
          </a:r>
        </a:p>
        <a:p>
          <a:endParaRPr lang="en-US" sz="1600" baseline="0"/>
        </a:p>
        <a:p>
          <a:endParaRPr lang="en-US" sz="1600"/>
        </a:p>
        <a:p>
          <a:r>
            <a:rPr lang="en-US" sz="1600"/>
            <a:t>Assume sales</a:t>
          </a:r>
          <a:r>
            <a:rPr lang="en-US" sz="1600" baseline="0"/>
            <a:t> grow 5% each year and EBITDA margin increases 100bps each year. D&amp;A, Capex, and NWC remain the same percentage of sales. The deal is expected to be funded by 3.0x Bank Debt at 9% and 2.0x Senior Notes at 12%. The minimum cash is 25, tax rate is 25% and assume the same entry and exit multiple. Does an LBO on PixelForge meet the minimum return for Giggles and Gains Partners of 25% if the shares are bought at a 30% premium?</a:t>
          </a:r>
          <a:endParaRPr lang="en-US" sz="16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339321</xdr:colOff>
      <xdr:row>7</xdr:row>
      <xdr:rowOff>95249</xdr:rowOff>
    </xdr:from>
    <xdr:to>
      <xdr:col>28</xdr:col>
      <xdr:colOff>104775</xdr:colOff>
      <xdr:row>28</xdr:row>
      <xdr:rowOff>162145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97473D-5E66-B389-97BE-559F596E1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3321" y="857249"/>
          <a:ext cx="7690254" cy="4095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24E3-A646-4667-87FE-0CA4D4158C8F}">
  <sheetPr>
    <tabColor theme="4" tint="-0.249977111117893"/>
  </sheetPr>
  <dimension ref="B26:I33"/>
  <sheetViews>
    <sheetView showGridLines="0" tabSelected="1" workbookViewId="0">
      <selection activeCell="N12" sqref="N12"/>
    </sheetView>
  </sheetViews>
  <sheetFormatPr defaultRowHeight="15" x14ac:dyDescent="0.25"/>
  <cols>
    <col min="2" max="2" width="28.140625" bestFit="1" customWidth="1"/>
    <col min="3" max="3" width="23.85546875" customWidth="1"/>
    <col min="4" max="4" width="12.7109375" customWidth="1"/>
    <col min="5" max="5" width="18.5703125" customWidth="1"/>
    <col min="6" max="6" width="13.140625" customWidth="1"/>
    <col min="7" max="7" width="18.7109375" bestFit="1" customWidth="1"/>
  </cols>
  <sheetData>
    <row r="26" spans="2:9" ht="18.75" x14ac:dyDescent="0.3">
      <c r="B26" s="5"/>
      <c r="C26" s="5"/>
      <c r="D26" s="5"/>
      <c r="E26" s="5"/>
      <c r="F26" s="5"/>
      <c r="G26" s="5"/>
      <c r="H26" s="5"/>
      <c r="I26" s="5"/>
    </row>
    <row r="27" spans="2:9" ht="18.75" x14ac:dyDescent="0.3">
      <c r="B27" s="5"/>
      <c r="C27" s="5"/>
      <c r="D27" s="5"/>
      <c r="E27" s="5"/>
      <c r="F27" s="5"/>
      <c r="G27" s="5"/>
      <c r="H27" s="5"/>
      <c r="I27" s="5"/>
    </row>
    <row r="28" spans="2:9" ht="21" x14ac:dyDescent="0.35">
      <c r="B28" s="7"/>
      <c r="C28" s="14" t="s">
        <v>9</v>
      </c>
      <c r="D28" s="14" t="s">
        <v>2</v>
      </c>
      <c r="E28" s="14" t="s">
        <v>10</v>
      </c>
      <c r="F28" s="14" t="s">
        <v>8</v>
      </c>
      <c r="G28" s="14" t="s">
        <v>12</v>
      </c>
      <c r="H28" s="5"/>
      <c r="I28" s="5"/>
    </row>
    <row r="29" spans="2:9" ht="21" x14ac:dyDescent="0.35">
      <c r="B29" s="15" t="s">
        <v>4</v>
      </c>
      <c r="C29" s="23">
        <v>5000</v>
      </c>
      <c r="D29" s="22">
        <v>700</v>
      </c>
      <c r="E29" s="20">
        <f>C29/D29</f>
        <v>7.1428571428571432</v>
      </c>
      <c r="F29" s="22">
        <v>2600</v>
      </c>
      <c r="G29" s="20">
        <f>F29/D29</f>
        <v>3.7142857142857144</v>
      </c>
      <c r="H29" s="5"/>
      <c r="I29" s="5"/>
    </row>
    <row r="30" spans="2:9" ht="21" x14ac:dyDescent="0.35">
      <c r="B30" s="15" t="s">
        <v>5</v>
      </c>
      <c r="C30" s="24">
        <v>24000</v>
      </c>
      <c r="D30" s="16">
        <v>3100</v>
      </c>
      <c r="E30" s="17">
        <f>C30/D30</f>
        <v>7.741935483870968</v>
      </c>
      <c r="F30" s="16">
        <v>12000</v>
      </c>
      <c r="G30" s="17">
        <f t="shared" ref="G30:G31" si="0">F30/D30</f>
        <v>3.870967741935484</v>
      </c>
      <c r="H30" s="5"/>
      <c r="I30" s="5"/>
    </row>
    <row r="31" spans="2:9" ht="21" x14ac:dyDescent="0.35">
      <c r="B31" s="15" t="s">
        <v>6</v>
      </c>
      <c r="C31" s="25">
        <v>17000</v>
      </c>
      <c r="D31" s="16">
        <v>2000</v>
      </c>
      <c r="E31" s="17">
        <f>C31/D31</f>
        <v>8.5</v>
      </c>
      <c r="F31" s="16">
        <v>9400</v>
      </c>
      <c r="G31" s="17">
        <f t="shared" si="0"/>
        <v>4.7</v>
      </c>
      <c r="H31" s="5"/>
      <c r="I31" s="5"/>
    </row>
    <row r="32" spans="2:9" ht="21" x14ac:dyDescent="0.35">
      <c r="B32" s="18" t="s">
        <v>11</v>
      </c>
      <c r="C32" s="19"/>
      <c r="D32" s="19"/>
      <c r="E32" s="20">
        <f>AVERAGE(E29:E31)</f>
        <v>7.7949308755760365</v>
      </c>
      <c r="F32" s="21"/>
      <c r="G32" s="20">
        <f>AVERAGE(G29:G31)</f>
        <v>4.0950844854070665</v>
      </c>
      <c r="H32" s="5"/>
      <c r="I32" s="5"/>
    </row>
    <row r="33" spans="2:9" ht="21" x14ac:dyDescent="0.35">
      <c r="B33" s="7"/>
      <c r="C33" s="7"/>
      <c r="D33" s="7"/>
      <c r="E33" s="7"/>
      <c r="F33" s="7"/>
      <c r="G33" s="7"/>
      <c r="H33" s="5"/>
      <c r="I33" s="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C2B7-04DB-44B2-BEC6-282F2038AB3F}">
  <sheetPr>
    <tabColor rgb="FF00B0F0"/>
  </sheetPr>
  <dimension ref="C5:E8"/>
  <sheetViews>
    <sheetView showGridLines="0" workbookViewId="0">
      <selection activeCell="S28" sqref="S28"/>
    </sheetView>
  </sheetViews>
  <sheetFormatPr defaultRowHeight="15.75" x14ac:dyDescent="0.25"/>
  <cols>
    <col min="1" max="16384" width="9.140625" style="3"/>
  </cols>
  <sheetData>
    <row r="5" spans="3:5" x14ac:dyDescent="0.25">
      <c r="C5" s="4"/>
    </row>
    <row r="8" spans="3:5" x14ac:dyDescent="0.25">
      <c r="E8" s="3" t="s">
        <v>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13F8-E021-4F04-BA65-C1F25D3FDC02}">
  <sheetPr>
    <tabColor rgb="FF00B0F0"/>
  </sheetPr>
  <dimension ref="A1"/>
  <sheetViews>
    <sheetView showGridLines="0" workbookViewId="0">
      <selection activeCell="U23" sqref="U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590E-C381-46F2-857D-AF3A09415E0A}">
  <sheetPr>
    <tabColor rgb="FF00B0F0"/>
  </sheetPr>
  <dimension ref="A1:I81"/>
  <sheetViews>
    <sheetView showGridLines="0" topLeftCell="A15" workbookViewId="0">
      <selection activeCell="E34" sqref="E34"/>
    </sheetView>
  </sheetViews>
  <sheetFormatPr defaultRowHeight="15" x14ac:dyDescent="0.25"/>
  <cols>
    <col min="2" max="2" width="24" bestFit="1" customWidth="1"/>
    <col min="5" max="5" width="12.140625" bestFit="1" customWidth="1"/>
  </cols>
  <sheetData>
    <row r="1" spans="1:6" x14ac:dyDescent="0.25">
      <c r="A1" s="1"/>
    </row>
    <row r="2" spans="1:6" x14ac:dyDescent="0.25">
      <c r="A2" s="1"/>
      <c r="B2" t="s">
        <v>41</v>
      </c>
      <c r="E2" s="10"/>
      <c r="F2" s="10"/>
    </row>
    <row r="3" spans="1:6" x14ac:dyDescent="0.25">
      <c r="A3" s="1"/>
      <c r="E3" s="10"/>
      <c r="F3" s="10"/>
    </row>
    <row r="4" spans="1:6" x14ac:dyDescent="0.25">
      <c r="A4" s="1"/>
      <c r="B4" s="45" t="s">
        <v>50</v>
      </c>
      <c r="E4" s="46" t="s">
        <v>8</v>
      </c>
      <c r="F4" s="12" t="s">
        <v>44</v>
      </c>
    </row>
    <row r="5" spans="1:6" x14ac:dyDescent="0.25">
      <c r="B5" t="s">
        <v>36</v>
      </c>
      <c r="C5" s="56">
        <v>25</v>
      </c>
      <c r="E5" t="s">
        <v>42</v>
      </c>
      <c r="F5" s="9">
        <v>2.5</v>
      </c>
    </row>
    <row r="6" spans="1:6" x14ac:dyDescent="0.25">
      <c r="B6" t="s">
        <v>37</v>
      </c>
      <c r="C6" s="2">
        <v>0.2</v>
      </c>
      <c r="E6" t="s">
        <v>43</v>
      </c>
      <c r="F6" s="9">
        <v>2</v>
      </c>
    </row>
    <row r="7" spans="1:6" x14ac:dyDescent="0.25">
      <c r="B7" t="s">
        <v>38</v>
      </c>
      <c r="C7" s="56">
        <f>C5*(1+C6)</f>
        <v>30</v>
      </c>
      <c r="E7" s="40" t="s">
        <v>15</v>
      </c>
      <c r="F7" s="54">
        <f>SUM(F5:F6)</f>
        <v>4.5</v>
      </c>
    </row>
    <row r="8" spans="1:6" x14ac:dyDescent="0.25">
      <c r="B8" t="s">
        <v>39</v>
      </c>
      <c r="C8" s="8">
        <v>200</v>
      </c>
    </row>
    <row r="9" spans="1:6" x14ac:dyDescent="0.25">
      <c r="B9" s="40" t="s">
        <v>40</v>
      </c>
      <c r="C9" s="49">
        <f>C7*C8</f>
        <v>6000</v>
      </c>
      <c r="E9" t="s">
        <v>72</v>
      </c>
      <c r="F9" s="8">
        <v>2100</v>
      </c>
    </row>
    <row r="10" spans="1:6" x14ac:dyDescent="0.25">
      <c r="B10" t="str">
        <f>E9</f>
        <v>Existing debt</v>
      </c>
      <c r="C10" s="8">
        <f>F9</f>
        <v>2100</v>
      </c>
      <c r="E10" t="s">
        <v>70</v>
      </c>
      <c r="F10" s="8">
        <v>1800</v>
      </c>
    </row>
    <row r="11" spans="1:6" x14ac:dyDescent="0.25">
      <c r="B11" t="str">
        <f>E10</f>
        <v>Cash on B/S</v>
      </c>
      <c r="C11" s="8">
        <f>F10</f>
        <v>1800</v>
      </c>
      <c r="F11" s="8"/>
    </row>
    <row r="12" spans="1:6" x14ac:dyDescent="0.25">
      <c r="B12" s="40" t="s">
        <v>87</v>
      </c>
      <c r="C12" s="49">
        <f>C9+C10-C11</f>
        <v>6300</v>
      </c>
      <c r="F12" s="8"/>
    </row>
    <row r="13" spans="1:6" x14ac:dyDescent="0.25">
      <c r="B13" t="s">
        <v>2</v>
      </c>
      <c r="C13" s="8">
        <f>D24</f>
        <v>750</v>
      </c>
      <c r="F13" s="8"/>
    </row>
    <row r="14" spans="1:6" x14ac:dyDescent="0.25">
      <c r="B14" t="s">
        <v>88</v>
      </c>
      <c r="C14" s="9">
        <f>C12/C13</f>
        <v>8.4</v>
      </c>
      <c r="F14" s="8"/>
    </row>
    <row r="16" spans="1:6" x14ac:dyDescent="0.25">
      <c r="A16" t="s">
        <v>73</v>
      </c>
      <c r="B16" s="45" t="s">
        <v>45</v>
      </c>
    </row>
    <row r="17" spans="1:9" x14ac:dyDescent="0.25">
      <c r="B17" t="s">
        <v>49</v>
      </c>
      <c r="C17" s="44">
        <v>2.5000000000000001E-3</v>
      </c>
    </row>
    <row r="18" spans="1:9" x14ac:dyDescent="0.25">
      <c r="B18" t="s">
        <v>51</v>
      </c>
      <c r="C18" s="2">
        <v>0.25</v>
      </c>
    </row>
    <row r="19" spans="1:9" x14ac:dyDescent="0.25">
      <c r="B19" t="s">
        <v>92</v>
      </c>
      <c r="C19" s="2">
        <v>0.06</v>
      </c>
    </row>
    <row r="20" spans="1:9" x14ac:dyDescent="0.25">
      <c r="C20" s="2"/>
    </row>
    <row r="21" spans="1:9" ht="17.25" x14ac:dyDescent="0.4">
      <c r="A21" t="s">
        <v>73</v>
      </c>
      <c r="B21" s="45" t="s">
        <v>52</v>
      </c>
      <c r="D21" s="53">
        <v>2023</v>
      </c>
      <c r="E21" s="53">
        <v>2024</v>
      </c>
      <c r="F21" s="53">
        <v>2025</v>
      </c>
      <c r="G21" s="53">
        <v>2026</v>
      </c>
      <c r="H21" s="53">
        <v>2027</v>
      </c>
      <c r="I21" s="53">
        <v>2028</v>
      </c>
    </row>
    <row r="22" spans="1:9" x14ac:dyDescent="0.25">
      <c r="B22" t="s">
        <v>7</v>
      </c>
      <c r="D22" s="48">
        <v>3000</v>
      </c>
      <c r="E22" s="48">
        <f>D22*(1+E23)</f>
        <v>3180</v>
      </c>
      <c r="F22" s="48">
        <f t="shared" ref="F22:I22" si="0">E22*(1+F23)</f>
        <v>3370.8</v>
      </c>
      <c r="G22" s="48">
        <f t="shared" si="0"/>
        <v>3573.0480000000002</v>
      </c>
      <c r="H22" s="48">
        <f t="shared" si="0"/>
        <v>3787.4308800000003</v>
      </c>
      <c r="I22" s="48">
        <f t="shared" si="0"/>
        <v>4014.6767328000005</v>
      </c>
    </row>
    <row r="23" spans="1:9" x14ac:dyDescent="0.25">
      <c r="B23" s="41" t="s">
        <v>47</v>
      </c>
      <c r="C23" s="42"/>
      <c r="D23" s="42"/>
      <c r="E23" s="43">
        <f>C19</f>
        <v>0.06</v>
      </c>
      <c r="F23" s="43">
        <f>E23</f>
        <v>0.06</v>
      </c>
      <c r="G23" s="43">
        <f t="shared" ref="G23:I23" si="1">F23</f>
        <v>0.06</v>
      </c>
      <c r="H23" s="43">
        <f t="shared" si="1"/>
        <v>0.06</v>
      </c>
      <c r="I23" s="43">
        <f t="shared" si="1"/>
        <v>0.06</v>
      </c>
    </row>
    <row r="24" spans="1:9" x14ac:dyDescent="0.25">
      <c r="B24" t="s">
        <v>2</v>
      </c>
      <c r="D24" s="8">
        <f>D25*D22</f>
        <v>750</v>
      </c>
      <c r="E24" s="8">
        <f t="shared" ref="E24:I24" si="2">E25*E22</f>
        <v>802.95</v>
      </c>
      <c r="F24" s="8">
        <f t="shared" si="2"/>
        <v>859.55400000000009</v>
      </c>
      <c r="G24" s="8">
        <f t="shared" si="2"/>
        <v>920.05986000000007</v>
      </c>
      <c r="H24" s="8">
        <f t="shared" si="2"/>
        <v>984.73202880000008</v>
      </c>
      <c r="I24" s="8">
        <f t="shared" si="2"/>
        <v>1053.8526423600001</v>
      </c>
    </row>
    <row r="25" spans="1:9" x14ac:dyDescent="0.25">
      <c r="B25" s="41" t="s">
        <v>48</v>
      </c>
      <c r="D25" s="43">
        <v>0.25</v>
      </c>
      <c r="E25" s="47">
        <f>D25+$C$17</f>
        <v>0.2525</v>
      </c>
      <c r="F25" s="47">
        <f>E25+$C$17</f>
        <v>0.255</v>
      </c>
      <c r="G25" s="47">
        <f>F25+$C$17</f>
        <v>0.25750000000000001</v>
      </c>
      <c r="H25" s="47">
        <f>G25+$C$17</f>
        <v>0.26</v>
      </c>
      <c r="I25" s="47">
        <f>H25+$C$17</f>
        <v>0.26250000000000001</v>
      </c>
    </row>
    <row r="26" spans="1:9" x14ac:dyDescent="0.25">
      <c r="B26" t="s">
        <v>46</v>
      </c>
      <c r="D26" s="8">
        <v>150</v>
      </c>
      <c r="E26" s="8">
        <f>E27*E22</f>
        <v>159</v>
      </c>
      <c r="F26" s="8">
        <f t="shared" ref="F26:I26" si="3">F27*F22</f>
        <v>168.54000000000002</v>
      </c>
      <c r="G26" s="8">
        <f t="shared" si="3"/>
        <v>178.65240000000003</v>
      </c>
      <c r="H26" s="8">
        <f t="shared" si="3"/>
        <v>189.37154400000003</v>
      </c>
      <c r="I26" s="8">
        <f t="shared" si="3"/>
        <v>200.73383664000005</v>
      </c>
    </row>
    <row r="27" spans="1:9" x14ac:dyDescent="0.25">
      <c r="B27" s="41" t="s">
        <v>55</v>
      </c>
      <c r="D27" s="43">
        <f>D26/D22</f>
        <v>0.05</v>
      </c>
      <c r="E27" s="43">
        <f>D27</f>
        <v>0.05</v>
      </c>
      <c r="F27" s="43">
        <f t="shared" ref="F27:I27" si="4">E27</f>
        <v>0.05</v>
      </c>
      <c r="G27" s="43">
        <f t="shared" si="4"/>
        <v>0.05</v>
      </c>
      <c r="H27" s="43">
        <f t="shared" si="4"/>
        <v>0.05</v>
      </c>
      <c r="I27" s="43">
        <f t="shared" si="4"/>
        <v>0.05</v>
      </c>
    </row>
    <row r="28" spans="1:9" x14ac:dyDescent="0.25">
      <c r="B28" t="s">
        <v>54</v>
      </c>
      <c r="D28" s="8">
        <f>D24-D26</f>
        <v>600</v>
      </c>
      <c r="E28" s="8">
        <f t="shared" ref="E28:I28" si="5">E24-E26</f>
        <v>643.95000000000005</v>
      </c>
      <c r="F28" s="8">
        <f t="shared" si="5"/>
        <v>691.01400000000012</v>
      </c>
      <c r="G28" s="8">
        <f t="shared" si="5"/>
        <v>741.40746000000001</v>
      </c>
      <c r="H28" s="8">
        <f t="shared" si="5"/>
        <v>795.36048479999999</v>
      </c>
      <c r="I28" s="8">
        <f t="shared" si="5"/>
        <v>853.11880572000007</v>
      </c>
    </row>
    <row r="29" spans="1:9" x14ac:dyDescent="0.25">
      <c r="B29" s="12" t="s">
        <v>53</v>
      </c>
    </row>
    <row r="30" spans="1:9" x14ac:dyDescent="0.25">
      <c r="B30" t="s">
        <v>56</v>
      </c>
      <c r="D30" s="8">
        <f>+D28-D29</f>
        <v>600</v>
      </c>
      <c r="E30" s="8">
        <f t="shared" ref="E30:I30" si="6">+E28-E29</f>
        <v>643.95000000000005</v>
      </c>
      <c r="F30" s="8">
        <f t="shared" si="6"/>
        <v>691.01400000000012</v>
      </c>
      <c r="G30" s="8">
        <f t="shared" si="6"/>
        <v>741.40746000000001</v>
      </c>
      <c r="H30" s="8">
        <f t="shared" si="6"/>
        <v>795.36048479999999</v>
      </c>
      <c r="I30" s="8">
        <f t="shared" si="6"/>
        <v>853.11880572000007</v>
      </c>
    </row>
    <row r="31" spans="1:9" x14ac:dyDescent="0.25">
      <c r="B31" t="s">
        <v>57</v>
      </c>
      <c r="D31" s="8">
        <f t="shared" ref="D31:I31" si="7">D30*$C$18</f>
        <v>150</v>
      </c>
      <c r="E31" s="8">
        <f t="shared" si="7"/>
        <v>160.98750000000001</v>
      </c>
      <c r="F31" s="8">
        <f t="shared" si="7"/>
        <v>172.75350000000003</v>
      </c>
      <c r="G31" s="8">
        <f t="shared" si="7"/>
        <v>185.351865</v>
      </c>
      <c r="H31" s="8">
        <f t="shared" si="7"/>
        <v>198.8401212</v>
      </c>
      <c r="I31" s="8">
        <f t="shared" si="7"/>
        <v>213.27970143000002</v>
      </c>
    </row>
    <row r="32" spans="1:9" x14ac:dyDescent="0.25">
      <c r="B32" s="50" t="s">
        <v>58</v>
      </c>
      <c r="C32" s="50"/>
      <c r="D32" s="51">
        <f>D30-D31</f>
        <v>450</v>
      </c>
      <c r="E32" s="51">
        <f t="shared" ref="E32:I32" si="8">E30-E31</f>
        <v>482.96250000000003</v>
      </c>
      <c r="F32" s="51">
        <f t="shared" si="8"/>
        <v>518.26050000000009</v>
      </c>
      <c r="G32" s="51">
        <f t="shared" si="8"/>
        <v>556.05559500000004</v>
      </c>
      <c r="H32" s="51">
        <f t="shared" si="8"/>
        <v>596.5203636</v>
      </c>
      <c r="I32" s="51">
        <f t="shared" si="8"/>
        <v>639.83910429000002</v>
      </c>
    </row>
    <row r="34" spans="1:9" x14ac:dyDescent="0.25">
      <c r="B34" t="s">
        <v>60</v>
      </c>
      <c r="D34">
        <v>80</v>
      </c>
      <c r="E34" s="8">
        <f>E35*E22</f>
        <v>84.800000000000011</v>
      </c>
      <c r="F34" s="8">
        <f t="shared" ref="F34:I34" si="9">F35*F22</f>
        <v>89.888000000000005</v>
      </c>
      <c r="G34" s="8">
        <f t="shared" si="9"/>
        <v>95.28128000000001</v>
      </c>
      <c r="H34" s="8">
        <f t="shared" si="9"/>
        <v>100.99815680000002</v>
      </c>
      <c r="I34" s="8">
        <f t="shared" si="9"/>
        <v>107.05804620800002</v>
      </c>
    </row>
    <row r="35" spans="1:9" x14ac:dyDescent="0.25">
      <c r="B35" s="41" t="s">
        <v>55</v>
      </c>
      <c r="D35" s="43">
        <f>D34/D22</f>
        <v>2.6666666666666668E-2</v>
      </c>
      <c r="E35" s="2">
        <f>D35</f>
        <v>2.6666666666666668E-2</v>
      </c>
      <c r="F35" s="2">
        <f t="shared" ref="F35:I35" si="10">E35</f>
        <v>2.6666666666666668E-2</v>
      </c>
      <c r="G35" s="2">
        <f t="shared" si="10"/>
        <v>2.6666666666666668E-2</v>
      </c>
      <c r="H35" s="2">
        <f t="shared" si="10"/>
        <v>2.6666666666666668E-2</v>
      </c>
      <c r="I35" s="2">
        <f t="shared" si="10"/>
        <v>2.6666666666666668E-2</v>
      </c>
    </row>
    <row r="36" spans="1:9" x14ac:dyDescent="0.25">
      <c r="B36" t="s">
        <v>61</v>
      </c>
      <c r="D36">
        <v>90</v>
      </c>
      <c r="E36" s="8">
        <f>E37*E22</f>
        <v>95.399999999999991</v>
      </c>
      <c r="F36" s="8">
        <f t="shared" ref="F36:I36" si="11">F37*F22</f>
        <v>101.124</v>
      </c>
      <c r="G36" s="8">
        <f t="shared" si="11"/>
        <v>107.19144</v>
      </c>
      <c r="H36" s="8">
        <f t="shared" si="11"/>
        <v>113.62292640000001</v>
      </c>
      <c r="I36" s="8">
        <f t="shared" si="11"/>
        <v>120.44030198400002</v>
      </c>
    </row>
    <row r="37" spans="1:9" x14ac:dyDescent="0.25">
      <c r="B37" s="41" t="s">
        <v>55</v>
      </c>
      <c r="D37" s="43">
        <f>D36/D22</f>
        <v>0.03</v>
      </c>
      <c r="E37" s="43">
        <f>D37</f>
        <v>0.03</v>
      </c>
      <c r="F37" s="43">
        <f t="shared" ref="F37:I37" si="12">E37</f>
        <v>0.03</v>
      </c>
      <c r="G37" s="43">
        <f t="shared" si="12"/>
        <v>0.03</v>
      </c>
      <c r="H37" s="43">
        <f t="shared" si="12"/>
        <v>0.03</v>
      </c>
      <c r="I37" s="43">
        <f t="shared" si="12"/>
        <v>0.03</v>
      </c>
    </row>
    <row r="38" spans="1:9" x14ac:dyDescent="0.25">
      <c r="B38" t="s">
        <v>62</v>
      </c>
      <c r="E38" s="8">
        <f>E36-D36</f>
        <v>5.3999999999999915</v>
      </c>
      <c r="F38" s="8">
        <f t="shared" ref="F38:I38" si="13">F36-E36</f>
        <v>5.7240000000000038</v>
      </c>
      <c r="G38" s="8">
        <f t="shared" si="13"/>
        <v>6.0674400000000048</v>
      </c>
      <c r="H38" s="8">
        <f t="shared" si="13"/>
        <v>6.4314864000000114</v>
      </c>
      <c r="I38" s="8">
        <f t="shared" si="13"/>
        <v>6.8173755840000041</v>
      </c>
    </row>
    <row r="40" spans="1:9" x14ac:dyDescent="0.25">
      <c r="A40" t="s">
        <v>73</v>
      </c>
      <c r="B40" s="45" t="s">
        <v>59</v>
      </c>
    </row>
    <row r="41" spans="1:9" x14ac:dyDescent="0.25">
      <c r="B41" t="s">
        <v>2</v>
      </c>
      <c r="D41" s="8">
        <f>D24</f>
        <v>750</v>
      </c>
      <c r="E41" s="8">
        <f t="shared" ref="E41:I41" si="14">E24</f>
        <v>802.95</v>
      </c>
      <c r="F41" s="8">
        <f t="shared" si="14"/>
        <v>859.55400000000009</v>
      </c>
      <c r="G41" s="8">
        <f t="shared" si="14"/>
        <v>920.05986000000007</v>
      </c>
      <c r="H41" s="8">
        <f t="shared" si="14"/>
        <v>984.73202880000008</v>
      </c>
      <c r="I41" s="8">
        <f t="shared" si="14"/>
        <v>1053.8526423600001</v>
      </c>
    </row>
    <row r="42" spans="1:9" x14ac:dyDescent="0.25">
      <c r="B42" t="s">
        <v>65</v>
      </c>
      <c r="E42" s="8">
        <f>E34</f>
        <v>84.800000000000011</v>
      </c>
      <c r="F42" s="8">
        <f t="shared" ref="F42:I42" si="15">F34</f>
        <v>89.888000000000005</v>
      </c>
      <c r="G42" s="8">
        <f t="shared" si="15"/>
        <v>95.28128000000001</v>
      </c>
      <c r="H42" s="8">
        <f t="shared" si="15"/>
        <v>100.99815680000002</v>
      </c>
      <c r="I42" s="8">
        <f t="shared" si="15"/>
        <v>107.05804620800002</v>
      </c>
    </row>
    <row r="43" spans="1:9" x14ac:dyDescent="0.25">
      <c r="B43" t="s">
        <v>64</v>
      </c>
      <c r="E43" s="8">
        <f>E38</f>
        <v>5.3999999999999915</v>
      </c>
      <c r="F43" s="8">
        <f t="shared" ref="F43:I43" si="16">F38</f>
        <v>5.7240000000000038</v>
      </c>
      <c r="G43" s="8">
        <f t="shared" si="16"/>
        <v>6.0674400000000048</v>
      </c>
      <c r="H43" s="8">
        <f t="shared" si="16"/>
        <v>6.4314864000000114</v>
      </c>
      <c r="I43" s="8">
        <f t="shared" si="16"/>
        <v>6.8173755840000041</v>
      </c>
    </row>
    <row r="44" spans="1:9" x14ac:dyDescent="0.25">
      <c r="B44" t="s">
        <v>63</v>
      </c>
      <c r="E44" s="8">
        <f>E31</f>
        <v>160.98750000000001</v>
      </c>
      <c r="F44" s="8">
        <f t="shared" ref="F44:I44" si="17">F31</f>
        <v>172.75350000000003</v>
      </c>
      <c r="G44" s="8">
        <f t="shared" si="17"/>
        <v>185.351865</v>
      </c>
      <c r="H44" s="8">
        <f t="shared" si="17"/>
        <v>198.8401212</v>
      </c>
      <c r="I44" s="8">
        <f t="shared" si="17"/>
        <v>213.27970143000002</v>
      </c>
    </row>
    <row r="45" spans="1:9" x14ac:dyDescent="0.25">
      <c r="B45" s="50" t="s">
        <v>59</v>
      </c>
      <c r="C45" s="50"/>
      <c r="D45" s="50"/>
      <c r="E45" s="51">
        <f>E41-E42-E43-E44</f>
        <v>551.76250000000005</v>
      </c>
      <c r="F45" s="51">
        <f t="shared" ref="F45:I45" si="18">F41-F42-F43-F44</f>
        <v>591.18849999999998</v>
      </c>
      <c r="G45" s="51">
        <f t="shared" si="18"/>
        <v>633.35927500000003</v>
      </c>
      <c r="H45" s="51">
        <f t="shared" si="18"/>
        <v>678.46226439999998</v>
      </c>
      <c r="I45" s="51">
        <f t="shared" si="18"/>
        <v>726.69751913799996</v>
      </c>
    </row>
    <row r="47" spans="1:9" x14ac:dyDescent="0.25">
      <c r="A47" t="s">
        <v>73</v>
      </c>
      <c r="B47" s="45" t="s">
        <v>8</v>
      </c>
      <c r="C47" s="52" t="s">
        <v>66</v>
      </c>
      <c r="D47" s="52" t="s">
        <v>44</v>
      </c>
      <c r="E47" s="52" t="s">
        <v>67</v>
      </c>
    </row>
    <row r="48" spans="1:9" x14ac:dyDescent="0.25">
      <c r="B48" t="s">
        <v>42</v>
      </c>
      <c r="C48" s="8">
        <f>D48*D24</f>
        <v>1875</v>
      </c>
      <c r="D48" s="9">
        <f>F5</f>
        <v>2.5</v>
      </c>
      <c r="E48" s="1">
        <f>D48/D50</f>
        <v>0.55555555555555558</v>
      </c>
    </row>
    <row r="49" spans="1:5" x14ac:dyDescent="0.25">
      <c r="B49" t="s">
        <v>43</v>
      </c>
      <c r="C49" s="8">
        <f>D49*D24</f>
        <v>1500</v>
      </c>
      <c r="D49" s="9">
        <f>F6</f>
        <v>2</v>
      </c>
      <c r="E49" s="1">
        <f>D49/D50</f>
        <v>0.44444444444444442</v>
      </c>
    </row>
    <row r="50" spans="1:5" x14ac:dyDescent="0.25">
      <c r="B50" s="40" t="s">
        <v>15</v>
      </c>
      <c r="C50" s="49">
        <f>SUM(C48:C49)</f>
        <v>3375</v>
      </c>
      <c r="D50" s="54">
        <f t="shared" ref="D50:E50" si="19">SUM(D48:D49)</f>
        <v>4.5</v>
      </c>
      <c r="E50" s="55">
        <f t="shared" si="19"/>
        <v>1</v>
      </c>
    </row>
    <row r="52" spans="1:5" x14ac:dyDescent="0.25">
      <c r="B52" s="45" t="s">
        <v>16</v>
      </c>
      <c r="C52" s="52" t="s">
        <v>66</v>
      </c>
      <c r="D52" s="52" t="s">
        <v>44</v>
      </c>
      <c r="E52" s="52" t="s">
        <v>67</v>
      </c>
    </row>
    <row r="53" spans="1:5" x14ac:dyDescent="0.25">
      <c r="B53" t="s">
        <v>8</v>
      </c>
      <c r="C53" s="8">
        <f>C50</f>
        <v>3375</v>
      </c>
      <c r="D53" s="9">
        <f>C53/$D$24</f>
        <v>4.5</v>
      </c>
      <c r="E53" s="1">
        <f>C53/$C$56</f>
        <v>0.41666666666666669</v>
      </c>
    </row>
    <row r="54" spans="1:5" x14ac:dyDescent="0.25">
      <c r="B54" t="s">
        <v>70</v>
      </c>
      <c r="C54" s="8">
        <f>F10</f>
        <v>1800</v>
      </c>
      <c r="D54" s="9">
        <f t="shared" ref="D54:D55" si="20">C54/$D$24</f>
        <v>2.4</v>
      </c>
      <c r="E54" s="1">
        <f>C54/$C$56</f>
        <v>0.22222222222222221</v>
      </c>
    </row>
    <row r="55" spans="1:5" x14ac:dyDescent="0.25">
      <c r="B55" t="s">
        <v>68</v>
      </c>
      <c r="C55" s="8">
        <f>C56-C53-C54</f>
        <v>2925</v>
      </c>
      <c r="D55" s="9">
        <f t="shared" si="20"/>
        <v>3.9</v>
      </c>
      <c r="E55" s="1">
        <f>C55/$C$56</f>
        <v>0.3611111111111111</v>
      </c>
    </row>
    <row r="56" spans="1:5" x14ac:dyDescent="0.25">
      <c r="B56" s="40" t="s">
        <v>19</v>
      </c>
      <c r="C56" s="49">
        <f>+C61</f>
        <v>8100</v>
      </c>
      <c r="D56" s="54">
        <f>SUM(D53:D55)</f>
        <v>10.8</v>
      </c>
      <c r="E56" s="55">
        <f>SUM(E53:E55)</f>
        <v>1</v>
      </c>
    </row>
    <row r="57" spans="1:5" x14ac:dyDescent="0.25">
      <c r="C57" s="8"/>
    </row>
    <row r="58" spans="1:5" x14ac:dyDescent="0.25">
      <c r="B58" s="45" t="s">
        <v>17</v>
      </c>
      <c r="C58" s="52" t="s">
        <v>66</v>
      </c>
      <c r="D58" s="45" t="s">
        <v>44</v>
      </c>
      <c r="E58" s="52" t="s">
        <v>67</v>
      </c>
    </row>
    <row r="59" spans="1:5" x14ac:dyDescent="0.25">
      <c r="B59" t="s">
        <v>69</v>
      </c>
      <c r="C59" s="8">
        <f>C9</f>
        <v>6000</v>
      </c>
      <c r="D59" s="9">
        <f>C59/$D$24</f>
        <v>8</v>
      </c>
      <c r="E59" s="1">
        <f>C59/C61</f>
        <v>0.7407407407407407</v>
      </c>
    </row>
    <row r="60" spans="1:5" x14ac:dyDescent="0.25">
      <c r="B60" t="s">
        <v>71</v>
      </c>
      <c r="C60" s="8">
        <f>F9</f>
        <v>2100</v>
      </c>
      <c r="D60" s="9">
        <f>C60/$D$24</f>
        <v>2.8</v>
      </c>
      <c r="E60" s="1">
        <f>C60/C61</f>
        <v>0.25925925925925924</v>
      </c>
    </row>
    <row r="61" spans="1:5" x14ac:dyDescent="0.25">
      <c r="A61" t="s">
        <v>73</v>
      </c>
      <c r="B61" s="40" t="s">
        <v>21</v>
      </c>
      <c r="C61" s="49">
        <f>SUM(C59:C60)</f>
        <v>8100</v>
      </c>
      <c r="D61" s="54">
        <f>SUM(D59:D60)</f>
        <v>10.8</v>
      </c>
      <c r="E61" s="55">
        <f>SUM(E59:E60)</f>
        <v>1</v>
      </c>
    </row>
    <row r="63" spans="1:5" x14ac:dyDescent="0.25">
      <c r="B63" s="45" t="s">
        <v>86</v>
      </c>
    </row>
    <row r="64" spans="1:5" x14ac:dyDescent="0.25">
      <c r="B64" t="s">
        <v>23</v>
      </c>
      <c r="C64" s="9">
        <f>C14</f>
        <v>8.4</v>
      </c>
    </row>
    <row r="65" spans="2:9" x14ac:dyDescent="0.25">
      <c r="B65" t="s">
        <v>24</v>
      </c>
      <c r="C65" s="8">
        <f>I24</f>
        <v>1053.8526423600001</v>
      </c>
    </row>
    <row r="66" spans="2:9" x14ac:dyDescent="0.25">
      <c r="B66" s="50" t="s">
        <v>25</v>
      </c>
      <c r="C66" s="51">
        <f>C64*C65</f>
        <v>8852.3621958240019</v>
      </c>
    </row>
    <row r="68" spans="2:9" x14ac:dyDescent="0.25">
      <c r="B68" t="s">
        <v>26</v>
      </c>
      <c r="C68" s="8">
        <f>C50</f>
        <v>3375</v>
      </c>
    </row>
    <row r="69" spans="2:9" x14ac:dyDescent="0.25">
      <c r="B69" t="s">
        <v>89</v>
      </c>
      <c r="C69" s="8">
        <f>SUM(E45:I45)</f>
        <v>3181.4700585379996</v>
      </c>
    </row>
    <row r="70" spans="2:9" x14ac:dyDescent="0.25">
      <c r="B70" s="40" t="s">
        <v>27</v>
      </c>
      <c r="C70" s="49">
        <f>C68-C69</f>
        <v>193.52994146200035</v>
      </c>
    </row>
    <row r="72" spans="2:9" x14ac:dyDescent="0.25">
      <c r="B72" t="s">
        <v>25</v>
      </c>
      <c r="C72" s="8">
        <f>C66</f>
        <v>8852.3621958240019</v>
      </c>
    </row>
    <row r="73" spans="2:9" x14ac:dyDescent="0.25">
      <c r="B73" t="str">
        <f>B70</f>
        <v>Ending debt</v>
      </c>
      <c r="C73" s="8">
        <f>C70</f>
        <v>193.52994146200035</v>
      </c>
    </row>
    <row r="74" spans="2:9" x14ac:dyDescent="0.25">
      <c r="B74" s="40" t="s">
        <v>30</v>
      </c>
      <c r="C74" s="49">
        <f>C72-C73</f>
        <v>8658.8322543620015</v>
      </c>
    </row>
    <row r="75" spans="2:9" x14ac:dyDescent="0.25">
      <c r="C75" s="8"/>
    </row>
    <row r="76" spans="2:9" x14ac:dyDescent="0.25">
      <c r="C76" s="8" t="s">
        <v>32</v>
      </c>
      <c r="D76">
        <v>0</v>
      </c>
      <c r="E76">
        <v>1</v>
      </c>
      <c r="F76">
        <v>2</v>
      </c>
      <c r="G76">
        <v>3</v>
      </c>
      <c r="H76">
        <v>4</v>
      </c>
      <c r="I76">
        <v>5</v>
      </c>
    </row>
    <row r="77" spans="2:9" x14ac:dyDescent="0.25">
      <c r="C77" s="8"/>
      <c r="D77" s="8">
        <f>-C55</f>
        <v>-2925</v>
      </c>
      <c r="E77">
        <v>0</v>
      </c>
      <c r="F77">
        <v>0</v>
      </c>
      <c r="G77">
        <v>0</v>
      </c>
      <c r="H77">
        <v>0</v>
      </c>
      <c r="I77" s="8">
        <f>+C74</f>
        <v>8658.8322543620015</v>
      </c>
    </row>
    <row r="78" spans="2:9" x14ac:dyDescent="0.25">
      <c r="C78" s="8"/>
      <c r="D78" s="11" t="s">
        <v>90</v>
      </c>
      <c r="I78" s="11" t="s">
        <v>91</v>
      </c>
    </row>
    <row r="80" spans="2:9" x14ac:dyDescent="0.25">
      <c r="B80" s="57" t="s">
        <v>31</v>
      </c>
      <c r="C80" s="58">
        <f>C74/C55</f>
        <v>2.9602845314058124</v>
      </c>
    </row>
    <row r="81" spans="1:3" x14ac:dyDescent="0.25">
      <c r="A81" t="s">
        <v>73</v>
      </c>
      <c r="B81" s="57" t="s">
        <v>0</v>
      </c>
      <c r="C81" s="59">
        <f>IRR(D77:I77)</f>
        <v>0.24241501447717284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C5D4D-8C5E-4B60-89B1-E536070CAC2B}">
  <sheetPr>
    <tabColor theme="9" tint="-0.249977111117893"/>
  </sheetPr>
  <dimension ref="C5:E8"/>
  <sheetViews>
    <sheetView showGridLines="0" workbookViewId="0">
      <selection activeCell="U24" sqref="U24"/>
    </sheetView>
  </sheetViews>
  <sheetFormatPr defaultRowHeight="15.75" x14ac:dyDescent="0.25"/>
  <cols>
    <col min="1" max="16384" width="9.140625" style="3"/>
  </cols>
  <sheetData>
    <row r="5" spans="3:5" x14ac:dyDescent="0.25">
      <c r="C5" s="4"/>
    </row>
    <row r="8" spans="3:5" x14ac:dyDescent="0.25">
      <c r="E8" s="3" t="s">
        <v>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1D75B-0AD0-44CF-AA42-65A6806E0AD7}">
  <sheetPr>
    <tabColor theme="9" tint="-0.249977111117893"/>
  </sheetPr>
  <dimension ref="A1"/>
  <sheetViews>
    <sheetView showGridLines="0" workbookViewId="0">
      <selection activeCell="U24" sqref="U24"/>
    </sheetView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6698A-135A-4A89-BF8B-4DE56789D7B7}">
  <sheetPr>
    <tabColor theme="9" tint="-0.249977111117893"/>
  </sheetPr>
  <dimension ref="A1:N97"/>
  <sheetViews>
    <sheetView showGridLines="0" workbookViewId="0">
      <selection activeCell="I11" sqref="I11"/>
    </sheetView>
  </sheetViews>
  <sheetFormatPr defaultRowHeight="15" x14ac:dyDescent="0.25"/>
  <cols>
    <col min="2" max="2" width="24" bestFit="1" customWidth="1"/>
    <col min="5" max="5" width="12.140625" bestFit="1" customWidth="1"/>
  </cols>
  <sheetData>
    <row r="1" spans="1:7" x14ac:dyDescent="0.25">
      <c r="A1" s="1"/>
    </row>
    <row r="2" spans="1:7" x14ac:dyDescent="0.25">
      <c r="A2" s="1"/>
      <c r="E2" s="62" t="s">
        <v>95</v>
      </c>
      <c r="F2" s="61">
        <v>1</v>
      </c>
    </row>
    <row r="3" spans="1:7" x14ac:dyDescent="0.25">
      <c r="A3" s="1"/>
      <c r="E3" s="10"/>
      <c r="F3" s="10"/>
    </row>
    <row r="4" spans="1:7" x14ac:dyDescent="0.25">
      <c r="A4" s="1"/>
      <c r="B4" s="65" t="s">
        <v>50</v>
      </c>
      <c r="C4" s="73"/>
      <c r="E4" s="100" t="s">
        <v>8</v>
      </c>
      <c r="F4" s="80" t="s">
        <v>44</v>
      </c>
      <c r="G4" s="81" t="s">
        <v>79</v>
      </c>
    </row>
    <row r="5" spans="1:7" x14ac:dyDescent="0.25">
      <c r="B5" s="66" t="s">
        <v>36</v>
      </c>
      <c r="C5" s="97">
        <v>20</v>
      </c>
      <c r="E5" s="66" t="s">
        <v>42</v>
      </c>
      <c r="F5" s="71">
        <v>3</v>
      </c>
      <c r="G5" s="67">
        <v>0.09</v>
      </c>
    </row>
    <row r="6" spans="1:7" x14ac:dyDescent="0.25">
      <c r="B6" s="66" t="s">
        <v>37</v>
      </c>
      <c r="C6" s="92">
        <v>0.3</v>
      </c>
      <c r="E6" s="66" t="s">
        <v>43</v>
      </c>
      <c r="F6" s="71">
        <v>2</v>
      </c>
      <c r="G6" s="67">
        <v>0.12</v>
      </c>
    </row>
    <row r="7" spans="1:7" x14ac:dyDescent="0.25">
      <c r="B7" s="66" t="s">
        <v>38</v>
      </c>
      <c r="C7" s="97">
        <f>C5*(1+C6)</f>
        <v>26</v>
      </c>
      <c r="E7" s="84" t="s">
        <v>15</v>
      </c>
      <c r="F7" s="54">
        <f>SUM(F5:F6)</f>
        <v>5</v>
      </c>
      <c r="G7" s="73"/>
    </row>
    <row r="8" spans="1:7" x14ac:dyDescent="0.25">
      <c r="B8" s="66" t="s">
        <v>39</v>
      </c>
      <c r="C8" s="74">
        <v>150</v>
      </c>
      <c r="E8" s="66"/>
      <c r="F8" s="63"/>
      <c r="G8" s="86"/>
    </row>
    <row r="9" spans="1:7" x14ac:dyDescent="0.25">
      <c r="B9" s="84" t="s">
        <v>40</v>
      </c>
      <c r="C9" s="85">
        <f>C7*C8</f>
        <v>3900</v>
      </c>
      <c r="E9" s="66" t="s">
        <v>72</v>
      </c>
      <c r="F9" s="64">
        <v>1800</v>
      </c>
      <c r="G9" s="86"/>
    </row>
    <row r="10" spans="1:7" x14ac:dyDescent="0.25">
      <c r="B10" s="66" t="str">
        <f>E9</f>
        <v>Existing debt</v>
      </c>
      <c r="C10" s="86">
        <f>F9</f>
        <v>1800</v>
      </c>
      <c r="E10" s="66" t="s">
        <v>70</v>
      </c>
      <c r="F10" s="64">
        <v>1200</v>
      </c>
      <c r="G10" s="86"/>
    </row>
    <row r="11" spans="1:7" x14ac:dyDescent="0.25">
      <c r="A11" t="s">
        <v>73</v>
      </c>
      <c r="B11" s="66" t="str">
        <f>E10</f>
        <v>Cash on B/S</v>
      </c>
      <c r="C11" s="86">
        <f>F10</f>
        <v>1200</v>
      </c>
      <c r="E11" s="101" t="s">
        <v>84</v>
      </c>
      <c r="F11" s="102">
        <v>25</v>
      </c>
      <c r="G11" s="103"/>
    </row>
    <row r="12" spans="1:7" x14ac:dyDescent="0.25">
      <c r="B12" s="65" t="s">
        <v>87</v>
      </c>
      <c r="C12" s="75">
        <f>C9+C10-C11</f>
        <v>4500</v>
      </c>
    </row>
    <row r="13" spans="1:7" x14ac:dyDescent="0.25">
      <c r="B13" s="98" t="s">
        <v>88</v>
      </c>
      <c r="C13" s="99">
        <f>C12/D23</f>
        <v>7.5</v>
      </c>
    </row>
    <row r="15" spans="1:7" x14ac:dyDescent="0.25">
      <c r="B15" s="65" t="s">
        <v>101</v>
      </c>
      <c r="C15" s="73"/>
    </row>
    <row r="16" spans="1:7" x14ac:dyDescent="0.25">
      <c r="B16" s="66" t="s">
        <v>49</v>
      </c>
      <c r="C16" s="104">
        <v>0.01</v>
      </c>
    </row>
    <row r="17" spans="1:9" x14ac:dyDescent="0.25">
      <c r="B17" s="66" t="s">
        <v>51</v>
      </c>
      <c r="C17" s="92">
        <v>0.25</v>
      </c>
    </row>
    <row r="18" spans="1:9" x14ac:dyDescent="0.25">
      <c r="B18" s="101" t="s">
        <v>92</v>
      </c>
      <c r="C18" s="105">
        <v>0.05</v>
      </c>
    </row>
    <row r="19" spans="1:9" x14ac:dyDescent="0.25">
      <c r="C19" s="2"/>
    </row>
    <row r="20" spans="1:9" ht="17.25" x14ac:dyDescent="0.4">
      <c r="A20" t="s">
        <v>73</v>
      </c>
      <c r="B20" s="65" t="s">
        <v>52</v>
      </c>
      <c r="C20" s="40"/>
      <c r="D20" s="106">
        <v>2023</v>
      </c>
      <c r="E20" s="106">
        <v>2024</v>
      </c>
      <c r="F20" s="106">
        <v>2025</v>
      </c>
      <c r="G20" s="106">
        <v>2026</v>
      </c>
      <c r="H20" s="106">
        <v>2027</v>
      </c>
      <c r="I20" s="107">
        <v>2028</v>
      </c>
    </row>
    <row r="21" spans="1:9" x14ac:dyDescent="0.25">
      <c r="B21" s="66" t="s">
        <v>7</v>
      </c>
      <c r="C21" s="63"/>
      <c r="D21" s="108">
        <v>2000</v>
      </c>
      <c r="E21" s="108">
        <f>D21*(1+E22)</f>
        <v>2100</v>
      </c>
      <c r="F21" s="108">
        <f t="shared" ref="F21:I21" si="0">E21*(1+F22)</f>
        <v>2205</v>
      </c>
      <c r="G21" s="108">
        <f t="shared" si="0"/>
        <v>2315.25</v>
      </c>
      <c r="H21" s="108">
        <f t="shared" si="0"/>
        <v>2431.0125000000003</v>
      </c>
      <c r="I21" s="109">
        <f t="shared" si="0"/>
        <v>2552.5631250000006</v>
      </c>
    </row>
    <row r="22" spans="1:9" x14ac:dyDescent="0.25">
      <c r="B22" s="110" t="s">
        <v>47</v>
      </c>
      <c r="C22" s="111"/>
      <c r="D22" s="111"/>
      <c r="E22" s="112">
        <f>C18</f>
        <v>0.05</v>
      </c>
      <c r="F22" s="112">
        <f>E22</f>
        <v>0.05</v>
      </c>
      <c r="G22" s="112">
        <f t="shared" ref="G22:I22" si="1">F22</f>
        <v>0.05</v>
      </c>
      <c r="H22" s="112">
        <f t="shared" si="1"/>
        <v>0.05</v>
      </c>
      <c r="I22" s="113">
        <f t="shared" si="1"/>
        <v>0.05</v>
      </c>
    </row>
    <row r="23" spans="1:9" x14ac:dyDescent="0.25">
      <c r="B23" s="66" t="s">
        <v>2</v>
      </c>
      <c r="C23" s="63"/>
      <c r="D23" s="64">
        <f>D24*D21</f>
        <v>600</v>
      </c>
      <c r="E23" s="64">
        <f t="shared" ref="E23:I23" si="2">E24*E21</f>
        <v>651</v>
      </c>
      <c r="F23" s="64">
        <f t="shared" si="2"/>
        <v>705.6</v>
      </c>
      <c r="G23" s="64">
        <f t="shared" si="2"/>
        <v>764.03250000000003</v>
      </c>
      <c r="H23" s="64">
        <f t="shared" si="2"/>
        <v>826.54425000000015</v>
      </c>
      <c r="I23" s="74">
        <f t="shared" si="2"/>
        <v>893.39709375000029</v>
      </c>
    </row>
    <row r="24" spans="1:9" x14ac:dyDescent="0.25">
      <c r="B24" s="110" t="s">
        <v>48</v>
      </c>
      <c r="C24" s="63"/>
      <c r="D24" s="112">
        <v>0.3</v>
      </c>
      <c r="E24" s="114">
        <f>D24+$C$16</f>
        <v>0.31</v>
      </c>
      <c r="F24" s="114">
        <f>E24+$C$16</f>
        <v>0.32</v>
      </c>
      <c r="G24" s="114">
        <f>F24+$C$16</f>
        <v>0.33</v>
      </c>
      <c r="H24" s="114">
        <f>G24+$C$16</f>
        <v>0.34</v>
      </c>
      <c r="I24" s="115">
        <f>H24+$C$16</f>
        <v>0.35000000000000003</v>
      </c>
    </row>
    <row r="25" spans="1:9" x14ac:dyDescent="0.25">
      <c r="B25" s="66" t="s">
        <v>46</v>
      </c>
      <c r="C25" s="63"/>
      <c r="D25" s="64">
        <v>100</v>
      </c>
      <c r="E25" s="64">
        <f>E26*E21</f>
        <v>105</v>
      </c>
      <c r="F25" s="64">
        <f t="shared" ref="F25:I25" si="3">F26*F21</f>
        <v>110.25</v>
      </c>
      <c r="G25" s="64">
        <f t="shared" si="3"/>
        <v>115.7625</v>
      </c>
      <c r="H25" s="64">
        <f t="shared" si="3"/>
        <v>121.55062500000003</v>
      </c>
      <c r="I25" s="74">
        <f t="shared" si="3"/>
        <v>127.62815625000003</v>
      </c>
    </row>
    <row r="26" spans="1:9" x14ac:dyDescent="0.25">
      <c r="B26" s="110" t="s">
        <v>55</v>
      </c>
      <c r="C26" s="63"/>
      <c r="D26" s="112">
        <f>D25/D21</f>
        <v>0.05</v>
      </c>
      <c r="E26" s="112">
        <f>D26</f>
        <v>0.05</v>
      </c>
      <c r="F26" s="112">
        <f t="shared" ref="F26:I26" si="4">E26</f>
        <v>0.05</v>
      </c>
      <c r="G26" s="112">
        <f t="shared" si="4"/>
        <v>0.05</v>
      </c>
      <c r="H26" s="112">
        <f t="shared" si="4"/>
        <v>0.05</v>
      </c>
      <c r="I26" s="113">
        <f t="shared" si="4"/>
        <v>0.05</v>
      </c>
    </row>
    <row r="27" spans="1:9" x14ac:dyDescent="0.25">
      <c r="B27" s="66" t="s">
        <v>54</v>
      </c>
      <c r="C27" s="63"/>
      <c r="D27" s="64">
        <f>D23-D25</f>
        <v>500</v>
      </c>
      <c r="E27" s="64">
        <f t="shared" ref="E27:I27" si="5">E23-E25</f>
        <v>546</v>
      </c>
      <c r="F27" s="64">
        <f t="shared" si="5"/>
        <v>595.35</v>
      </c>
      <c r="G27" s="64">
        <f t="shared" si="5"/>
        <v>648.27</v>
      </c>
      <c r="H27" s="64">
        <f t="shared" si="5"/>
        <v>704.99362500000007</v>
      </c>
      <c r="I27" s="74">
        <f t="shared" si="5"/>
        <v>765.76893750000022</v>
      </c>
    </row>
    <row r="28" spans="1:9" x14ac:dyDescent="0.25">
      <c r="B28" s="116" t="s">
        <v>53</v>
      </c>
      <c r="C28" s="63"/>
      <c r="D28" s="63"/>
      <c r="E28" s="64">
        <f ca="1">IF($F$2=1,E83,0)</f>
        <v>261.13202933985332</v>
      </c>
      <c r="F28" s="64">
        <f t="shared" ref="F28:I28" ca="1" si="6">IF($F$2=1,F83,0)</f>
        <v>213.77900179936753</v>
      </c>
      <c r="G28" s="64">
        <f t="shared" ca="1" si="6"/>
        <v>163.74920102627632</v>
      </c>
      <c r="H28" s="64">
        <f t="shared" ca="1" si="6"/>
        <v>100.1075102281894</v>
      </c>
      <c r="I28" s="74">
        <f t="shared" ca="1" si="6"/>
        <v>26.28892649581492</v>
      </c>
    </row>
    <row r="29" spans="1:9" x14ac:dyDescent="0.25">
      <c r="B29" s="66" t="s">
        <v>56</v>
      </c>
      <c r="C29" s="63"/>
      <c r="D29" s="64"/>
      <c r="E29" s="64">
        <f t="shared" ref="E29:I29" ca="1" si="7">E27-E28</f>
        <v>284.86797066014668</v>
      </c>
      <c r="F29" s="64">
        <f t="shared" ca="1" si="7"/>
        <v>381.57099820063252</v>
      </c>
      <c r="G29" s="64">
        <f t="shared" ca="1" si="7"/>
        <v>484.52079897372369</v>
      </c>
      <c r="H29" s="64">
        <f t="shared" ca="1" si="7"/>
        <v>604.88611477181064</v>
      </c>
      <c r="I29" s="74">
        <f t="shared" ca="1" si="7"/>
        <v>739.48001100418526</v>
      </c>
    </row>
    <row r="30" spans="1:9" x14ac:dyDescent="0.25">
      <c r="B30" s="66" t="s">
        <v>57</v>
      </c>
      <c r="C30" s="63"/>
      <c r="D30" s="64"/>
      <c r="E30" s="64">
        <f ca="1">E29*$C$17</f>
        <v>71.21699266503667</v>
      </c>
      <c r="F30" s="64">
        <f ca="1">F29*$C$17</f>
        <v>95.392749550158129</v>
      </c>
      <c r="G30" s="64">
        <f ca="1">G29*$C$17</f>
        <v>121.13019974343092</v>
      </c>
      <c r="H30" s="64">
        <f ca="1">H29*$C$17</f>
        <v>151.22152869295266</v>
      </c>
      <c r="I30" s="74">
        <f ca="1">I29*$C$17</f>
        <v>184.87000275104631</v>
      </c>
    </row>
    <row r="31" spans="1:9" x14ac:dyDescent="0.25">
      <c r="B31" s="65" t="s">
        <v>58</v>
      </c>
      <c r="C31" s="50"/>
      <c r="D31" s="51"/>
      <c r="E31" s="51">
        <f t="shared" ref="E31:I31" ca="1" si="8">E29-E30</f>
        <v>213.65097799511</v>
      </c>
      <c r="F31" s="51">
        <f t="shared" ca="1" si="8"/>
        <v>286.17824865047442</v>
      </c>
      <c r="G31" s="51">
        <f t="shared" ca="1" si="8"/>
        <v>363.39059923029276</v>
      </c>
      <c r="H31" s="51">
        <f t="shared" ca="1" si="8"/>
        <v>453.66458607885795</v>
      </c>
      <c r="I31" s="75">
        <f t="shared" ca="1" si="8"/>
        <v>554.61000825313897</v>
      </c>
    </row>
    <row r="32" spans="1:9" x14ac:dyDescent="0.25">
      <c r="B32" s="66"/>
      <c r="C32" s="63"/>
      <c r="D32" s="63"/>
      <c r="E32" s="63"/>
      <c r="F32" s="63"/>
      <c r="G32" s="63"/>
      <c r="H32" s="63"/>
      <c r="I32" s="86"/>
    </row>
    <row r="33" spans="1:9" x14ac:dyDescent="0.25">
      <c r="B33" s="66" t="s">
        <v>60</v>
      </c>
      <c r="C33" s="63"/>
      <c r="D33" s="63">
        <v>50</v>
      </c>
      <c r="E33" s="64">
        <f>E34*E21</f>
        <v>52.5</v>
      </c>
      <c r="F33" s="64">
        <f t="shared" ref="F33:I33" si="9">F34*F21</f>
        <v>55.125</v>
      </c>
      <c r="G33" s="64">
        <f t="shared" si="9"/>
        <v>57.881250000000001</v>
      </c>
      <c r="H33" s="64">
        <f t="shared" si="9"/>
        <v>60.775312500000013</v>
      </c>
      <c r="I33" s="74">
        <f t="shared" si="9"/>
        <v>63.814078125000016</v>
      </c>
    </row>
    <row r="34" spans="1:9" x14ac:dyDescent="0.25">
      <c r="B34" s="110" t="s">
        <v>55</v>
      </c>
      <c r="C34" s="63"/>
      <c r="D34" s="112">
        <f>D33/D21</f>
        <v>2.5000000000000001E-2</v>
      </c>
      <c r="E34" s="91">
        <f>D34</f>
        <v>2.5000000000000001E-2</v>
      </c>
      <c r="F34" s="91">
        <f t="shared" ref="F34:I34" si="10">E34</f>
        <v>2.5000000000000001E-2</v>
      </c>
      <c r="G34" s="91">
        <f t="shared" si="10"/>
        <v>2.5000000000000001E-2</v>
      </c>
      <c r="H34" s="91">
        <f t="shared" si="10"/>
        <v>2.5000000000000001E-2</v>
      </c>
      <c r="I34" s="92">
        <f t="shared" si="10"/>
        <v>2.5000000000000001E-2</v>
      </c>
    </row>
    <row r="35" spans="1:9" x14ac:dyDescent="0.25">
      <c r="B35" s="66" t="s">
        <v>61</v>
      </c>
      <c r="C35" s="63"/>
      <c r="D35" s="63">
        <v>75</v>
      </c>
      <c r="E35" s="64">
        <f>E36*E21</f>
        <v>78.75</v>
      </c>
      <c r="F35" s="64">
        <f t="shared" ref="F35:I35" si="11">F36*F21</f>
        <v>82.6875</v>
      </c>
      <c r="G35" s="64">
        <f t="shared" si="11"/>
        <v>86.821874999999991</v>
      </c>
      <c r="H35" s="64">
        <f t="shared" si="11"/>
        <v>91.162968750000005</v>
      </c>
      <c r="I35" s="74">
        <f t="shared" si="11"/>
        <v>95.721117187500013</v>
      </c>
    </row>
    <row r="36" spans="1:9" x14ac:dyDescent="0.25">
      <c r="B36" s="110" t="s">
        <v>55</v>
      </c>
      <c r="C36" s="63"/>
      <c r="D36" s="112">
        <f>D35/D21</f>
        <v>3.7499999999999999E-2</v>
      </c>
      <c r="E36" s="112">
        <f>D36</f>
        <v>3.7499999999999999E-2</v>
      </c>
      <c r="F36" s="112">
        <f t="shared" ref="F36:I36" si="12">E36</f>
        <v>3.7499999999999999E-2</v>
      </c>
      <c r="G36" s="112">
        <f t="shared" si="12"/>
        <v>3.7499999999999999E-2</v>
      </c>
      <c r="H36" s="112">
        <f t="shared" si="12"/>
        <v>3.7499999999999999E-2</v>
      </c>
      <c r="I36" s="113">
        <f t="shared" si="12"/>
        <v>3.7499999999999999E-2</v>
      </c>
    </row>
    <row r="37" spans="1:9" x14ac:dyDescent="0.25">
      <c r="B37" s="101" t="s">
        <v>62</v>
      </c>
      <c r="C37" s="117"/>
      <c r="D37" s="117"/>
      <c r="E37" s="102">
        <f>E35-D35</f>
        <v>3.75</v>
      </c>
      <c r="F37" s="102">
        <f t="shared" ref="F37:I37" si="13">F35-E35</f>
        <v>3.9375</v>
      </c>
      <c r="G37" s="102">
        <f t="shared" si="13"/>
        <v>4.1343749999999915</v>
      </c>
      <c r="H37" s="102">
        <f t="shared" si="13"/>
        <v>4.3410937500000131</v>
      </c>
      <c r="I37" s="118">
        <f t="shared" si="13"/>
        <v>4.5581484375000088</v>
      </c>
    </row>
    <row r="39" spans="1:9" x14ac:dyDescent="0.25">
      <c r="A39" t="s">
        <v>73</v>
      </c>
      <c r="B39" s="65" t="s">
        <v>100</v>
      </c>
      <c r="C39" s="40"/>
      <c r="D39" s="40"/>
      <c r="E39" s="40"/>
      <c r="F39" s="40"/>
      <c r="G39" s="40"/>
      <c r="H39" s="40"/>
      <c r="I39" s="73"/>
    </row>
    <row r="40" spans="1:9" x14ac:dyDescent="0.25">
      <c r="B40" s="66" t="s">
        <v>2</v>
      </c>
      <c r="C40" s="63"/>
      <c r="D40" s="64">
        <f>D23</f>
        <v>600</v>
      </c>
      <c r="E40" s="64">
        <f t="shared" ref="E40:I40" si="14">E23</f>
        <v>651</v>
      </c>
      <c r="F40" s="64">
        <f t="shared" si="14"/>
        <v>705.6</v>
      </c>
      <c r="G40" s="64">
        <f t="shared" si="14"/>
        <v>764.03250000000003</v>
      </c>
      <c r="H40" s="64">
        <f t="shared" si="14"/>
        <v>826.54425000000015</v>
      </c>
      <c r="I40" s="74">
        <f t="shared" si="14"/>
        <v>893.39709375000029</v>
      </c>
    </row>
    <row r="41" spans="1:9" x14ac:dyDescent="0.25">
      <c r="B41" s="66" t="s">
        <v>65</v>
      </c>
      <c r="C41" s="63"/>
      <c r="D41" s="63"/>
      <c r="E41" s="64">
        <f>E33</f>
        <v>52.5</v>
      </c>
      <c r="F41" s="64">
        <f t="shared" ref="F41:I41" si="15">F33</f>
        <v>55.125</v>
      </c>
      <c r="G41" s="64">
        <f t="shared" si="15"/>
        <v>57.881250000000001</v>
      </c>
      <c r="H41" s="64">
        <f t="shared" si="15"/>
        <v>60.775312500000013</v>
      </c>
      <c r="I41" s="74">
        <f t="shared" si="15"/>
        <v>63.814078125000016</v>
      </c>
    </row>
    <row r="42" spans="1:9" x14ac:dyDescent="0.25">
      <c r="B42" s="66" t="s">
        <v>64</v>
      </c>
      <c r="C42" s="63"/>
      <c r="D42" s="63"/>
      <c r="E42" s="64">
        <f>E37</f>
        <v>3.75</v>
      </c>
      <c r="F42" s="64">
        <f t="shared" ref="F42:I42" si="16">F37</f>
        <v>3.9375</v>
      </c>
      <c r="G42" s="64">
        <f t="shared" si="16"/>
        <v>4.1343749999999915</v>
      </c>
      <c r="H42" s="64">
        <f t="shared" si="16"/>
        <v>4.3410937500000131</v>
      </c>
      <c r="I42" s="74">
        <f t="shared" si="16"/>
        <v>4.5581484375000088</v>
      </c>
    </row>
    <row r="43" spans="1:9" x14ac:dyDescent="0.25">
      <c r="B43" s="66" t="s">
        <v>63</v>
      </c>
      <c r="C43" s="63"/>
      <c r="D43" s="63"/>
      <c r="E43" s="64">
        <f ca="1">E30</f>
        <v>71.21699266503667</v>
      </c>
      <c r="F43" s="64">
        <f t="shared" ref="F43:I43" ca="1" si="17">F30</f>
        <v>95.392749550158129</v>
      </c>
      <c r="G43" s="64">
        <f t="shared" ca="1" si="17"/>
        <v>121.13019974343092</v>
      </c>
      <c r="H43" s="64">
        <f t="shared" ca="1" si="17"/>
        <v>151.22152869295266</v>
      </c>
      <c r="I43" s="74">
        <f t="shared" ca="1" si="17"/>
        <v>184.87000275104631</v>
      </c>
    </row>
    <row r="44" spans="1:9" x14ac:dyDescent="0.25">
      <c r="B44" s="65" t="s">
        <v>59</v>
      </c>
      <c r="C44" s="50"/>
      <c r="D44" s="50"/>
      <c r="E44" s="51">
        <f ca="1">E40-E41-E42-E43</f>
        <v>523.53300733496337</v>
      </c>
      <c r="F44" s="51">
        <f t="shared" ref="F44:I44" ca="1" si="18">F40-F41-F42-F43</f>
        <v>551.14475044984192</v>
      </c>
      <c r="G44" s="51">
        <f t="shared" ca="1" si="18"/>
        <v>580.88667525656911</v>
      </c>
      <c r="H44" s="51">
        <f t="shared" ca="1" si="18"/>
        <v>610.20631505704739</v>
      </c>
      <c r="I44" s="75">
        <f t="shared" ca="1" si="18"/>
        <v>640.15486443645398</v>
      </c>
    </row>
    <row r="45" spans="1:9" x14ac:dyDescent="0.25">
      <c r="B45" s="66" t="s">
        <v>83</v>
      </c>
      <c r="C45" s="63"/>
      <c r="D45" s="63"/>
      <c r="E45" s="64">
        <f>$F$11</f>
        <v>25</v>
      </c>
      <c r="F45" s="64">
        <f t="shared" ref="F45:I45" si="19">$F$11</f>
        <v>25</v>
      </c>
      <c r="G45" s="64">
        <f t="shared" si="19"/>
        <v>25</v>
      </c>
      <c r="H45" s="64">
        <f t="shared" si="19"/>
        <v>25</v>
      </c>
      <c r="I45" s="74">
        <f t="shared" si="19"/>
        <v>25</v>
      </c>
    </row>
    <row r="46" spans="1:9" x14ac:dyDescent="0.25">
      <c r="B46" s="76" t="s">
        <v>85</v>
      </c>
      <c r="C46" s="77"/>
      <c r="D46" s="77"/>
      <c r="E46" s="78">
        <f ca="1">E44-E45</f>
        <v>498.53300733496337</v>
      </c>
      <c r="F46" s="78">
        <f t="shared" ref="F46:I46" ca="1" si="20">F44-F45</f>
        <v>526.14475044984192</v>
      </c>
      <c r="G46" s="78">
        <f t="shared" ca="1" si="20"/>
        <v>555.88667525656911</v>
      </c>
      <c r="H46" s="78">
        <f t="shared" ca="1" si="20"/>
        <v>585.20631505704739</v>
      </c>
      <c r="I46" s="79">
        <f t="shared" ca="1" si="20"/>
        <v>615.15486443645398</v>
      </c>
    </row>
    <row r="48" spans="1:9" x14ac:dyDescent="0.25">
      <c r="A48" t="s">
        <v>73</v>
      </c>
      <c r="B48" s="65" t="s">
        <v>8</v>
      </c>
      <c r="C48" s="80" t="s">
        <v>66</v>
      </c>
      <c r="D48" s="80" t="s">
        <v>44</v>
      </c>
      <c r="E48" s="81" t="s">
        <v>67</v>
      </c>
    </row>
    <row r="49" spans="1:5" x14ac:dyDescent="0.25">
      <c r="B49" s="66" t="s">
        <v>42</v>
      </c>
      <c r="C49" s="64">
        <f>D49*D23</f>
        <v>1800</v>
      </c>
      <c r="D49" s="71">
        <f>F5</f>
        <v>3</v>
      </c>
      <c r="E49" s="67">
        <f>D49/D51</f>
        <v>0.6</v>
      </c>
    </row>
    <row r="50" spans="1:5" x14ac:dyDescent="0.25">
      <c r="B50" s="66" t="s">
        <v>43</v>
      </c>
      <c r="C50" s="64">
        <f>D50*D23</f>
        <v>1200</v>
      </c>
      <c r="D50" s="71">
        <f>F6</f>
        <v>2</v>
      </c>
      <c r="E50" s="67">
        <f>D50/D51</f>
        <v>0.4</v>
      </c>
    </row>
    <row r="51" spans="1:5" x14ac:dyDescent="0.25">
      <c r="B51" s="68" t="s">
        <v>15</v>
      </c>
      <c r="C51" s="69">
        <f>SUM(C49:C50)</f>
        <v>3000</v>
      </c>
      <c r="D51" s="72">
        <f t="shared" ref="D51:E51" si="21">SUM(D49:D50)</f>
        <v>5</v>
      </c>
      <c r="E51" s="70">
        <f t="shared" si="21"/>
        <v>1</v>
      </c>
    </row>
    <row r="53" spans="1:5" x14ac:dyDescent="0.25">
      <c r="B53" s="65" t="s">
        <v>16</v>
      </c>
      <c r="C53" s="80" t="s">
        <v>66</v>
      </c>
      <c r="D53" s="81" t="s">
        <v>67</v>
      </c>
    </row>
    <row r="54" spans="1:5" x14ac:dyDescent="0.25">
      <c r="B54" s="66" t="s">
        <v>8</v>
      </c>
      <c r="C54" s="64">
        <f>C51</f>
        <v>3000</v>
      </c>
      <c r="D54" s="67">
        <f>C54/$C$57</f>
        <v>0.5240174672489083</v>
      </c>
    </row>
    <row r="55" spans="1:5" x14ac:dyDescent="0.25">
      <c r="B55" s="66" t="s">
        <v>70</v>
      </c>
      <c r="C55" s="64">
        <f>F10</f>
        <v>1200</v>
      </c>
      <c r="D55" s="67">
        <f t="shared" ref="D55:D56" si="22">C55/$C$57</f>
        <v>0.20960698689956331</v>
      </c>
    </row>
    <row r="56" spans="1:5" x14ac:dyDescent="0.25">
      <c r="B56" s="66" t="s">
        <v>68</v>
      </c>
      <c r="C56" s="64">
        <f>C57-C54-C55</f>
        <v>1525</v>
      </c>
      <c r="D56" s="67">
        <f t="shared" si="22"/>
        <v>0.26637554585152839</v>
      </c>
    </row>
    <row r="57" spans="1:5" x14ac:dyDescent="0.25">
      <c r="B57" s="68" t="s">
        <v>19</v>
      </c>
      <c r="C57" s="69">
        <f>+C63</f>
        <v>5725</v>
      </c>
      <c r="D57" s="70">
        <f>SUM(D54:D56)</f>
        <v>1</v>
      </c>
    </row>
    <row r="58" spans="1:5" x14ac:dyDescent="0.25">
      <c r="C58" s="8"/>
    </row>
    <row r="59" spans="1:5" x14ac:dyDescent="0.25">
      <c r="B59" s="65" t="s">
        <v>17</v>
      </c>
      <c r="C59" s="80" t="s">
        <v>66</v>
      </c>
      <c r="D59" s="81" t="s">
        <v>67</v>
      </c>
    </row>
    <row r="60" spans="1:5" x14ac:dyDescent="0.25">
      <c r="B60" s="66" t="s">
        <v>69</v>
      </c>
      <c r="C60" s="64">
        <f>C9</f>
        <v>3900</v>
      </c>
      <c r="D60" s="67">
        <f>C60/C63</f>
        <v>0.68122270742358082</v>
      </c>
    </row>
    <row r="61" spans="1:5" x14ac:dyDescent="0.25">
      <c r="B61" s="66" t="s">
        <v>83</v>
      </c>
      <c r="C61" s="64">
        <f>F11</f>
        <v>25</v>
      </c>
      <c r="D61" s="67">
        <f>C61/C63</f>
        <v>4.3668122270742356E-3</v>
      </c>
    </row>
    <row r="62" spans="1:5" x14ac:dyDescent="0.25">
      <c r="B62" s="66" t="s">
        <v>71</v>
      </c>
      <c r="C62" s="64">
        <f>F9</f>
        <v>1800</v>
      </c>
      <c r="D62" s="67">
        <f>C62/C63</f>
        <v>0.31441048034934499</v>
      </c>
    </row>
    <row r="63" spans="1:5" x14ac:dyDescent="0.25">
      <c r="A63" t="s">
        <v>73</v>
      </c>
      <c r="B63" s="68" t="s">
        <v>21</v>
      </c>
      <c r="C63" s="69">
        <f>SUM(C60:C62)</f>
        <v>5725</v>
      </c>
      <c r="D63" s="70">
        <f>SUM(D60:D62)</f>
        <v>1</v>
      </c>
    </row>
    <row r="65" spans="2:14" x14ac:dyDescent="0.25">
      <c r="B65" s="65" t="s">
        <v>74</v>
      </c>
      <c r="C65" s="40"/>
      <c r="D65" s="60" t="s">
        <v>79</v>
      </c>
      <c r="E65" s="40"/>
      <c r="F65" s="40"/>
      <c r="G65" s="40"/>
      <c r="H65" s="40"/>
      <c r="I65" s="73"/>
    </row>
    <row r="66" spans="2:14" x14ac:dyDescent="0.25">
      <c r="B66" s="66" t="s">
        <v>81</v>
      </c>
      <c r="C66" s="63"/>
      <c r="D66" s="82">
        <f>G5</f>
        <v>0.09</v>
      </c>
      <c r="E66" s="64">
        <f>C49</f>
        <v>1800</v>
      </c>
      <c r="F66" s="64">
        <f ca="1">E68</f>
        <v>1301.4669926650367</v>
      </c>
      <c r="G66" s="64">
        <f t="shared" ref="G66:I66" ca="1" si="23">F68</f>
        <v>775.32224221519482</v>
      </c>
      <c r="H66" s="64">
        <f t="shared" ca="1" si="23"/>
        <v>219.43556695862571</v>
      </c>
      <c r="I66" s="74">
        <f t="shared" ca="1" si="23"/>
        <v>0</v>
      </c>
    </row>
    <row r="67" spans="2:14" x14ac:dyDescent="0.25">
      <c r="B67" s="66" t="s">
        <v>75</v>
      </c>
      <c r="C67" s="63"/>
      <c r="D67" s="83"/>
      <c r="E67" s="64">
        <f ca="1">-MIN(E66,E46)</f>
        <v>-498.53300733496337</v>
      </c>
      <c r="F67" s="64">
        <f ca="1">-MIN(F66,F46)</f>
        <v>-526.14475044984192</v>
      </c>
      <c r="G67" s="64">
        <f ca="1">-MIN(G66,G46)</f>
        <v>-555.88667525656911</v>
      </c>
      <c r="H67" s="64">
        <f ca="1">-MIN(H66,H46)</f>
        <v>-219.43556695862571</v>
      </c>
      <c r="I67" s="74">
        <f ca="1">-MIN(I66,I46)</f>
        <v>0</v>
      </c>
    </row>
    <row r="68" spans="2:14" x14ac:dyDescent="0.25">
      <c r="B68" s="84" t="s">
        <v>76</v>
      </c>
      <c r="C68" s="40"/>
      <c r="D68" s="60"/>
      <c r="E68" s="49">
        <f ca="1">SUM(E66:E67)</f>
        <v>1301.4669926650367</v>
      </c>
      <c r="F68" s="49">
        <f t="shared" ref="F68:I68" ca="1" si="24">SUM(F66:F67)</f>
        <v>775.32224221519482</v>
      </c>
      <c r="G68" s="49">
        <f t="shared" ca="1" si="24"/>
        <v>219.43556695862571</v>
      </c>
      <c r="H68" s="49">
        <f t="shared" ca="1" si="24"/>
        <v>0</v>
      </c>
      <c r="I68" s="85">
        <f t="shared" ca="1" si="24"/>
        <v>0</v>
      </c>
    </row>
    <row r="69" spans="2:14" x14ac:dyDescent="0.25">
      <c r="B69" s="66"/>
      <c r="C69" s="63"/>
      <c r="D69" s="83"/>
      <c r="E69" s="63"/>
      <c r="F69" s="63"/>
      <c r="G69" s="63"/>
      <c r="H69" s="63"/>
      <c r="I69" s="86"/>
    </row>
    <row r="70" spans="2:14" x14ac:dyDescent="0.25">
      <c r="B70" s="66" t="s">
        <v>80</v>
      </c>
      <c r="C70" s="63"/>
      <c r="D70" s="82">
        <f>G6</f>
        <v>0.12</v>
      </c>
      <c r="E70" s="64">
        <f>D50*D23</f>
        <v>1200</v>
      </c>
      <c r="F70" s="64">
        <f ca="1">E72</f>
        <v>1200</v>
      </c>
      <c r="G70" s="64">
        <f t="shared" ref="G70:I70" ca="1" si="25">F72</f>
        <v>1200</v>
      </c>
      <c r="H70" s="64">
        <f t="shared" ca="1" si="25"/>
        <v>1200</v>
      </c>
      <c r="I70" s="74">
        <f t="shared" ca="1" si="25"/>
        <v>834.22925190157832</v>
      </c>
    </row>
    <row r="71" spans="2:14" x14ac:dyDescent="0.25">
      <c r="B71" s="66" t="s">
        <v>75</v>
      </c>
      <c r="C71" s="63"/>
      <c r="D71" s="63"/>
      <c r="E71" s="64">
        <f ca="1">-MIN(E70,E46+E67)</f>
        <v>0</v>
      </c>
      <c r="F71" s="64">
        <f ca="1">-MIN(F70,F46+F67)</f>
        <v>0</v>
      </c>
      <c r="G71" s="64">
        <f ca="1">-MIN(G70,G46+G67)</f>
        <v>0</v>
      </c>
      <c r="H71" s="64">
        <f ca="1">-MIN(H70,H46+H67)</f>
        <v>-365.77074809842168</v>
      </c>
      <c r="I71" s="74">
        <f ca="1">-MIN(I70,I46+I67)</f>
        <v>-615.15486443645398</v>
      </c>
    </row>
    <row r="72" spans="2:14" x14ac:dyDescent="0.25">
      <c r="B72" s="84" t="s">
        <v>76</v>
      </c>
      <c r="C72" s="40"/>
      <c r="D72" s="40"/>
      <c r="E72" s="49">
        <f ca="1">SUM(E70:E71)</f>
        <v>1200</v>
      </c>
      <c r="F72" s="49">
        <f t="shared" ref="F72:I72" ca="1" si="26">SUM(F70:F71)</f>
        <v>1200</v>
      </c>
      <c r="G72" s="49">
        <f t="shared" ca="1" si="26"/>
        <v>1200</v>
      </c>
      <c r="H72" s="49">
        <f t="shared" ca="1" si="26"/>
        <v>834.22925190157832</v>
      </c>
      <c r="I72" s="85">
        <f t="shared" ca="1" si="26"/>
        <v>219.07438746512435</v>
      </c>
    </row>
    <row r="73" spans="2:14" x14ac:dyDescent="0.25">
      <c r="B73" s="66"/>
      <c r="C73" s="63"/>
      <c r="D73" s="63"/>
      <c r="E73" s="64"/>
      <c r="F73" s="64"/>
      <c r="G73" s="64"/>
      <c r="H73" s="64"/>
      <c r="I73" s="74"/>
    </row>
    <row r="74" spans="2:14" x14ac:dyDescent="0.25">
      <c r="B74" s="87" t="s">
        <v>96</v>
      </c>
      <c r="C74" s="88"/>
      <c r="D74" s="88"/>
      <c r="E74" s="89">
        <f ca="1">SUM(E68,E72)</f>
        <v>2501.4669926650367</v>
      </c>
      <c r="F74" s="89">
        <f t="shared" ref="F74:I74" ca="1" si="27">SUM(F68,F72)</f>
        <v>1975.3222422151948</v>
      </c>
      <c r="G74" s="89">
        <f t="shared" ca="1" si="27"/>
        <v>1419.4355669586257</v>
      </c>
      <c r="H74" s="89">
        <f t="shared" ca="1" si="27"/>
        <v>834.22925190157832</v>
      </c>
      <c r="I74" s="90">
        <f t="shared" ca="1" si="27"/>
        <v>219.07438746512435</v>
      </c>
    </row>
    <row r="76" spans="2:14" x14ac:dyDescent="0.25">
      <c r="B76" s="65" t="s">
        <v>53</v>
      </c>
      <c r="C76" s="40"/>
      <c r="D76" s="40"/>
      <c r="E76" s="40"/>
      <c r="F76" s="40"/>
      <c r="G76" s="40"/>
      <c r="H76" s="40"/>
      <c r="I76" s="73"/>
    </row>
    <row r="77" spans="2:14" x14ac:dyDescent="0.25">
      <c r="B77" s="66" t="s">
        <v>77</v>
      </c>
      <c r="C77" s="63"/>
      <c r="D77" s="82">
        <f>D66</f>
        <v>0.09</v>
      </c>
      <c r="E77" s="91">
        <f>D77</f>
        <v>0.09</v>
      </c>
      <c r="F77" s="91">
        <f t="shared" ref="F77:I77" si="28">E77</f>
        <v>0.09</v>
      </c>
      <c r="G77" s="91">
        <f t="shared" si="28"/>
        <v>0.09</v>
      </c>
      <c r="H77" s="91">
        <f t="shared" si="28"/>
        <v>0.09</v>
      </c>
      <c r="I77" s="92">
        <f t="shared" si="28"/>
        <v>0.09</v>
      </c>
      <c r="N77" t="s">
        <v>1</v>
      </c>
    </row>
    <row r="78" spans="2:14" x14ac:dyDescent="0.25">
      <c r="B78" s="84" t="s">
        <v>93</v>
      </c>
      <c r="C78" s="40"/>
      <c r="D78" s="60"/>
      <c r="E78" s="49">
        <f ca="1">E68*E77</f>
        <v>117.1320293398533</v>
      </c>
      <c r="F78" s="49">
        <f t="shared" ref="F78:I78" ca="1" si="29">F68*F77</f>
        <v>69.779001799367535</v>
      </c>
      <c r="G78" s="49">
        <f t="shared" ca="1" si="29"/>
        <v>19.749201026276314</v>
      </c>
      <c r="H78" s="49">
        <f t="shared" ca="1" si="29"/>
        <v>0</v>
      </c>
      <c r="I78" s="85">
        <f t="shared" ca="1" si="29"/>
        <v>0</v>
      </c>
    </row>
    <row r="79" spans="2:14" x14ac:dyDescent="0.25">
      <c r="B79" s="66"/>
      <c r="C79" s="63"/>
      <c r="D79" s="83"/>
      <c r="E79" s="63"/>
      <c r="F79" s="63"/>
      <c r="G79" s="63"/>
      <c r="H79" s="63"/>
      <c r="I79" s="86"/>
    </row>
    <row r="80" spans="2:14" x14ac:dyDescent="0.25">
      <c r="B80" s="66" t="s">
        <v>78</v>
      </c>
      <c r="C80" s="63"/>
      <c r="D80" s="82">
        <f>D70</f>
        <v>0.12</v>
      </c>
      <c r="E80" s="91">
        <f>D80</f>
        <v>0.12</v>
      </c>
      <c r="F80" s="91">
        <f t="shared" ref="F80:I80" si="30">E80</f>
        <v>0.12</v>
      </c>
      <c r="G80" s="91">
        <f t="shared" si="30"/>
        <v>0.12</v>
      </c>
      <c r="H80" s="91">
        <f t="shared" si="30"/>
        <v>0.12</v>
      </c>
      <c r="I80" s="92">
        <f t="shared" si="30"/>
        <v>0.12</v>
      </c>
    </row>
    <row r="81" spans="1:9" x14ac:dyDescent="0.25">
      <c r="B81" s="84" t="s">
        <v>94</v>
      </c>
      <c r="C81" s="40"/>
      <c r="D81" s="40"/>
      <c r="E81" s="49">
        <f ca="1">E80*E72</f>
        <v>144</v>
      </c>
      <c r="F81" s="49">
        <f t="shared" ref="F81:I81" ca="1" si="31">F80*F72</f>
        <v>144</v>
      </c>
      <c r="G81" s="49">
        <f t="shared" ca="1" si="31"/>
        <v>144</v>
      </c>
      <c r="H81" s="49">
        <f t="shared" ca="1" si="31"/>
        <v>100.1075102281894</v>
      </c>
      <c r="I81" s="85">
        <f t="shared" ca="1" si="31"/>
        <v>26.28892649581492</v>
      </c>
    </row>
    <row r="82" spans="1:9" x14ac:dyDescent="0.25">
      <c r="B82" s="66"/>
      <c r="C82" s="63"/>
      <c r="D82" s="63"/>
      <c r="E82" s="63"/>
      <c r="F82" s="63"/>
      <c r="G82" s="63"/>
      <c r="H82" s="63"/>
      <c r="I82" s="86"/>
    </row>
    <row r="83" spans="1:9" x14ac:dyDescent="0.25">
      <c r="B83" s="93" t="s">
        <v>82</v>
      </c>
      <c r="C83" s="88"/>
      <c r="D83" s="88"/>
      <c r="E83" s="89">
        <f ca="1">SUM(E78,E81)</f>
        <v>261.13202933985332</v>
      </c>
      <c r="F83" s="89">
        <f t="shared" ref="F83:I83" ca="1" si="32">SUM(F78,F81)</f>
        <v>213.77900179936753</v>
      </c>
      <c r="G83" s="89">
        <f t="shared" ca="1" si="32"/>
        <v>163.74920102627632</v>
      </c>
      <c r="H83" s="89">
        <f t="shared" ca="1" si="32"/>
        <v>100.1075102281894</v>
      </c>
      <c r="I83" s="90">
        <f t="shared" ca="1" si="32"/>
        <v>26.28892649581492</v>
      </c>
    </row>
    <row r="86" spans="1:9" x14ac:dyDescent="0.25">
      <c r="A86" t="s">
        <v>73</v>
      </c>
      <c r="B86" s="65" t="s">
        <v>97</v>
      </c>
      <c r="C86" s="73"/>
    </row>
    <row r="87" spans="1:9" x14ac:dyDescent="0.25">
      <c r="B87" s="66" t="s">
        <v>24</v>
      </c>
      <c r="C87" s="74">
        <f>I23</f>
        <v>893.39709375000029</v>
      </c>
    </row>
    <row r="88" spans="1:9" x14ac:dyDescent="0.25">
      <c r="B88" s="66" t="s">
        <v>98</v>
      </c>
      <c r="C88" s="119">
        <f>C13</f>
        <v>7.5</v>
      </c>
    </row>
    <row r="89" spans="1:9" x14ac:dyDescent="0.25">
      <c r="B89" s="84" t="s">
        <v>25</v>
      </c>
      <c r="C89" s="85">
        <f>C87*C88</f>
        <v>6700.4782031250024</v>
      </c>
    </row>
    <row r="90" spans="1:9" x14ac:dyDescent="0.25">
      <c r="B90" s="120" t="s">
        <v>27</v>
      </c>
      <c r="C90" s="74">
        <f ca="1">I74</f>
        <v>219.07438746512435</v>
      </c>
    </row>
    <row r="91" spans="1:9" x14ac:dyDescent="0.25">
      <c r="B91" s="121" t="s">
        <v>91</v>
      </c>
      <c r="C91" s="122">
        <f ca="1">C89-C90</f>
        <v>6481.4038156598781</v>
      </c>
    </row>
    <row r="93" spans="1:9" x14ac:dyDescent="0.25">
      <c r="B93" s="94" t="s">
        <v>99</v>
      </c>
      <c r="C93" s="95">
        <f ca="1">C91/C56</f>
        <v>4.2501008627277885</v>
      </c>
    </row>
    <row r="94" spans="1:9" x14ac:dyDescent="0.25">
      <c r="B94" s="94" t="s">
        <v>0</v>
      </c>
      <c r="C94" s="96">
        <f ca="1">IRR(D97:I97)</f>
        <v>0.3356105698799059</v>
      </c>
    </row>
    <row r="96" spans="1:9" x14ac:dyDescent="0.25">
      <c r="D96" s="52">
        <f>D20</f>
        <v>2023</v>
      </c>
      <c r="E96" s="52">
        <f>E20</f>
        <v>2024</v>
      </c>
      <c r="F96" s="52">
        <f>F20</f>
        <v>2025</v>
      </c>
      <c r="G96" s="52">
        <f>G20</f>
        <v>2026</v>
      </c>
      <c r="H96" s="52">
        <f>H20</f>
        <v>2027</v>
      </c>
      <c r="I96" s="52">
        <f>I20</f>
        <v>2028</v>
      </c>
    </row>
    <row r="97" spans="4:9" x14ac:dyDescent="0.25">
      <c r="D97" s="8">
        <f>-C56</f>
        <v>-1525</v>
      </c>
      <c r="E97">
        <v>0</v>
      </c>
      <c r="F97">
        <v>0</v>
      </c>
      <c r="G97">
        <v>0</v>
      </c>
      <c r="H97">
        <v>0</v>
      </c>
      <c r="I97" s="8">
        <f ca="1">C91</f>
        <v>6481.4038156598781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47D69-CD9D-437E-AEA5-E2F9537C181B}">
  <sheetPr>
    <tabColor theme="4" tint="-0.249977111117893"/>
  </sheetPr>
  <dimension ref="A1"/>
  <sheetViews>
    <sheetView showGridLines="0" workbookViewId="0">
      <selection activeCell="C2" sqref="C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72D6-236F-4BB4-B7D3-F94E384FBDED}">
  <sheetPr>
    <tabColor theme="4" tint="-0.249977111117893"/>
  </sheetPr>
  <dimension ref="B2:J30"/>
  <sheetViews>
    <sheetView showGridLines="0" workbookViewId="0">
      <selection activeCell="H23" sqref="H23"/>
    </sheetView>
  </sheetViews>
  <sheetFormatPr defaultRowHeight="18.75" x14ac:dyDescent="0.3"/>
  <cols>
    <col min="1" max="1" width="9.140625" style="5"/>
    <col min="2" max="2" width="25" style="5" bestFit="1" customWidth="1"/>
    <col min="3" max="4" width="9.140625" style="5"/>
    <col min="5" max="5" width="18" style="5" bestFit="1" customWidth="1"/>
    <col min="6" max="16384" width="9.140625" style="5"/>
  </cols>
  <sheetData>
    <row r="2" spans="2:6" x14ac:dyDescent="0.3">
      <c r="B2" s="5" t="s">
        <v>3</v>
      </c>
      <c r="C2" s="27">
        <f>'Prompt 1'!E32</f>
        <v>7.7949308755760365</v>
      </c>
      <c r="D2" s="27"/>
    </row>
    <row r="3" spans="2:6" x14ac:dyDescent="0.3">
      <c r="B3" s="5" t="s">
        <v>2</v>
      </c>
      <c r="C3" s="5">
        <v>20</v>
      </c>
    </row>
    <row r="4" spans="2:6" x14ac:dyDescent="0.3">
      <c r="B4" s="26" t="s">
        <v>13</v>
      </c>
      <c r="C4" s="30">
        <f>C2*C3</f>
        <v>155.89861751152074</v>
      </c>
      <c r="D4" s="28"/>
    </row>
    <row r="6" spans="2:6" x14ac:dyDescent="0.3">
      <c r="B6" s="5" t="s">
        <v>14</v>
      </c>
      <c r="C6" s="27">
        <f>'Prompt 1'!G32</f>
        <v>4.0950844854070665</v>
      </c>
      <c r="D6" s="27"/>
    </row>
    <row r="7" spans="2:6" x14ac:dyDescent="0.3">
      <c r="B7" s="5" t="s">
        <v>2</v>
      </c>
      <c r="C7" s="5">
        <f>C3</f>
        <v>20</v>
      </c>
    </row>
    <row r="8" spans="2:6" x14ac:dyDescent="0.3">
      <c r="B8" s="26" t="s">
        <v>15</v>
      </c>
      <c r="C8" s="30">
        <f>C6*C7</f>
        <v>81.901689708141333</v>
      </c>
      <c r="D8" s="31"/>
    </row>
    <row r="9" spans="2:6" x14ac:dyDescent="0.3">
      <c r="C9" s="29"/>
    </row>
    <row r="10" spans="2:6" x14ac:dyDescent="0.3">
      <c r="B10" s="28" t="s">
        <v>16</v>
      </c>
      <c r="C10" s="29"/>
      <c r="E10" s="28" t="s">
        <v>17</v>
      </c>
    </row>
    <row r="11" spans="2:6" x14ac:dyDescent="0.3">
      <c r="B11" s="5" t="s">
        <v>8</v>
      </c>
      <c r="C11" s="29">
        <f>C8</f>
        <v>81.901689708141333</v>
      </c>
      <c r="E11" s="5" t="s">
        <v>20</v>
      </c>
      <c r="F11" s="29">
        <f>C4</f>
        <v>155.89861751152074</v>
      </c>
    </row>
    <row r="12" spans="2:6" x14ac:dyDescent="0.3">
      <c r="B12" s="5" t="s">
        <v>18</v>
      </c>
      <c r="C12" s="29">
        <f>C13-C11</f>
        <v>73.996927803379407</v>
      </c>
      <c r="F12" s="29"/>
    </row>
    <row r="13" spans="2:6" x14ac:dyDescent="0.3">
      <c r="B13" s="26" t="s">
        <v>19</v>
      </c>
      <c r="C13" s="30">
        <f>F13</f>
        <v>155.89861751152074</v>
      </c>
      <c r="E13" s="26" t="s">
        <v>21</v>
      </c>
      <c r="F13" s="30">
        <f>SUM(F11:F12)</f>
        <v>155.89861751152074</v>
      </c>
    </row>
    <row r="15" spans="2:6" x14ac:dyDescent="0.3">
      <c r="B15" s="5" t="s">
        <v>22</v>
      </c>
    </row>
    <row r="16" spans="2:6" x14ac:dyDescent="0.3">
      <c r="B16" s="5" t="s">
        <v>23</v>
      </c>
      <c r="C16" s="27">
        <f>C2</f>
        <v>7.7949308755760365</v>
      </c>
    </row>
    <row r="17" spans="2:10" x14ac:dyDescent="0.3">
      <c r="B17" s="5" t="s">
        <v>24</v>
      </c>
      <c r="C17" s="5">
        <v>45</v>
      </c>
    </row>
    <row r="18" spans="2:10" x14ac:dyDescent="0.3">
      <c r="B18" s="26" t="s">
        <v>25</v>
      </c>
      <c r="C18" s="30">
        <f>C16*C17</f>
        <v>350.77188940092162</v>
      </c>
    </row>
    <row r="20" spans="2:10" x14ac:dyDescent="0.3">
      <c r="B20" s="5" t="s">
        <v>26</v>
      </c>
      <c r="C20" s="29">
        <f>C8</f>
        <v>81.901689708141333</v>
      </c>
    </row>
    <row r="21" spans="2:10" x14ac:dyDescent="0.3">
      <c r="B21" s="5" t="s">
        <v>28</v>
      </c>
      <c r="C21" s="6">
        <v>0.45</v>
      </c>
    </row>
    <row r="22" spans="2:10" x14ac:dyDescent="0.3">
      <c r="B22" s="5" t="s">
        <v>29</v>
      </c>
      <c r="C22" s="29">
        <f>C20*C21</f>
        <v>36.855760368663603</v>
      </c>
    </row>
    <row r="23" spans="2:10" x14ac:dyDescent="0.3">
      <c r="B23" s="26" t="s">
        <v>27</v>
      </c>
      <c r="C23" s="30">
        <f>C20-C22</f>
        <v>45.04592933947773</v>
      </c>
    </row>
    <row r="25" spans="2:10" x14ac:dyDescent="0.3">
      <c r="B25" s="5" t="s">
        <v>25</v>
      </c>
      <c r="C25" s="29">
        <f>C18</f>
        <v>350.77188940092162</v>
      </c>
    </row>
    <row r="26" spans="2:10" x14ac:dyDescent="0.3">
      <c r="B26" s="5" t="s">
        <v>27</v>
      </c>
      <c r="C26" s="29">
        <f>C23</f>
        <v>45.04592933947773</v>
      </c>
    </row>
    <row r="27" spans="2:10" x14ac:dyDescent="0.3">
      <c r="B27" s="26" t="s">
        <v>30</v>
      </c>
      <c r="C27" s="30">
        <f>C25-C26</f>
        <v>305.72596006144391</v>
      </c>
    </row>
    <row r="28" spans="2:10" x14ac:dyDescent="0.3">
      <c r="B28" s="28"/>
      <c r="C28" s="32"/>
      <c r="E28" s="13">
        <v>0</v>
      </c>
      <c r="F28" s="13">
        <v>1</v>
      </c>
      <c r="G28" s="13">
        <v>2</v>
      </c>
      <c r="H28" s="13">
        <v>3</v>
      </c>
      <c r="I28" s="13">
        <v>4</v>
      </c>
      <c r="J28" s="13">
        <v>5</v>
      </c>
    </row>
    <row r="29" spans="2:10" x14ac:dyDescent="0.3">
      <c r="B29" s="34" t="s">
        <v>31</v>
      </c>
      <c r="C29" s="35">
        <f>C27/C12</f>
        <v>4.131603421074483</v>
      </c>
      <c r="E29" s="33">
        <f>-C12</f>
        <v>-73.996927803379407</v>
      </c>
      <c r="F29" s="13">
        <v>0</v>
      </c>
      <c r="G29" s="13">
        <v>0</v>
      </c>
      <c r="H29" s="13">
        <v>0</v>
      </c>
      <c r="I29" s="13">
        <v>0</v>
      </c>
      <c r="J29" s="33">
        <f>C27</f>
        <v>305.72596006144391</v>
      </c>
    </row>
    <row r="30" spans="2:10" x14ac:dyDescent="0.3">
      <c r="B30" s="34" t="s">
        <v>0</v>
      </c>
      <c r="C30" s="36">
        <f>IRR(E29:J29)</f>
        <v>0.3280784376896082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A381-AE56-4F10-BA42-7E31FCD3C9AB}">
  <sheetPr>
    <tabColor rgb="FFBD09A3"/>
  </sheetPr>
  <dimension ref="B26:I33"/>
  <sheetViews>
    <sheetView showGridLines="0" workbookViewId="0">
      <selection activeCell="O19" sqref="O19"/>
    </sheetView>
  </sheetViews>
  <sheetFormatPr defaultRowHeight="15" x14ac:dyDescent="0.25"/>
  <cols>
    <col min="2" max="2" width="33" customWidth="1"/>
    <col min="3" max="3" width="23.85546875" customWidth="1"/>
    <col min="4" max="4" width="12.7109375" customWidth="1"/>
    <col min="5" max="5" width="18.5703125" customWidth="1"/>
    <col min="6" max="6" width="13.140625" customWidth="1"/>
    <col min="7" max="7" width="18.7109375" bestFit="1" customWidth="1"/>
  </cols>
  <sheetData>
    <row r="26" spans="2:9" ht="18.75" x14ac:dyDescent="0.3">
      <c r="B26" s="5"/>
      <c r="C26" s="5"/>
      <c r="D26" s="5"/>
      <c r="E26" s="5"/>
      <c r="F26" s="5"/>
      <c r="G26" s="5"/>
      <c r="H26" s="5"/>
      <c r="I26" s="5"/>
    </row>
    <row r="27" spans="2:9" ht="18.75" x14ac:dyDescent="0.3">
      <c r="B27" s="5"/>
      <c r="C27" s="5"/>
      <c r="D27" s="5"/>
      <c r="E27" s="5"/>
      <c r="F27" s="5"/>
      <c r="G27" s="5"/>
      <c r="H27" s="5"/>
      <c r="I27" s="5"/>
    </row>
    <row r="28" spans="2:9" ht="21" x14ac:dyDescent="0.35">
      <c r="B28" s="7"/>
      <c r="C28" s="14" t="s">
        <v>9</v>
      </c>
      <c r="D28" s="14" t="s">
        <v>2</v>
      </c>
      <c r="E28" s="14" t="s">
        <v>10</v>
      </c>
      <c r="F28" s="14" t="s">
        <v>8</v>
      </c>
      <c r="G28" s="14" t="s">
        <v>12</v>
      </c>
      <c r="H28" s="5"/>
      <c r="I28" s="5"/>
    </row>
    <row r="29" spans="2:9" ht="21" x14ac:dyDescent="0.35">
      <c r="B29" s="15" t="s">
        <v>33</v>
      </c>
      <c r="C29" s="23">
        <v>2300</v>
      </c>
      <c r="D29" s="22">
        <v>400</v>
      </c>
      <c r="E29" s="20">
        <f>C29/D29</f>
        <v>5.75</v>
      </c>
      <c r="F29" s="22">
        <v>1400</v>
      </c>
      <c r="G29" s="20">
        <f>F29/D29</f>
        <v>3.5</v>
      </c>
      <c r="H29" s="5"/>
      <c r="I29" s="5"/>
    </row>
    <row r="30" spans="2:9" ht="21" x14ac:dyDescent="0.35">
      <c r="B30" s="15" t="s">
        <v>34</v>
      </c>
      <c r="C30" s="24">
        <v>4100</v>
      </c>
      <c r="D30" s="16">
        <v>750</v>
      </c>
      <c r="E30" s="17">
        <f>C30/D30</f>
        <v>5.4666666666666668</v>
      </c>
      <c r="F30" s="16">
        <v>2000</v>
      </c>
      <c r="G30" s="17">
        <f t="shared" ref="G30:G31" si="0">F30/D30</f>
        <v>2.6666666666666665</v>
      </c>
      <c r="H30" s="5"/>
      <c r="I30" s="5"/>
    </row>
    <row r="31" spans="2:9" ht="21" x14ac:dyDescent="0.35">
      <c r="B31" s="15" t="s">
        <v>35</v>
      </c>
      <c r="C31" s="25">
        <v>3500</v>
      </c>
      <c r="D31" s="16">
        <v>600</v>
      </c>
      <c r="E31" s="17">
        <f>C31/D31</f>
        <v>5.833333333333333</v>
      </c>
      <c r="F31" s="16">
        <v>2200</v>
      </c>
      <c r="G31" s="17">
        <f t="shared" si="0"/>
        <v>3.6666666666666665</v>
      </c>
      <c r="H31" s="5"/>
      <c r="I31" s="5"/>
    </row>
    <row r="32" spans="2:9" ht="21" x14ac:dyDescent="0.35">
      <c r="B32" s="18" t="s">
        <v>11</v>
      </c>
      <c r="C32" s="19"/>
      <c r="D32" s="19"/>
      <c r="E32" s="37">
        <f>AVERAGE(E29:E31)</f>
        <v>5.6833333333333336</v>
      </c>
      <c r="F32" s="38"/>
      <c r="G32" s="37">
        <f>AVERAGE(G29:G31)</f>
        <v>3.2777777777777772</v>
      </c>
      <c r="H32" s="39"/>
      <c r="I32" s="5"/>
    </row>
    <row r="33" spans="2:9" ht="21" x14ac:dyDescent="0.35">
      <c r="B33" s="7"/>
      <c r="C33" s="7"/>
      <c r="D33" s="7"/>
      <c r="E33" s="7"/>
      <c r="F33" s="7"/>
      <c r="G33" s="7"/>
      <c r="H33" s="5"/>
      <c r="I33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9F3A-6ECA-4462-95DE-4F83CF483C08}">
  <sheetPr>
    <tabColor rgb="FFBD09A3"/>
  </sheetPr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67E4-6905-4835-9E38-12C1D9C3AAF2}">
  <sheetPr>
    <tabColor rgb="FFBD09A3"/>
  </sheetPr>
  <dimension ref="B2:J30"/>
  <sheetViews>
    <sheetView showGridLines="0" topLeftCell="A12" zoomScaleNormal="100" workbookViewId="0">
      <selection activeCell="A2" sqref="A2"/>
    </sheetView>
  </sheetViews>
  <sheetFormatPr defaultRowHeight="15" x14ac:dyDescent="0.25"/>
  <cols>
    <col min="2" max="2" width="26.7109375" customWidth="1"/>
    <col min="3" max="3" width="12" customWidth="1"/>
    <col min="5" max="5" width="18" bestFit="1" customWidth="1"/>
  </cols>
  <sheetData>
    <row r="2" spans="2:10" ht="18.75" x14ac:dyDescent="0.3">
      <c r="B2" s="5" t="s">
        <v>3</v>
      </c>
      <c r="C2" s="27">
        <f>'Prompt 2'!E32</f>
        <v>5.6833333333333336</v>
      </c>
      <c r="D2" s="27"/>
      <c r="E2" s="5"/>
      <c r="F2" s="5"/>
      <c r="G2" s="5"/>
      <c r="H2" s="5"/>
      <c r="I2" s="5"/>
      <c r="J2" s="5"/>
    </row>
    <row r="3" spans="2:10" ht="18.75" x14ac:dyDescent="0.3">
      <c r="B3" s="5" t="s">
        <v>2</v>
      </c>
      <c r="C3" s="5">
        <v>50</v>
      </c>
      <c r="D3" s="5"/>
      <c r="E3" s="5"/>
      <c r="F3" s="5"/>
      <c r="G3" s="5"/>
      <c r="H3" s="5"/>
      <c r="I3" s="5"/>
      <c r="J3" s="5"/>
    </row>
    <row r="4" spans="2:10" ht="18.75" x14ac:dyDescent="0.3">
      <c r="B4" s="26" t="s">
        <v>13</v>
      </c>
      <c r="C4" s="30">
        <f>C2*C3</f>
        <v>284.16666666666669</v>
      </c>
      <c r="D4" s="28"/>
      <c r="E4" s="5"/>
      <c r="F4" s="5"/>
      <c r="G4" s="5"/>
      <c r="H4" s="5"/>
      <c r="I4" s="5"/>
      <c r="J4" s="5"/>
    </row>
    <row r="5" spans="2:10" ht="18.75" x14ac:dyDescent="0.3">
      <c r="B5" s="5"/>
      <c r="C5" s="5"/>
      <c r="D5" s="5"/>
      <c r="E5" s="5"/>
      <c r="F5" s="5"/>
      <c r="G5" s="5"/>
      <c r="H5" s="5"/>
      <c r="I5" s="5"/>
      <c r="J5" s="5"/>
    </row>
    <row r="6" spans="2:10" ht="18.75" x14ac:dyDescent="0.3">
      <c r="B6" s="5" t="s">
        <v>14</v>
      </c>
      <c r="C6" s="27">
        <f>'Prompt 2'!G32</f>
        <v>3.2777777777777772</v>
      </c>
      <c r="D6" s="27"/>
      <c r="E6" s="5"/>
      <c r="F6" s="5"/>
      <c r="G6" s="5"/>
      <c r="H6" s="5"/>
      <c r="I6" s="5"/>
      <c r="J6" s="5"/>
    </row>
    <row r="7" spans="2:10" ht="18.75" x14ac:dyDescent="0.3">
      <c r="B7" s="5" t="s">
        <v>2</v>
      </c>
      <c r="C7" s="5">
        <f>C3</f>
        <v>50</v>
      </c>
      <c r="D7" s="5"/>
      <c r="E7" s="5"/>
      <c r="F7" s="5"/>
      <c r="G7" s="5"/>
      <c r="H7" s="5"/>
      <c r="I7" s="5"/>
      <c r="J7" s="5"/>
    </row>
    <row r="8" spans="2:10" ht="18.75" x14ac:dyDescent="0.3">
      <c r="B8" s="26" t="s">
        <v>15</v>
      </c>
      <c r="C8" s="30">
        <f>C6*C7</f>
        <v>163.88888888888886</v>
      </c>
      <c r="D8" s="31"/>
      <c r="E8" s="5"/>
      <c r="F8" s="5"/>
      <c r="G8" s="5"/>
      <c r="H8" s="5"/>
      <c r="I8" s="5"/>
      <c r="J8" s="5"/>
    </row>
    <row r="9" spans="2:10" ht="18.75" x14ac:dyDescent="0.3">
      <c r="B9" s="5"/>
      <c r="C9" s="29"/>
      <c r="D9" s="5"/>
      <c r="E9" s="5"/>
      <c r="F9" s="5"/>
      <c r="G9" s="5"/>
      <c r="H9" s="5"/>
      <c r="I9" s="5"/>
      <c r="J9" s="5"/>
    </row>
    <row r="10" spans="2:10" ht="18.75" x14ac:dyDescent="0.3">
      <c r="B10" s="28" t="s">
        <v>16</v>
      </c>
      <c r="C10" s="29"/>
      <c r="D10" s="5"/>
      <c r="E10" s="28" t="s">
        <v>17</v>
      </c>
      <c r="F10" s="5"/>
      <c r="G10" s="5"/>
      <c r="H10" s="5"/>
      <c r="I10" s="5"/>
      <c r="J10" s="5"/>
    </row>
    <row r="11" spans="2:10" ht="18.75" x14ac:dyDescent="0.3">
      <c r="B11" s="5" t="s">
        <v>8</v>
      </c>
      <c r="C11" s="29">
        <f>C8</f>
        <v>163.88888888888886</v>
      </c>
      <c r="D11" s="5"/>
      <c r="E11" s="5" t="s">
        <v>20</v>
      </c>
      <c r="F11" s="29">
        <f>C4</f>
        <v>284.16666666666669</v>
      </c>
      <c r="G11" s="5"/>
      <c r="H11" s="5"/>
      <c r="I11" s="5"/>
      <c r="J11" s="5"/>
    </row>
    <row r="12" spans="2:10" ht="18.75" x14ac:dyDescent="0.3">
      <c r="B12" s="5" t="s">
        <v>18</v>
      </c>
      <c r="C12" s="29">
        <f>C13-C11</f>
        <v>120.27777777777783</v>
      </c>
      <c r="D12" s="5"/>
      <c r="E12" s="5"/>
      <c r="F12" s="29"/>
      <c r="G12" s="5"/>
      <c r="H12" s="5"/>
      <c r="I12" s="5"/>
      <c r="J12" s="5"/>
    </row>
    <row r="13" spans="2:10" ht="18.75" x14ac:dyDescent="0.3">
      <c r="B13" s="26" t="s">
        <v>19</v>
      </c>
      <c r="C13" s="30">
        <f>F13</f>
        <v>284.16666666666669</v>
      </c>
      <c r="D13" s="5"/>
      <c r="E13" s="26" t="s">
        <v>21</v>
      </c>
      <c r="F13" s="30">
        <f>SUM(F11:F12)</f>
        <v>284.16666666666669</v>
      </c>
      <c r="G13" s="5"/>
      <c r="H13" s="5"/>
      <c r="I13" s="5"/>
      <c r="J13" s="5"/>
    </row>
    <row r="14" spans="2:10" ht="18.75" x14ac:dyDescent="0.3">
      <c r="B14" s="5"/>
      <c r="C14" s="5"/>
      <c r="D14" s="5"/>
      <c r="E14" s="5"/>
      <c r="F14" s="5"/>
      <c r="G14" s="5"/>
      <c r="H14" s="5"/>
      <c r="I14" s="5"/>
      <c r="J14" s="5"/>
    </row>
    <row r="15" spans="2:10" ht="18.75" x14ac:dyDescent="0.3">
      <c r="B15" s="5" t="s">
        <v>22</v>
      </c>
      <c r="C15" s="5"/>
      <c r="D15" s="5"/>
      <c r="E15" s="5"/>
      <c r="F15" s="5"/>
      <c r="G15" s="5"/>
      <c r="H15" s="5"/>
      <c r="I15" s="5"/>
      <c r="J15" s="5"/>
    </row>
    <row r="16" spans="2:10" ht="18.75" x14ac:dyDescent="0.3">
      <c r="B16" s="5" t="s">
        <v>23</v>
      </c>
      <c r="C16" s="27">
        <f>C2</f>
        <v>5.6833333333333336</v>
      </c>
      <c r="D16" s="5"/>
      <c r="E16" s="5"/>
      <c r="F16" s="5"/>
      <c r="G16" s="5"/>
      <c r="H16" s="5"/>
      <c r="I16" s="5"/>
      <c r="J16" s="5"/>
    </row>
    <row r="17" spans="2:10" ht="18.75" x14ac:dyDescent="0.3">
      <c r="B17" s="5" t="s">
        <v>24</v>
      </c>
      <c r="C17" s="5">
        <v>80</v>
      </c>
      <c r="D17" s="5"/>
      <c r="E17" s="5"/>
      <c r="F17" s="5"/>
      <c r="G17" s="5"/>
      <c r="H17" s="5"/>
      <c r="I17" s="5"/>
      <c r="J17" s="5"/>
    </row>
    <row r="18" spans="2:10" ht="18.75" x14ac:dyDescent="0.3">
      <c r="B18" s="26" t="s">
        <v>25</v>
      </c>
      <c r="C18" s="30">
        <f>C16*C17</f>
        <v>454.66666666666669</v>
      </c>
      <c r="D18" s="5"/>
      <c r="E18" s="5"/>
      <c r="F18" s="5"/>
      <c r="G18" s="5"/>
      <c r="H18" s="5"/>
      <c r="I18" s="5"/>
      <c r="J18" s="5"/>
    </row>
    <row r="19" spans="2:10" ht="18.75" x14ac:dyDescent="0.3">
      <c r="B19" s="5"/>
      <c r="C19" s="5"/>
      <c r="D19" s="5"/>
      <c r="E19" s="5"/>
      <c r="F19" s="5"/>
      <c r="G19" s="5"/>
      <c r="H19" s="5"/>
      <c r="I19" s="5"/>
      <c r="J19" s="5"/>
    </row>
    <row r="20" spans="2:10" ht="18.75" x14ac:dyDescent="0.3">
      <c r="B20" s="5" t="s">
        <v>26</v>
      </c>
      <c r="C20" s="29">
        <f>C8</f>
        <v>163.88888888888886</v>
      </c>
      <c r="D20" s="5"/>
      <c r="E20" s="5"/>
      <c r="F20" s="5"/>
      <c r="G20" s="5"/>
      <c r="H20" s="5"/>
      <c r="I20" s="5"/>
      <c r="J20" s="5"/>
    </row>
    <row r="21" spans="2:10" ht="18.75" x14ac:dyDescent="0.3">
      <c r="B21" s="5" t="s">
        <v>28</v>
      </c>
      <c r="C21" s="6">
        <v>0.6</v>
      </c>
      <c r="D21" s="5"/>
      <c r="E21" s="5"/>
      <c r="F21" s="5"/>
      <c r="G21" s="5"/>
      <c r="H21" s="5"/>
      <c r="I21" s="5"/>
      <c r="J21" s="5"/>
    </row>
    <row r="22" spans="2:10" ht="18.75" x14ac:dyDescent="0.3">
      <c r="B22" s="5" t="s">
        <v>29</v>
      </c>
      <c r="C22" s="29">
        <f>C20*C21</f>
        <v>98.333333333333314</v>
      </c>
      <c r="D22" s="5"/>
      <c r="E22" s="5"/>
      <c r="F22" s="5"/>
      <c r="G22" s="5"/>
      <c r="H22" s="5"/>
      <c r="I22" s="5"/>
      <c r="J22" s="5"/>
    </row>
    <row r="23" spans="2:10" ht="18.75" x14ac:dyDescent="0.3">
      <c r="B23" s="26" t="s">
        <v>27</v>
      </c>
      <c r="C23" s="30">
        <f>C20-C22</f>
        <v>65.555555555555543</v>
      </c>
      <c r="D23" s="5"/>
      <c r="E23" s="5"/>
      <c r="F23" s="5"/>
      <c r="G23" s="5"/>
      <c r="H23" s="5"/>
      <c r="I23" s="5"/>
      <c r="J23" s="5"/>
    </row>
    <row r="24" spans="2:10" ht="18.75" x14ac:dyDescent="0.3">
      <c r="B24" s="5"/>
      <c r="C24" s="5"/>
      <c r="D24" s="5"/>
      <c r="E24" s="5"/>
      <c r="F24" s="5"/>
      <c r="G24" s="5"/>
      <c r="H24" s="5"/>
      <c r="I24" s="5"/>
      <c r="J24" s="5"/>
    </row>
    <row r="25" spans="2:10" ht="18.75" x14ac:dyDescent="0.3">
      <c r="B25" s="5" t="s">
        <v>25</v>
      </c>
      <c r="C25" s="29">
        <f>C18</f>
        <v>454.66666666666669</v>
      </c>
      <c r="D25" s="5"/>
      <c r="E25" s="5"/>
      <c r="F25" s="5"/>
      <c r="G25" s="5"/>
      <c r="H25" s="5"/>
      <c r="I25" s="5"/>
      <c r="J25" s="5"/>
    </row>
    <row r="26" spans="2:10" ht="18.75" x14ac:dyDescent="0.3">
      <c r="B26" s="5" t="s">
        <v>27</v>
      </c>
      <c r="C26" s="29">
        <f>C23</f>
        <v>65.555555555555543</v>
      </c>
      <c r="D26" s="5"/>
      <c r="E26" s="5"/>
      <c r="F26" s="5"/>
      <c r="G26" s="5"/>
      <c r="H26" s="5"/>
      <c r="I26" s="5"/>
      <c r="J26" s="5"/>
    </row>
    <row r="27" spans="2:10" ht="18.75" x14ac:dyDescent="0.3">
      <c r="B27" s="26" t="s">
        <v>30</v>
      </c>
      <c r="C27" s="30">
        <f>C25-C26</f>
        <v>389.11111111111114</v>
      </c>
      <c r="D27" s="5"/>
      <c r="E27" s="5"/>
      <c r="F27" s="5"/>
      <c r="G27" s="5"/>
      <c r="H27" s="5"/>
      <c r="I27" s="5"/>
      <c r="J27" s="5"/>
    </row>
    <row r="28" spans="2:10" ht="18.75" x14ac:dyDescent="0.3">
      <c r="B28" s="28"/>
      <c r="C28" s="32"/>
      <c r="D28" s="5"/>
      <c r="E28" s="13">
        <v>0</v>
      </c>
      <c r="F28" s="13">
        <v>1</v>
      </c>
      <c r="G28" s="13">
        <v>2</v>
      </c>
      <c r="H28" s="13">
        <v>3</v>
      </c>
      <c r="I28" s="13">
        <v>4</v>
      </c>
      <c r="J28" s="13">
        <v>5</v>
      </c>
    </row>
    <row r="29" spans="2:10" ht="18.75" x14ac:dyDescent="0.3">
      <c r="B29" s="34" t="s">
        <v>31</v>
      </c>
      <c r="C29" s="35">
        <f>C27/C12</f>
        <v>3.2351039260969965</v>
      </c>
      <c r="D29" s="5"/>
      <c r="E29" s="33">
        <f>-C12</f>
        <v>-120.27777777777783</v>
      </c>
      <c r="F29" s="13">
        <v>0</v>
      </c>
      <c r="G29" s="13">
        <v>0</v>
      </c>
      <c r="H29" s="13">
        <v>0</v>
      </c>
      <c r="I29" s="13">
        <v>0</v>
      </c>
      <c r="J29" s="33">
        <f>C27</f>
        <v>389.11111111111114</v>
      </c>
    </row>
    <row r="30" spans="2:10" ht="18.75" x14ac:dyDescent="0.3">
      <c r="B30" s="34" t="s">
        <v>0</v>
      </c>
      <c r="C30" s="36">
        <f>IRR(E29:J29)</f>
        <v>0.26467125456808427</v>
      </c>
      <c r="D30" s="5"/>
      <c r="E30" s="5"/>
      <c r="F30" s="5"/>
      <c r="G30" s="5"/>
      <c r="H30" s="5"/>
      <c r="I30" s="5"/>
      <c r="J30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C29CC-AFC7-4DFC-89EA-F2E88BF328CD}">
  <sheetPr>
    <tabColor rgb="FFFFFF00"/>
  </sheetPr>
  <dimension ref="C5:E8"/>
  <sheetViews>
    <sheetView showGridLines="0" workbookViewId="0">
      <selection activeCell="U23" sqref="U23"/>
    </sheetView>
  </sheetViews>
  <sheetFormatPr defaultRowHeight="15.75" x14ac:dyDescent="0.25"/>
  <cols>
    <col min="1" max="16384" width="9.140625" style="3"/>
  </cols>
  <sheetData>
    <row r="5" spans="3:5" x14ac:dyDescent="0.25">
      <c r="C5" s="4"/>
    </row>
    <row r="8" spans="3:5" x14ac:dyDescent="0.25">
      <c r="E8" s="3" t="s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FE30E-7356-418A-BA1F-3757DB1817AB}">
  <sheetPr>
    <tabColor rgb="FFFFFF00"/>
  </sheetPr>
  <dimension ref="A1"/>
  <sheetViews>
    <sheetView showGridLines="0" workbookViewId="0">
      <selection activeCell="N31" sqref="N31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794C-400A-40FC-ACB1-001CB6AC7BE8}">
  <sheetPr>
    <tabColor rgb="FFFFFF00"/>
  </sheetPr>
  <dimension ref="A1:I81"/>
  <sheetViews>
    <sheetView showGridLines="0" topLeftCell="A56" workbookViewId="0">
      <selection activeCell="U23" sqref="U23"/>
    </sheetView>
  </sheetViews>
  <sheetFormatPr defaultRowHeight="15" x14ac:dyDescent="0.25"/>
  <cols>
    <col min="2" max="2" width="24" bestFit="1" customWidth="1"/>
    <col min="5" max="5" width="12.140625" bestFit="1" customWidth="1"/>
  </cols>
  <sheetData>
    <row r="1" spans="1:6" x14ac:dyDescent="0.25">
      <c r="A1" s="1"/>
    </row>
    <row r="2" spans="1:6" x14ac:dyDescent="0.25">
      <c r="A2" s="1"/>
      <c r="B2" t="s">
        <v>41</v>
      </c>
      <c r="E2" s="10"/>
      <c r="F2" s="10"/>
    </row>
    <row r="3" spans="1:6" x14ac:dyDescent="0.25">
      <c r="A3" s="1"/>
      <c r="E3" s="10"/>
      <c r="F3" s="10"/>
    </row>
    <row r="4" spans="1:6" x14ac:dyDescent="0.25">
      <c r="A4" s="1"/>
      <c r="B4" s="45" t="s">
        <v>50</v>
      </c>
      <c r="E4" s="46" t="s">
        <v>8</v>
      </c>
      <c r="F4" s="12" t="s">
        <v>44</v>
      </c>
    </row>
    <row r="5" spans="1:6" x14ac:dyDescent="0.25">
      <c r="B5" t="s">
        <v>36</v>
      </c>
      <c r="C5" s="56">
        <v>20</v>
      </c>
      <c r="E5" t="s">
        <v>42</v>
      </c>
      <c r="F5" s="9">
        <v>3</v>
      </c>
    </row>
    <row r="6" spans="1:6" x14ac:dyDescent="0.25">
      <c r="B6" t="s">
        <v>37</v>
      </c>
      <c r="C6" s="2">
        <v>0.3</v>
      </c>
      <c r="E6" t="s">
        <v>43</v>
      </c>
      <c r="F6" s="9">
        <v>1.5</v>
      </c>
    </row>
    <row r="7" spans="1:6" x14ac:dyDescent="0.25">
      <c r="B7" t="s">
        <v>38</v>
      </c>
      <c r="C7" s="56">
        <f>C5*(1+C6)</f>
        <v>26</v>
      </c>
      <c r="E7" s="40" t="s">
        <v>15</v>
      </c>
      <c r="F7" s="54">
        <f>SUM(F5:F6)</f>
        <v>4.5</v>
      </c>
    </row>
    <row r="8" spans="1:6" x14ac:dyDescent="0.25">
      <c r="B8" t="s">
        <v>39</v>
      </c>
      <c r="C8" s="8">
        <v>150</v>
      </c>
    </row>
    <row r="9" spans="1:6" x14ac:dyDescent="0.25">
      <c r="B9" s="40" t="s">
        <v>40</v>
      </c>
      <c r="C9" s="49">
        <f>C7*C8</f>
        <v>3900</v>
      </c>
      <c r="E9" t="s">
        <v>72</v>
      </c>
      <c r="F9" s="8">
        <v>1800</v>
      </c>
    </row>
    <row r="10" spans="1:6" x14ac:dyDescent="0.25">
      <c r="B10" t="str">
        <f>E9</f>
        <v>Existing debt</v>
      </c>
      <c r="C10">
        <f>F9</f>
        <v>1800</v>
      </c>
      <c r="E10" t="s">
        <v>70</v>
      </c>
      <c r="F10" s="8">
        <v>1200</v>
      </c>
    </row>
    <row r="11" spans="1:6" x14ac:dyDescent="0.25">
      <c r="B11" t="str">
        <f>E10</f>
        <v>Cash on B/S</v>
      </c>
      <c r="C11">
        <f>F10</f>
        <v>1200</v>
      </c>
      <c r="F11" s="8"/>
    </row>
    <row r="12" spans="1:6" x14ac:dyDescent="0.25">
      <c r="B12" s="40" t="s">
        <v>87</v>
      </c>
      <c r="C12" s="49">
        <f>C9+C10-C11</f>
        <v>4500</v>
      </c>
      <c r="F12" s="8"/>
    </row>
    <row r="13" spans="1:6" x14ac:dyDescent="0.25">
      <c r="B13" t="s">
        <v>2</v>
      </c>
      <c r="C13" s="8">
        <f>D24</f>
        <v>600</v>
      </c>
      <c r="F13" s="8"/>
    </row>
    <row r="14" spans="1:6" x14ac:dyDescent="0.25">
      <c r="B14" t="s">
        <v>88</v>
      </c>
      <c r="C14" s="9">
        <f>C12/C13</f>
        <v>7.5</v>
      </c>
      <c r="F14" s="8"/>
    </row>
    <row r="16" spans="1:6" x14ac:dyDescent="0.25">
      <c r="A16" t="s">
        <v>73</v>
      </c>
      <c r="B16" s="45" t="s">
        <v>45</v>
      </c>
    </row>
    <row r="17" spans="1:9" x14ac:dyDescent="0.25">
      <c r="B17" t="s">
        <v>49</v>
      </c>
      <c r="C17" s="44">
        <v>5.0000000000000001E-3</v>
      </c>
    </row>
    <row r="18" spans="1:9" x14ac:dyDescent="0.25">
      <c r="B18" t="s">
        <v>51</v>
      </c>
      <c r="C18" s="2">
        <v>0.3</v>
      </c>
    </row>
    <row r="19" spans="1:9" x14ac:dyDescent="0.25">
      <c r="C19" s="2"/>
    </row>
    <row r="20" spans="1:9" x14ac:dyDescent="0.25">
      <c r="C20" s="2"/>
    </row>
    <row r="21" spans="1:9" ht="17.25" x14ac:dyDescent="0.4">
      <c r="A21" t="s">
        <v>73</v>
      </c>
      <c r="B21" s="45" t="s">
        <v>52</v>
      </c>
      <c r="D21" s="53">
        <v>2023</v>
      </c>
      <c r="E21" s="53">
        <v>2024</v>
      </c>
      <c r="F21" s="53">
        <v>2025</v>
      </c>
      <c r="G21" s="53">
        <v>2026</v>
      </c>
      <c r="H21" s="53">
        <v>2027</v>
      </c>
      <c r="I21" s="53">
        <v>2028</v>
      </c>
    </row>
    <row r="22" spans="1:9" x14ac:dyDescent="0.25">
      <c r="B22" t="s">
        <v>7</v>
      </c>
      <c r="D22" s="48">
        <v>2000</v>
      </c>
      <c r="E22" s="48">
        <f>D22*(1+E23)</f>
        <v>2100</v>
      </c>
      <c r="F22" s="48">
        <f t="shared" ref="F22:I22" si="0">E22*(1+F23)</f>
        <v>2205</v>
      </c>
      <c r="G22" s="48">
        <f t="shared" si="0"/>
        <v>2315.25</v>
      </c>
      <c r="H22" s="48">
        <f t="shared" si="0"/>
        <v>2431.0125000000003</v>
      </c>
      <c r="I22" s="48">
        <f t="shared" si="0"/>
        <v>2552.5631250000006</v>
      </c>
    </row>
    <row r="23" spans="1:9" x14ac:dyDescent="0.25">
      <c r="B23" s="41" t="s">
        <v>47</v>
      </c>
      <c r="C23" s="42"/>
      <c r="D23" s="42"/>
      <c r="E23" s="43">
        <v>0.05</v>
      </c>
      <c r="F23" s="43">
        <f>E23</f>
        <v>0.05</v>
      </c>
      <c r="G23" s="43">
        <f t="shared" ref="G23:I23" si="1">F23</f>
        <v>0.05</v>
      </c>
      <c r="H23" s="43">
        <f t="shared" si="1"/>
        <v>0.05</v>
      </c>
      <c r="I23" s="43">
        <f t="shared" si="1"/>
        <v>0.05</v>
      </c>
    </row>
    <row r="24" spans="1:9" x14ac:dyDescent="0.25">
      <c r="B24" t="s">
        <v>2</v>
      </c>
      <c r="D24" s="8">
        <f>D25*D22</f>
        <v>600</v>
      </c>
      <c r="E24" s="8">
        <f t="shared" ref="E24:I24" si="2">E25*E22</f>
        <v>640.5</v>
      </c>
      <c r="F24" s="8">
        <f t="shared" si="2"/>
        <v>683.55</v>
      </c>
      <c r="G24" s="8">
        <f t="shared" si="2"/>
        <v>729.30375000000004</v>
      </c>
      <c r="H24" s="8">
        <f t="shared" si="2"/>
        <v>777.92400000000009</v>
      </c>
      <c r="I24" s="8">
        <f t="shared" si="2"/>
        <v>829.58301562500026</v>
      </c>
    </row>
    <row r="25" spans="1:9" x14ac:dyDescent="0.25">
      <c r="B25" s="41" t="s">
        <v>48</v>
      </c>
      <c r="D25" s="43">
        <v>0.3</v>
      </c>
      <c r="E25" s="47">
        <f>D25+$C$17</f>
        <v>0.30499999999999999</v>
      </c>
      <c r="F25" s="47">
        <f>E25+$C$17</f>
        <v>0.31</v>
      </c>
      <c r="G25" s="47">
        <f>F25+$C$17</f>
        <v>0.315</v>
      </c>
      <c r="H25" s="47">
        <f>G25+$C$17</f>
        <v>0.32</v>
      </c>
      <c r="I25" s="47">
        <f>H25+$C$17</f>
        <v>0.32500000000000001</v>
      </c>
    </row>
    <row r="26" spans="1:9" x14ac:dyDescent="0.25">
      <c r="B26" t="s">
        <v>46</v>
      </c>
      <c r="D26" s="8">
        <v>100</v>
      </c>
      <c r="E26" s="8">
        <f>E27*E22</f>
        <v>105</v>
      </c>
      <c r="F26" s="8">
        <f t="shared" ref="F26:I26" si="3">F27*F22</f>
        <v>110.25</v>
      </c>
      <c r="G26" s="8">
        <f t="shared" si="3"/>
        <v>115.7625</v>
      </c>
      <c r="H26" s="8">
        <f t="shared" si="3"/>
        <v>121.55062500000003</v>
      </c>
      <c r="I26" s="8">
        <f t="shared" si="3"/>
        <v>127.62815625000003</v>
      </c>
    </row>
    <row r="27" spans="1:9" x14ac:dyDescent="0.25">
      <c r="B27" s="41" t="s">
        <v>55</v>
      </c>
      <c r="D27" s="43">
        <f>D26/D22</f>
        <v>0.05</v>
      </c>
      <c r="E27" s="43">
        <f>D27</f>
        <v>0.05</v>
      </c>
      <c r="F27" s="43">
        <f t="shared" ref="F27:I27" si="4">E27</f>
        <v>0.05</v>
      </c>
      <c r="G27" s="43">
        <f t="shared" si="4"/>
        <v>0.05</v>
      </c>
      <c r="H27" s="43">
        <f t="shared" si="4"/>
        <v>0.05</v>
      </c>
      <c r="I27" s="43">
        <f t="shared" si="4"/>
        <v>0.05</v>
      </c>
    </row>
    <row r="28" spans="1:9" x14ac:dyDescent="0.25">
      <c r="B28" t="s">
        <v>54</v>
      </c>
      <c r="D28" s="8">
        <f>D24-D26</f>
        <v>500</v>
      </c>
      <c r="E28" s="8">
        <f t="shared" ref="E28:I28" si="5">E24-E26</f>
        <v>535.5</v>
      </c>
      <c r="F28" s="8">
        <f t="shared" si="5"/>
        <v>573.29999999999995</v>
      </c>
      <c r="G28" s="8">
        <f t="shared" si="5"/>
        <v>613.54124999999999</v>
      </c>
      <c r="H28" s="8">
        <f t="shared" si="5"/>
        <v>656.37337500000012</v>
      </c>
      <c r="I28" s="8">
        <f t="shared" si="5"/>
        <v>701.95485937500018</v>
      </c>
    </row>
    <row r="29" spans="1:9" x14ac:dyDescent="0.25">
      <c r="B29" s="12" t="s">
        <v>53</v>
      </c>
    </row>
    <row r="30" spans="1:9" x14ac:dyDescent="0.25">
      <c r="B30" t="s">
        <v>56</v>
      </c>
      <c r="D30" s="8">
        <f>+D28-D29</f>
        <v>500</v>
      </c>
      <c r="E30" s="8">
        <f t="shared" ref="E30:I30" si="6">+E28-E29</f>
        <v>535.5</v>
      </c>
      <c r="F30" s="8">
        <f t="shared" si="6"/>
        <v>573.29999999999995</v>
      </c>
      <c r="G30" s="8">
        <f t="shared" si="6"/>
        <v>613.54124999999999</v>
      </c>
      <c r="H30" s="8">
        <f t="shared" si="6"/>
        <v>656.37337500000012</v>
      </c>
      <c r="I30" s="8">
        <f t="shared" si="6"/>
        <v>701.95485937500018</v>
      </c>
    </row>
    <row r="31" spans="1:9" x14ac:dyDescent="0.25">
      <c r="B31" t="s">
        <v>57</v>
      </c>
      <c r="D31" s="8">
        <f t="shared" ref="D31:I31" si="7">D30*$C$18</f>
        <v>150</v>
      </c>
      <c r="E31" s="8">
        <f t="shared" si="7"/>
        <v>160.65</v>
      </c>
      <c r="F31" s="8">
        <f t="shared" si="7"/>
        <v>171.98999999999998</v>
      </c>
      <c r="G31" s="8">
        <f t="shared" si="7"/>
        <v>184.062375</v>
      </c>
      <c r="H31" s="8">
        <f t="shared" si="7"/>
        <v>196.91201250000003</v>
      </c>
      <c r="I31" s="8">
        <f t="shared" si="7"/>
        <v>210.58645781250004</v>
      </c>
    </row>
    <row r="32" spans="1:9" x14ac:dyDescent="0.25">
      <c r="B32" s="50" t="s">
        <v>58</v>
      </c>
      <c r="C32" s="50"/>
      <c r="D32" s="51">
        <f>D30-D31</f>
        <v>350</v>
      </c>
      <c r="E32" s="51">
        <f t="shared" ref="E32:I32" si="8">E30-E31</f>
        <v>374.85</v>
      </c>
      <c r="F32" s="51">
        <f t="shared" si="8"/>
        <v>401.30999999999995</v>
      </c>
      <c r="G32" s="51">
        <f t="shared" si="8"/>
        <v>429.47887500000002</v>
      </c>
      <c r="H32" s="51">
        <f t="shared" si="8"/>
        <v>459.46136250000006</v>
      </c>
      <c r="I32" s="51">
        <f t="shared" si="8"/>
        <v>491.36840156250014</v>
      </c>
    </row>
    <row r="34" spans="1:9" x14ac:dyDescent="0.25">
      <c r="B34" t="s">
        <v>60</v>
      </c>
      <c r="D34">
        <v>50</v>
      </c>
      <c r="E34" s="8">
        <f>E35*E22</f>
        <v>52.5</v>
      </c>
      <c r="F34" s="8">
        <f t="shared" ref="F34:I34" si="9">F35*F22</f>
        <v>55.125</v>
      </c>
      <c r="G34" s="8">
        <f t="shared" si="9"/>
        <v>57.881250000000001</v>
      </c>
      <c r="H34" s="8">
        <f t="shared" si="9"/>
        <v>60.775312500000013</v>
      </c>
      <c r="I34" s="8">
        <f t="shared" si="9"/>
        <v>63.814078125000016</v>
      </c>
    </row>
    <row r="35" spans="1:9" x14ac:dyDescent="0.25">
      <c r="B35" s="41" t="s">
        <v>55</v>
      </c>
      <c r="D35" s="43">
        <f>D34/D22</f>
        <v>2.5000000000000001E-2</v>
      </c>
      <c r="E35" s="2">
        <f>D35</f>
        <v>2.5000000000000001E-2</v>
      </c>
      <c r="F35" s="2">
        <f t="shared" ref="F35:I35" si="10">E35</f>
        <v>2.5000000000000001E-2</v>
      </c>
      <c r="G35" s="2">
        <f t="shared" si="10"/>
        <v>2.5000000000000001E-2</v>
      </c>
      <c r="H35" s="2">
        <f t="shared" si="10"/>
        <v>2.5000000000000001E-2</v>
      </c>
      <c r="I35" s="2">
        <f t="shared" si="10"/>
        <v>2.5000000000000001E-2</v>
      </c>
    </row>
    <row r="36" spans="1:9" x14ac:dyDescent="0.25">
      <c r="B36" t="s">
        <v>61</v>
      </c>
      <c r="D36">
        <v>75</v>
      </c>
      <c r="E36" s="8">
        <f>E37*E22</f>
        <v>78.75</v>
      </c>
      <c r="F36" s="8">
        <f t="shared" ref="F36:I36" si="11">F37*F22</f>
        <v>82.6875</v>
      </c>
      <c r="G36" s="8">
        <f t="shared" si="11"/>
        <v>86.821874999999991</v>
      </c>
      <c r="H36" s="8">
        <f t="shared" si="11"/>
        <v>91.162968750000005</v>
      </c>
      <c r="I36" s="8">
        <f t="shared" si="11"/>
        <v>95.721117187500013</v>
      </c>
    </row>
    <row r="37" spans="1:9" x14ac:dyDescent="0.25">
      <c r="B37" s="41" t="s">
        <v>55</v>
      </c>
      <c r="D37" s="43">
        <f>D36/D22</f>
        <v>3.7499999999999999E-2</v>
      </c>
      <c r="E37" s="43">
        <f>D37</f>
        <v>3.7499999999999999E-2</v>
      </c>
      <c r="F37" s="43">
        <f t="shared" ref="F37:I37" si="12">E37</f>
        <v>3.7499999999999999E-2</v>
      </c>
      <c r="G37" s="43">
        <f t="shared" si="12"/>
        <v>3.7499999999999999E-2</v>
      </c>
      <c r="H37" s="43">
        <f t="shared" si="12"/>
        <v>3.7499999999999999E-2</v>
      </c>
      <c r="I37" s="43">
        <f t="shared" si="12"/>
        <v>3.7499999999999999E-2</v>
      </c>
    </row>
    <row r="38" spans="1:9" x14ac:dyDescent="0.25">
      <c r="B38" t="s">
        <v>62</v>
      </c>
      <c r="E38" s="8">
        <f>E36-D36</f>
        <v>3.75</v>
      </c>
      <c r="F38" s="8">
        <f t="shared" ref="F38:I38" si="13">F36-E36</f>
        <v>3.9375</v>
      </c>
      <c r="G38" s="8">
        <f t="shared" si="13"/>
        <v>4.1343749999999915</v>
      </c>
      <c r="H38" s="8">
        <f t="shared" si="13"/>
        <v>4.3410937500000131</v>
      </c>
      <c r="I38" s="8">
        <f t="shared" si="13"/>
        <v>4.5581484375000088</v>
      </c>
    </row>
    <row r="40" spans="1:9" x14ac:dyDescent="0.25">
      <c r="A40" t="s">
        <v>73</v>
      </c>
      <c r="B40" s="45" t="s">
        <v>59</v>
      </c>
    </row>
    <row r="41" spans="1:9" x14ac:dyDescent="0.25">
      <c r="B41" t="s">
        <v>2</v>
      </c>
      <c r="D41" s="8">
        <f>D24</f>
        <v>600</v>
      </c>
      <c r="E41" s="8">
        <f t="shared" ref="E41:I41" si="14">E24</f>
        <v>640.5</v>
      </c>
      <c r="F41" s="8">
        <f t="shared" si="14"/>
        <v>683.55</v>
      </c>
      <c r="G41" s="8">
        <f t="shared" si="14"/>
        <v>729.30375000000004</v>
      </c>
      <c r="H41" s="8">
        <f t="shared" si="14"/>
        <v>777.92400000000009</v>
      </c>
      <c r="I41" s="8">
        <f t="shared" si="14"/>
        <v>829.58301562500026</v>
      </c>
    </row>
    <row r="42" spans="1:9" x14ac:dyDescent="0.25">
      <c r="B42" t="s">
        <v>65</v>
      </c>
      <c r="E42" s="8">
        <f>E34</f>
        <v>52.5</v>
      </c>
      <c r="F42" s="8">
        <f t="shared" ref="F42:I42" si="15">F34</f>
        <v>55.125</v>
      </c>
      <c r="G42" s="8">
        <f t="shared" si="15"/>
        <v>57.881250000000001</v>
      </c>
      <c r="H42" s="8">
        <f t="shared" si="15"/>
        <v>60.775312500000013</v>
      </c>
      <c r="I42" s="8">
        <f t="shared" si="15"/>
        <v>63.814078125000016</v>
      </c>
    </row>
    <row r="43" spans="1:9" x14ac:dyDescent="0.25">
      <c r="B43" t="s">
        <v>64</v>
      </c>
      <c r="E43" s="8">
        <f>E38</f>
        <v>3.75</v>
      </c>
      <c r="F43" s="8">
        <f t="shared" ref="F43:I43" si="16">F38</f>
        <v>3.9375</v>
      </c>
      <c r="G43" s="8">
        <f t="shared" si="16"/>
        <v>4.1343749999999915</v>
      </c>
      <c r="H43" s="8">
        <f t="shared" si="16"/>
        <v>4.3410937500000131</v>
      </c>
      <c r="I43" s="8">
        <f t="shared" si="16"/>
        <v>4.5581484375000088</v>
      </c>
    </row>
    <row r="44" spans="1:9" x14ac:dyDescent="0.25">
      <c r="B44" t="s">
        <v>63</v>
      </c>
      <c r="E44" s="8">
        <f>E31</f>
        <v>160.65</v>
      </c>
      <c r="F44" s="8">
        <f t="shared" ref="F44:I44" si="17">F31</f>
        <v>171.98999999999998</v>
      </c>
      <c r="G44" s="8">
        <f t="shared" si="17"/>
        <v>184.062375</v>
      </c>
      <c r="H44" s="8">
        <f t="shared" si="17"/>
        <v>196.91201250000003</v>
      </c>
      <c r="I44" s="8">
        <f t="shared" si="17"/>
        <v>210.58645781250004</v>
      </c>
    </row>
    <row r="45" spans="1:9" x14ac:dyDescent="0.25">
      <c r="B45" s="50" t="s">
        <v>59</v>
      </c>
      <c r="C45" s="50"/>
      <c r="D45" s="50"/>
      <c r="E45" s="51">
        <f>E41-E42-E43-E44</f>
        <v>423.6</v>
      </c>
      <c r="F45" s="51">
        <f t="shared" ref="F45:I45" si="18">F41-F42-F43-F44</f>
        <v>452.49749999999995</v>
      </c>
      <c r="G45" s="51">
        <f t="shared" si="18"/>
        <v>483.22575000000006</v>
      </c>
      <c r="H45" s="51">
        <f t="shared" si="18"/>
        <v>515.89558124999996</v>
      </c>
      <c r="I45" s="51">
        <f t="shared" si="18"/>
        <v>550.62433125000018</v>
      </c>
    </row>
    <row r="47" spans="1:9" x14ac:dyDescent="0.25">
      <c r="A47" t="s">
        <v>73</v>
      </c>
      <c r="B47" s="45" t="s">
        <v>8</v>
      </c>
      <c r="C47" s="52" t="s">
        <v>66</v>
      </c>
      <c r="D47" s="52" t="s">
        <v>44</v>
      </c>
      <c r="E47" s="52" t="s">
        <v>67</v>
      </c>
    </row>
    <row r="48" spans="1:9" x14ac:dyDescent="0.25">
      <c r="B48" t="s">
        <v>42</v>
      </c>
      <c r="C48" s="8">
        <f>D48*D24</f>
        <v>1800</v>
      </c>
      <c r="D48" s="9">
        <f>F5</f>
        <v>3</v>
      </c>
      <c r="E48" s="1">
        <f>D48/D50</f>
        <v>0.66666666666666663</v>
      </c>
    </row>
    <row r="49" spans="1:5" x14ac:dyDescent="0.25">
      <c r="B49" t="s">
        <v>43</v>
      </c>
      <c r="C49" s="8">
        <f>D49*D24</f>
        <v>900</v>
      </c>
      <c r="D49" s="9">
        <f>F6</f>
        <v>1.5</v>
      </c>
      <c r="E49" s="1">
        <f>D49/D50</f>
        <v>0.33333333333333331</v>
      </c>
    </row>
    <row r="50" spans="1:5" x14ac:dyDescent="0.25">
      <c r="B50" s="40" t="s">
        <v>15</v>
      </c>
      <c r="C50" s="49">
        <f>SUM(C48:C49)</f>
        <v>2700</v>
      </c>
      <c r="D50" s="54">
        <f t="shared" ref="D50:E50" si="19">SUM(D48:D49)</f>
        <v>4.5</v>
      </c>
      <c r="E50" s="55">
        <f t="shared" si="19"/>
        <v>1</v>
      </c>
    </row>
    <row r="52" spans="1:5" x14ac:dyDescent="0.25">
      <c r="B52" s="45" t="s">
        <v>16</v>
      </c>
      <c r="C52" s="52" t="s">
        <v>66</v>
      </c>
      <c r="D52" s="52" t="s">
        <v>44</v>
      </c>
      <c r="E52" s="52" t="s">
        <v>67</v>
      </c>
    </row>
    <row r="53" spans="1:5" x14ac:dyDescent="0.25">
      <c r="B53" t="s">
        <v>8</v>
      </c>
      <c r="C53" s="8">
        <f>C50</f>
        <v>2700</v>
      </c>
      <c r="D53" s="9">
        <f>C53/$D$24</f>
        <v>4.5</v>
      </c>
      <c r="E53" s="1">
        <f>C53/$C$56</f>
        <v>0.47368421052631576</v>
      </c>
    </row>
    <row r="54" spans="1:5" x14ac:dyDescent="0.25">
      <c r="B54" t="s">
        <v>70</v>
      </c>
      <c r="C54" s="8">
        <f>F10</f>
        <v>1200</v>
      </c>
      <c r="D54" s="9">
        <f t="shared" ref="D54:D55" si="20">C54/$D$24</f>
        <v>2</v>
      </c>
      <c r="E54" s="1">
        <f>C54/$C$56</f>
        <v>0.21052631578947367</v>
      </c>
    </row>
    <row r="55" spans="1:5" x14ac:dyDescent="0.25">
      <c r="B55" t="s">
        <v>68</v>
      </c>
      <c r="C55" s="8">
        <f>C56-C53-C54</f>
        <v>1800</v>
      </c>
      <c r="D55" s="9">
        <f t="shared" si="20"/>
        <v>3</v>
      </c>
      <c r="E55" s="1">
        <f>C55/$C$56</f>
        <v>0.31578947368421051</v>
      </c>
    </row>
    <row r="56" spans="1:5" x14ac:dyDescent="0.25">
      <c r="B56" s="40" t="s">
        <v>19</v>
      </c>
      <c r="C56" s="49">
        <f>+C61</f>
        <v>5700</v>
      </c>
      <c r="D56" s="54">
        <f>SUM(D53:D55)</f>
        <v>9.5</v>
      </c>
      <c r="E56" s="55">
        <f>SUM(E53:E55)</f>
        <v>0.99999999999999989</v>
      </c>
    </row>
    <row r="57" spans="1:5" x14ac:dyDescent="0.25">
      <c r="C57" s="8"/>
    </row>
    <row r="58" spans="1:5" x14ac:dyDescent="0.25">
      <c r="B58" s="45" t="s">
        <v>17</v>
      </c>
      <c r="C58" s="52" t="s">
        <v>66</v>
      </c>
      <c r="D58" s="45" t="s">
        <v>44</v>
      </c>
      <c r="E58" s="52" t="s">
        <v>67</v>
      </c>
    </row>
    <row r="59" spans="1:5" x14ac:dyDescent="0.25">
      <c r="B59" t="s">
        <v>69</v>
      </c>
      <c r="C59" s="8">
        <f>C9</f>
        <v>3900</v>
      </c>
      <c r="D59" s="9">
        <f>C59/$D$24</f>
        <v>6.5</v>
      </c>
      <c r="E59" s="1">
        <f>C59/C61</f>
        <v>0.68421052631578949</v>
      </c>
    </row>
    <row r="60" spans="1:5" x14ac:dyDescent="0.25">
      <c r="B60" t="s">
        <v>71</v>
      </c>
      <c r="C60" s="8">
        <f>F9</f>
        <v>1800</v>
      </c>
      <c r="D60" s="9">
        <f>C60/$D$24</f>
        <v>3</v>
      </c>
      <c r="E60" s="1">
        <f>C60/C61</f>
        <v>0.31578947368421051</v>
      </c>
    </row>
    <row r="61" spans="1:5" x14ac:dyDescent="0.25">
      <c r="A61" t="s">
        <v>73</v>
      </c>
      <c r="B61" s="40" t="s">
        <v>21</v>
      </c>
      <c r="C61" s="49">
        <f>SUM(C59:C60)</f>
        <v>5700</v>
      </c>
      <c r="D61" s="54">
        <f>SUM(D59:D60)</f>
        <v>9.5</v>
      </c>
      <c r="E61" s="55">
        <f>SUM(E59:E60)</f>
        <v>1</v>
      </c>
    </row>
    <row r="63" spans="1:5" x14ac:dyDescent="0.25">
      <c r="B63" s="45" t="s">
        <v>86</v>
      </c>
    </row>
    <row r="64" spans="1:5" x14ac:dyDescent="0.25">
      <c r="B64" t="s">
        <v>23</v>
      </c>
      <c r="C64" s="9">
        <f>C14</f>
        <v>7.5</v>
      </c>
    </row>
    <row r="65" spans="2:9" x14ac:dyDescent="0.25">
      <c r="B65" t="s">
        <v>24</v>
      </c>
      <c r="C65" s="8">
        <f>I24</f>
        <v>829.58301562500026</v>
      </c>
    </row>
    <row r="66" spans="2:9" x14ac:dyDescent="0.25">
      <c r="B66" s="50" t="s">
        <v>25</v>
      </c>
      <c r="C66" s="51">
        <f>C64*C65</f>
        <v>6221.8726171875023</v>
      </c>
    </row>
    <row r="68" spans="2:9" x14ac:dyDescent="0.25">
      <c r="B68" t="s">
        <v>26</v>
      </c>
      <c r="C68" s="8">
        <f>C50</f>
        <v>2700</v>
      </c>
    </row>
    <row r="69" spans="2:9" x14ac:dyDescent="0.25">
      <c r="B69" t="s">
        <v>89</v>
      </c>
      <c r="C69" s="8">
        <f>SUM(E45:I45)</f>
        <v>2425.8431624999998</v>
      </c>
    </row>
    <row r="70" spans="2:9" x14ac:dyDescent="0.25">
      <c r="B70" s="40" t="s">
        <v>27</v>
      </c>
      <c r="C70" s="49">
        <f>C68-C69</f>
        <v>274.15683750000017</v>
      </c>
    </row>
    <row r="72" spans="2:9" x14ac:dyDescent="0.25">
      <c r="B72" t="s">
        <v>25</v>
      </c>
      <c r="C72" s="8">
        <f>C66</f>
        <v>6221.8726171875023</v>
      </c>
    </row>
    <row r="73" spans="2:9" x14ac:dyDescent="0.25">
      <c r="B73" t="str">
        <f>B70</f>
        <v>Ending debt</v>
      </c>
      <c r="C73" s="8">
        <f>C70</f>
        <v>274.15683750000017</v>
      </c>
    </row>
    <row r="74" spans="2:9" x14ac:dyDescent="0.25">
      <c r="B74" s="40" t="s">
        <v>30</v>
      </c>
      <c r="C74" s="49">
        <f>C72-C73</f>
        <v>5947.7157796875017</v>
      </c>
    </row>
    <row r="75" spans="2:9" x14ac:dyDescent="0.25">
      <c r="C75" s="8"/>
    </row>
    <row r="76" spans="2:9" x14ac:dyDescent="0.25">
      <c r="C76" s="8" t="s">
        <v>32</v>
      </c>
      <c r="D76">
        <v>0</v>
      </c>
      <c r="E76">
        <v>1</v>
      </c>
      <c r="F76">
        <v>2</v>
      </c>
      <c r="G76">
        <v>3</v>
      </c>
      <c r="H76">
        <v>4</v>
      </c>
      <c r="I76">
        <v>5</v>
      </c>
    </row>
    <row r="77" spans="2:9" x14ac:dyDescent="0.25">
      <c r="C77" s="8"/>
      <c r="D77" s="8">
        <f>-C55</f>
        <v>-1800</v>
      </c>
      <c r="E77">
        <v>0</v>
      </c>
      <c r="F77">
        <v>0</v>
      </c>
      <c r="G77">
        <v>0</v>
      </c>
      <c r="H77">
        <v>0</v>
      </c>
      <c r="I77" s="8">
        <f>+C74</f>
        <v>5947.7157796875017</v>
      </c>
    </row>
    <row r="78" spans="2:9" x14ac:dyDescent="0.25">
      <c r="C78" s="8"/>
      <c r="D78" s="11" t="s">
        <v>90</v>
      </c>
      <c r="I78" s="11" t="s">
        <v>91</v>
      </c>
    </row>
    <row r="80" spans="2:9" x14ac:dyDescent="0.25">
      <c r="B80" s="57" t="s">
        <v>31</v>
      </c>
      <c r="C80" s="58">
        <f>C74/C55</f>
        <v>3.3042865442708345</v>
      </c>
    </row>
    <row r="81" spans="2:3" x14ac:dyDescent="0.25">
      <c r="B81" s="57" t="s">
        <v>0</v>
      </c>
      <c r="C81" s="59">
        <f>IRR(D77:I77)</f>
        <v>0.27003456377888058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Prompt 1</vt:lpstr>
      <vt:lpstr>P1 Response</vt:lpstr>
      <vt:lpstr>P1 Answer</vt:lpstr>
      <vt:lpstr>Prompt 2</vt:lpstr>
      <vt:lpstr>P2 Response</vt:lpstr>
      <vt:lpstr>P2 Answer</vt:lpstr>
      <vt:lpstr>Prompt 3</vt:lpstr>
      <vt:lpstr>P3 Response</vt:lpstr>
      <vt:lpstr>P3 Answer</vt:lpstr>
      <vt:lpstr>Prompt 4</vt:lpstr>
      <vt:lpstr>P4 Response</vt:lpstr>
      <vt:lpstr>P4 Answer</vt:lpstr>
      <vt:lpstr>Prompt 5</vt:lpstr>
      <vt:lpstr>P5 Response</vt:lpstr>
      <vt:lpstr>P5 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Smithies</dc:creator>
  <cp:lastModifiedBy>Richard Smithies</cp:lastModifiedBy>
  <dcterms:created xsi:type="dcterms:W3CDTF">2023-10-23T19:25:43Z</dcterms:created>
  <dcterms:modified xsi:type="dcterms:W3CDTF">2023-10-24T19:55:06Z</dcterms:modified>
</cp:coreProperties>
</file>