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valdez/Desktop/Proyectos/Santa Forever/"/>
    </mc:Choice>
  </mc:AlternateContent>
  <xr:revisionPtr revIDLastSave="0" documentId="13_ncr:1_{277CAD01-AC02-744F-8C63-1BFE792949A8}" xr6:coauthVersionLast="47" xr6:coauthVersionMax="47" xr10:uidLastSave="{00000000-0000-0000-0000-000000000000}"/>
  <bookViews>
    <workbookView xWindow="0" yWindow="460" windowWidth="27820" windowHeight="16680" activeTab="1" xr2:uid="{0984FA86-049A-DC44-BABC-9C5EC243F404}"/>
  </bookViews>
  <sheets>
    <sheet name="Hoja1" sheetId="1" state="hidden" r:id="rId1"/>
    <sheet name="Santa Forever" sheetId="2" r:id="rId2"/>
  </sheets>
  <definedNames>
    <definedName name="_xlnm.Print_Area" localSheetId="1">'Santa Forever'!$B$1:$R$69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G4" i="1"/>
  <c r="I12" i="1"/>
  <c r="G5" i="1"/>
  <c r="I13" i="1"/>
  <c r="G12" i="1"/>
  <c r="G10" i="1"/>
  <c r="N2" i="1"/>
  <c r="N4" i="1"/>
  <c r="H12" i="1"/>
  <c r="L12" i="1"/>
  <c r="L13" i="1"/>
  <c r="I10" i="1"/>
  <c r="I11" i="1"/>
  <c r="H10" i="1"/>
  <c r="H11" i="1"/>
  <c r="P6" i="1"/>
  <c r="Q6" i="1"/>
  <c r="AF10" i="1"/>
  <c r="G15" i="1"/>
  <c r="F15" i="1"/>
  <c r="F18" i="1"/>
  <c r="G2" i="1"/>
  <c r="E4" i="1"/>
  <c r="F4" i="1"/>
  <c r="K2" i="1"/>
  <c r="K3" i="1"/>
  <c r="G3" i="1"/>
  <c r="G9" i="1"/>
  <c r="L6" i="1"/>
  <c r="F28" i="1"/>
  <c r="F23" i="1"/>
  <c r="H13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F16" i="1"/>
  <c r="F17" i="1"/>
  <c r="F19" i="1"/>
  <c r="F20" i="1"/>
  <c r="F21" i="1"/>
  <c r="F22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Q3" i="1"/>
  <c r="Q2" i="1"/>
  <c r="N6" i="1"/>
  <c r="N7" i="1"/>
  <c r="AB30" i="1"/>
  <c r="AD10" i="1"/>
  <c r="AE10" i="1"/>
  <c r="Z33" i="1"/>
  <c r="AB33" i="1"/>
  <c r="AB34" i="1"/>
  <c r="Z25" i="1"/>
  <c r="AB23" i="1"/>
  <c r="V25" i="1"/>
  <c r="N12" i="2"/>
  <c r="D29" i="2"/>
  <c r="K15" i="2"/>
  <c r="S6" i="1"/>
  <c r="L10" i="1"/>
  <c r="K17" i="2"/>
  <c r="C29" i="2"/>
  <c r="G11" i="1"/>
  <c r="AB35" i="1"/>
  <c r="V24" i="1"/>
  <c r="R2" i="1"/>
  <c r="O7" i="1"/>
  <c r="N8" i="1"/>
  <c r="G13" i="1"/>
  <c r="O8" i="1"/>
  <c r="S7" i="1"/>
  <c r="D30" i="2"/>
  <c r="C30" i="2"/>
  <c r="W23" i="1"/>
  <c r="W24" i="1"/>
  <c r="W25" i="1"/>
  <c r="Z24" i="1"/>
  <c r="N9" i="1"/>
  <c r="H9" i="1"/>
  <c r="I9" i="1"/>
  <c r="R6" i="1"/>
  <c r="I29" i="2"/>
  <c r="L9" i="1"/>
  <c r="Z41" i="1"/>
  <c r="AB24" i="1"/>
  <c r="AB25" i="1"/>
  <c r="AB26" i="1"/>
  <c r="O9" i="1"/>
  <c r="D31" i="2"/>
  <c r="C31" i="2"/>
  <c r="S8" i="1"/>
  <c r="N10" i="1"/>
  <c r="L11" i="1"/>
  <c r="C50" i="2"/>
  <c r="R3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D32" i="2"/>
  <c r="C32" i="2"/>
  <c r="O10" i="1"/>
  <c r="D33" i="2"/>
  <c r="C33" i="2"/>
  <c r="N11" i="1"/>
  <c r="O11" i="1"/>
  <c r="D34" i="2"/>
  <c r="C34" i="2"/>
  <c r="N12" i="1"/>
  <c r="O12" i="1"/>
  <c r="D35" i="2"/>
  <c r="C35" i="2"/>
  <c r="N13" i="1"/>
  <c r="O13" i="1"/>
  <c r="D36" i="2"/>
  <c r="C36" i="2"/>
  <c r="N14" i="1"/>
  <c r="O14" i="1"/>
  <c r="D37" i="2"/>
  <c r="C37" i="2"/>
  <c r="N15" i="1"/>
  <c r="O15" i="1"/>
  <c r="D38" i="2"/>
  <c r="C38" i="2"/>
  <c r="N16" i="1"/>
  <c r="O16" i="1"/>
  <c r="D39" i="2"/>
  <c r="C39" i="2"/>
  <c r="N17" i="1"/>
  <c r="O17" i="1"/>
  <c r="D40" i="2"/>
  <c r="C40" i="2"/>
  <c r="N18" i="1"/>
  <c r="O18" i="1"/>
  <c r="D41" i="2"/>
  <c r="C41" i="2"/>
  <c r="N19" i="1"/>
  <c r="O19" i="1"/>
  <c r="D42" i="2"/>
  <c r="C42" i="2"/>
  <c r="N20" i="1"/>
  <c r="O20" i="1"/>
  <c r="D43" i="2"/>
  <c r="C43" i="2"/>
  <c r="O21" i="1"/>
  <c r="D44" i="2"/>
  <c r="N21" i="1"/>
  <c r="C44" i="2"/>
  <c r="O22" i="1"/>
  <c r="D45" i="2"/>
  <c r="N22" i="1"/>
  <c r="C45" i="2"/>
  <c r="O23" i="1"/>
  <c r="D46" i="2"/>
  <c r="N23" i="1"/>
  <c r="C46" i="2"/>
  <c r="O24" i="1"/>
  <c r="D47" i="2"/>
  <c r="N24" i="1"/>
  <c r="C47" i="2"/>
  <c r="O25" i="1"/>
  <c r="D48" i="2"/>
  <c r="N25" i="1"/>
  <c r="C48" i="2"/>
  <c r="K29" i="2"/>
  <c r="R22" i="1"/>
  <c r="R23" i="1"/>
  <c r="R24" i="1"/>
  <c r="R25" i="1"/>
  <c r="R26" i="1"/>
  <c r="N26" i="1"/>
  <c r="L29" i="2"/>
  <c r="O10" i="2"/>
  <c r="S9" i="1"/>
  <c r="Z29" i="1"/>
  <c r="AB29" i="1"/>
  <c r="AB31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Z27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G29" i="2"/>
  <c r="P7" i="1"/>
  <c r="E29" i="2"/>
  <c r="V23" i="1"/>
  <c r="W26" i="1"/>
  <c r="U5" i="1"/>
  <c r="V6" i="1"/>
  <c r="C23" i="2"/>
  <c r="C22" i="2"/>
  <c r="R27" i="1"/>
  <c r="R28" i="1"/>
  <c r="R29" i="1"/>
  <c r="I31" i="2"/>
  <c r="I32" i="2"/>
  <c r="I30" i="2"/>
  <c r="S10" i="1"/>
  <c r="I33" i="2"/>
  <c r="AB37" i="1"/>
  <c r="AH23" i="1"/>
  <c r="AH24" i="1"/>
  <c r="AH25" i="1"/>
  <c r="AH26" i="1"/>
  <c r="AH27" i="1"/>
  <c r="V7" i="1"/>
  <c r="Q7" i="1"/>
  <c r="G30" i="2"/>
  <c r="P8" i="1"/>
  <c r="E30" i="2"/>
  <c r="S11" i="1"/>
  <c r="I34" i="2"/>
  <c r="R30" i="1"/>
  <c r="P9" i="1"/>
  <c r="Q8" i="1"/>
  <c r="G31" i="2"/>
  <c r="E31" i="2"/>
  <c r="V8" i="1"/>
  <c r="S12" i="1"/>
  <c r="I35" i="2"/>
  <c r="V9" i="1"/>
  <c r="P10" i="1"/>
  <c r="E32" i="2"/>
  <c r="Q9" i="1"/>
  <c r="G32" i="2"/>
  <c r="R31" i="1"/>
  <c r="I36" i="2"/>
  <c r="S13" i="1"/>
  <c r="R32" i="1"/>
  <c r="Q10" i="1"/>
  <c r="G33" i="2"/>
  <c r="P11" i="1"/>
  <c r="E33" i="2"/>
  <c r="V10" i="1"/>
  <c r="I37" i="2"/>
  <c r="S14" i="1"/>
  <c r="V11" i="1"/>
  <c r="R33" i="1"/>
  <c r="Q11" i="1"/>
  <c r="G34" i="2"/>
  <c r="E34" i="2"/>
  <c r="P12" i="1"/>
  <c r="S15" i="1"/>
  <c r="I38" i="2"/>
  <c r="R34" i="1"/>
  <c r="E35" i="2"/>
  <c r="P13" i="1"/>
  <c r="Q12" i="1"/>
  <c r="G35" i="2"/>
  <c r="V12" i="1"/>
  <c r="V13" i="1"/>
  <c r="S16" i="1"/>
  <c r="I39" i="2"/>
  <c r="R35" i="1"/>
  <c r="E36" i="2"/>
  <c r="P14" i="1"/>
  <c r="Q13" i="1"/>
  <c r="G36" i="2"/>
  <c r="V14" i="1"/>
  <c r="I40" i="2"/>
  <c r="S17" i="1"/>
  <c r="R36" i="1"/>
  <c r="P15" i="1"/>
  <c r="Q14" i="1"/>
  <c r="G37" i="2"/>
  <c r="E37" i="2"/>
  <c r="S18" i="1"/>
  <c r="I41" i="2"/>
  <c r="P16" i="1"/>
  <c r="Q15" i="1"/>
  <c r="G38" i="2"/>
  <c r="E38" i="2"/>
  <c r="R37" i="1"/>
  <c r="V15" i="1"/>
  <c r="V16" i="1"/>
  <c r="I42" i="2"/>
  <c r="S19" i="1"/>
  <c r="R38" i="1"/>
  <c r="E39" i="2"/>
  <c r="P17" i="1"/>
  <c r="Q16" i="1"/>
  <c r="G39" i="2"/>
  <c r="V17" i="1"/>
  <c r="I43" i="2"/>
  <c r="S20" i="1"/>
  <c r="Q17" i="1"/>
  <c r="G40" i="2"/>
  <c r="E40" i="2"/>
  <c r="P18" i="1"/>
  <c r="R39" i="1"/>
  <c r="S21" i="1"/>
  <c r="I44" i="2"/>
  <c r="R40" i="1"/>
  <c r="Q18" i="1"/>
  <c r="G41" i="2"/>
  <c r="E41" i="2"/>
  <c r="P19" i="1"/>
  <c r="V18" i="1"/>
  <c r="I45" i="2"/>
  <c r="S22" i="1"/>
  <c r="E42" i="2"/>
  <c r="Q19" i="1"/>
  <c r="G42" i="2"/>
  <c r="P20" i="1"/>
  <c r="V19" i="1"/>
  <c r="R41" i="1"/>
  <c r="I46" i="2"/>
  <c r="S23" i="1"/>
  <c r="V20" i="1"/>
  <c r="R42" i="1"/>
  <c r="E43" i="2"/>
  <c r="Q20" i="1"/>
  <c r="G43" i="2"/>
  <c r="P21" i="1"/>
  <c r="I47" i="2"/>
  <c r="S24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P22" i="1"/>
  <c r="E44" i="2"/>
  <c r="Q21" i="1"/>
  <c r="G44" i="2"/>
  <c r="R43" i="1"/>
  <c r="S25" i="1"/>
  <c r="O26" i="1"/>
  <c r="P23" i="1"/>
  <c r="E45" i="2"/>
  <c r="Q22" i="1"/>
  <c r="G45" i="2"/>
  <c r="R44" i="1"/>
  <c r="I48" i="2"/>
  <c r="O27" i="1"/>
  <c r="S26" i="1"/>
  <c r="M29" i="2"/>
  <c r="K30" i="2"/>
  <c r="R45" i="1"/>
  <c r="Q23" i="1"/>
  <c r="G46" i="2"/>
  <c r="E46" i="2"/>
  <c r="P24" i="1"/>
  <c r="O28" i="1"/>
  <c r="S27" i="1"/>
  <c r="M30" i="2"/>
  <c r="K31" i="2"/>
  <c r="L30" i="2"/>
  <c r="R46" i="1"/>
  <c r="P25" i="1"/>
  <c r="Q24" i="1"/>
  <c r="G47" i="2"/>
  <c r="E47" i="2"/>
  <c r="O29" i="1"/>
  <c r="S28" i="1"/>
  <c r="M31" i="2"/>
  <c r="R47" i="1"/>
  <c r="Q25" i="1"/>
  <c r="G48" i="2"/>
  <c r="E48" i="2"/>
  <c r="K32" i="2"/>
  <c r="L31" i="2"/>
  <c r="O30" i="1"/>
  <c r="S29" i="1"/>
  <c r="M32" i="2"/>
  <c r="L32" i="2"/>
  <c r="K33" i="2"/>
  <c r="R48" i="1"/>
  <c r="O31" i="1"/>
  <c r="S30" i="1"/>
  <c r="R49" i="1"/>
  <c r="M33" i="2"/>
  <c r="K34" i="2"/>
  <c r="L33" i="2"/>
  <c r="O32" i="1"/>
  <c r="S31" i="1"/>
  <c r="M34" i="2"/>
  <c r="L34" i="2"/>
  <c r="K35" i="2"/>
  <c r="R50" i="1"/>
  <c r="O33" i="1"/>
  <c r="S32" i="1"/>
  <c r="M35" i="2"/>
  <c r="K36" i="2"/>
  <c r="L35" i="2"/>
  <c r="R51" i="1"/>
  <c r="O34" i="1"/>
  <c r="S33" i="1"/>
  <c r="M36" i="2"/>
  <c r="R52" i="1"/>
  <c r="L36" i="2"/>
  <c r="K37" i="2"/>
  <c r="O35" i="1"/>
  <c r="S34" i="1"/>
  <c r="M37" i="2"/>
  <c r="L37" i="2"/>
  <c r="K38" i="2"/>
  <c r="R53" i="1"/>
  <c r="O36" i="1"/>
  <c r="S35" i="1"/>
  <c r="M38" i="2"/>
  <c r="K39" i="2"/>
  <c r="L38" i="2"/>
  <c r="R54" i="1"/>
  <c r="O37" i="1"/>
  <c r="S36" i="1"/>
  <c r="R55" i="1"/>
  <c r="L39" i="2"/>
  <c r="K40" i="2"/>
  <c r="M39" i="2"/>
  <c r="O38" i="1"/>
  <c r="S37" i="1"/>
  <c r="M40" i="2"/>
  <c r="R56" i="1"/>
  <c r="K41" i="2"/>
  <c r="L40" i="2"/>
  <c r="O39" i="1"/>
  <c r="S38" i="1"/>
  <c r="R57" i="1"/>
  <c r="M41" i="2"/>
  <c r="K42" i="2"/>
  <c r="L41" i="2"/>
  <c r="O40" i="1"/>
  <c r="S39" i="1"/>
  <c r="M42" i="2"/>
  <c r="L42" i="2"/>
  <c r="K43" i="2"/>
  <c r="R58" i="1"/>
  <c r="O41" i="1"/>
  <c r="S40" i="1"/>
  <c r="R59" i="1"/>
  <c r="L43" i="2"/>
  <c r="K44" i="2"/>
  <c r="M43" i="2"/>
  <c r="O42" i="1"/>
  <c r="S41" i="1"/>
  <c r="M44" i="2"/>
  <c r="R60" i="1"/>
  <c r="L44" i="2"/>
  <c r="K45" i="2"/>
  <c r="O43" i="1"/>
  <c r="S42" i="1"/>
  <c r="M45" i="2"/>
  <c r="R61" i="1"/>
  <c r="L45" i="2"/>
  <c r="K46" i="2"/>
  <c r="O44" i="1"/>
  <c r="S43" i="1"/>
  <c r="R62" i="1"/>
  <c r="M46" i="2"/>
  <c r="K47" i="2"/>
  <c r="L46" i="2"/>
  <c r="O45" i="1"/>
  <c r="S44" i="1"/>
  <c r="M47" i="2"/>
  <c r="L47" i="2"/>
  <c r="K48" i="2"/>
  <c r="R63" i="1"/>
  <c r="O46" i="1"/>
  <c r="S45" i="1"/>
  <c r="M48" i="2"/>
  <c r="K49" i="2"/>
  <c r="L48" i="2"/>
  <c r="R64" i="1"/>
  <c r="O47" i="1"/>
  <c r="S46" i="1"/>
  <c r="M49" i="2"/>
  <c r="R65" i="1"/>
  <c r="K50" i="2"/>
  <c r="L49" i="2"/>
  <c r="O48" i="1"/>
  <c r="S47" i="1"/>
  <c r="M50" i="2"/>
  <c r="K51" i="2"/>
  <c r="L50" i="2"/>
  <c r="R66" i="1"/>
  <c r="O49" i="1"/>
  <c r="S48" i="1"/>
  <c r="K52" i="2"/>
  <c r="M51" i="2"/>
  <c r="L51" i="2"/>
  <c r="R67" i="1"/>
  <c r="O50" i="1"/>
  <c r="S49" i="1"/>
  <c r="R68" i="1"/>
  <c r="K53" i="2"/>
  <c r="L52" i="2"/>
  <c r="M52" i="2"/>
  <c r="O51" i="1"/>
  <c r="S50" i="1"/>
  <c r="L53" i="2"/>
  <c r="M53" i="2"/>
  <c r="K54" i="2"/>
  <c r="R69" i="1"/>
  <c r="O52" i="1"/>
  <c r="S51" i="1"/>
  <c r="M54" i="2"/>
  <c r="L54" i="2"/>
  <c r="K55" i="2"/>
  <c r="R70" i="1"/>
  <c r="O53" i="1"/>
  <c r="S52" i="1"/>
  <c r="M55" i="2"/>
  <c r="K56" i="2"/>
  <c r="L55" i="2"/>
  <c r="R71" i="1"/>
  <c r="O54" i="1"/>
  <c r="S53" i="1"/>
  <c r="M56" i="2"/>
  <c r="L56" i="2"/>
  <c r="K57" i="2"/>
  <c r="R72" i="1"/>
  <c r="O55" i="1"/>
  <c r="S54" i="1"/>
  <c r="M57" i="2"/>
  <c r="L57" i="2"/>
  <c r="K58" i="2"/>
  <c r="R73" i="1"/>
  <c r="O56" i="1"/>
  <c r="S55" i="1"/>
  <c r="M58" i="2"/>
  <c r="L58" i="2"/>
  <c r="O29" i="2"/>
  <c r="R74" i="1"/>
  <c r="O57" i="1"/>
  <c r="S56" i="1"/>
  <c r="R75" i="1"/>
  <c r="O30" i="2"/>
  <c r="P29" i="2"/>
  <c r="Q29" i="2"/>
  <c r="O58" i="1"/>
  <c r="S57" i="1"/>
  <c r="R76" i="1"/>
  <c r="O31" i="2"/>
  <c r="P30" i="2"/>
  <c r="Q30" i="2"/>
  <c r="O59" i="1"/>
  <c r="S58" i="1"/>
  <c r="Q31" i="2"/>
  <c r="O32" i="2"/>
  <c r="P31" i="2"/>
  <c r="R77" i="1"/>
  <c r="O60" i="1"/>
  <c r="S59" i="1"/>
  <c r="Q32" i="2"/>
  <c r="O33" i="2"/>
  <c r="P32" i="2"/>
  <c r="R78" i="1"/>
  <c r="O61" i="1"/>
  <c r="S60" i="1"/>
  <c r="Q33" i="2"/>
  <c r="O34" i="2"/>
  <c r="P33" i="2"/>
  <c r="R79" i="1"/>
  <c r="O62" i="1"/>
  <c r="S61" i="1"/>
  <c r="R80" i="1"/>
  <c r="O35" i="2"/>
  <c r="P34" i="2"/>
  <c r="Q34" i="2"/>
  <c r="O63" i="1"/>
  <c r="S62" i="1"/>
  <c r="Q35" i="2"/>
  <c r="P35" i="2"/>
  <c r="O36" i="2"/>
  <c r="R81" i="1"/>
  <c r="O64" i="1"/>
  <c r="S63" i="1"/>
  <c r="Q36" i="2"/>
  <c r="O37" i="2"/>
  <c r="P36" i="2"/>
  <c r="R82" i="1"/>
  <c r="O65" i="1"/>
  <c r="S64" i="1"/>
  <c r="Q37" i="2"/>
  <c r="O38" i="2"/>
  <c r="P37" i="2"/>
  <c r="R83" i="1"/>
  <c r="O66" i="1"/>
  <c r="S65" i="1"/>
  <c r="R84" i="1"/>
  <c r="P38" i="2"/>
  <c r="O39" i="2"/>
  <c r="Q38" i="2"/>
  <c r="O67" i="1"/>
  <c r="S66" i="1"/>
  <c r="Q39" i="2"/>
  <c r="O40" i="2"/>
  <c r="P39" i="2"/>
  <c r="R85" i="1"/>
  <c r="O68" i="1"/>
  <c r="S67" i="1"/>
  <c r="Q40" i="2"/>
  <c r="P40" i="2"/>
  <c r="O41" i="2"/>
  <c r="R86" i="1"/>
  <c r="O69" i="1"/>
  <c r="S68" i="1"/>
  <c r="R87" i="1"/>
  <c r="P41" i="2"/>
  <c r="Q41" i="2"/>
  <c r="O42" i="2"/>
  <c r="O70" i="1"/>
  <c r="S69" i="1"/>
  <c r="Q42" i="2"/>
  <c r="P42" i="2"/>
  <c r="O43" i="2"/>
  <c r="R88" i="1"/>
  <c r="O71" i="1"/>
  <c r="S70" i="1"/>
  <c r="R89" i="1"/>
  <c r="P43" i="2"/>
  <c r="O44" i="2"/>
  <c r="Q43" i="2"/>
  <c r="O72" i="1"/>
  <c r="S71" i="1"/>
  <c r="Q44" i="2"/>
  <c r="P44" i="2"/>
  <c r="O45" i="2"/>
  <c r="R90" i="1"/>
  <c r="O73" i="1"/>
  <c r="S72" i="1"/>
  <c r="P45" i="2"/>
  <c r="Q45" i="2"/>
  <c r="O46" i="2"/>
  <c r="R91" i="1"/>
  <c r="O74" i="1"/>
  <c r="S73" i="1"/>
  <c r="O47" i="2"/>
  <c r="P46" i="2"/>
  <c r="Q46" i="2"/>
  <c r="O75" i="1"/>
  <c r="S74" i="1"/>
  <c r="Q47" i="2"/>
  <c r="P47" i="2"/>
  <c r="O48" i="2"/>
  <c r="O76" i="1"/>
  <c r="S75" i="1"/>
  <c r="Q48" i="2"/>
  <c r="O49" i="2"/>
  <c r="P48" i="2"/>
  <c r="O77" i="1"/>
  <c r="S76" i="1"/>
  <c r="Q49" i="2"/>
  <c r="O50" i="2"/>
  <c r="P49" i="2"/>
  <c r="O78" i="1"/>
  <c r="S77" i="1"/>
  <c r="Q50" i="2"/>
  <c r="O51" i="2"/>
  <c r="P50" i="2"/>
  <c r="O79" i="1"/>
  <c r="S78" i="1"/>
  <c r="Q51" i="2"/>
  <c r="O52" i="2"/>
  <c r="P51" i="2"/>
  <c r="O80" i="1"/>
  <c r="S79" i="1"/>
  <c r="Q52" i="2"/>
  <c r="O53" i="2"/>
  <c r="P52" i="2"/>
  <c r="O81" i="1"/>
  <c r="S80" i="1"/>
  <c r="O54" i="2"/>
  <c r="P53" i="2"/>
  <c r="Q53" i="2"/>
  <c r="O82" i="1"/>
  <c r="S81" i="1"/>
  <c r="O55" i="2"/>
  <c r="P54" i="2"/>
  <c r="Q54" i="2"/>
  <c r="O83" i="1"/>
  <c r="S82" i="1"/>
  <c r="P55" i="2"/>
  <c r="Q55" i="2"/>
  <c r="O56" i="2"/>
  <c r="O84" i="1"/>
  <c r="S83" i="1"/>
  <c r="O57" i="2"/>
  <c r="Q56" i="2"/>
  <c r="P56" i="2"/>
  <c r="O85" i="1"/>
  <c r="S84" i="1"/>
  <c r="Q57" i="2"/>
  <c r="P57" i="2"/>
  <c r="O58" i="2"/>
  <c r="O86" i="1"/>
  <c r="S85" i="1"/>
  <c r="Q58" i="2"/>
  <c r="P58" i="2"/>
  <c r="O87" i="1"/>
  <c r="S86" i="1"/>
  <c r="O88" i="1"/>
  <c r="S87" i="1"/>
  <c r="O89" i="1"/>
  <c r="S88" i="1"/>
  <c r="O90" i="1"/>
  <c r="S89" i="1"/>
  <c r="O91" i="1"/>
  <c r="S90" i="1"/>
  <c r="S91" i="1"/>
</calcChain>
</file>

<file path=xl/sharedStrings.xml><?xml version="1.0" encoding="utf-8"?>
<sst xmlns="http://schemas.openxmlformats.org/spreadsheetml/2006/main" count="119" uniqueCount="84">
  <si>
    <t>Renta deseada</t>
  </si>
  <si>
    <t>Aportación</t>
  </si>
  <si>
    <t>Suma Asegurada</t>
  </si>
  <si>
    <t>Renta</t>
  </si>
  <si>
    <t>Edad del niño</t>
  </si>
  <si>
    <t>Edad del padre</t>
  </si>
  <si>
    <t>Factor de renta</t>
  </si>
  <si>
    <t>Factor de tarifa</t>
  </si>
  <si>
    <t>MAC</t>
  </si>
  <si>
    <t>NA</t>
  </si>
  <si>
    <t>Inflación</t>
  </si>
  <si>
    <t>Esquema de aportaciones</t>
  </si>
  <si>
    <t>Año</t>
  </si>
  <si>
    <t>Aportación anual</t>
  </si>
  <si>
    <t>Aportación acumulada</t>
  </si>
  <si>
    <t>Regalo de Santa</t>
  </si>
  <si>
    <t>Edad del menor</t>
  </si>
  <si>
    <t>Acumulado</t>
  </si>
  <si>
    <t>Moneda</t>
  </si>
  <si>
    <t>Factor de Tarifa</t>
  </si>
  <si>
    <t>MXN</t>
  </si>
  <si>
    <t>USD</t>
  </si>
  <si>
    <t>RF MXN</t>
  </si>
  <si>
    <t>RF USD</t>
  </si>
  <si>
    <t>Pesos</t>
  </si>
  <si>
    <t>Dólares</t>
  </si>
  <si>
    <t>Forma de pago</t>
  </si>
  <si>
    <t>Mensual</t>
  </si>
  <si>
    <t>Recargo ppf</t>
  </si>
  <si>
    <t>Semestral</t>
  </si>
  <si>
    <t>Trimestral</t>
  </si>
  <si>
    <t>Anual</t>
  </si>
  <si>
    <t>Aportación Anual</t>
  </si>
  <si>
    <t>Aportación SFP</t>
  </si>
  <si>
    <t>Monto del regalo</t>
  </si>
  <si>
    <t>Aportación posible</t>
  </si>
  <si>
    <t>Plazo del programa de ahorro</t>
  </si>
  <si>
    <t>¡Con Santa Forever puedes garantizar un cheque de por vida!</t>
  </si>
  <si>
    <t>10 años</t>
  </si>
  <si>
    <t>15 años</t>
  </si>
  <si>
    <t>20 años</t>
  </si>
  <si>
    <t>¡Para toda su vida!</t>
  </si>
  <si>
    <t>Ap SFP</t>
  </si>
  <si>
    <t>Ap Anual</t>
  </si>
  <si>
    <t>Programa de ahorro</t>
  </si>
  <si>
    <t>Edad</t>
  </si>
  <si>
    <t>Regalo anual</t>
  </si>
  <si>
    <t>Monto acumulado</t>
  </si>
  <si>
    <t>Santa Forever</t>
  </si>
  <si>
    <t>Edad del adulto</t>
  </si>
  <si>
    <t xml:space="preserve">y IV, cap. 11 No. V L.G.I.S.M.S.). </t>
  </si>
  <si>
    <t>- El monto del regalo de Santa Forever será calculado al final del programa de ahorro</t>
  </si>
  <si>
    <t xml:space="preserve">- Este estudio es una simulación basada en expectativas de interés de los instrumentos financieros que estamos autorizados a emplear. De tal manera que las tasas utilizadas pueden variar (Art. 34 frac. 111 </t>
  </si>
  <si>
    <t>asegurada solicitada.</t>
  </si>
  <si>
    <t>- En caso de retiro o vencimiento del plan, aplicará la retención de impuestos correspondiente conforme a la Ley del Impuesto Sobre la Renta (LISR) vigente.</t>
  </si>
  <si>
    <t>- En ningún caso se entenderá que esta cotización es una póliza de seguro por lo que puede haber variaciones por redondeo</t>
  </si>
  <si>
    <t xml:space="preserve">- GNP requerirá al solicitante las pruebas necesarias para la valoración del riesgo, conforme a sus políticas vigentes de suscripción al momento de la solicitud. Las cuales varían de acuerdo a la edad y suma </t>
  </si>
  <si>
    <t>SA</t>
  </si>
  <si>
    <t>Recuperación</t>
  </si>
  <si>
    <t>real</t>
  </si>
  <si>
    <t>1+inf</t>
  </si>
  <si>
    <t>real*(1+inf)</t>
  </si>
  <si>
    <t>nominal=(real*(1+inf))+inf</t>
  </si>
  <si>
    <t>R</t>
  </si>
  <si>
    <t>n</t>
  </si>
  <si>
    <t>i</t>
  </si>
  <si>
    <t>Aportación única</t>
  </si>
  <si>
    <t>k</t>
  </si>
  <si>
    <t>A</t>
  </si>
  <si>
    <t>S</t>
  </si>
  <si>
    <t>VP</t>
  </si>
  <si>
    <t>S=R(1+i)*((((1+i)^n)-1)/(i))</t>
  </si>
  <si>
    <t>k-1</t>
  </si>
  <si>
    <t>Interés real</t>
  </si>
  <si>
    <t>Pagos limitados</t>
  </si>
  <si>
    <t>Si</t>
  </si>
  <si>
    <t>No</t>
  </si>
  <si>
    <t xml:space="preserve">Esquema de pagos anticipados: </t>
  </si>
  <si>
    <t>Renta original</t>
  </si>
  <si>
    <t>Renta actualizada 19/10/21</t>
  </si>
  <si>
    <t>- Para las proyecciones en pesos, se ha utilizado un supuesto de inflación de 4.0%</t>
  </si>
  <si>
    <t>Renta antes de 15 julio 2022</t>
  </si>
  <si>
    <t>Renta actualizada mxn 15/07/22</t>
  </si>
  <si>
    <t>Renta actualizada usd 15/07/22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</si>
</sst>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80A]#,##0.00;\-[$$-80A]#,##0.00"/>
    <numFmt numFmtId="165" formatCode="0.00000"/>
    <numFmt numFmtId="166" formatCode="0.00000%"/>
    <numFmt numFmtId="167" formatCode="[$$-80A]#,##0"/>
    <numFmt numFmtId="168" formatCode="0.0000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Seravek Medium"/>
      <family val="2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rgb="FFC00000"/>
      <name val="Seravek Medium"/>
      <family val="2"/>
    </font>
    <font>
      <sz val="18"/>
      <color rgb="FFC00000"/>
      <name val="Seravek Bold"/>
    </font>
    <font>
      <b/>
      <sz val="18"/>
      <color rgb="FFC00000"/>
      <name val="Seravek Bold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Seravek Medium"/>
      <family val="2"/>
    </font>
    <font>
      <i/>
      <sz val="12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i/>
      <sz val="40"/>
      <color rgb="FFF8C433"/>
      <name val="Calibri"/>
      <family val="2"/>
      <scheme val="minor"/>
    </font>
    <font>
      <sz val="26"/>
      <color theme="9" tint="-0.499984740745262"/>
      <name val="Seravek Bold"/>
    </font>
    <font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i/>
      <sz val="32"/>
      <color theme="9" tint="-0.499984740745262"/>
      <name val="Calibri"/>
      <family val="2"/>
      <scheme val="minor"/>
    </font>
    <font>
      <b/>
      <sz val="16"/>
      <color rgb="FFF8C433"/>
      <name val="Calibri"/>
      <family val="2"/>
      <scheme val="minor"/>
    </font>
    <font>
      <sz val="16"/>
      <color rgb="FFF8C43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C433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rgb="FFC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right"/>
    </xf>
    <xf numFmtId="10" fontId="0" fillId="0" borderId="0" xfId="1" applyNumberFormat="1" applyFont="1"/>
    <xf numFmtId="3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0" fillId="4" borderId="0" xfId="0" applyFill="1" applyAlignment="1">
      <alignment horizontal="right"/>
    </xf>
    <xf numFmtId="165" fontId="0" fillId="0" borderId="0" xfId="0" applyNumberFormat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1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0" fillId="4" borderId="0" xfId="0" applyFill="1"/>
    <xf numFmtId="0" fontId="13" fillId="2" borderId="0" xfId="0" applyFont="1" applyFill="1"/>
    <xf numFmtId="167" fontId="8" fillId="4" borderId="0" xfId="0" applyNumberFormat="1" applyFont="1" applyFill="1"/>
    <xf numFmtId="167" fontId="0" fillId="0" borderId="0" xfId="0" applyNumberFormat="1"/>
    <xf numFmtId="0" fontId="9" fillId="3" borderId="0" xfId="0" applyFont="1" applyFill="1"/>
    <xf numFmtId="0" fontId="0" fillId="3" borderId="0" xfId="0" applyFill="1"/>
    <xf numFmtId="0" fontId="16" fillId="2" borderId="0" xfId="0" applyFont="1" applyFill="1"/>
    <xf numFmtId="0" fontId="16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167" fontId="16" fillId="2" borderId="0" xfId="0" applyNumberFormat="1" applyFont="1" applyFill="1" applyAlignment="1">
      <alignment vertical="center"/>
    </xf>
    <xf numFmtId="0" fontId="12" fillId="2" borderId="1" xfId="0" quotePrefix="1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2" borderId="4" xfId="0" quotePrefix="1" applyFont="1" applyFill="1" applyBorder="1"/>
    <xf numFmtId="0" fontId="0" fillId="2" borderId="5" xfId="0" applyFill="1" applyBorder="1"/>
    <xf numFmtId="0" fontId="12" fillId="2" borderId="4" xfId="0" applyFont="1" applyFill="1" applyBorder="1"/>
    <xf numFmtId="0" fontId="12" fillId="2" borderId="6" xfId="0" quotePrefix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167" fontId="22" fillId="2" borderId="0" xfId="0" applyNumberFormat="1" applyFont="1" applyFill="1" applyAlignment="1">
      <alignment horizontal="center" vertical="center"/>
    </xf>
    <xf numFmtId="167" fontId="22" fillId="2" borderId="0" xfId="0" applyNumberFormat="1" applyFont="1" applyFill="1" applyAlignment="1">
      <alignment vertical="center"/>
    </xf>
    <xf numFmtId="167" fontId="23" fillId="2" borderId="0" xfId="0" applyNumberFormat="1" applyFont="1" applyFill="1" applyAlignment="1">
      <alignment horizontal="center" vertical="center"/>
    </xf>
    <xf numFmtId="167" fontId="23" fillId="2" borderId="0" xfId="0" applyNumberFormat="1" applyFont="1" applyFill="1" applyAlignment="1">
      <alignment vertical="center"/>
    </xf>
    <xf numFmtId="167" fontId="19" fillId="2" borderId="0" xfId="0" applyNumberFormat="1" applyFont="1" applyFill="1" applyAlignment="1">
      <alignment vertical="center"/>
    </xf>
    <xf numFmtId="0" fontId="24" fillId="0" borderId="0" xfId="0" applyFont="1"/>
    <xf numFmtId="3" fontId="24" fillId="0" borderId="0" xfId="0" applyNumberFormat="1" applyFont="1"/>
    <xf numFmtId="168" fontId="0" fillId="0" borderId="0" xfId="0" applyNumberFormat="1"/>
    <xf numFmtId="4" fontId="0" fillId="0" borderId="0" xfId="0" applyNumberForma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4" fontId="0" fillId="0" borderId="17" xfId="0" applyNumberFormat="1" applyBorder="1"/>
    <xf numFmtId="0" fontId="0" fillId="6" borderId="0" xfId="0" applyFill="1" applyAlignment="1">
      <alignment horizontal="center"/>
    </xf>
    <xf numFmtId="0" fontId="26" fillId="3" borderId="0" xfId="0" applyFont="1" applyFill="1"/>
    <xf numFmtId="0" fontId="27" fillId="3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28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167" fontId="16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7" fontId="19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8C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0</xdr:row>
      <xdr:rowOff>165100</xdr:rowOff>
    </xdr:from>
    <xdr:to>
      <xdr:col>4</xdr:col>
      <xdr:colOff>508000</xdr:colOff>
      <xdr:row>7</xdr:row>
      <xdr:rowOff>28537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14E130-6771-4A4C-B7CF-B77C68D92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rgbClr val="F8C433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482600" y="165100"/>
          <a:ext cx="2501900" cy="1285837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139700</xdr:colOff>
      <xdr:row>0</xdr:row>
      <xdr:rowOff>127000</xdr:rowOff>
    </xdr:from>
    <xdr:to>
      <xdr:col>17</xdr:col>
      <xdr:colOff>63501</xdr:colOff>
      <xdr:row>6</xdr:row>
      <xdr:rowOff>86295</xdr:rowOff>
    </xdr:to>
    <xdr:pic>
      <xdr:nvPicPr>
        <xdr:cNvPr id="4" name="Imagen 3" descr="Gnp Vivir Es Increible | Brands of the World™ | Download vector logos and  logotypes">
          <a:extLst>
            <a:ext uri="{FF2B5EF4-FFF2-40B4-BE49-F238E27FC236}">
              <a16:creationId xmlns:a16="http://schemas.microsoft.com/office/drawing/2014/main" id="{88672461-3EFB-EF40-9E20-5B15CFEE7C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 b="33846"/>
        <a:stretch/>
      </xdr:blipFill>
      <xdr:spPr bwMode="auto">
        <a:xfrm>
          <a:off x="12026900" y="127000"/>
          <a:ext cx="2984500" cy="1178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46438</xdr:colOff>
      <xdr:row>0</xdr:row>
      <xdr:rowOff>114300</xdr:rowOff>
    </xdr:from>
    <xdr:to>
      <xdr:col>13</xdr:col>
      <xdr:colOff>147782</xdr:colOff>
      <xdr:row>5</xdr:row>
      <xdr:rowOff>165100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E53EF7-9676-2D45-884B-DA166E1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47338" y="114300"/>
          <a:ext cx="3166662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DAE22-0FB8-634F-BA05-FAADAC900FF9}">
  <dimension ref="A2:AH91"/>
  <sheetViews>
    <sheetView topLeftCell="B1" zoomScale="131" zoomScaleNormal="131" workbookViewId="0">
      <selection activeCell="L30" sqref="L30"/>
    </sheetView>
  </sheetViews>
  <sheetFormatPr baseColWidth="10" defaultRowHeight="16"/>
  <cols>
    <col min="7" max="7" width="12.1640625" bestFit="1" customWidth="1"/>
    <col min="13" max="13" width="12.6640625" bestFit="1" customWidth="1"/>
    <col min="15" max="15" width="12.1640625" bestFit="1" customWidth="1"/>
    <col min="31" max="31" width="12.1640625" customWidth="1"/>
    <col min="32" max="32" width="11.1640625" bestFit="1" customWidth="1"/>
  </cols>
  <sheetData>
    <row r="2" spans="1:32">
      <c r="F2" s="1" t="s">
        <v>4</v>
      </c>
      <c r="G2" s="15">
        <f>+'Santa Forever'!H9</f>
        <v>3</v>
      </c>
      <c r="J2" s="1" t="s">
        <v>26</v>
      </c>
      <c r="K2" s="15" t="str">
        <f>+'Santa Forever'!H17</f>
        <v>Anual</v>
      </c>
      <c r="L2" s="17">
        <f>+'Santa Forever'!K11</f>
        <v>1500</v>
      </c>
      <c r="N2" s="15" t="str">
        <f>+'Santa Forever'!H13</f>
        <v>20 años</v>
      </c>
      <c r="P2" t="s">
        <v>74</v>
      </c>
      <c r="Q2" s="53" t="str">
        <f>+'Santa Forever'!C53</f>
        <v>No</v>
      </c>
      <c r="R2" s="53">
        <f>+IF(Q2="No",N4,Q3)</f>
        <v>20</v>
      </c>
    </row>
    <row r="3" spans="1:32">
      <c r="F3" s="1" t="s">
        <v>5</v>
      </c>
      <c r="G3" s="15">
        <f>+'Santa Forever'!H11</f>
        <v>35</v>
      </c>
      <c r="K3">
        <f>+IF(K2="Anual",1,IF(K2="Semestral",2,IF(K2="Trimestral",4,12)))</f>
        <v>1</v>
      </c>
      <c r="L3" s="18">
        <f>ROUNDUP(L2*K3,0)</f>
        <v>1500</v>
      </c>
      <c r="N3" t="s">
        <v>11</v>
      </c>
      <c r="Q3">
        <f>+'Santa Forever'!H53</f>
        <v>1</v>
      </c>
      <c r="R3" s="3">
        <f>(((((L10*((1+J25)^(-(R2-1))))*((1-((1+J25)^-(N4-R2)))/J25))*(((1+J25)^((R2-1)+1))))*J25)/((1+J25)*(((1+J25)^R2)-1)))+L10</f>
        <v>1500</v>
      </c>
      <c r="T3" s="1"/>
    </row>
    <row r="4" spans="1:32">
      <c r="E4" t="str">
        <f>+'Santa Forever'!K9</f>
        <v>Aportación posible</v>
      </c>
      <c r="F4" s="8" t="str">
        <f>+IF(E4="Monto del regalo","Renta deseada","Aportación definida")</f>
        <v>Aportación definida</v>
      </c>
      <c r="G4" s="3">
        <f>+IF(F4="Renta deseada",L6,L4)</f>
        <v>1500</v>
      </c>
      <c r="L4" s="18">
        <f>ROUNDUP($L$3/VLOOKUP($K$2,$I$34:$K$37,IF($G$5="Pesos",2,3),FALSE),0)</f>
        <v>1500</v>
      </c>
      <c r="N4">
        <f>+IF(N2="10 Años",10,IF(N2="15 Años",15,20))</f>
        <v>20</v>
      </c>
      <c r="R4" s="1"/>
      <c r="S4" s="1"/>
    </row>
    <row r="5" spans="1:32">
      <c r="F5" t="s">
        <v>18</v>
      </c>
      <c r="G5" s="15" t="str">
        <f>+'Santa Forever'!H15</f>
        <v>Dólares</v>
      </c>
      <c r="N5" t="s">
        <v>16</v>
      </c>
      <c r="O5" t="s">
        <v>12</v>
      </c>
      <c r="P5" t="s">
        <v>13</v>
      </c>
      <c r="Q5" t="s">
        <v>14</v>
      </c>
      <c r="R5" t="s">
        <v>15</v>
      </c>
      <c r="S5" t="s">
        <v>17</v>
      </c>
      <c r="U5" s="3">
        <f>+W26</f>
        <v>27339.012743899748</v>
      </c>
      <c r="AC5">
        <v>3.5999999999999997E-2</v>
      </c>
    </row>
    <row r="6" spans="1:32">
      <c r="K6" t="s">
        <v>0</v>
      </c>
      <c r="L6" s="15">
        <f>+'Santa Forever'!K11</f>
        <v>1500</v>
      </c>
      <c r="N6">
        <f>+G2</f>
        <v>3</v>
      </c>
      <c r="O6">
        <v>1</v>
      </c>
      <c r="P6" s="3">
        <f>IF(Q2="Si",R3,HLOOKUP($N$4,$G$7:$I$12,5,FALSE)*$K$3)</f>
        <v>1500</v>
      </c>
      <c r="Q6" s="3">
        <f>+P6</f>
        <v>1500</v>
      </c>
      <c r="R6" s="3">
        <f>+HLOOKUP($N$4,$G$7:$I$12,3,FALSE)</f>
        <v>1504.2261353104727</v>
      </c>
      <c r="S6" s="3">
        <f>+IF(O6=" ",R6+S5,0)</f>
        <v>0</v>
      </c>
      <c r="V6" s="3">
        <f>+(U5-P6)*(1+$AF$10)</f>
        <v>27036.909374706938</v>
      </c>
      <c r="W6" s="3"/>
      <c r="X6" s="3"/>
      <c r="Y6" s="3"/>
      <c r="AC6">
        <v>4.6399999999999997E-2</v>
      </c>
    </row>
    <row r="7" spans="1:32">
      <c r="G7">
        <v>10</v>
      </c>
      <c r="H7">
        <v>15</v>
      </c>
      <c r="I7">
        <v>20</v>
      </c>
      <c r="N7">
        <f>+N6+1</f>
        <v>4</v>
      </c>
      <c r="O7">
        <f t="shared" ref="O7:O38" si="0">+IF(O6=" "," ",IF(O6+1&gt;$N$4," ",O6+1))</f>
        <v>2</v>
      </c>
      <c r="P7" s="3">
        <f>IF(O7&gt;$R$2," ",IF(O7=" "," ",P6*(1+(IF($G$5="Pesos",$I$25,0)))))</f>
        <v>1500</v>
      </c>
      <c r="Q7" s="3">
        <f>+IF(P7=" "," ",P7+Q6)</f>
        <v>3000</v>
      </c>
      <c r="R7" s="3">
        <f>R6*(1+(IF($G$5="Pesos",$I$25,0)))</f>
        <v>1504.2261353104727</v>
      </c>
      <c r="S7" s="3">
        <f t="shared" ref="S7:S70" si="1">+IF(O7=" ",R7+S6,0)</f>
        <v>0</v>
      </c>
      <c r="V7" s="3">
        <f t="shared" ref="V7:V20" si="2">+(V6-P7)*(1+$AF$10)</f>
        <v>26720.800493318351</v>
      </c>
      <c r="W7" s="3"/>
      <c r="X7" s="3"/>
      <c r="Y7" s="3"/>
      <c r="AC7">
        <v>0.01</v>
      </c>
    </row>
    <row r="8" spans="1:32">
      <c r="F8" t="s">
        <v>7</v>
      </c>
      <c r="G8">
        <v>9.5949999999999994E-2</v>
      </c>
      <c r="H8">
        <v>5.2069999999999998E-2</v>
      </c>
      <c r="I8">
        <v>3.4779999999999998E-2</v>
      </c>
      <c r="N8">
        <f t="shared" ref="N8:N72" si="3">+N7+1</f>
        <v>5</v>
      </c>
      <c r="O8">
        <f t="shared" si="0"/>
        <v>3</v>
      </c>
      <c r="P8" s="3">
        <f t="shared" ref="P8:P25" si="4">IF(O8&gt;$R$2," ",IF(O8=" "," ",P7*(1+(IF($G$5="Pesos",$I$25,0)))))</f>
        <v>1500</v>
      </c>
      <c r="Q8" s="3">
        <f t="shared" ref="Q8:Q25" si="5">+IF(P8=" "," ",P8+Q7)</f>
        <v>4500</v>
      </c>
      <c r="R8" s="3">
        <f t="shared" ref="R8:R71" si="6">R7*(1+(IF($G$5="Pesos",$I$25,0)))</f>
        <v>1504.2261353104727</v>
      </c>
      <c r="S8" s="3">
        <f t="shared" si="1"/>
        <v>0</v>
      </c>
      <c r="V8" s="3">
        <f t="shared" si="2"/>
        <v>26390.036804188589</v>
      </c>
      <c r="W8" s="3"/>
      <c r="X8" s="3"/>
      <c r="Y8" s="3"/>
    </row>
    <row r="9" spans="1:32">
      <c r="F9" t="s">
        <v>3</v>
      </c>
      <c r="G9" s="3">
        <f>+G12*VLOOKUP(($G$2+G7),$E$15:$G$40,(IF($G$5="Pesos",2,3)),FALSE)</f>
        <v>527.41279715618759</v>
      </c>
      <c r="H9" s="3">
        <f>+H12*VLOOKUP(($G$2+H7),$E$15:$G$40,(IF($G$5="Pesos",2,3)),FALSE)</f>
        <v>956.90727816550339</v>
      </c>
      <c r="I9" s="3">
        <f>+I12*VLOOKUP(($G$2+I7),$E$15:$G$40,(IF($G$5="Pesos",2,3)),FALSE)</f>
        <v>1504.2261353104727</v>
      </c>
      <c r="K9" t="s">
        <v>3</v>
      </c>
      <c r="L9" s="18">
        <f>+HLOOKUP(N4,G7:I11,3,FALSE)</f>
        <v>1504.2261353104727</v>
      </c>
      <c r="N9">
        <f t="shared" si="3"/>
        <v>6</v>
      </c>
      <c r="O9">
        <f t="shared" si="0"/>
        <v>4</v>
      </c>
      <c r="P9" s="3">
        <f t="shared" si="4"/>
        <v>1500</v>
      </c>
      <c r="Q9" s="3">
        <f>+IF(P9=" "," ",P9+Q8)</f>
        <v>6000</v>
      </c>
      <c r="R9" s="3">
        <f t="shared" si="6"/>
        <v>1504.2261353104727</v>
      </c>
      <c r="S9" s="3">
        <f t="shared" si="1"/>
        <v>0</v>
      </c>
      <c r="V9" s="3">
        <f t="shared" si="2"/>
        <v>26043.93891043077</v>
      </c>
      <c r="W9" s="3"/>
      <c r="X9" s="3"/>
      <c r="Y9" s="3"/>
      <c r="AC9" s="43" t="s">
        <v>59</v>
      </c>
      <c r="AD9" t="s">
        <v>60</v>
      </c>
      <c r="AE9" t="s">
        <v>61</v>
      </c>
      <c r="AF9" t="s">
        <v>62</v>
      </c>
    </row>
    <row r="10" spans="1:32">
      <c r="F10" t="s">
        <v>32</v>
      </c>
      <c r="G10" s="3">
        <f>+((G12*VLOOKUP(G7,$I$28:$K$30,(IF($G$5="Pesos",2,3)),FALSE))+(IF($G$5="Pesos",$I$22,$J$22)))+VLOOKUP($G$3,$I$15:$K$19,(IF($G$5="Pesos",2,3)),TRUE)</f>
        <v>1500</v>
      </c>
      <c r="H10" s="3">
        <f>+((H12*VLOOKUP(H7,$I$28:$K$30,(IF($G$5="Pesos",2,3)),FALSE))+(IF($G$5="Pesos",$I$22,$J$22)))+VLOOKUP($G$3,$I$15:$K$19,(IF($G$5="Pesos",2,3)),TRUE)</f>
        <v>1500</v>
      </c>
      <c r="I10" s="3">
        <f>+((I12*VLOOKUP(I7,$I$28:$K$30,(IF($G$5="Pesos",2,3)),FALSE))+(IF($G$5="Pesos",$I$22,$J$22)))+VLOOKUP($G$3,$I$15:$K$19,(IF($G$5="Pesos",2,3)),TRUE)</f>
        <v>1500</v>
      </c>
      <c r="K10" t="s">
        <v>43</v>
      </c>
      <c r="L10" s="18">
        <f>ROUNDUP(HLOOKUP(N4,G7:I11,4,FALSE),0)</f>
        <v>1500</v>
      </c>
      <c r="N10">
        <f t="shared" si="3"/>
        <v>7</v>
      </c>
      <c r="O10">
        <f t="shared" si="0"/>
        <v>5</v>
      </c>
      <c r="P10" s="3">
        <f t="shared" si="4"/>
        <v>1500</v>
      </c>
      <c r="Q10" s="3">
        <f t="shared" si="5"/>
        <v>7500</v>
      </c>
      <c r="R10" s="3">
        <f t="shared" si="6"/>
        <v>1504.2261353104727</v>
      </c>
      <c r="S10" s="3">
        <f t="shared" si="1"/>
        <v>0</v>
      </c>
      <c r="V10" s="3">
        <f t="shared" si="2"/>
        <v>25681.795918318341</v>
      </c>
      <c r="W10" s="3"/>
      <c r="X10" s="3"/>
      <c r="Y10" s="3"/>
      <c r="AC10">
        <v>0.01</v>
      </c>
      <c r="AD10">
        <f>1+AC5</f>
        <v>1.036</v>
      </c>
      <c r="AE10">
        <f>+AD10*AC10</f>
        <v>1.0360000000000001E-2</v>
      </c>
      <c r="AF10">
        <f>+AE10+AC5</f>
        <v>4.6359999999999998E-2</v>
      </c>
    </row>
    <row r="11" spans="1:32">
      <c r="F11" t="s">
        <v>33</v>
      </c>
      <c r="G11" s="3">
        <f>+(G10*VLOOKUP($K$2,$I$34:$K$37,IF($G$5="Pesos",2,3),FALSE))/$K$3</f>
        <v>1500</v>
      </c>
      <c r="H11" s="3">
        <f>+(H10*VLOOKUP($K$2,$I$34:$K$37,IF($G$5="Pesos",2,3),FALSE))/$K$3</f>
        <v>1500</v>
      </c>
      <c r="I11" s="3">
        <f>+(I10*VLOOKUP($K$2,$I$34:$K$37,IF($G$5="Pesos",2,3),FALSE))/$K$3</f>
        <v>1500</v>
      </c>
      <c r="K11" t="s">
        <v>42</v>
      </c>
      <c r="L11" s="18">
        <f>ROUNDUP(HLOOKUP(N4,G7:I11,5,FALSE),0)</f>
        <v>1500</v>
      </c>
      <c r="N11">
        <f t="shared" si="3"/>
        <v>8</v>
      </c>
      <c r="O11">
        <f t="shared" si="0"/>
        <v>6</v>
      </c>
      <c r="P11" s="3">
        <f t="shared" si="4"/>
        <v>1500</v>
      </c>
      <c r="Q11" s="3">
        <f t="shared" si="5"/>
        <v>9000</v>
      </c>
      <c r="R11" s="3">
        <f t="shared" si="6"/>
        <v>1504.2261353104727</v>
      </c>
      <c r="S11" s="3">
        <f t="shared" si="1"/>
        <v>0</v>
      </c>
      <c r="V11" s="3">
        <f t="shared" si="2"/>
        <v>25302.86397709158</v>
      </c>
      <c r="W11" s="3"/>
      <c r="X11" s="3"/>
      <c r="Y11" s="3"/>
    </row>
    <row r="12" spans="1:32">
      <c r="F12" t="s">
        <v>2</v>
      </c>
      <c r="G12" s="3">
        <f>IF($F$4="Renta deseada",$G$4/VLOOKUP(($G$2+G7),$E$15:$G$40,(IF($G$5="Pesos",2,3)),FALSE),($G$4-(IF($G$5="Pesos",$I$22,$J$22))-VLOOKUP($G$3,$I$15:$K$19,(IF($G$5="Pesos",2,3)),TRUE))/VLOOKUP(G7,$I$28:$K$30,(IF($G$5="Pesos",2,3)),FALSE))</f>
        <v>14196.845145523217</v>
      </c>
      <c r="H12" s="3">
        <f>IF($F$4="Renta deseada",$G$4/VLOOKUP(($G$2+H7),$E$15:$G$40,(IF($G$5="Pesos",2,3)),FALSE),($G$4-(IF($G$5="Pesos",$I$22,$J$22))-VLOOKUP($G$3,$I$15:$K$19,(IF($G$5="Pesos",2,3)),TRUE))/VLOOKUP(H7,$I$28:$K$30,(IF($G$5="Pesos",2,3)),FALSE))</f>
        <v>25483.549351944166</v>
      </c>
      <c r="I12" s="3">
        <f>IF($F$4="Renta deseada",$G$4/VLOOKUP(($G$2+I7),$E$15:$G$40,(IF($G$5="Pesos",2,3)),FALSE),($G$4-(IF($G$5="Pesos",$I$22,$J$22))-VLOOKUP($G$3,$I$15:$K$19,(IF($G$5="Pesos",2,3)),TRUE))/VLOOKUP(I7,$I$28:$K$30,(IF($G$5="Pesos",2,3)),FALSE))</f>
        <v>39481.000926784058</v>
      </c>
      <c r="K12" t="s">
        <v>57</v>
      </c>
      <c r="L12" s="18">
        <f>ROUNDUP(HLOOKUP(N4,G7:I12,6,FALSE),0)</f>
        <v>39482</v>
      </c>
      <c r="N12">
        <f t="shared" si="3"/>
        <v>9</v>
      </c>
      <c r="O12">
        <f t="shared" si="0"/>
        <v>7</v>
      </c>
      <c r="P12" s="3">
        <f t="shared" si="4"/>
        <v>1500</v>
      </c>
      <c r="Q12" s="3">
        <f t="shared" si="5"/>
        <v>10500</v>
      </c>
      <c r="R12" s="3">
        <f t="shared" si="6"/>
        <v>1504.2261353104727</v>
      </c>
      <c r="S12" s="3">
        <f t="shared" si="1"/>
        <v>0</v>
      </c>
      <c r="V12" s="3">
        <f t="shared" si="2"/>
        <v>24906.364751069545</v>
      </c>
      <c r="W12" s="3"/>
      <c r="X12" s="3"/>
      <c r="Y12" s="3"/>
    </row>
    <row r="13" spans="1:32">
      <c r="F13" s="41" t="s">
        <v>58</v>
      </c>
      <c r="G13" s="42">
        <f>((1+I25)^G7)*G12</f>
        <v>21014.798890531485</v>
      </c>
      <c r="H13" s="42">
        <f>((1+I25)^(H7))*H12</f>
        <v>45894.432702648839</v>
      </c>
      <c r="I13" s="42">
        <f>((1+I25)^I7)*I12</f>
        <v>86507.734840800505</v>
      </c>
      <c r="K13" t="s">
        <v>58</v>
      </c>
      <c r="L13" s="18">
        <f>IF(G5="Pesos",ROUNDUP(HLOOKUP(N4,G7:I13,7,FALSE),0),L12)</f>
        <v>39482</v>
      </c>
      <c r="N13">
        <f t="shared" si="3"/>
        <v>10</v>
      </c>
      <c r="O13">
        <f t="shared" si="0"/>
        <v>8</v>
      </c>
      <c r="P13" s="3">
        <f t="shared" si="4"/>
        <v>1500</v>
      </c>
      <c r="Q13" s="3">
        <f t="shared" si="5"/>
        <v>12000</v>
      </c>
      <c r="R13" s="3">
        <f t="shared" si="6"/>
        <v>1504.2261353104727</v>
      </c>
      <c r="S13" s="3">
        <f t="shared" si="1"/>
        <v>0</v>
      </c>
      <c r="V13" s="3">
        <f t="shared" si="2"/>
        <v>24491.483820929127</v>
      </c>
      <c r="W13" s="3"/>
      <c r="X13" s="3"/>
      <c r="Y13" s="3"/>
    </row>
    <row r="14" spans="1:32">
      <c r="A14" t="s">
        <v>78</v>
      </c>
      <c r="B14" t="s">
        <v>79</v>
      </c>
      <c r="C14" t="s">
        <v>82</v>
      </c>
      <c r="D14" t="s">
        <v>83</v>
      </c>
      <c r="E14" t="s">
        <v>6</v>
      </c>
      <c r="F14" t="s">
        <v>20</v>
      </c>
      <c r="G14" t="s">
        <v>21</v>
      </c>
      <c r="I14" t="s">
        <v>8</v>
      </c>
      <c r="J14" t="s">
        <v>20</v>
      </c>
      <c r="K14" t="s">
        <v>21</v>
      </c>
      <c r="N14">
        <f t="shared" si="3"/>
        <v>11</v>
      </c>
      <c r="O14">
        <f t="shared" si="0"/>
        <v>9</v>
      </c>
      <c r="P14" s="3">
        <f t="shared" si="4"/>
        <v>1500</v>
      </c>
      <c r="Q14" s="3">
        <f t="shared" si="5"/>
        <v>13500</v>
      </c>
      <c r="R14" s="3">
        <f t="shared" si="6"/>
        <v>1504.2261353104727</v>
      </c>
      <c r="S14" s="3">
        <f t="shared" si="1"/>
        <v>0</v>
      </c>
      <c r="V14" s="3">
        <f t="shared" si="2"/>
        <v>24057.369010867398</v>
      </c>
      <c r="W14" s="3"/>
      <c r="X14" s="3"/>
      <c r="Y14" s="3"/>
    </row>
    <row r="15" spans="1:32">
      <c r="A15">
        <v>3.7187999999999999E-2</v>
      </c>
      <c r="B15">
        <v>3.7175E-2</v>
      </c>
      <c r="C15">
        <v>12219</v>
      </c>
      <c r="D15">
        <v>739</v>
      </c>
      <c r="E15">
        <v>10</v>
      </c>
      <c r="F15">
        <f>+C15/400000</f>
        <v>3.0547499999999998E-2</v>
      </c>
      <c r="G15" s="9">
        <f>+D15/20000</f>
        <v>3.6949999999999997E-2</v>
      </c>
      <c r="I15">
        <v>0</v>
      </c>
      <c r="J15">
        <v>120</v>
      </c>
      <c r="K15">
        <v>12</v>
      </c>
      <c r="N15">
        <f t="shared" si="3"/>
        <v>12</v>
      </c>
      <c r="O15">
        <f t="shared" si="0"/>
        <v>10</v>
      </c>
      <c r="P15" s="3">
        <f t="shared" si="4"/>
        <v>1500</v>
      </c>
      <c r="Q15" s="3">
        <f t="shared" si="5"/>
        <v>15000</v>
      </c>
      <c r="R15" s="3">
        <f t="shared" si="6"/>
        <v>1504.2261353104727</v>
      </c>
      <c r="S15" s="3">
        <f t="shared" si="1"/>
        <v>0</v>
      </c>
      <c r="V15" s="3">
        <f t="shared" si="2"/>
        <v>23603.128638211208</v>
      </c>
      <c r="W15" s="3"/>
      <c r="X15" s="3"/>
      <c r="Y15" s="3"/>
    </row>
    <row r="16" spans="1:32">
      <c r="A16">
        <v>3.7318999999999998E-2</v>
      </c>
      <c r="B16">
        <v>3.7304999999999998E-2</v>
      </c>
      <c r="C16">
        <v>12256</v>
      </c>
      <c r="D16">
        <v>740</v>
      </c>
      <c r="E16">
        <v>11</v>
      </c>
      <c r="F16">
        <f t="shared" ref="F16:F40" si="7">+C16/400000</f>
        <v>3.0640000000000001E-2</v>
      </c>
      <c r="G16" s="9">
        <f t="shared" ref="G16:G40" si="8">+D16/20000</f>
        <v>3.6999999999999998E-2</v>
      </c>
      <c r="I16">
        <v>61</v>
      </c>
      <c r="J16">
        <v>200</v>
      </c>
      <c r="K16">
        <v>20</v>
      </c>
      <c r="N16">
        <f t="shared" si="3"/>
        <v>13</v>
      </c>
      <c r="O16">
        <f t="shared" si="0"/>
        <v>11</v>
      </c>
      <c r="P16" s="3">
        <f t="shared" si="4"/>
        <v>1500</v>
      </c>
      <c r="Q16" s="3">
        <f t="shared" si="5"/>
        <v>16500</v>
      </c>
      <c r="R16" s="3">
        <f t="shared" si="6"/>
        <v>1504.2261353104727</v>
      </c>
      <c r="S16" s="3">
        <f t="shared" si="1"/>
        <v>0</v>
      </c>
      <c r="V16" s="3">
        <f t="shared" si="2"/>
        <v>23127.82968187868</v>
      </c>
      <c r="W16" s="3"/>
      <c r="X16" s="3"/>
      <c r="Y16" s="3"/>
    </row>
    <row r="17" spans="1:34">
      <c r="A17">
        <v>3.7456000000000003E-2</v>
      </c>
      <c r="B17">
        <v>3.7442499999999997E-2</v>
      </c>
      <c r="C17">
        <v>12295</v>
      </c>
      <c r="D17">
        <v>742</v>
      </c>
      <c r="E17">
        <v>12</v>
      </c>
      <c r="F17">
        <f t="shared" si="7"/>
        <v>3.0737500000000001E-2</v>
      </c>
      <c r="G17" s="9">
        <f t="shared" si="8"/>
        <v>3.7100000000000001E-2</v>
      </c>
      <c r="I17">
        <v>71</v>
      </c>
      <c r="J17">
        <v>400</v>
      </c>
      <c r="K17">
        <v>40</v>
      </c>
      <c r="N17">
        <f t="shared" si="3"/>
        <v>14</v>
      </c>
      <c r="O17">
        <f t="shared" si="0"/>
        <v>12</v>
      </c>
      <c r="P17" s="3">
        <f t="shared" si="4"/>
        <v>1500</v>
      </c>
      <c r="Q17" s="3">
        <f t="shared" si="5"/>
        <v>18000</v>
      </c>
      <c r="R17" s="3">
        <f t="shared" si="6"/>
        <v>1504.2261353104727</v>
      </c>
      <c r="S17" s="3">
        <f t="shared" si="1"/>
        <v>0</v>
      </c>
      <c r="V17" s="3">
        <f t="shared" si="2"/>
        <v>22630.495865930574</v>
      </c>
      <c r="W17" s="3"/>
      <c r="X17" s="3"/>
      <c r="Y17" s="3"/>
    </row>
    <row r="18" spans="1:34">
      <c r="A18">
        <v>3.7599E-2</v>
      </c>
      <c r="B18">
        <v>3.7585E-2</v>
      </c>
      <c r="C18">
        <v>12335</v>
      </c>
      <c r="D18">
        <v>743</v>
      </c>
      <c r="E18">
        <v>13</v>
      </c>
      <c r="F18">
        <f t="shared" si="7"/>
        <v>3.08375E-2</v>
      </c>
      <c r="G18" s="9">
        <f t="shared" si="8"/>
        <v>3.7150000000000002E-2</v>
      </c>
      <c r="I18">
        <v>81</v>
      </c>
      <c r="J18">
        <v>700</v>
      </c>
      <c r="K18">
        <v>70</v>
      </c>
      <c r="N18">
        <f t="shared" si="3"/>
        <v>15</v>
      </c>
      <c r="O18">
        <f t="shared" si="0"/>
        <v>13</v>
      </c>
      <c r="P18" s="3">
        <f t="shared" si="4"/>
        <v>1500</v>
      </c>
      <c r="Q18" s="3">
        <f t="shared" si="5"/>
        <v>19500</v>
      </c>
      <c r="R18" s="3">
        <f t="shared" si="6"/>
        <v>1504.2261353104727</v>
      </c>
      <c r="S18" s="3">
        <f t="shared" si="1"/>
        <v>0</v>
      </c>
      <c r="V18" s="3">
        <f t="shared" si="2"/>
        <v>22110.105654275114</v>
      </c>
      <c r="W18" s="3"/>
      <c r="X18" s="3"/>
      <c r="Y18" s="3"/>
    </row>
    <row r="19" spans="1:34">
      <c r="A19">
        <v>3.7747000000000003E-2</v>
      </c>
      <c r="B19">
        <v>3.7732500000000002E-2</v>
      </c>
      <c r="C19">
        <v>12378</v>
      </c>
      <c r="D19">
        <v>745</v>
      </c>
      <c r="E19">
        <v>14</v>
      </c>
      <c r="F19">
        <f t="shared" si="7"/>
        <v>3.0945E-2</v>
      </c>
      <c r="G19" s="9">
        <f t="shared" si="8"/>
        <v>3.7249999999999998E-2</v>
      </c>
      <c r="I19">
        <v>91</v>
      </c>
      <c r="J19" t="s">
        <v>9</v>
      </c>
      <c r="K19" t="s">
        <v>9</v>
      </c>
      <c r="N19">
        <f t="shared" si="3"/>
        <v>16</v>
      </c>
      <c r="O19">
        <f t="shared" si="0"/>
        <v>14</v>
      </c>
      <c r="P19" s="3">
        <f t="shared" si="4"/>
        <v>1500</v>
      </c>
      <c r="Q19" s="3">
        <f t="shared" si="5"/>
        <v>21000</v>
      </c>
      <c r="R19" s="3">
        <f t="shared" si="6"/>
        <v>1504.2261353104727</v>
      </c>
      <c r="S19" s="3">
        <f t="shared" si="1"/>
        <v>0</v>
      </c>
      <c r="V19" s="3">
        <f t="shared" si="2"/>
        <v>21565.590152407309</v>
      </c>
      <c r="W19" s="3"/>
      <c r="X19" s="3"/>
      <c r="Y19" s="3"/>
    </row>
    <row r="20" spans="1:34">
      <c r="A20">
        <v>3.7901999999999998E-2</v>
      </c>
      <c r="B20">
        <v>3.7885000000000002E-2</v>
      </c>
      <c r="C20">
        <v>12422</v>
      </c>
      <c r="D20">
        <v>746</v>
      </c>
      <c r="E20">
        <v>15</v>
      </c>
      <c r="F20">
        <f t="shared" si="7"/>
        <v>3.1054999999999999E-2</v>
      </c>
      <c r="G20" s="9">
        <f t="shared" si="8"/>
        <v>3.73E-2</v>
      </c>
      <c r="N20">
        <f t="shared" si="3"/>
        <v>17</v>
      </c>
      <c r="O20">
        <f t="shared" si="0"/>
        <v>15</v>
      </c>
      <c r="P20" s="3">
        <f t="shared" si="4"/>
        <v>1500</v>
      </c>
      <c r="Q20" s="3">
        <f t="shared" si="5"/>
        <v>22500</v>
      </c>
      <c r="R20" s="3">
        <f t="shared" si="6"/>
        <v>1504.2261353104727</v>
      </c>
      <c r="S20" s="3">
        <f t="shared" si="1"/>
        <v>0</v>
      </c>
      <c r="U20" s="3"/>
      <c r="V20" s="3">
        <f t="shared" si="2"/>
        <v>20995.830911872912</v>
      </c>
      <c r="W20" s="3"/>
      <c r="X20" s="3"/>
      <c r="Y20" s="3"/>
    </row>
    <row r="21" spans="1:34" ht="17" thickBot="1">
      <c r="A21">
        <v>3.8064000000000001E-2</v>
      </c>
      <c r="B21">
        <v>3.8045000000000002E-2</v>
      </c>
      <c r="C21">
        <v>12468</v>
      </c>
      <c r="D21">
        <v>748</v>
      </c>
      <c r="E21">
        <v>16</v>
      </c>
      <c r="F21">
        <f t="shared" si="7"/>
        <v>3.117E-2</v>
      </c>
      <c r="G21" s="9">
        <f t="shared" si="8"/>
        <v>3.7400000000000003E-2</v>
      </c>
      <c r="I21" t="s">
        <v>22</v>
      </c>
      <c r="J21" t="s">
        <v>23</v>
      </c>
      <c r="N21">
        <f t="shared" si="3"/>
        <v>18</v>
      </c>
      <c r="O21">
        <f t="shared" si="0"/>
        <v>16</v>
      </c>
      <c r="P21" s="3">
        <f t="shared" si="4"/>
        <v>1500</v>
      </c>
      <c r="Q21" s="3">
        <f t="shared" si="5"/>
        <v>24000</v>
      </c>
      <c r="R21" s="3">
        <f t="shared" si="6"/>
        <v>1504.2261353104727</v>
      </c>
      <c r="S21" s="3">
        <f t="shared" si="1"/>
        <v>0</v>
      </c>
    </row>
    <row r="22" spans="1:34">
      <c r="A22">
        <v>3.8232000000000002E-2</v>
      </c>
      <c r="B22">
        <v>3.8214999999999999E-2</v>
      </c>
      <c r="C22">
        <v>12516</v>
      </c>
      <c r="D22">
        <v>750</v>
      </c>
      <c r="E22">
        <v>17</v>
      </c>
      <c r="F22">
        <f t="shared" si="7"/>
        <v>3.1289999999999998E-2</v>
      </c>
      <c r="G22" s="9">
        <f t="shared" si="8"/>
        <v>3.7499999999999999E-2</v>
      </c>
      <c r="I22">
        <v>2800</v>
      </c>
      <c r="J22">
        <v>210</v>
      </c>
      <c r="N22">
        <f t="shared" si="3"/>
        <v>19</v>
      </c>
      <c r="O22">
        <f t="shared" si="0"/>
        <v>17</v>
      </c>
      <c r="P22" s="3">
        <f t="shared" si="4"/>
        <v>1500</v>
      </c>
      <c r="Q22" s="3">
        <f t="shared" si="5"/>
        <v>25500</v>
      </c>
      <c r="R22" s="3">
        <f t="shared" si="6"/>
        <v>1504.2261353104727</v>
      </c>
      <c r="S22" s="3">
        <f t="shared" si="1"/>
        <v>0</v>
      </c>
      <c r="U22" s="45" t="s">
        <v>66</v>
      </c>
      <c r="V22" s="46"/>
      <c r="W22" s="47"/>
    </row>
    <row r="23" spans="1:34">
      <c r="A23">
        <v>3.8407999999999998E-2</v>
      </c>
      <c r="B23">
        <v>3.8387499999999998E-2</v>
      </c>
      <c r="C23">
        <v>12566</v>
      </c>
      <c r="D23">
        <v>751</v>
      </c>
      <c r="E23">
        <v>18</v>
      </c>
      <c r="F23">
        <f t="shared" si="7"/>
        <v>3.1414999999999998E-2</v>
      </c>
      <c r="G23" s="9">
        <f t="shared" si="8"/>
        <v>3.755E-2</v>
      </c>
      <c r="N23">
        <f t="shared" si="3"/>
        <v>20</v>
      </c>
      <c r="O23">
        <f t="shared" si="0"/>
        <v>18</v>
      </c>
      <c r="P23" s="3">
        <f t="shared" si="4"/>
        <v>1500</v>
      </c>
      <c r="Q23" s="3">
        <f t="shared" si="5"/>
        <v>27000</v>
      </c>
      <c r="R23" s="3">
        <f t="shared" si="6"/>
        <v>1504.2261353104727</v>
      </c>
      <c r="S23" s="3">
        <f t="shared" si="1"/>
        <v>0</v>
      </c>
      <c r="U23" s="48" t="s">
        <v>63</v>
      </c>
      <c r="V23" s="3">
        <f>+P6</f>
        <v>1500</v>
      </c>
      <c r="W23" s="49">
        <f>1-((1+V25)^(-V24))</f>
        <v>0.18045552966270462</v>
      </c>
      <c r="Y23" t="s">
        <v>63</v>
      </c>
      <c r="Z23" s="3">
        <v>30000</v>
      </c>
      <c r="AB23">
        <f>+Z23*((1+Z26)^(-Z25))</f>
        <v>28829.410334484488</v>
      </c>
      <c r="AC23">
        <v>1</v>
      </c>
      <c r="AD23" s="3">
        <f>(AB26-$Z$23)*(1+$Z$26)</f>
        <v>373418.50120970735</v>
      </c>
      <c r="AF23" s="44">
        <f>(AB26)*(1+Z26)</f>
        <v>403718.50120970735</v>
      </c>
      <c r="AH23">
        <f>+AB31*(1+Z26)</f>
        <v>82358.494148981816</v>
      </c>
    </row>
    <row r="24" spans="1:34">
      <c r="A24">
        <v>3.8591E-2</v>
      </c>
      <c r="B24">
        <v>3.857E-2</v>
      </c>
      <c r="C24">
        <v>12618</v>
      </c>
      <c r="D24">
        <v>753</v>
      </c>
      <c r="E24">
        <v>19</v>
      </c>
      <c r="F24">
        <f t="shared" si="7"/>
        <v>3.1544999999999997E-2</v>
      </c>
      <c r="G24" s="9">
        <f t="shared" si="8"/>
        <v>3.7650000000000003E-2</v>
      </c>
      <c r="I24" t="s">
        <v>10</v>
      </c>
      <c r="J24" t="s">
        <v>73</v>
      </c>
      <c r="N24">
        <f t="shared" si="3"/>
        <v>21</v>
      </c>
      <c r="O24">
        <f t="shared" si="0"/>
        <v>19</v>
      </c>
      <c r="P24" s="3">
        <f t="shared" si="4"/>
        <v>1500</v>
      </c>
      <c r="Q24" s="3">
        <f t="shared" si="5"/>
        <v>28500</v>
      </c>
      <c r="R24" s="3">
        <f t="shared" si="6"/>
        <v>1504.2261353104727</v>
      </c>
      <c r="S24" s="3">
        <f t="shared" si="1"/>
        <v>0</v>
      </c>
      <c r="U24" s="48" t="s">
        <v>64</v>
      </c>
      <c r="V24">
        <f>+N4</f>
        <v>20</v>
      </c>
      <c r="W24" s="49">
        <f>+W23/V25</f>
        <v>18.04555296627046</v>
      </c>
      <c r="Y24" t="s">
        <v>64</v>
      </c>
      <c r="Z24">
        <f>+V24-Z30</f>
        <v>15</v>
      </c>
      <c r="AB24">
        <f>1-((1+Z26)^-Z24)</f>
        <v>0.13865052517162091</v>
      </c>
      <c r="AC24">
        <v>2</v>
      </c>
      <c r="AD24" s="3">
        <f>+(AD23-$Z$23)*(1+$Z$26)</f>
        <v>346852.68622180441</v>
      </c>
      <c r="AF24" s="44">
        <f>+AF23*(1+Z26)</f>
        <v>407755.68622180441</v>
      </c>
      <c r="AH24">
        <f>+(AH23+$AB$31)*(1+$Z$26)</f>
        <v>165540.57323945346</v>
      </c>
    </row>
    <row r="25" spans="1:34">
      <c r="A25">
        <v>3.8781999999999997E-2</v>
      </c>
      <c r="B25">
        <v>3.87575E-2</v>
      </c>
      <c r="C25">
        <v>12673</v>
      </c>
      <c r="D25">
        <v>755</v>
      </c>
      <c r="E25">
        <v>20</v>
      </c>
      <c r="F25">
        <f t="shared" si="7"/>
        <v>3.1682500000000002E-2</v>
      </c>
      <c r="G25" s="9">
        <f t="shared" si="8"/>
        <v>3.7749999999999999E-2</v>
      </c>
      <c r="I25" s="2">
        <v>0.04</v>
      </c>
      <c r="J25" s="2">
        <v>0.01</v>
      </c>
      <c r="N25">
        <f t="shared" si="3"/>
        <v>22</v>
      </c>
      <c r="O25">
        <f t="shared" si="0"/>
        <v>20</v>
      </c>
      <c r="P25" s="3">
        <f t="shared" si="4"/>
        <v>1500</v>
      </c>
      <c r="Q25" s="3">
        <f t="shared" si="5"/>
        <v>30000</v>
      </c>
      <c r="R25" s="3">
        <f t="shared" si="6"/>
        <v>1504.2261353104727</v>
      </c>
      <c r="S25" s="3">
        <f t="shared" si="1"/>
        <v>0</v>
      </c>
      <c r="U25" s="48" t="s">
        <v>65</v>
      </c>
      <c r="V25">
        <f>+AC10</f>
        <v>0.01</v>
      </c>
      <c r="W25" s="49">
        <f>+W24*(1+V25)</f>
        <v>18.226008495933165</v>
      </c>
      <c r="Y25" t="s">
        <v>72</v>
      </c>
      <c r="Z25">
        <f>+Z30-1</f>
        <v>4</v>
      </c>
      <c r="AB25">
        <f>+AB24/Z26</f>
        <v>13.865052517162091</v>
      </c>
      <c r="AC25">
        <v>3</v>
      </c>
      <c r="AD25" s="3">
        <f t="shared" ref="AD25:AD37" si="9">+(AD24-$Z$23)*(1+$Z$26)</f>
        <v>320021.21308402246</v>
      </c>
      <c r="AF25" s="44">
        <f>+(AF24)*(1+$Z$26)</f>
        <v>411833.24308402248</v>
      </c>
      <c r="AH25">
        <f>+(AH24+$AB$31)*(1+$Z$26)</f>
        <v>249554.47312082979</v>
      </c>
    </row>
    <row r="26" spans="1:34" ht="17" thickBot="1">
      <c r="A26">
        <v>3.8981000000000002E-2</v>
      </c>
      <c r="B26">
        <v>3.8954999999999997E-2</v>
      </c>
      <c r="C26">
        <v>12730</v>
      </c>
      <c r="D26">
        <v>757</v>
      </c>
      <c r="E26">
        <v>21</v>
      </c>
      <c r="F26">
        <f t="shared" si="7"/>
        <v>3.1824999999999999E-2</v>
      </c>
      <c r="G26" s="9">
        <f t="shared" si="8"/>
        <v>3.7850000000000002E-2</v>
      </c>
      <c r="N26">
        <f t="shared" si="3"/>
        <v>23</v>
      </c>
      <c r="O26" t="str">
        <f t="shared" si="0"/>
        <v xml:space="preserve"> </v>
      </c>
      <c r="R26" s="3">
        <f t="shared" si="6"/>
        <v>1504.2261353104727</v>
      </c>
      <c r="S26" s="3">
        <f t="shared" si="1"/>
        <v>1504.2261353104727</v>
      </c>
      <c r="U26" s="50"/>
      <c r="V26" s="51"/>
      <c r="W26" s="52">
        <f>+W25*V23</f>
        <v>27339.012743899748</v>
      </c>
      <c r="Y26" t="s">
        <v>65</v>
      </c>
      <c r="Z26">
        <v>0.01</v>
      </c>
      <c r="AB26" s="44">
        <f>(AB23*AB25)</f>
        <v>399721.28832644294</v>
      </c>
      <c r="AC26">
        <v>4</v>
      </c>
      <c r="AD26" s="3">
        <f t="shared" si="9"/>
        <v>292921.42521486268</v>
      </c>
      <c r="AF26" s="44">
        <f>+(AF25)*(1+$Z$26)</f>
        <v>415951.57551486272</v>
      </c>
      <c r="AH26">
        <f>+(AH25+$AB$31)*(1+$Z$26)</f>
        <v>334408.5120010199</v>
      </c>
    </row>
    <row r="27" spans="1:34">
      <c r="A27">
        <v>3.9189000000000002E-2</v>
      </c>
      <c r="B27">
        <v>3.916E-2</v>
      </c>
      <c r="C27">
        <v>12790</v>
      </c>
      <c r="D27">
        <v>760</v>
      </c>
      <c r="E27">
        <v>22</v>
      </c>
      <c r="F27">
        <f t="shared" si="7"/>
        <v>3.1975000000000003E-2</v>
      </c>
      <c r="G27" s="9">
        <f t="shared" si="8"/>
        <v>3.7999999999999999E-2</v>
      </c>
      <c r="I27" t="s">
        <v>19</v>
      </c>
      <c r="J27" t="s">
        <v>20</v>
      </c>
      <c r="K27" t="s">
        <v>21</v>
      </c>
      <c r="N27">
        <f t="shared" si="3"/>
        <v>24</v>
      </c>
      <c r="O27" t="str">
        <f t="shared" si="0"/>
        <v xml:space="preserve"> </v>
      </c>
      <c r="R27" s="3">
        <f t="shared" si="6"/>
        <v>1504.2261353104727</v>
      </c>
      <c r="S27" s="3">
        <f t="shared" si="1"/>
        <v>3008.4522706209455</v>
      </c>
      <c r="Y27" t="s">
        <v>68</v>
      </c>
      <c r="Z27" s="44">
        <f>+AB26</f>
        <v>399721.28832644294</v>
      </c>
      <c r="AC27">
        <v>5</v>
      </c>
      <c r="AD27" s="3">
        <f t="shared" si="9"/>
        <v>265550.63946701132</v>
      </c>
      <c r="AF27" s="44">
        <f>+(AF26)*(1+$Z$26)</f>
        <v>420111.09127001133</v>
      </c>
      <c r="AH27">
        <f>+(AH26+$AB$31)*(1+$Z$26)</f>
        <v>420111.09127001197</v>
      </c>
    </row>
    <row r="28" spans="1:34">
      <c r="A28">
        <v>3.9405999999999997E-2</v>
      </c>
      <c r="B28">
        <v>3.9375E-2</v>
      </c>
      <c r="C28">
        <v>12852</v>
      </c>
      <c r="D28">
        <v>762</v>
      </c>
      <c r="E28">
        <v>23</v>
      </c>
      <c r="F28">
        <f t="shared" si="7"/>
        <v>3.2129999999999999E-2</v>
      </c>
      <c r="G28" s="9">
        <f t="shared" si="8"/>
        <v>3.8100000000000002E-2</v>
      </c>
      <c r="I28">
        <v>10</v>
      </c>
      <c r="J28">
        <v>9.5949999999999994E-2</v>
      </c>
      <c r="K28">
        <v>9.0020000000000003E-2</v>
      </c>
      <c r="N28">
        <f t="shared" si="3"/>
        <v>25</v>
      </c>
      <c r="O28" t="str">
        <f t="shared" si="0"/>
        <v xml:space="preserve"> </v>
      </c>
      <c r="R28" s="3">
        <f t="shared" si="6"/>
        <v>1504.2261353104727</v>
      </c>
      <c r="S28" s="3">
        <f t="shared" si="1"/>
        <v>4512.6784059314177</v>
      </c>
      <c r="AC28">
        <v>6</v>
      </c>
      <c r="AD28" s="3">
        <f t="shared" si="9"/>
        <v>237906.14586168143</v>
      </c>
      <c r="AF28" s="3">
        <f>+(AF27-$Z$23)*(1+$Z$26)</f>
        <v>394012.20218271145</v>
      </c>
    </row>
    <row r="29" spans="1:34">
      <c r="A29">
        <v>3.9632000000000001E-2</v>
      </c>
      <c r="B29">
        <v>3.9597500000000001E-2</v>
      </c>
      <c r="C29">
        <v>12917</v>
      </c>
      <c r="D29">
        <v>764</v>
      </c>
      <c r="E29">
        <v>24</v>
      </c>
      <c r="F29">
        <f t="shared" si="7"/>
        <v>3.2292500000000002E-2</v>
      </c>
      <c r="G29" s="9">
        <f t="shared" si="8"/>
        <v>3.8199999999999998E-2</v>
      </c>
      <c r="I29">
        <v>15</v>
      </c>
      <c r="J29">
        <v>5.2069999999999998E-2</v>
      </c>
      <c r="K29">
        <v>5.015E-2</v>
      </c>
      <c r="N29">
        <f t="shared" si="3"/>
        <v>26</v>
      </c>
      <c r="O29" t="str">
        <f t="shared" si="0"/>
        <v xml:space="preserve"> </v>
      </c>
      <c r="R29" s="3">
        <f t="shared" si="6"/>
        <v>1504.2261353104727</v>
      </c>
      <c r="S29" s="3">
        <f t="shared" si="1"/>
        <v>6016.9045412418909</v>
      </c>
      <c r="Y29" t="s">
        <v>69</v>
      </c>
      <c r="Z29" s="44">
        <f>+AB26*((1+Z26)^(Z25+1))</f>
        <v>420111.09127001133</v>
      </c>
      <c r="AB29">
        <f>Z29*Z26</f>
        <v>4201.1109127001137</v>
      </c>
      <c r="AC29">
        <v>7</v>
      </c>
      <c r="AD29" s="3">
        <f t="shared" si="9"/>
        <v>209985.20732029824</v>
      </c>
      <c r="AF29" s="3">
        <f t="shared" ref="AF29:AF37" si="10">+(AF28-$Z$23)*(1+$Z$26)</f>
        <v>367652.32420453854</v>
      </c>
    </row>
    <row r="30" spans="1:34">
      <c r="A30">
        <v>3.9868000000000001E-2</v>
      </c>
      <c r="B30">
        <v>3.9829999999999997E-2</v>
      </c>
      <c r="C30">
        <v>12985</v>
      </c>
      <c r="D30">
        <v>767</v>
      </c>
      <c r="E30">
        <v>25</v>
      </c>
      <c r="F30">
        <f t="shared" si="7"/>
        <v>3.2462499999999998E-2</v>
      </c>
      <c r="G30" s="9">
        <f t="shared" si="8"/>
        <v>3.8350000000000002E-2</v>
      </c>
      <c r="I30">
        <v>20</v>
      </c>
      <c r="J30">
        <v>3.4779999999999998E-2</v>
      </c>
      <c r="K30">
        <v>3.2370000000000003E-2</v>
      </c>
      <c r="N30">
        <f t="shared" si="3"/>
        <v>27</v>
      </c>
      <c r="O30" t="str">
        <f t="shared" si="0"/>
        <v xml:space="preserve"> </v>
      </c>
      <c r="R30" s="3">
        <f t="shared" si="6"/>
        <v>1504.2261353104727</v>
      </c>
      <c r="S30" s="3">
        <f t="shared" si="1"/>
        <v>7521.1306765523641</v>
      </c>
      <c r="Y30" t="s">
        <v>67</v>
      </c>
      <c r="Z30">
        <v>5</v>
      </c>
      <c r="AB30">
        <f>+(1+Z26)*(((1+Z26)^Z30)-1)</f>
        <v>5.1520150600999924E-2</v>
      </c>
      <c r="AC30">
        <v>8</v>
      </c>
      <c r="AD30" s="3">
        <f t="shared" si="9"/>
        <v>181785.05939350123</v>
      </c>
      <c r="AF30" s="3">
        <f t="shared" si="10"/>
        <v>341028.84744658391</v>
      </c>
    </row>
    <row r="31" spans="1:34">
      <c r="A31">
        <v>4.0114999999999998E-2</v>
      </c>
      <c r="B31">
        <v>4.0072499999999997E-2</v>
      </c>
      <c r="C31">
        <v>13056</v>
      </c>
      <c r="D31">
        <v>770</v>
      </c>
      <c r="E31">
        <v>26</v>
      </c>
      <c r="F31">
        <f t="shared" si="7"/>
        <v>3.2640000000000002E-2</v>
      </c>
      <c r="G31" s="9">
        <f t="shared" si="8"/>
        <v>3.85E-2</v>
      </c>
      <c r="M31" s="12"/>
      <c r="N31">
        <f t="shared" si="3"/>
        <v>28</v>
      </c>
      <c r="O31" t="str">
        <f t="shared" si="0"/>
        <v xml:space="preserve"> </v>
      </c>
      <c r="R31" s="3">
        <f t="shared" si="6"/>
        <v>1504.2261353104727</v>
      </c>
      <c r="S31" s="3">
        <f t="shared" si="1"/>
        <v>9025.3568118628373</v>
      </c>
      <c r="AB31" s="44">
        <f>+AB29/AB30</f>
        <v>81543.063513843386</v>
      </c>
      <c r="AC31">
        <v>9</v>
      </c>
      <c r="AD31" s="3">
        <f t="shared" si="9"/>
        <v>153302.90998743623</v>
      </c>
      <c r="AF31" s="3">
        <f t="shared" si="10"/>
        <v>314139.13592104975</v>
      </c>
    </row>
    <row r="32" spans="1:34">
      <c r="A32">
        <v>4.0371999999999998E-2</v>
      </c>
      <c r="B32">
        <v>4.0325E-2</v>
      </c>
      <c r="C32">
        <v>13130</v>
      </c>
      <c r="D32">
        <v>772</v>
      </c>
      <c r="E32">
        <v>27</v>
      </c>
      <c r="F32">
        <f t="shared" si="7"/>
        <v>3.2825E-2</v>
      </c>
      <c r="G32" s="9">
        <f t="shared" si="8"/>
        <v>3.8600000000000002E-2</v>
      </c>
      <c r="M32" s="12"/>
      <c r="N32">
        <f t="shared" si="3"/>
        <v>29</v>
      </c>
      <c r="O32" t="str">
        <f t="shared" si="0"/>
        <v xml:space="preserve"> </v>
      </c>
      <c r="R32" s="3">
        <f t="shared" si="6"/>
        <v>1504.2261353104727</v>
      </c>
      <c r="S32" s="3">
        <f t="shared" si="1"/>
        <v>10529.58294717331</v>
      </c>
      <c r="AC32">
        <v>10</v>
      </c>
      <c r="AD32" s="3">
        <f t="shared" si="9"/>
        <v>124535.93908731059</v>
      </c>
      <c r="AF32" s="3">
        <f t="shared" si="10"/>
        <v>286980.52728026023</v>
      </c>
    </row>
    <row r="33" spans="1:32">
      <c r="A33">
        <v>4.0641999999999998E-2</v>
      </c>
      <c r="B33">
        <v>4.0590000000000001E-2</v>
      </c>
      <c r="C33">
        <v>13208</v>
      </c>
      <c r="D33">
        <v>775</v>
      </c>
      <c r="E33">
        <v>28</v>
      </c>
      <c r="F33">
        <f t="shared" si="7"/>
        <v>3.3020000000000001E-2</v>
      </c>
      <c r="G33" s="9">
        <f t="shared" si="8"/>
        <v>3.875E-2</v>
      </c>
      <c r="I33" t="s">
        <v>28</v>
      </c>
      <c r="J33" t="s">
        <v>20</v>
      </c>
      <c r="K33" t="s">
        <v>21</v>
      </c>
      <c r="M33" s="12"/>
      <c r="N33">
        <f t="shared" si="3"/>
        <v>30</v>
      </c>
      <c r="O33" t="str">
        <f t="shared" si="0"/>
        <v xml:space="preserve"> </v>
      </c>
      <c r="R33" s="3">
        <f t="shared" si="6"/>
        <v>1504.2261353104727</v>
      </c>
      <c r="S33" s="3">
        <f t="shared" si="1"/>
        <v>12033.809082483784</v>
      </c>
      <c r="Y33" s="1" t="s">
        <v>71</v>
      </c>
      <c r="Z33" s="44">
        <f>+Z23*(1+Z26)*((((1+Z26)^Z30)-1)/Z26)</f>
        <v>154560.45180299977</v>
      </c>
      <c r="AB33">
        <f>Z33*Z26</f>
        <v>1545.6045180299977</v>
      </c>
      <c r="AC33">
        <v>11</v>
      </c>
      <c r="AD33" s="3">
        <f t="shared" si="9"/>
        <v>95481.2984781837</v>
      </c>
      <c r="AF33" s="3">
        <f t="shared" si="10"/>
        <v>259550.33255306282</v>
      </c>
    </row>
    <row r="34" spans="1:32">
      <c r="A34">
        <v>4.0923000000000001E-2</v>
      </c>
      <c r="B34">
        <v>4.0864999999999999E-2</v>
      </c>
      <c r="C34">
        <v>13290</v>
      </c>
      <c r="D34">
        <v>778</v>
      </c>
      <c r="E34">
        <v>29</v>
      </c>
      <c r="F34">
        <f t="shared" si="7"/>
        <v>3.3224999999999998E-2</v>
      </c>
      <c r="G34" s="9">
        <f t="shared" si="8"/>
        <v>3.8899999999999997E-2</v>
      </c>
      <c r="I34" t="s">
        <v>27</v>
      </c>
      <c r="J34">
        <v>1.08</v>
      </c>
      <c r="K34">
        <v>1.04</v>
      </c>
      <c r="M34" s="12"/>
      <c r="N34">
        <f t="shared" si="3"/>
        <v>31</v>
      </c>
      <c r="O34" t="str">
        <f t="shared" si="0"/>
        <v xml:space="preserve"> </v>
      </c>
      <c r="R34" s="3">
        <f t="shared" si="6"/>
        <v>1504.2261353104727</v>
      </c>
      <c r="S34" s="3">
        <f t="shared" si="1"/>
        <v>13538.035217794257</v>
      </c>
      <c r="AB34">
        <f>+(1+Z26)*(((1+Z26)^Z30)-1)</f>
        <v>5.1520150600999924E-2</v>
      </c>
      <c r="AC34">
        <v>12</v>
      </c>
      <c r="AD34" s="3">
        <f t="shared" si="9"/>
        <v>66136.111462965535</v>
      </c>
      <c r="AF34" s="3">
        <f t="shared" si="10"/>
        <v>231845.83587859344</v>
      </c>
    </row>
    <row r="35" spans="1:32">
      <c r="A35">
        <v>4.1217999999999998E-2</v>
      </c>
      <c r="B35">
        <v>4.1149999999999999E-2</v>
      </c>
      <c r="C35">
        <v>13376</v>
      </c>
      <c r="D35">
        <v>782</v>
      </c>
      <c r="E35">
        <v>30</v>
      </c>
      <c r="F35">
        <f t="shared" si="7"/>
        <v>3.3439999999999998E-2</v>
      </c>
      <c r="G35" s="9">
        <f t="shared" si="8"/>
        <v>3.9100000000000003E-2</v>
      </c>
      <c r="I35" t="s">
        <v>30</v>
      </c>
      <c r="J35">
        <v>1.0629999999999999</v>
      </c>
      <c r="K35">
        <v>1.0325</v>
      </c>
      <c r="N35">
        <f t="shared" si="3"/>
        <v>32</v>
      </c>
      <c r="O35" t="str">
        <f t="shared" si="0"/>
        <v xml:space="preserve"> </v>
      </c>
      <c r="R35" s="3">
        <f t="shared" si="6"/>
        <v>1504.2261353104727</v>
      </c>
      <c r="S35" s="3">
        <f t="shared" si="1"/>
        <v>15042.26135310473</v>
      </c>
      <c r="AB35" s="44">
        <f>+AB33/AB34</f>
        <v>30000</v>
      </c>
      <c r="AC35">
        <v>13</v>
      </c>
      <c r="AD35" s="3">
        <f t="shared" si="9"/>
        <v>36497.472577595188</v>
      </c>
      <c r="AF35" s="3">
        <f t="shared" si="10"/>
        <v>203864.29423737936</v>
      </c>
    </row>
    <row r="36" spans="1:32">
      <c r="A36">
        <v>4.1524999999999999E-2</v>
      </c>
      <c r="B36">
        <v>4.1450000000000001E-2</v>
      </c>
      <c r="C36">
        <v>13465</v>
      </c>
      <c r="D36">
        <v>785</v>
      </c>
      <c r="E36">
        <v>31</v>
      </c>
      <c r="F36">
        <f t="shared" si="7"/>
        <v>3.3662499999999998E-2</v>
      </c>
      <c r="G36" s="9">
        <f t="shared" si="8"/>
        <v>3.925E-2</v>
      </c>
      <c r="I36" t="s">
        <v>29</v>
      </c>
      <c r="J36">
        <v>1.04</v>
      </c>
      <c r="K36">
        <v>1.0225</v>
      </c>
      <c r="N36">
        <f t="shared" si="3"/>
        <v>33</v>
      </c>
      <c r="O36" t="str">
        <f t="shared" si="0"/>
        <v xml:space="preserve"> </v>
      </c>
      <c r="R36" s="3">
        <f t="shared" si="6"/>
        <v>1504.2261353104727</v>
      </c>
      <c r="S36" s="3">
        <f t="shared" si="1"/>
        <v>16546.487488415201</v>
      </c>
      <c r="AC36">
        <v>14</v>
      </c>
      <c r="AD36" s="3">
        <f t="shared" si="9"/>
        <v>6562.4473033711402</v>
      </c>
      <c r="AF36" s="3">
        <f t="shared" si="10"/>
        <v>175602.93717975315</v>
      </c>
    </row>
    <row r="37" spans="1:32">
      <c r="A37">
        <v>4.1847000000000002E-2</v>
      </c>
      <c r="B37">
        <v>4.1759999999999999E-2</v>
      </c>
      <c r="C37">
        <v>13558</v>
      </c>
      <c r="D37">
        <v>789</v>
      </c>
      <c r="E37">
        <v>32</v>
      </c>
      <c r="F37">
        <f t="shared" si="7"/>
        <v>3.3895000000000002E-2</v>
      </c>
      <c r="G37" s="9">
        <f t="shared" si="8"/>
        <v>3.9449999999999999E-2</v>
      </c>
      <c r="I37" t="s">
        <v>31</v>
      </c>
      <c r="J37">
        <v>1</v>
      </c>
      <c r="K37">
        <v>1</v>
      </c>
      <c r="N37">
        <f>+N36+1</f>
        <v>34</v>
      </c>
      <c r="O37" t="str">
        <f t="shared" si="0"/>
        <v xml:space="preserve"> </v>
      </c>
      <c r="R37" s="3">
        <f t="shared" si="6"/>
        <v>1504.2261353104727</v>
      </c>
      <c r="S37" s="3">
        <f t="shared" si="1"/>
        <v>18050.713623725675</v>
      </c>
      <c r="Z37" t="s">
        <v>13</v>
      </c>
      <c r="AB37" s="3">
        <f>+AB35+AB31</f>
        <v>111543.06351384339</v>
      </c>
      <c r="AC37">
        <v>15</v>
      </c>
      <c r="AD37" s="3">
        <f t="shared" si="9"/>
        <v>-23671.928223595147</v>
      </c>
      <c r="AF37" s="3">
        <f t="shared" si="10"/>
        <v>147058.96655155069</v>
      </c>
    </row>
    <row r="38" spans="1:32">
      <c r="A38">
        <v>4.2182999999999998E-2</v>
      </c>
      <c r="B38">
        <v>4.2084999999999997E-2</v>
      </c>
      <c r="C38">
        <v>13656</v>
      </c>
      <c r="D38">
        <v>792</v>
      </c>
      <c r="E38">
        <v>33</v>
      </c>
      <c r="F38">
        <f t="shared" si="7"/>
        <v>3.4139999999999997E-2</v>
      </c>
      <c r="G38" s="9">
        <f t="shared" si="8"/>
        <v>3.9600000000000003E-2</v>
      </c>
      <c r="N38">
        <f t="shared" si="3"/>
        <v>35</v>
      </c>
      <c r="O38" t="str">
        <f t="shared" si="0"/>
        <v xml:space="preserve"> </v>
      </c>
      <c r="R38" s="3">
        <f t="shared" si="6"/>
        <v>1504.2261353104727</v>
      </c>
      <c r="S38" s="3">
        <f t="shared" si="1"/>
        <v>19554.939759036148</v>
      </c>
    </row>
    <row r="39" spans="1:32">
      <c r="A39">
        <v>4.2535000000000003E-2</v>
      </c>
      <c r="B39">
        <v>4.2424999999999997E-2</v>
      </c>
      <c r="C39">
        <v>13758</v>
      </c>
      <c r="D39">
        <v>796</v>
      </c>
      <c r="E39">
        <v>34</v>
      </c>
      <c r="F39">
        <f t="shared" si="7"/>
        <v>3.4395000000000002E-2</v>
      </c>
      <c r="G39" s="9">
        <f t="shared" si="8"/>
        <v>3.9800000000000002E-2</v>
      </c>
      <c r="N39">
        <f t="shared" si="3"/>
        <v>36</v>
      </c>
      <c r="O39" t="str">
        <f t="shared" ref="O39:O71" si="11">+IF(O38=" "," ",IF(O38+1&gt;$N$4," ",O38+1))</f>
        <v xml:space="preserve"> </v>
      </c>
      <c r="R39" s="3">
        <f t="shared" si="6"/>
        <v>1504.2261353104727</v>
      </c>
      <c r="S39" s="3">
        <f t="shared" si="1"/>
        <v>21059.165894346621</v>
      </c>
      <c r="AB39" s="3"/>
    </row>
    <row r="40" spans="1:32">
      <c r="A40">
        <v>4.2902000000000003E-2</v>
      </c>
      <c r="B40">
        <v>4.2777500000000003E-2</v>
      </c>
      <c r="C40">
        <v>13865</v>
      </c>
      <c r="D40">
        <v>801</v>
      </c>
      <c r="E40">
        <v>35</v>
      </c>
      <c r="F40">
        <f t="shared" si="7"/>
        <v>3.4662499999999999E-2</v>
      </c>
      <c r="G40" s="9">
        <f t="shared" si="8"/>
        <v>4.0050000000000002E-2</v>
      </c>
      <c r="N40">
        <f t="shared" si="3"/>
        <v>37</v>
      </c>
      <c r="O40" t="str">
        <f t="shared" si="11"/>
        <v xml:space="preserve"> </v>
      </c>
      <c r="R40" s="3">
        <f t="shared" si="6"/>
        <v>1504.2261353104727</v>
      </c>
      <c r="S40" s="3">
        <f t="shared" si="1"/>
        <v>22563.392029657094</v>
      </c>
    </row>
    <row r="41" spans="1:32">
      <c r="B41">
        <v>4.3145000000000003E-2</v>
      </c>
      <c r="N41">
        <f t="shared" si="3"/>
        <v>38</v>
      </c>
      <c r="O41" t="str">
        <f t="shared" si="11"/>
        <v xml:space="preserve"> </v>
      </c>
      <c r="R41" s="3">
        <f t="shared" si="6"/>
        <v>1504.2261353104727</v>
      </c>
      <c r="S41" s="3">
        <f t="shared" si="1"/>
        <v>24067.618164967567</v>
      </c>
      <c r="Y41" t="s">
        <v>70</v>
      </c>
      <c r="Z41" s="44">
        <f>Z33/((1+Z26)^Z24)</f>
        <v>133130.56398975084</v>
      </c>
      <c r="AB41" s="3"/>
    </row>
    <row r="42" spans="1:32">
      <c r="B42">
        <v>4.3529999999999999E-2</v>
      </c>
      <c r="N42">
        <f t="shared" si="3"/>
        <v>39</v>
      </c>
      <c r="O42" t="str">
        <f t="shared" si="11"/>
        <v xml:space="preserve"> </v>
      </c>
      <c r="R42" s="3">
        <f t="shared" si="6"/>
        <v>1504.2261353104727</v>
      </c>
      <c r="S42" s="3">
        <f t="shared" si="1"/>
        <v>25571.84430027804</v>
      </c>
    </row>
    <row r="43" spans="1:32">
      <c r="N43">
        <f t="shared" si="3"/>
        <v>40</v>
      </c>
      <c r="O43" t="str">
        <f t="shared" si="11"/>
        <v xml:space="preserve"> </v>
      </c>
      <c r="R43" s="3">
        <f t="shared" si="6"/>
        <v>1504.2261353104727</v>
      </c>
      <c r="S43" s="3">
        <f t="shared" si="1"/>
        <v>27076.070435588514</v>
      </c>
    </row>
    <row r="44" spans="1:32">
      <c r="A44" t="s">
        <v>81</v>
      </c>
      <c r="N44">
        <f t="shared" si="3"/>
        <v>41</v>
      </c>
      <c r="O44" t="str">
        <f t="shared" si="11"/>
        <v xml:space="preserve"> </v>
      </c>
      <c r="R44" s="3">
        <f t="shared" si="6"/>
        <v>1504.2261353104727</v>
      </c>
      <c r="S44" s="3">
        <f t="shared" si="1"/>
        <v>28580.296570898987</v>
      </c>
    </row>
    <row r="45" spans="1:32">
      <c r="A45" t="s">
        <v>20</v>
      </c>
      <c r="B45" t="s">
        <v>21</v>
      </c>
      <c r="N45">
        <f t="shared" si="3"/>
        <v>42</v>
      </c>
      <c r="O45" t="str">
        <f t="shared" si="11"/>
        <v xml:space="preserve"> </v>
      </c>
      <c r="R45" s="3">
        <f t="shared" si="6"/>
        <v>1504.2261353104727</v>
      </c>
      <c r="S45" s="3">
        <f t="shared" si="1"/>
        <v>30084.52270620946</v>
      </c>
    </row>
    <row r="46" spans="1:32">
      <c r="A46">
        <v>2.4230000000000002E-2</v>
      </c>
      <c r="B46">
        <v>2.9649999999999999E-2</v>
      </c>
      <c r="N46">
        <f t="shared" si="3"/>
        <v>43</v>
      </c>
      <c r="O46" t="str">
        <f t="shared" si="11"/>
        <v xml:space="preserve"> </v>
      </c>
      <c r="R46" s="3">
        <f t="shared" si="6"/>
        <v>1504.2261353104727</v>
      </c>
      <c r="S46" s="3">
        <f t="shared" si="1"/>
        <v>31588.748841519933</v>
      </c>
    </row>
    <row r="47" spans="1:32">
      <c r="A47">
        <v>2.4334999999999999E-2</v>
      </c>
      <c r="B47">
        <v>2.9749999999999999E-2</v>
      </c>
      <c r="N47">
        <f t="shared" si="3"/>
        <v>44</v>
      </c>
      <c r="O47" t="str">
        <f t="shared" si="11"/>
        <v xml:space="preserve"> </v>
      </c>
      <c r="R47" s="3">
        <f t="shared" si="6"/>
        <v>1504.2261353104727</v>
      </c>
      <c r="S47" s="3">
        <f t="shared" si="1"/>
        <v>33092.974976830403</v>
      </c>
    </row>
    <row r="48" spans="1:32">
      <c r="A48">
        <v>2.4445000000000001E-2</v>
      </c>
      <c r="B48">
        <v>2.9850000000000002E-2</v>
      </c>
      <c r="N48">
        <f t="shared" si="3"/>
        <v>45</v>
      </c>
      <c r="O48" t="str">
        <f t="shared" si="11"/>
        <v xml:space="preserve"> </v>
      </c>
      <c r="R48" s="3">
        <f t="shared" si="6"/>
        <v>1504.2261353104727</v>
      </c>
      <c r="S48" s="3">
        <f t="shared" si="1"/>
        <v>34597.201112140872</v>
      </c>
    </row>
    <row r="49" spans="1:19">
      <c r="A49">
        <v>2.4559999999999998E-2</v>
      </c>
      <c r="B49">
        <v>2.9899999999999999E-2</v>
      </c>
      <c r="N49">
        <f t="shared" si="3"/>
        <v>46</v>
      </c>
      <c r="O49" t="str">
        <f t="shared" si="11"/>
        <v xml:space="preserve"> </v>
      </c>
      <c r="R49" s="3">
        <f t="shared" si="6"/>
        <v>1504.2261353104727</v>
      </c>
      <c r="S49" s="3">
        <f t="shared" si="1"/>
        <v>36101.427247451342</v>
      </c>
    </row>
    <row r="50" spans="1:19">
      <c r="A50">
        <v>2.4677500000000002E-2</v>
      </c>
      <c r="B50">
        <v>0.03</v>
      </c>
      <c r="N50">
        <f t="shared" si="3"/>
        <v>47</v>
      </c>
      <c r="O50" t="str">
        <f t="shared" si="11"/>
        <v xml:space="preserve"> </v>
      </c>
      <c r="R50" s="3">
        <f t="shared" si="6"/>
        <v>1504.2261353104727</v>
      </c>
      <c r="S50" s="3">
        <f t="shared" si="1"/>
        <v>37605.653382761811</v>
      </c>
    </row>
    <row r="51" spans="1:19">
      <c r="A51">
        <v>2.4799999999999999E-2</v>
      </c>
      <c r="B51">
        <v>3.0099999999999998E-2</v>
      </c>
      <c r="F51" s="13"/>
      <c r="G51" s="13"/>
      <c r="H51" s="13"/>
      <c r="I51" s="13"/>
      <c r="J51" s="13"/>
      <c r="K51" s="13"/>
      <c r="L51" s="13"/>
      <c r="N51">
        <f t="shared" si="3"/>
        <v>48</v>
      </c>
      <c r="O51" t="str">
        <f t="shared" si="11"/>
        <v xml:space="preserve"> </v>
      </c>
      <c r="R51" s="3">
        <f t="shared" si="6"/>
        <v>1504.2261353104727</v>
      </c>
      <c r="S51" s="3">
        <f t="shared" si="1"/>
        <v>39109.879518072281</v>
      </c>
    </row>
    <row r="52" spans="1:19">
      <c r="A52">
        <v>2.4927499999999998E-2</v>
      </c>
      <c r="B52">
        <v>3.0200000000000001E-2</v>
      </c>
      <c r="L52" s="14"/>
      <c r="N52">
        <f t="shared" si="3"/>
        <v>49</v>
      </c>
      <c r="O52" t="str">
        <f t="shared" si="11"/>
        <v xml:space="preserve"> </v>
      </c>
      <c r="R52" s="3">
        <f t="shared" si="6"/>
        <v>1504.2261353104727</v>
      </c>
      <c r="S52" s="3">
        <f t="shared" si="1"/>
        <v>40614.10565338275</v>
      </c>
    </row>
    <row r="53" spans="1:19">
      <c r="A53">
        <v>2.5059999999999999E-2</v>
      </c>
      <c r="B53">
        <v>3.0300000000000001E-2</v>
      </c>
      <c r="N53">
        <f t="shared" si="3"/>
        <v>50</v>
      </c>
      <c r="O53" t="str">
        <f t="shared" si="11"/>
        <v xml:space="preserve"> </v>
      </c>
      <c r="R53" s="3">
        <f t="shared" si="6"/>
        <v>1504.2261353104727</v>
      </c>
      <c r="S53" s="3">
        <f t="shared" si="1"/>
        <v>42118.33178869322</v>
      </c>
    </row>
    <row r="54" spans="1:19">
      <c r="A54">
        <v>2.5197500000000001E-2</v>
      </c>
      <c r="B54">
        <v>3.04E-2</v>
      </c>
      <c r="N54">
        <f t="shared" si="3"/>
        <v>51</v>
      </c>
      <c r="O54" t="str">
        <f t="shared" si="11"/>
        <v xml:space="preserve"> </v>
      </c>
      <c r="R54" s="3">
        <f t="shared" si="6"/>
        <v>1504.2261353104727</v>
      </c>
      <c r="S54" s="3">
        <f t="shared" si="1"/>
        <v>43622.55792400369</v>
      </c>
    </row>
    <row r="55" spans="1:19">
      <c r="A55">
        <v>2.5340000000000001E-2</v>
      </c>
      <c r="B55">
        <v>3.0550000000000001E-2</v>
      </c>
      <c r="N55">
        <f t="shared" si="3"/>
        <v>52</v>
      </c>
      <c r="O55" t="str">
        <f t="shared" si="11"/>
        <v xml:space="preserve"> </v>
      </c>
      <c r="R55" s="3">
        <f t="shared" si="6"/>
        <v>1504.2261353104727</v>
      </c>
      <c r="S55" s="3">
        <f t="shared" si="1"/>
        <v>45126.784059314159</v>
      </c>
    </row>
    <row r="56" spans="1:19">
      <c r="A56">
        <v>2.54875E-2</v>
      </c>
      <c r="B56">
        <v>3.065E-2</v>
      </c>
      <c r="N56">
        <f t="shared" si="3"/>
        <v>53</v>
      </c>
      <c r="O56" t="str">
        <f t="shared" si="11"/>
        <v xml:space="preserve"> </v>
      </c>
      <c r="R56" s="3">
        <f t="shared" si="6"/>
        <v>1504.2261353104727</v>
      </c>
      <c r="S56" s="3">
        <f t="shared" si="1"/>
        <v>46631.010194624629</v>
      </c>
    </row>
    <row r="57" spans="1:19">
      <c r="A57">
        <v>2.5687499999999999E-2</v>
      </c>
      <c r="B57">
        <v>3.075E-2</v>
      </c>
      <c r="N57">
        <f t="shared" si="3"/>
        <v>54</v>
      </c>
      <c r="O57" t="str">
        <f t="shared" si="11"/>
        <v xml:space="preserve"> </v>
      </c>
      <c r="R57" s="3">
        <f t="shared" si="6"/>
        <v>1504.2261353104727</v>
      </c>
      <c r="S57" s="3">
        <f t="shared" si="1"/>
        <v>48135.236329935098</v>
      </c>
    </row>
    <row r="58" spans="1:19">
      <c r="A58">
        <v>2.5802499999999999E-2</v>
      </c>
      <c r="B58">
        <v>3.09E-2</v>
      </c>
      <c r="N58">
        <f t="shared" si="3"/>
        <v>55</v>
      </c>
      <c r="O58" t="str">
        <f t="shared" si="11"/>
        <v xml:space="preserve"> </v>
      </c>
      <c r="R58" s="3">
        <f t="shared" si="6"/>
        <v>1504.2261353104727</v>
      </c>
      <c r="S58" s="3">
        <f t="shared" si="1"/>
        <v>49639.462465245568</v>
      </c>
    </row>
    <row r="59" spans="1:19">
      <c r="A59">
        <v>2.5967500000000001E-2</v>
      </c>
      <c r="B59">
        <v>3.1050000000000001E-2</v>
      </c>
      <c r="N59">
        <f t="shared" si="3"/>
        <v>56</v>
      </c>
      <c r="O59" t="str">
        <f t="shared" si="11"/>
        <v xml:space="preserve"> </v>
      </c>
      <c r="R59" s="3">
        <f t="shared" si="6"/>
        <v>1504.2261353104727</v>
      </c>
      <c r="S59" s="3">
        <f t="shared" si="1"/>
        <v>51143.688600556037</v>
      </c>
    </row>
    <row r="60" spans="1:19">
      <c r="A60">
        <v>2.614E-2</v>
      </c>
      <c r="B60">
        <v>3.1150000000000001E-2</v>
      </c>
      <c r="N60">
        <f>+N59+1</f>
        <v>57</v>
      </c>
      <c r="O60" t="str">
        <f t="shared" si="11"/>
        <v xml:space="preserve"> </v>
      </c>
      <c r="R60" s="3">
        <f t="shared" si="6"/>
        <v>1504.2261353104727</v>
      </c>
      <c r="S60" s="3">
        <f t="shared" si="1"/>
        <v>52647.914735866507</v>
      </c>
    </row>
    <row r="61" spans="1:19">
      <c r="A61">
        <v>2.632E-2</v>
      </c>
      <c r="B61">
        <v>3.1300000000000001E-2</v>
      </c>
      <c r="N61">
        <f t="shared" si="3"/>
        <v>58</v>
      </c>
      <c r="O61" t="str">
        <f t="shared" si="11"/>
        <v xml:space="preserve"> </v>
      </c>
      <c r="R61" s="3">
        <f t="shared" si="6"/>
        <v>1504.2261353104727</v>
      </c>
      <c r="S61" s="3">
        <f t="shared" si="1"/>
        <v>54152.140871176976</v>
      </c>
    </row>
    <row r="62" spans="1:19">
      <c r="A62">
        <v>2.65075E-2</v>
      </c>
      <c r="B62">
        <v>3.1449999999999999E-2</v>
      </c>
      <c r="N62">
        <f t="shared" si="3"/>
        <v>59</v>
      </c>
      <c r="O62" t="str">
        <f t="shared" si="11"/>
        <v xml:space="preserve"> </v>
      </c>
      <c r="R62" s="3">
        <f t="shared" si="6"/>
        <v>1504.2261353104727</v>
      </c>
      <c r="S62" s="3">
        <f t="shared" si="1"/>
        <v>55656.367006487446</v>
      </c>
    </row>
    <row r="63" spans="1:19">
      <c r="A63">
        <v>2.6702500000000001E-2</v>
      </c>
      <c r="B63">
        <v>3.1649999999999998E-2</v>
      </c>
      <c r="N63">
        <f t="shared" si="3"/>
        <v>60</v>
      </c>
      <c r="O63" t="str">
        <f t="shared" si="11"/>
        <v xml:space="preserve"> </v>
      </c>
      <c r="R63" s="3">
        <f t="shared" si="6"/>
        <v>1504.2261353104727</v>
      </c>
      <c r="S63" s="3">
        <f t="shared" si="1"/>
        <v>57160.593141797915</v>
      </c>
    </row>
    <row r="64" spans="1:19">
      <c r="A64">
        <v>2.6904999999999998E-2</v>
      </c>
      <c r="B64">
        <v>3.1800000000000002E-2</v>
      </c>
      <c r="N64">
        <f t="shared" si="3"/>
        <v>61</v>
      </c>
      <c r="O64" t="str">
        <f t="shared" si="11"/>
        <v xml:space="preserve"> </v>
      </c>
      <c r="R64" s="3">
        <f t="shared" si="6"/>
        <v>1504.2261353104727</v>
      </c>
      <c r="S64" s="3">
        <f t="shared" si="1"/>
        <v>58664.819277108385</v>
      </c>
    </row>
    <row r="65" spans="1:19">
      <c r="A65">
        <v>2.7117499999999999E-2</v>
      </c>
      <c r="B65">
        <v>3.2000000000000001E-2</v>
      </c>
      <c r="N65">
        <f t="shared" si="3"/>
        <v>62</v>
      </c>
      <c r="O65" t="str">
        <f t="shared" si="11"/>
        <v xml:space="preserve"> </v>
      </c>
      <c r="R65" s="3">
        <f t="shared" si="6"/>
        <v>1504.2261353104727</v>
      </c>
      <c r="S65" s="3">
        <f t="shared" si="1"/>
        <v>60169.045412418855</v>
      </c>
    </row>
    <row r="66" spans="1:19">
      <c r="A66">
        <v>2.7337500000000001E-2</v>
      </c>
      <c r="B66">
        <v>3.2149999999999998E-2</v>
      </c>
      <c r="N66">
        <f t="shared" si="3"/>
        <v>63</v>
      </c>
      <c r="O66" t="str">
        <f t="shared" si="11"/>
        <v xml:space="preserve"> </v>
      </c>
      <c r="R66" s="3">
        <f t="shared" si="6"/>
        <v>1504.2261353104727</v>
      </c>
      <c r="S66" s="3">
        <f t="shared" si="1"/>
        <v>61673.271547729324</v>
      </c>
    </row>
    <row r="67" spans="1:19">
      <c r="A67">
        <v>2.7564999999999999E-2</v>
      </c>
      <c r="B67">
        <v>3.2349999999999997E-2</v>
      </c>
      <c r="N67">
        <f t="shared" si="3"/>
        <v>64</v>
      </c>
      <c r="O67" t="str">
        <f t="shared" si="11"/>
        <v xml:space="preserve"> </v>
      </c>
      <c r="R67" s="3">
        <f t="shared" si="6"/>
        <v>1504.2261353104727</v>
      </c>
      <c r="S67" s="3">
        <f t="shared" si="1"/>
        <v>63177.497683039794</v>
      </c>
    </row>
    <row r="68" spans="1:19">
      <c r="A68">
        <v>2.7805E-2</v>
      </c>
      <c r="B68">
        <v>3.2550000000000003E-2</v>
      </c>
      <c r="N68">
        <f t="shared" si="3"/>
        <v>65</v>
      </c>
      <c r="O68" t="str">
        <f t="shared" si="11"/>
        <v xml:space="preserve"> </v>
      </c>
      <c r="R68" s="3">
        <f t="shared" si="6"/>
        <v>1504.2261353104727</v>
      </c>
      <c r="S68" s="3">
        <f t="shared" si="1"/>
        <v>64681.723818350263</v>
      </c>
    </row>
    <row r="69" spans="1:19">
      <c r="A69">
        <v>2.8055E-2</v>
      </c>
      <c r="B69">
        <v>3.2750000000000001E-2</v>
      </c>
      <c r="N69">
        <f t="shared" si="3"/>
        <v>66</v>
      </c>
      <c r="O69" t="str">
        <f t="shared" si="11"/>
        <v xml:space="preserve"> </v>
      </c>
      <c r="R69" s="3">
        <f t="shared" si="6"/>
        <v>1504.2261353104727</v>
      </c>
      <c r="S69" s="3">
        <f t="shared" si="1"/>
        <v>66185.949953660733</v>
      </c>
    </row>
    <row r="70" spans="1:19">
      <c r="A70">
        <v>2.8312500000000001E-2</v>
      </c>
      <c r="B70">
        <v>3.3000000000000002E-2</v>
      </c>
      <c r="N70">
        <f t="shared" si="3"/>
        <v>67</v>
      </c>
      <c r="O70" t="str">
        <f t="shared" si="11"/>
        <v xml:space="preserve"> </v>
      </c>
      <c r="R70" s="3">
        <f t="shared" si="6"/>
        <v>1504.2261353104727</v>
      </c>
      <c r="S70" s="3">
        <f t="shared" si="1"/>
        <v>67690.176088971202</v>
      </c>
    </row>
    <row r="71" spans="1:19">
      <c r="A71">
        <v>2.8584999999999999E-2</v>
      </c>
      <c r="B71">
        <v>3.32E-2</v>
      </c>
      <c r="N71">
        <f>+N70+1</f>
        <v>68</v>
      </c>
      <c r="O71" t="str">
        <f t="shared" si="11"/>
        <v xml:space="preserve"> </v>
      </c>
      <c r="R71" s="3">
        <f t="shared" si="6"/>
        <v>1504.2261353104727</v>
      </c>
      <c r="S71" s="3">
        <f t="shared" ref="S71:S91" si="12">+IF(O71=" ",R71+S70,0)</f>
        <v>69194.402224281672</v>
      </c>
    </row>
    <row r="72" spans="1:19">
      <c r="N72">
        <f t="shared" si="3"/>
        <v>69</v>
      </c>
      <c r="O72" t="str">
        <f t="shared" ref="O72:O91" si="13">+IF(O71=" "," ",IF(O71+1&gt;$N$4," ",O71+1))</f>
        <v xml:space="preserve"> </v>
      </c>
      <c r="R72" s="3">
        <f t="shared" ref="R72:R91" si="14">R71*(1+(IF($G$5="Pesos",$I$25,0)))</f>
        <v>1504.2261353104727</v>
      </c>
      <c r="S72" s="3">
        <f t="shared" si="12"/>
        <v>70698.628359592141</v>
      </c>
    </row>
    <row r="73" spans="1:19">
      <c r="N73">
        <f t="shared" ref="N73:N84" si="15">+N72+1</f>
        <v>70</v>
      </c>
      <c r="O73" t="str">
        <f t="shared" si="13"/>
        <v xml:space="preserve"> </v>
      </c>
      <c r="R73" s="3">
        <f t="shared" si="14"/>
        <v>1504.2261353104727</v>
      </c>
      <c r="S73" s="3">
        <f t="shared" si="12"/>
        <v>72202.854494902611</v>
      </c>
    </row>
    <row r="74" spans="1:19">
      <c r="N74">
        <f t="shared" si="15"/>
        <v>71</v>
      </c>
      <c r="O74" t="str">
        <f t="shared" si="13"/>
        <v xml:space="preserve"> </v>
      </c>
      <c r="R74" s="3">
        <f t="shared" si="14"/>
        <v>1504.2261353104727</v>
      </c>
      <c r="S74" s="3">
        <f t="shared" si="12"/>
        <v>73707.08063021308</v>
      </c>
    </row>
    <row r="75" spans="1:19">
      <c r="N75">
        <f t="shared" si="15"/>
        <v>72</v>
      </c>
      <c r="O75" t="str">
        <f t="shared" si="13"/>
        <v xml:space="preserve"> </v>
      </c>
      <c r="R75" s="3">
        <f t="shared" si="14"/>
        <v>1504.2261353104727</v>
      </c>
      <c r="S75" s="3">
        <f t="shared" si="12"/>
        <v>75211.30676552355</v>
      </c>
    </row>
    <row r="76" spans="1:19">
      <c r="N76">
        <f t="shared" si="15"/>
        <v>73</v>
      </c>
      <c r="O76" t="str">
        <f t="shared" si="13"/>
        <v xml:space="preserve"> </v>
      </c>
      <c r="R76" s="3">
        <f t="shared" si="14"/>
        <v>1504.2261353104727</v>
      </c>
      <c r="S76" s="3">
        <f t="shared" si="12"/>
        <v>76715.53290083402</v>
      </c>
    </row>
    <row r="77" spans="1:19">
      <c r="N77">
        <f t="shared" si="15"/>
        <v>74</v>
      </c>
      <c r="O77" t="str">
        <f t="shared" si="13"/>
        <v xml:space="preserve"> </v>
      </c>
      <c r="R77" s="3">
        <f t="shared" si="14"/>
        <v>1504.2261353104727</v>
      </c>
      <c r="S77" s="3">
        <f t="shared" si="12"/>
        <v>78219.759036144489</v>
      </c>
    </row>
    <row r="78" spans="1:19">
      <c r="N78">
        <f t="shared" si="15"/>
        <v>75</v>
      </c>
      <c r="O78" t="str">
        <f t="shared" si="13"/>
        <v xml:space="preserve"> </v>
      </c>
      <c r="R78" s="3">
        <f t="shared" si="14"/>
        <v>1504.2261353104727</v>
      </c>
      <c r="S78" s="3">
        <f t="shared" si="12"/>
        <v>79723.985171454959</v>
      </c>
    </row>
    <row r="79" spans="1:19">
      <c r="N79">
        <f t="shared" si="15"/>
        <v>76</v>
      </c>
      <c r="O79" t="str">
        <f t="shared" si="13"/>
        <v xml:space="preserve"> </v>
      </c>
      <c r="R79" s="3">
        <f t="shared" si="14"/>
        <v>1504.2261353104727</v>
      </c>
      <c r="S79" s="3">
        <f t="shared" si="12"/>
        <v>81228.211306765428</v>
      </c>
    </row>
    <row r="80" spans="1:19">
      <c r="N80">
        <f t="shared" si="15"/>
        <v>77</v>
      </c>
      <c r="O80" t="str">
        <f t="shared" si="13"/>
        <v xml:space="preserve"> </v>
      </c>
      <c r="R80" s="3">
        <f t="shared" si="14"/>
        <v>1504.2261353104727</v>
      </c>
      <c r="S80" s="3">
        <f t="shared" si="12"/>
        <v>82732.437442075898</v>
      </c>
    </row>
    <row r="81" spans="14:19">
      <c r="N81">
        <f t="shared" si="15"/>
        <v>78</v>
      </c>
      <c r="O81" t="str">
        <f t="shared" si="13"/>
        <v xml:space="preserve"> </v>
      </c>
      <c r="R81" s="3">
        <f t="shared" si="14"/>
        <v>1504.2261353104727</v>
      </c>
      <c r="S81" s="3">
        <f t="shared" si="12"/>
        <v>84236.663577386367</v>
      </c>
    </row>
    <row r="82" spans="14:19">
      <c r="N82">
        <f t="shared" si="15"/>
        <v>79</v>
      </c>
      <c r="O82" t="str">
        <f t="shared" si="13"/>
        <v xml:space="preserve"> </v>
      </c>
      <c r="R82" s="3">
        <f t="shared" si="14"/>
        <v>1504.2261353104727</v>
      </c>
      <c r="S82" s="3">
        <f t="shared" si="12"/>
        <v>85740.889712696837</v>
      </c>
    </row>
    <row r="83" spans="14:19">
      <c r="N83">
        <f t="shared" si="15"/>
        <v>80</v>
      </c>
      <c r="O83" t="str">
        <f t="shared" si="13"/>
        <v xml:space="preserve"> </v>
      </c>
      <c r="R83" s="3">
        <f t="shared" si="14"/>
        <v>1504.2261353104727</v>
      </c>
      <c r="S83" s="3">
        <f t="shared" si="12"/>
        <v>87245.115848007306</v>
      </c>
    </row>
    <row r="84" spans="14:19">
      <c r="N84">
        <f t="shared" si="15"/>
        <v>81</v>
      </c>
      <c r="O84" t="str">
        <f t="shared" si="13"/>
        <v xml:space="preserve"> </v>
      </c>
      <c r="R84" s="3">
        <f t="shared" si="14"/>
        <v>1504.2261353104727</v>
      </c>
      <c r="S84" s="3">
        <f t="shared" si="12"/>
        <v>88749.341983317776</v>
      </c>
    </row>
    <row r="85" spans="14:19">
      <c r="N85">
        <f t="shared" ref="N85:N91" si="16">+N84+1</f>
        <v>82</v>
      </c>
      <c r="O85" t="str">
        <f t="shared" si="13"/>
        <v xml:space="preserve"> </v>
      </c>
      <c r="R85" s="3">
        <f t="shared" si="14"/>
        <v>1504.2261353104727</v>
      </c>
      <c r="S85" s="3">
        <f t="shared" si="12"/>
        <v>90253.568118628245</v>
      </c>
    </row>
    <row r="86" spans="14:19">
      <c r="N86">
        <f t="shared" si="16"/>
        <v>83</v>
      </c>
      <c r="O86" t="str">
        <f t="shared" si="13"/>
        <v xml:space="preserve"> </v>
      </c>
      <c r="R86" s="3">
        <f t="shared" si="14"/>
        <v>1504.2261353104727</v>
      </c>
      <c r="S86" s="3">
        <f t="shared" si="12"/>
        <v>91757.794253938715</v>
      </c>
    </row>
    <row r="87" spans="14:19">
      <c r="N87">
        <f t="shared" si="16"/>
        <v>84</v>
      </c>
      <c r="O87" t="str">
        <f t="shared" si="13"/>
        <v xml:space="preserve"> </v>
      </c>
      <c r="R87" s="3">
        <f t="shared" si="14"/>
        <v>1504.2261353104727</v>
      </c>
      <c r="S87" s="3">
        <f t="shared" si="12"/>
        <v>93262.020389249185</v>
      </c>
    </row>
    <row r="88" spans="14:19">
      <c r="N88">
        <f t="shared" si="16"/>
        <v>85</v>
      </c>
      <c r="O88" t="str">
        <f t="shared" si="13"/>
        <v xml:space="preserve"> </v>
      </c>
      <c r="R88" s="3">
        <f t="shared" si="14"/>
        <v>1504.2261353104727</v>
      </c>
      <c r="S88" s="3">
        <f t="shared" si="12"/>
        <v>94766.246524559654</v>
      </c>
    </row>
    <row r="89" spans="14:19">
      <c r="N89">
        <f t="shared" si="16"/>
        <v>86</v>
      </c>
      <c r="O89" t="str">
        <f t="shared" si="13"/>
        <v xml:space="preserve"> </v>
      </c>
      <c r="R89" s="3">
        <f t="shared" si="14"/>
        <v>1504.2261353104727</v>
      </c>
      <c r="S89" s="3">
        <f t="shared" si="12"/>
        <v>96270.472659870124</v>
      </c>
    </row>
    <row r="90" spans="14:19">
      <c r="N90">
        <f t="shared" si="16"/>
        <v>87</v>
      </c>
      <c r="O90" t="str">
        <f t="shared" si="13"/>
        <v xml:space="preserve"> </v>
      </c>
      <c r="R90" s="3">
        <f t="shared" si="14"/>
        <v>1504.2261353104727</v>
      </c>
      <c r="S90" s="3">
        <f t="shared" si="12"/>
        <v>97774.698795180593</v>
      </c>
    </row>
    <row r="91" spans="14:19">
      <c r="N91">
        <f t="shared" si="16"/>
        <v>88</v>
      </c>
      <c r="O91" t="str">
        <f t="shared" si="13"/>
        <v xml:space="preserve"> </v>
      </c>
      <c r="R91" s="3">
        <f t="shared" si="14"/>
        <v>1504.2261353104727</v>
      </c>
      <c r="S91" s="3">
        <f t="shared" si="12"/>
        <v>99278.924930491063</v>
      </c>
    </row>
  </sheetData>
  <dataConsolidate/>
  <phoneticPr fontId="29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6350-283E-6147-A30A-31534CD093F2}">
  <sheetPr>
    <pageSetUpPr fitToPage="1"/>
  </sheetPr>
  <dimension ref="A2:R115"/>
  <sheetViews>
    <sheetView tabSelected="1" topLeftCell="B1" zoomScale="110" zoomScaleNormal="110" workbookViewId="0">
      <selection activeCell="H9" sqref="H9:I9"/>
    </sheetView>
  </sheetViews>
  <sheetFormatPr baseColWidth="10" defaultRowHeight="16"/>
  <cols>
    <col min="1" max="1" width="16.1640625" style="54" hidden="1" customWidth="1"/>
    <col min="2" max="2" width="10.83203125" style="19"/>
    <col min="3" max="6" width="10.83203125" style="20"/>
    <col min="7" max="7" width="6.83203125" style="20" customWidth="1"/>
    <col min="8" max="8" width="10.83203125" style="20" customWidth="1"/>
    <col min="9" max="9" width="13.83203125" style="20" customWidth="1"/>
    <col min="10" max="10" width="8.83203125" style="20" customWidth="1"/>
    <col min="11" max="11" width="10.83203125" style="20"/>
    <col min="12" max="12" width="13.6640625" style="20" customWidth="1"/>
    <col min="13" max="13" width="15.83203125" style="20" customWidth="1"/>
    <col min="14" max="14" width="7.83203125" style="20" customWidth="1"/>
    <col min="15" max="15" width="10.83203125" style="20"/>
    <col min="16" max="16" width="13.5" style="20" customWidth="1"/>
    <col min="17" max="17" width="15.83203125" style="20" customWidth="1"/>
    <col min="18" max="16384" width="10.83203125" style="20"/>
  </cols>
  <sheetData>
    <row r="2" spans="1:18">
      <c r="O2" s="35"/>
    </row>
    <row r="3" spans="1:18">
      <c r="O3" s="35"/>
    </row>
    <row r="4" spans="1:18">
      <c r="O4" s="35"/>
    </row>
    <row r="5" spans="1:18">
      <c r="N5"/>
      <c r="O5" s="35"/>
    </row>
    <row r="6" spans="1:18">
      <c r="O6" s="35"/>
    </row>
    <row r="8" spans="1:18">
      <c r="B8" s="1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4">
      <c r="A9" s="54" t="s">
        <v>38</v>
      </c>
      <c r="B9" s="10"/>
      <c r="C9" s="7"/>
      <c r="D9" s="7"/>
      <c r="E9" s="4"/>
      <c r="F9" s="5" t="s">
        <v>16</v>
      </c>
      <c r="G9" s="4"/>
      <c r="H9" s="68">
        <v>3</v>
      </c>
      <c r="I9" s="68"/>
      <c r="J9" s="4"/>
      <c r="K9" s="69" t="s">
        <v>35</v>
      </c>
      <c r="L9" s="69"/>
      <c r="M9" s="69"/>
      <c r="N9" s="4"/>
      <c r="O9" s="4"/>
      <c r="P9" s="4"/>
      <c r="Q9" s="4"/>
      <c r="R9" s="4"/>
    </row>
    <row r="10" spans="1:18">
      <c r="A10" s="54" t="s">
        <v>39</v>
      </c>
      <c r="B10" s="10"/>
      <c r="C10" s="7"/>
      <c r="D10" s="7"/>
      <c r="E10" s="4"/>
      <c r="F10" s="4"/>
      <c r="G10" s="4"/>
      <c r="H10" s="4"/>
      <c r="I10" s="4"/>
      <c r="J10" s="4"/>
      <c r="K10" s="4"/>
      <c r="L10" s="4"/>
      <c r="M10" s="4"/>
      <c r="N10" s="4"/>
      <c r="O10" s="71">
        <f>IF(OR(AND(Hoja1!G5="Pesos",Hoja1!L12&lt;400000),(AND(Hoja1!G5="Dólares",Hoja1!L12&lt;20000))),"Fuera del mínimo",ROUNDUP(IF(K9="Aportación posible",Hoja1!L9,Hoja1!L11),0))</f>
        <v>1505</v>
      </c>
      <c r="P10" s="71"/>
      <c r="Q10" s="71"/>
      <c r="R10" s="4"/>
    </row>
    <row r="11" spans="1:18" ht="24">
      <c r="A11" s="54" t="s">
        <v>40</v>
      </c>
      <c r="B11" s="10"/>
      <c r="C11" s="7"/>
      <c r="D11" s="7"/>
      <c r="E11" s="4"/>
      <c r="F11" s="5" t="s">
        <v>49</v>
      </c>
      <c r="G11" s="4"/>
      <c r="H11" s="68">
        <v>35</v>
      </c>
      <c r="I11" s="68"/>
      <c r="J11" s="4"/>
      <c r="K11" s="70">
        <v>1500</v>
      </c>
      <c r="L11" s="70"/>
      <c r="M11" s="70"/>
      <c r="N11" s="4"/>
      <c r="O11" s="71"/>
      <c r="P11" s="71"/>
      <c r="Q11" s="71"/>
      <c r="R11" s="4"/>
    </row>
    <row r="12" spans="1:18" ht="30" customHeight="1"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72" t="str">
        <f>+IF(K9="Aportación posible","Monto del regalo anual","Aportación requerida")</f>
        <v>Monto del regalo anual</v>
      </c>
      <c r="O12" s="72"/>
      <c r="P12" s="72"/>
      <c r="Q12" s="72"/>
      <c r="R12" s="72"/>
    </row>
    <row r="13" spans="1:18" ht="24" customHeight="1">
      <c r="A13" s="55" t="s">
        <v>34</v>
      </c>
      <c r="B13" s="11"/>
      <c r="C13" s="6"/>
      <c r="D13" s="6"/>
      <c r="E13" s="4"/>
      <c r="F13" s="5" t="s">
        <v>36</v>
      </c>
      <c r="G13" s="4"/>
      <c r="H13" s="68" t="s">
        <v>40</v>
      </c>
      <c r="I13" s="68"/>
      <c r="J13" s="4"/>
      <c r="K13" s="4"/>
      <c r="L13" s="4"/>
      <c r="M13" s="4"/>
      <c r="N13" s="72"/>
      <c r="O13" s="72"/>
      <c r="P13" s="72"/>
      <c r="Q13" s="72"/>
      <c r="R13" s="72"/>
    </row>
    <row r="14" spans="1:18">
      <c r="A14" s="55" t="s">
        <v>35</v>
      </c>
      <c r="B14" s="11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4">
      <c r="A15" s="54">
        <v>0</v>
      </c>
      <c r="B15" s="10"/>
      <c r="C15" s="4"/>
      <c r="D15" s="4"/>
      <c r="E15" s="4"/>
      <c r="F15" s="5" t="s">
        <v>18</v>
      </c>
      <c r="G15" s="4"/>
      <c r="H15" s="68" t="s">
        <v>25</v>
      </c>
      <c r="I15" s="68"/>
      <c r="J15" s="4"/>
      <c r="K15" s="16" t="str">
        <f>+IF(H15="Pesos","Las aportaciones en Monda Nacional se actualizan anualmente de acuerdo con la inflación","Las aportaciones en Dólares se pagan de acuerdo con el tipo de cambio vigente")</f>
        <v>Las aportaciones en Dólares se pagan de acuerdo con el tipo de cambio vigente</v>
      </c>
      <c r="L15" s="4"/>
      <c r="M15" s="4"/>
      <c r="N15" s="4"/>
      <c r="O15" s="4"/>
      <c r="P15" s="4"/>
      <c r="Q15" s="4"/>
      <c r="R15" s="4"/>
    </row>
    <row r="16" spans="1:18" ht="24">
      <c r="A16" s="54">
        <v>1</v>
      </c>
      <c r="B16" s="10"/>
      <c r="C16" s="4"/>
      <c r="D16" s="4"/>
      <c r="E16" s="4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4">
      <c r="A17" s="54">
        <v>2</v>
      </c>
      <c r="B17" s="10"/>
      <c r="C17" s="4"/>
      <c r="D17" s="4"/>
      <c r="E17" s="4"/>
      <c r="F17" s="5" t="s">
        <v>26</v>
      </c>
      <c r="G17" s="4"/>
      <c r="H17" s="68" t="s">
        <v>31</v>
      </c>
      <c r="I17" s="68"/>
      <c r="J17" s="4"/>
      <c r="K17" s="16" t="str">
        <f>+IF(H17="Anual"," ","Si eliges Forma de Pago Anual son "&amp;Hoja1!L10)</f>
        <v xml:space="preserve"> </v>
      </c>
      <c r="L17" s="4"/>
      <c r="M17" s="4"/>
      <c r="N17" s="4"/>
      <c r="O17" s="4"/>
      <c r="P17" s="4"/>
      <c r="Q17" s="4"/>
      <c r="R17" s="4"/>
    </row>
    <row r="18" spans="1:18">
      <c r="A18" s="54">
        <v>3</v>
      </c>
      <c r="B18" s="1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>
      <c r="A19" s="54">
        <v>4</v>
      </c>
      <c r="B19" s="1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52">
      <c r="A20" s="54">
        <v>5</v>
      </c>
      <c r="B20" s="64" t="s">
        <v>37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</row>
    <row r="21" spans="1:18">
      <c r="A21" s="54">
        <v>6</v>
      </c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9">
      <c r="A22" s="54">
        <v>7</v>
      </c>
      <c r="B22" s="10"/>
      <c r="C22" s="65" t="str">
        <f>+"Comienza un programa de ahorro por "&amp;TEXT(IF(K9="Aportación posible",K11,O10),"$#,#00")&amp;" "&amp;H15&amp;" "&amp;H17&amp;"es"&amp;" durante "&amp;H13&amp;" y, al final del programa de"</f>
        <v>Comienza un programa de ahorro por $1,500 Dólares Anuales durante 20 años y, al final del programa de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4"/>
    </row>
    <row r="23" spans="1:18" ht="29">
      <c r="A23" s="54">
        <v>8</v>
      </c>
      <c r="B23" s="10"/>
      <c r="C23" s="66" t="str">
        <f>+"ahorro, tu hijo podrá recibir un regalo cada navidad por "&amp;TEXT(IF(K9="Aportación posible",O10,K11),"$#,#00")&amp;" "&amp;H15</f>
        <v>ahorro, tu hijo podrá recibir un regalo cada navidad por $1,505 Dólares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4"/>
    </row>
    <row r="24" spans="1:18" ht="62">
      <c r="A24" s="54">
        <v>9</v>
      </c>
      <c r="B24" s="10"/>
      <c r="C24" s="67" t="s">
        <v>41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4"/>
    </row>
    <row r="25" spans="1:18">
      <c r="A25" s="54">
        <v>10</v>
      </c>
      <c r="B25" s="10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>
      <c r="A26" s="54">
        <v>11</v>
      </c>
      <c r="B26" s="1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47">
      <c r="A27" s="54">
        <v>12</v>
      </c>
      <c r="B27" s="10"/>
      <c r="C27" s="59" t="s">
        <v>44</v>
      </c>
      <c r="D27" s="59"/>
      <c r="E27" s="59"/>
      <c r="F27" s="59"/>
      <c r="G27" s="59"/>
      <c r="H27" s="59"/>
      <c r="I27" s="59"/>
      <c r="J27" s="4"/>
      <c r="K27" s="60" t="s">
        <v>48</v>
      </c>
      <c r="L27" s="60"/>
      <c r="M27" s="60"/>
      <c r="N27" s="4"/>
      <c r="O27" s="60" t="s">
        <v>48</v>
      </c>
      <c r="P27" s="60"/>
      <c r="Q27" s="60"/>
      <c r="R27" s="4"/>
    </row>
    <row r="28" spans="1:18" ht="44">
      <c r="A28" s="54">
        <v>13</v>
      </c>
      <c r="B28" s="10"/>
      <c r="C28" s="23" t="s">
        <v>45</v>
      </c>
      <c r="D28" s="23" t="s">
        <v>12</v>
      </c>
      <c r="E28" s="62" t="s">
        <v>1</v>
      </c>
      <c r="F28" s="62"/>
      <c r="G28" s="62" t="s">
        <v>17</v>
      </c>
      <c r="H28" s="62"/>
      <c r="I28" s="24" t="s">
        <v>46</v>
      </c>
      <c r="J28" s="4"/>
      <c r="K28" s="24" t="s">
        <v>45</v>
      </c>
      <c r="L28" s="24" t="s">
        <v>46</v>
      </c>
      <c r="M28" s="24" t="s">
        <v>47</v>
      </c>
      <c r="N28" s="7"/>
      <c r="O28" s="24" t="s">
        <v>45</v>
      </c>
      <c r="P28" s="24" t="s">
        <v>46</v>
      </c>
      <c r="Q28" s="24" t="s">
        <v>47</v>
      </c>
      <c r="R28" s="4"/>
    </row>
    <row r="29" spans="1:18" ht="21">
      <c r="A29" s="54">
        <v>14</v>
      </c>
      <c r="B29" s="10"/>
      <c r="C29" s="22">
        <f>IF(D29=" "," ",Hoja1!N6)</f>
        <v>3</v>
      </c>
      <c r="D29" s="22">
        <f>+Hoja1!O6</f>
        <v>1</v>
      </c>
      <c r="E29" s="63">
        <f>+Hoja1!P6</f>
        <v>1500</v>
      </c>
      <c r="F29" s="63"/>
      <c r="G29" s="61">
        <f>+Hoja1!Q6</f>
        <v>1500</v>
      </c>
      <c r="H29" s="61"/>
      <c r="I29" s="36">
        <f>+IF(C29=" "," ",ROUNDUP(VLOOKUP(D29,Hoja1!$O$6:$R$25,4,FALSE),0))</f>
        <v>1505</v>
      </c>
      <c r="J29" s="37"/>
      <c r="K29" s="22">
        <f>+MAX(C29:C48)+1</f>
        <v>23</v>
      </c>
      <c r="L29" s="40">
        <f>+VLOOKUP(K29,Hoja1!N6:S91,5,FALSE)</f>
        <v>1504.2261353104727</v>
      </c>
      <c r="M29" s="25">
        <f>+VLOOKUP(K29,Hoja1!N6:S91,6,FALSE)</f>
        <v>1504.2261353104727</v>
      </c>
      <c r="N29" s="4"/>
      <c r="O29" s="22">
        <f>+MAX(K29:K58)+1</f>
        <v>53</v>
      </c>
      <c r="P29" s="25">
        <f>IF(O29=" "," ",VLOOKUP(O29,Hoja1!N6:S91,5,FALSE))</f>
        <v>1504.2261353104727</v>
      </c>
      <c r="Q29" s="25">
        <f>IF(O29=" "," ",VLOOKUP(O29,Hoja1!N6:S91,6,FALSE))</f>
        <v>46631.010194624629</v>
      </c>
      <c r="R29" s="4"/>
    </row>
    <row r="30" spans="1:18" ht="21">
      <c r="A30" s="54">
        <v>15</v>
      </c>
      <c r="B30" s="10"/>
      <c r="C30" s="22">
        <f>IF(D30=" "," ",Hoja1!N7)</f>
        <v>4</v>
      </c>
      <c r="D30" s="22">
        <f>+Hoja1!O7</f>
        <v>2</v>
      </c>
      <c r="E30" s="61">
        <f>+Hoja1!P7</f>
        <v>1500</v>
      </c>
      <c r="F30" s="61"/>
      <c r="G30" s="61">
        <f>+Hoja1!Q7</f>
        <v>3000</v>
      </c>
      <c r="H30" s="61"/>
      <c r="I30" s="38">
        <f>+IF(C30=" "," ",ROUNDUP(VLOOKUP(D30,Hoja1!$O$6:$R$25,4,FALSE),0))</f>
        <v>1505</v>
      </c>
      <c r="J30" s="39"/>
      <c r="K30" s="22">
        <f>+K29+1</f>
        <v>24</v>
      </c>
      <c r="L30" s="25">
        <f>+VLOOKUP(K30,Hoja1!N7:S92,5,FALSE)</f>
        <v>1504.2261353104727</v>
      </c>
      <c r="M30" s="25">
        <f>+VLOOKUP(K30,Hoja1!N7:S92,6,FALSE)</f>
        <v>3008.4522706209455</v>
      </c>
      <c r="N30" s="4"/>
      <c r="O30" s="22">
        <f>IF(O29&gt;=85," ",O29+1)</f>
        <v>54</v>
      </c>
      <c r="P30" s="25">
        <f>IF(O30=" "," ",VLOOKUP(O30,Hoja1!N7:S92,5,FALSE))</f>
        <v>1504.2261353104727</v>
      </c>
      <c r="Q30" s="25">
        <f>IF(O30=" "," ",VLOOKUP(O30,Hoja1!N7:S92,6,FALSE))</f>
        <v>48135.236329935098</v>
      </c>
      <c r="R30" s="4"/>
    </row>
    <row r="31" spans="1:18" ht="21">
      <c r="A31" s="54">
        <v>16</v>
      </c>
      <c r="B31" s="10"/>
      <c r="C31" s="22">
        <f>IF(D31=" "," ",Hoja1!N8)</f>
        <v>5</v>
      </c>
      <c r="D31" s="22">
        <f>+Hoja1!O8</f>
        <v>3</v>
      </c>
      <c r="E31" s="61">
        <f>+Hoja1!P8</f>
        <v>1500</v>
      </c>
      <c r="F31" s="61"/>
      <c r="G31" s="61">
        <f>+Hoja1!Q8</f>
        <v>4500</v>
      </c>
      <c r="H31" s="61"/>
      <c r="I31" s="38">
        <f>+IF(C31=" "," ",ROUNDUP(VLOOKUP(D31,Hoja1!$O$6:$R$25,4,FALSE),0))</f>
        <v>1505</v>
      </c>
      <c r="J31" s="39"/>
      <c r="K31" s="22">
        <f t="shared" ref="K31:K58" si="0">+K30+1</f>
        <v>25</v>
      </c>
      <c r="L31" s="25">
        <f>+VLOOKUP(K31,Hoja1!N8:S93,5,FALSE)</f>
        <v>1504.2261353104727</v>
      </c>
      <c r="M31" s="25">
        <f>+VLOOKUP(K31,Hoja1!N8:S93,6,FALSE)</f>
        <v>4512.6784059314177</v>
      </c>
      <c r="N31" s="4"/>
      <c r="O31" s="22">
        <f t="shared" ref="O31:O58" si="1">IF(O30&gt;=85," ",O30+1)</f>
        <v>55</v>
      </c>
      <c r="P31" s="25">
        <f>IF(O31=" "," ",VLOOKUP(O31,Hoja1!N8:S93,5,FALSE))</f>
        <v>1504.2261353104727</v>
      </c>
      <c r="Q31" s="25">
        <f>IF(O31=" "," ",VLOOKUP(O31,Hoja1!N8:S93,6,FALSE))</f>
        <v>49639.462465245568</v>
      </c>
      <c r="R31" s="4"/>
    </row>
    <row r="32" spans="1:18" ht="21">
      <c r="A32" s="54">
        <v>17</v>
      </c>
      <c r="B32" s="10"/>
      <c r="C32" s="22">
        <f>IF(D32=" "," ",Hoja1!N9)</f>
        <v>6</v>
      </c>
      <c r="D32" s="22">
        <f>+Hoja1!O9</f>
        <v>4</v>
      </c>
      <c r="E32" s="61">
        <f>+Hoja1!P9</f>
        <v>1500</v>
      </c>
      <c r="F32" s="61"/>
      <c r="G32" s="61">
        <f>+Hoja1!Q9</f>
        <v>6000</v>
      </c>
      <c r="H32" s="61"/>
      <c r="I32" s="38">
        <f>+IF(C32=" "," ",ROUNDUP(VLOOKUP(D32,Hoja1!$O$6:$R$25,4,FALSE),0))</f>
        <v>1505</v>
      </c>
      <c r="J32" s="39"/>
      <c r="K32" s="22">
        <f t="shared" si="0"/>
        <v>26</v>
      </c>
      <c r="L32" s="25">
        <f>+VLOOKUP(K32,Hoja1!N9:S94,5,FALSE)</f>
        <v>1504.2261353104727</v>
      </c>
      <c r="M32" s="25">
        <f>+VLOOKUP(K32,Hoja1!N9:S94,6,FALSE)</f>
        <v>6016.9045412418909</v>
      </c>
      <c r="N32" s="4"/>
      <c r="O32" s="22">
        <f t="shared" si="1"/>
        <v>56</v>
      </c>
      <c r="P32" s="25">
        <f>IF(O32=" "," ",VLOOKUP(O32,Hoja1!N9:S94,5,FALSE))</f>
        <v>1504.2261353104727</v>
      </c>
      <c r="Q32" s="25">
        <f>IF(O32=" "," ",VLOOKUP(O32,Hoja1!N9:S94,6,FALSE))</f>
        <v>51143.688600556037</v>
      </c>
      <c r="R32" s="4"/>
    </row>
    <row r="33" spans="1:18" ht="21">
      <c r="A33" s="54">
        <v>18</v>
      </c>
      <c r="B33" s="10"/>
      <c r="C33" s="22">
        <f>IF(D33=" "," ",Hoja1!N10)</f>
        <v>7</v>
      </c>
      <c r="D33" s="22">
        <f>+Hoja1!O10</f>
        <v>5</v>
      </c>
      <c r="E33" s="61">
        <f>+Hoja1!P10</f>
        <v>1500</v>
      </c>
      <c r="F33" s="61"/>
      <c r="G33" s="61">
        <f>+Hoja1!Q10</f>
        <v>7500</v>
      </c>
      <c r="H33" s="61"/>
      <c r="I33" s="38">
        <f>+IF(C33=" "," ",ROUNDUP(VLOOKUP(D33,Hoja1!$O$6:$R$25,4,FALSE),0))</f>
        <v>1505</v>
      </c>
      <c r="J33" s="39"/>
      <c r="K33" s="22">
        <f t="shared" si="0"/>
        <v>27</v>
      </c>
      <c r="L33" s="25">
        <f>+VLOOKUP(K33,Hoja1!N10:S95,5,FALSE)</f>
        <v>1504.2261353104727</v>
      </c>
      <c r="M33" s="25">
        <f>+VLOOKUP(K33,Hoja1!N10:S95,6,FALSE)</f>
        <v>7521.1306765523641</v>
      </c>
      <c r="N33" s="4"/>
      <c r="O33" s="22">
        <f t="shared" si="1"/>
        <v>57</v>
      </c>
      <c r="P33" s="25">
        <f>IF(O33=" "," ",VLOOKUP(O33,Hoja1!N10:S95,5,FALSE))</f>
        <v>1504.2261353104727</v>
      </c>
      <c r="Q33" s="25">
        <f>IF(O33=" "," ",VLOOKUP(O33,Hoja1!N10:S95,6,FALSE))</f>
        <v>52647.914735866507</v>
      </c>
      <c r="R33" s="4"/>
    </row>
    <row r="34" spans="1:18" ht="21">
      <c r="A34" s="54">
        <v>19</v>
      </c>
      <c r="B34" s="10"/>
      <c r="C34" s="22">
        <f>IF(D34=" "," ",Hoja1!N11)</f>
        <v>8</v>
      </c>
      <c r="D34" s="22">
        <f>+Hoja1!O11</f>
        <v>6</v>
      </c>
      <c r="E34" s="61">
        <f>+Hoja1!P11</f>
        <v>1500</v>
      </c>
      <c r="F34" s="61"/>
      <c r="G34" s="61">
        <f>+Hoja1!Q11</f>
        <v>9000</v>
      </c>
      <c r="H34" s="61"/>
      <c r="I34" s="38">
        <f>+IF(C34=" "," ",ROUNDUP(VLOOKUP(D34,Hoja1!$O$6:$R$25,4,FALSE),0))</f>
        <v>1505</v>
      </c>
      <c r="J34" s="39"/>
      <c r="K34" s="22">
        <f t="shared" si="0"/>
        <v>28</v>
      </c>
      <c r="L34" s="25">
        <f>+VLOOKUP(K34,Hoja1!N11:S96,5,FALSE)</f>
        <v>1504.2261353104727</v>
      </c>
      <c r="M34" s="25">
        <f>+VLOOKUP(K34,Hoja1!N11:S96,6,FALSE)</f>
        <v>9025.3568118628373</v>
      </c>
      <c r="N34" s="4"/>
      <c r="O34" s="22">
        <f t="shared" si="1"/>
        <v>58</v>
      </c>
      <c r="P34" s="25">
        <f>IF(O34=" "," ",VLOOKUP(O34,Hoja1!N11:S96,5,FALSE))</f>
        <v>1504.2261353104727</v>
      </c>
      <c r="Q34" s="25">
        <f>IF(O34=" "," ",VLOOKUP(O34,Hoja1!N11:S96,6,FALSE))</f>
        <v>54152.140871176976</v>
      </c>
      <c r="R34" s="4"/>
    </row>
    <row r="35" spans="1:18" ht="21">
      <c r="A35" s="54">
        <v>20</v>
      </c>
      <c r="B35" s="10"/>
      <c r="C35" s="22">
        <f>IF(D35=" "," ",Hoja1!N12)</f>
        <v>9</v>
      </c>
      <c r="D35" s="22">
        <f>+Hoja1!O12</f>
        <v>7</v>
      </c>
      <c r="E35" s="61">
        <f>+Hoja1!P12</f>
        <v>1500</v>
      </c>
      <c r="F35" s="61"/>
      <c r="G35" s="61">
        <f>+Hoja1!Q12</f>
        <v>10500</v>
      </c>
      <c r="H35" s="61"/>
      <c r="I35" s="38">
        <f>+IF(C35=" "," ",ROUNDUP(VLOOKUP(D35,Hoja1!$O$6:$R$25,4,FALSE),0))</f>
        <v>1505</v>
      </c>
      <c r="J35" s="39"/>
      <c r="K35" s="22">
        <f t="shared" si="0"/>
        <v>29</v>
      </c>
      <c r="L35" s="25">
        <f>+VLOOKUP(K35,Hoja1!N12:S97,5,FALSE)</f>
        <v>1504.2261353104727</v>
      </c>
      <c r="M35" s="25">
        <f>+VLOOKUP(K35,Hoja1!N12:S97,6,FALSE)</f>
        <v>10529.58294717331</v>
      </c>
      <c r="N35" s="4"/>
      <c r="O35" s="22">
        <f t="shared" si="1"/>
        <v>59</v>
      </c>
      <c r="P35" s="25">
        <f>IF(O35=" "," ",VLOOKUP(O35,Hoja1!N12:S97,5,FALSE))</f>
        <v>1504.2261353104727</v>
      </c>
      <c r="Q35" s="25">
        <f>IF(O35=" "," ",VLOOKUP(O35,Hoja1!N12:S97,6,FALSE))</f>
        <v>55656.367006487446</v>
      </c>
      <c r="R35" s="4"/>
    </row>
    <row r="36" spans="1:18" ht="21">
      <c r="A36" s="54">
        <v>21</v>
      </c>
      <c r="B36" s="10"/>
      <c r="C36" s="22">
        <f>IF(D36=" "," ",Hoja1!N13)</f>
        <v>10</v>
      </c>
      <c r="D36" s="22">
        <f>+Hoja1!O13</f>
        <v>8</v>
      </c>
      <c r="E36" s="61">
        <f>+Hoja1!P13</f>
        <v>1500</v>
      </c>
      <c r="F36" s="61"/>
      <c r="G36" s="61">
        <f>+Hoja1!Q13</f>
        <v>12000</v>
      </c>
      <c r="H36" s="61"/>
      <c r="I36" s="38">
        <f>+IF(C36=" "," ",ROUNDUP(VLOOKUP(D36,Hoja1!$O$6:$R$25,4,FALSE),0))</f>
        <v>1505</v>
      </c>
      <c r="J36" s="39"/>
      <c r="K36" s="22">
        <f t="shared" si="0"/>
        <v>30</v>
      </c>
      <c r="L36" s="25">
        <f>+VLOOKUP(K36,Hoja1!N13:S98,5,FALSE)</f>
        <v>1504.2261353104727</v>
      </c>
      <c r="M36" s="25">
        <f>+VLOOKUP(K36,Hoja1!N13:S98,6,FALSE)</f>
        <v>12033.809082483784</v>
      </c>
      <c r="N36" s="4"/>
      <c r="O36" s="22">
        <f t="shared" si="1"/>
        <v>60</v>
      </c>
      <c r="P36" s="25">
        <f>IF(O36=" "," ",VLOOKUP(O36,Hoja1!N13:S98,5,FALSE))</f>
        <v>1504.2261353104727</v>
      </c>
      <c r="Q36" s="25">
        <f>IF(O36=" "," ",VLOOKUP(O36,Hoja1!N13:S98,6,FALSE))</f>
        <v>57160.593141797915</v>
      </c>
      <c r="R36" s="4"/>
    </row>
    <row r="37" spans="1:18" ht="21">
      <c r="A37" s="54">
        <v>22</v>
      </c>
      <c r="B37" s="10"/>
      <c r="C37" s="22">
        <f>IF(D37=" "," ",Hoja1!N14)</f>
        <v>11</v>
      </c>
      <c r="D37" s="22">
        <f>+Hoja1!O14</f>
        <v>9</v>
      </c>
      <c r="E37" s="61">
        <f>+Hoja1!P14</f>
        <v>1500</v>
      </c>
      <c r="F37" s="61"/>
      <c r="G37" s="61">
        <f>+Hoja1!Q14</f>
        <v>13500</v>
      </c>
      <c r="H37" s="61"/>
      <c r="I37" s="38">
        <f>+IF(C37=" "," ",ROUNDUP(VLOOKUP(D37,Hoja1!$O$6:$R$25,4,FALSE),0))</f>
        <v>1505</v>
      </c>
      <c r="J37" s="39"/>
      <c r="K37" s="22">
        <f t="shared" si="0"/>
        <v>31</v>
      </c>
      <c r="L37" s="25">
        <f>+VLOOKUP(K37,Hoja1!N14:S99,5,FALSE)</f>
        <v>1504.2261353104727</v>
      </c>
      <c r="M37" s="25">
        <f>+VLOOKUP(K37,Hoja1!N14:S99,6,FALSE)</f>
        <v>13538.035217794257</v>
      </c>
      <c r="N37" s="4"/>
      <c r="O37" s="22">
        <f t="shared" si="1"/>
        <v>61</v>
      </c>
      <c r="P37" s="25">
        <f>IF(O37=" "," ",VLOOKUP(O37,Hoja1!N14:S99,5,FALSE))</f>
        <v>1504.2261353104727</v>
      </c>
      <c r="Q37" s="25">
        <f>IF(O37=" "," ",VLOOKUP(O37,Hoja1!N14:S99,6,FALSE))</f>
        <v>58664.819277108385</v>
      </c>
      <c r="R37" s="4"/>
    </row>
    <row r="38" spans="1:18" ht="21">
      <c r="A38" s="54">
        <v>23</v>
      </c>
      <c r="B38" s="10"/>
      <c r="C38" s="22">
        <f>IF(D38=" "," ",Hoja1!N15)</f>
        <v>12</v>
      </c>
      <c r="D38" s="22">
        <f>+Hoja1!O15</f>
        <v>10</v>
      </c>
      <c r="E38" s="61">
        <f>+Hoja1!P15</f>
        <v>1500</v>
      </c>
      <c r="F38" s="61"/>
      <c r="G38" s="61">
        <f>+Hoja1!Q15</f>
        <v>15000</v>
      </c>
      <c r="H38" s="61"/>
      <c r="I38" s="38">
        <f>+IF(C38=" "," ",ROUNDUP(VLOOKUP(D38,Hoja1!$O$6:$R$25,4,FALSE),0))</f>
        <v>1505</v>
      </c>
      <c r="J38" s="39"/>
      <c r="K38" s="22">
        <f t="shared" si="0"/>
        <v>32</v>
      </c>
      <c r="L38" s="25">
        <f>+VLOOKUP(K38,Hoja1!N15:S100,5,FALSE)</f>
        <v>1504.2261353104727</v>
      </c>
      <c r="M38" s="25">
        <f>+VLOOKUP(K38,Hoja1!N15:S100,6,FALSE)</f>
        <v>15042.26135310473</v>
      </c>
      <c r="N38" s="4"/>
      <c r="O38" s="22">
        <f t="shared" si="1"/>
        <v>62</v>
      </c>
      <c r="P38" s="25">
        <f>IF(O38=" "," ",VLOOKUP(O38,Hoja1!N15:S100,5,FALSE))</f>
        <v>1504.2261353104727</v>
      </c>
      <c r="Q38" s="25">
        <f>IF(O38=" "," ",VLOOKUP(O38,Hoja1!N15:S100,6,FALSE))</f>
        <v>60169.045412418855</v>
      </c>
      <c r="R38" s="4"/>
    </row>
    <row r="39" spans="1:18" ht="21">
      <c r="A39" s="54">
        <v>24</v>
      </c>
      <c r="B39" s="10"/>
      <c r="C39" s="22">
        <f>IF(D39=" "," ",Hoja1!N16)</f>
        <v>13</v>
      </c>
      <c r="D39" s="22">
        <f>+Hoja1!O16</f>
        <v>11</v>
      </c>
      <c r="E39" s="61">
        <f>+Hoja1!P16</f>
        <v>1500</v>
      </c>
      <c r="F39" s="61"/>
      <c r="G39" s="61">
        <f>+Hoja1!Q16</f>
        <v>16500</v>
      </c>
      <c r="H39" s="61"/>
      <c r="I39" s="38">
        <f>+IF(C39=" "," ",ROUNDUP(VLOOKUP(D39,Hoja1!$O$6:$R$25,4,FALSE),0))</f>
        <v>1505</v>
      </c>
      <c r="J39" s="39"/>
      <c r="K39" s="22">
        <f t="shared" si="0"/>
        <v>33</v>
      </c>
      <c r="L39" s="25">
        <f>+VLOOKUP(K39,Hoja1!N16:S101,5,FALSE)</f>
        <v>1504.2261353104727</v>
      </c>
      <c r="M39" s="25">
        <f>+VLOOKUP(K39,Hoja1!N16:S101,6,FALSE)</f>
        <v>16546.487488415201</v>
      </c>
      <c r="N39" s="4"/>
      <c r="O39" s="22">
        <f t="shared" si="1"/>
        <v>63</v>
      </c>
      <c r="P39" s="25">
        <f>IF(O39=" "," ",VLOOKUP(O39,Hoja1!N16:S101,5,FALSE))</f>
        <v>1504.2261353104727</v>
      </c>
      <c r="Q39" s="25">
        <f>IF(O39=" "," ",VLOOKUP(O39,Hoja1!N16:S101,6,FALSE))</f>
        <v>61673.271547729324</v>
      </c>
      <c r="R39" s="4"/>
    </row>
    <row r="40" spans="1:18" ht="21">
      <c r="A40" s="54">
        <v>25</v>
      </c>
      <c r="B40" s="10"/>
      <c r="C40" s="22">
        <f>IF(D40=" "," ",Hoja1!N17)</f>
        <v>14</v>
      </c>
      <c r="D40" s="22">
        <f>+Hoja1!O17</f>
        <v>12</v>
      </c>
      <c r="E40" s="61">
        <f>+Hoja1!P17</f>
        <v>1500</v>
      </c>
      <c r="F40" s="61"/>
      <c r="G40" s="61">
        <f>+Hoja1!Q17</f>
        <v>18000</v>
      </c>
      <c r="H40" s="61"/>
      <c r="I40" s="38">
        <f>+IF(C40=" "," ",ROUNDUP(VLOOKUP(D40,Hoja1!$O$6:$R$25,4,FALSE),0))</f>
        <v>1505</v>
      </c>
      <c r="J40" s="39"/>
      <c r="K40" s="22">
        <f t="shared" si="0"/>
        <v>34</v>
      </c>
      <c r="L40" s="25">
        <f>+VLOOKUP(K40,Hoja1!N17:S102,5,FALSE)</f>
        <v>1504.2261353104727</v>
      </c>
      <c r="M40" s="25">
        <f>+VLOOKUP(K40,Hoja1!N17:S102,6,FALSE)</f>
        <v>18050.713623725675</v>
      </c>
      <c r="N40" s="4"/>
      <c r="O40" s="22">
        <f t="shared" si="1"/>
        <v>64</v>
      </c>
      <c r="P40" s="25">
        <f>IF(O40=" "," ",VLOOKUP(O40,Hoja1!N17:S102,5,FALSE))</f>
        <v>1504.2261353104727</v>
      </c>
      <c r="Q40" s="25">
        <f>IF(O40=" "," ",VLOOKUP(O40,Hoja1!N17:S102,6,FALSE))</f>
        <v>63177.497683039794</v>
      </c>
      <c r="R40" s="4"/>
    </row>
    <row r="41" spans="1:18" ht="21">
      <c r="A41" s="54">
        <v>26</v>
      </c>
      <c r="B41" s="10"/>
      <c r="C41" s="22">
        <f>IF(D41=" "," ",Hoja1!N18)</f>
        <v>15</v>
      </c>
      <c r="D41" s="22">
        <f>+Hoja1!O18</f>
        <v>13</v>
      </c>
      <c r="E41" s="61">
        <f>+Hoja1!P18</f>
        <v>1500</v>
      </c>
      <c r="F41" s="61"/>
      <c r="G41" s="61">
        <f>+Hoja1!Q18</f>
        <v>19500</v>
      </c>
      <c r="H41" s="61"/>
      <c r="I41" s="38">
        <f>+IF(C41=" "," ",ROUNDUP(VLOOKUP(D41,Hoja1!$O$6:$R$25,4,FALSE),0))</f>
        <v>1505</v>
      </c>
      <c r="J41" s="39"/>
      <c r="K41" s="22">
        <f t="shared" si="0"/>
        <v>35</v>
      </c>
      <c r="L41" s="25">
        <f>+VLOOKUP(K41,Hoja1!N18:S103,5,FALSE)</f>
        <v>1504.2261353104727</v>
      </c>
      <c r="M41" s="25">
        <f>+VLOOKUP(K41,Hoja1!N18:S103,6,FALSE)</f>
        <v>19554.939759036148</v>
      </c>
      <c r="N41" s="4"/>
      <c r="O41" s="22">
        <f t="shared" si="1"/>
        <v>65</v>
      </c>
      <c r="P41" s="25">
        <f>IF(O41=" "," ",VLOOKUP(O41,Hoja1!N18:S103,5,FALSE))</f>
        <v>1504.2261353104727</v>
      </c>
      <c r="Q41" s="25">
        <f>IF(O41=" "," ",VLOOKUP(O41,Hoja1!N18:S103,6,FALSE))</f>
        <v>64681.723818350263</v>
      </c>
      <c r="R41" s="4"/>
    </row>
    <row r="42" spans="1:18" ht="21">
      <c r="A42" s="54">
        <v>27</v>
      </c>
      <c r="B42" s="10"/>
      <c r="C42" s="22">
        <f>IF(D42=" "," ",Hoja1!N19)</f>
        <v>16</v>
      </c>
      <c r="D42" s="22">
        <f>+Hoja1!O19</f>
        <v>14</v>
      </c>
      <c r="E42" s="61">
        <f>+Hoja1!P19</f>
        <v>1500</v>
      </c>
      <c r="F42" s="61"/>
      <c r="G42" s="61">
        <f>+Hoja1!Q19</f>
        <v>21000</v>
      </c>
      <c r="H42" s="61"/>
      <c r="I42" s="38">
        <f>+IF(C42=" "," ",ROUNDUP(VLOOKUP(D42,Hoja1!$O$6:$R$25,4,FALSE),0))</f>
        <v>1505</v>
      </c>
      <c r="J42" s="39"/>
      <c r="K42" s="22">
        <f t="shared" si="0"/>
        <v>36</v>
      </c>
      <c r="L42" s="25">
        <f>+VLOOKUP(K42,Hoja1!N19:S104,5,FALSE)</f>
        <v>1504.2261353104727</v>
      </c>
      <c r="M42" s="25">
        <f>+VLOOKUP(K42,Hoja1!N19:S104,6,FALSE)</f>
        <v>21059.165894346621</v>
      </c>
      <c r="N42" s="4"/>
      <c r="O42" s="22">
        <f t="shared" si="1"/>
        <v>66</v>
      </c>
      <c r="P42" s="25">
        <f>IF(O42=" "," ",VLOOKUP(O42,Hoja1!N19:S104,5,FALSE))</f>
        <v>1504.2261353104727</v>
      </c>
      <c r="Q42" s="25">
        <f>IF(O42=" "," ",VLOOKUP(O42,Hoja1!N19:S104,6,FALSE))</f>
        <v>66185.949953660733</v>
      </c>
      <c r="R42" s="4"/>
    </row>
    <row r="43" spans="1:18" ht="21">
      <c r="A43" s="54">
        <v>28</v>
      </c>
      <c r="B43" s="10"/>
      <c r="C43" s="22">
        <f>IF(D43=" "," ",Hoja1!N20)</f>
        <v>17</v>
      </c>
      <c r="D43" s="22">
        <f>+Hoja1!O20</f>
        <v>15</v>
      </c>
      <c r="E43" s="61">
        <f>+Hoja1!P20</f>
        <v>1500</v>
      </c>
      <c r="F43" s="61"/>
      <c r="G43" s="61">
        <f>+Hoja1!Q20</f>
        <v>22500</v>
      </c>
      <c r="H43" s="61"/>
      <c r="I43" s="38">
        <f>+IF(C43=" "," ",ROUNDUP(VLOOKUP(D43,Hoja1!$O$6:$R$25,4,FALSE),0))</f>
        <v>1505</v>
      </c>
      <c r="J43" s="39"/>
      <c r="K43" s="22">
        <f t="shared" si="0"/>
        <v>37</v>
      </c>
      <c r="L43" s="25">
        <f>+VLOOKUP(K43,Hoja1!N20:S105,5,FALSE)</f>
        <v>1504.2261353104727</v>
      </c>
      <c r="M43" s="25">
        <f>+VLOOKUP(K43,Hoja1!N20:S105,6,FALSE)</f>
        <v>22563.392029657094</v>
      </c>
      <c r="N43" s="4"/>
      <c r="O43" s="22">
        <f t="shared" si="1"/>
        <v>67</v>
      </c>
      <c r="P43" s="25">
        <f>IF(O43=" "," ",VLOOKUP(O43,Hoja1!N20:S105,5,FALSE))</f>
        <v>1504.2261353104727</v>
      </c>
      <c r="Q43" s="25">
        <f>IF(O43=" "," ",VLOOKUP(O43,Hoja1!N20:S105,6,FALSE))</f>
        <v>67690.176088971202</v>
      </c>
      <c r="R43" s="4"/>
    </row>
    <row r="44" spans="1:18" ht="21">
      <c r="A44" s="54">
        <v>29</v>
      </c>
      <c r="B44" s="10"/>
      <c r="C44" s="22">
        <f>IF(D44=" "," ",Hoja1!N21)</f>
        <v>18</v>
      </c>
      <c r="D44" s="22">
        <f>+Hoja1!O21</f>
        <v>16</v>
      </c>
      <c r="E44" s="61">
        <f>+Hoja1!P21</f>
        <v>1500</v>
      </c>
      <c r="F44" s="61"/>
      <c r="G44" s="61">
        <f>+Hoja1!Q21</f>
        <v>24000</v>
      </c>
      <c r="H44" s="61"/>
      <c r="I44" s="38">
        <f>+IF(C44=" "," ",ROUNDUP(VLOOKUP(D44,Hoja1!$O$6:$R$25,4,FALSE),0))</f>
        <v>1505</v>
      </c>
      <c r="J44" s="39"/>
      <c r="K44" s="22">
        <f t="shared" si="0"/>
        <v>38</v>
      </c>
      <c r="L44" s="25">
        <f>+VLOOKUP(K44,Hoja1!N21:S106,5,FALSE)</f>
        <v>1504.2261353104727</v>
      </c>
      <c r="M44" s="25">
        <f>+VLOOKUP(K44,Hoja1!N21:S106,6,FALSE)</f>
        <v>24067.618164967567</v>
      </c>
      <c r="N44" s="4"/>
      <c r="O44" s="22">
        <f t="shared" si="1"/>
        <v>68</v>
      </c>
      <c r="P44" s="25">
        <f>IF(O44=" "," ",VLOOKUP(O44,Hoja1!N21:S106,5,FALSE))</f>
        <v>1504.2261353104727</v>
      </c>
      <c r="Q44" s="25">
        <f>IF(O44=" "," ",VLOOKUP(O44,Hoja1!N21:S106,6,FALSE))</f>
        <v>69194.402224281672</v>
      </c>
      <c r="R44" s="4"/>
    </row>
    <row r="45" spans="1:18" ht="21">
      <c r="A45" s="54">
        <v>30</v>
      </c>
      <c r="B45" s="10"/>
      <c r="C45" s="22">
        <f>IF(D45=" "," ",Hoja1!N22)</f>
        <v>19</v>
      </c>
      <c r="D45" s="22">
        <f>+Hoja1!O22</f>
        <v>17</v>
      </c>
      <c r="E45" s="61">
        <f>+Hoja1!P22</f>
        <v>1500</v>
      </c>
      <c r="F45" s="61"/>
      <c r="G45" s="61">
        <f>+Hoja1!Q22</f>
        <v>25500</v>
      </c>
      <c r="H45" s="61"/>
      <c r="I45" s="38">
        <f>+IF(C45=" "," ",ROUNDUP(VLOOKUP(D45,Hoja1!$O$6:$R$25,4,FALSE),0))</f>
        <v>1505</v>
      </c>
      <c r="J45" s="39"/>
      <c r="K45" s="22">
        <f t="shared" si="0"/>
        <v>39</v>
      </c>
      <c r="L45" s="25">
        <f>+VLOOKUP(K45,Hoja1!N22:S107,5,FALSE)</f>
        <v>1504.2261353104727</v>
      </c>
      <c r="M45" s="25">
        <f>+VLOOKUP(K45,Hoja1!N22:S107,6,FALSE)</f>
        <v>25571.84430027804</v>
      </c>
      <c r="N45" s="4"/>
      <c r="O45" s="22">
        <f t="shared" si="1"/>
        <v>69</v>
      </c>
      <c r="P45" s="25">
        <f>IF(O45=" "," ",VLOOKUP(O45,Hoja1!N22:S107,5,FALSE))</f>
        <v>1504.2261353104727</v>
      </c>
      <c r="Q45" s="25">
        <f>IF(O45=" "," ",VLOOKUP(O45,Hoja1!N22:S107,6,FALSE))</f>
        <v>70698.628359592141</v>
      </c>
      <c r="R45" s="4"/>
    </row>
    <row r="46" spans="1:18" ht="21">
      <c r="A46" s="54">
        <v>31</v>
      </c>
      <c r="B46" s="10"/>
      <c r="C46" s="22">
        <f>IF(D46=" "," ",Hoja1!N23)</f>
        <v>20</v>
      </c>
      <c r="D46" s="22">
        <f>+Hoja1!O23</f>
        <v>18</v>
      </c>
      <c r="E46" s="61">
        <f>+Hoja1!P23</f>
        <v>1500</v>
      </c>
      <c r="F46" s="61"/>
      <c r="G46" s="61">
        <f>+Hoja1!Q23</f>
        <v>27000</v>
      </c>
      <c r="H46" s="61"/>
      <c r="I46" s="38">
        <f>+IF(C46=" "," ",ROUNDUP(VLOOKUP(D46,Hoja1!$O$6:$R$25,4,FALSE),0))</f>
        <v>1505</v>
      </c>
      <c r="J46" s="39"/>
      <c r="K46" s="22">
        <f t="shared" si="0"/>
        <v>40</v>
      </c>
      <c r="L46" s="25">
        <f>+VLOOKUP(K46,Hoja1!N23:S108,5,FALSE)</f>
        <v>1504.2261353104727</v>
      </c>
      <c r="M46" s="25">
        <f>+VLOOKUP(K46,Hoja1!N23:S108,6,FALSE)</f>
        <v>27076.070435588514</v>
      </c>
      <c r="N46" s="4"/>
      <c r="O46" s="22">
        <f t="shared" si="1"/>
        <v>70</v>
      </c>
      <c r="P46" s="25">
        <f>IF(O46=" "," ",VLOOKUP(O46,Hoja1!N23:S108,5,FALSE))</f>
        <v>1504.2261353104727</v>
      </c>
      <c r="Q46" s="25">
        <f>IF(O46=" "," ",VLOOKUP(O46,Hoja1!N23:S108,6,FALSE))</f>
        <v>72202.854494902611</v>
      </c>
      <c r="R46" s="4"/>
    </row>
    <row r="47" spans="1:18" ht="21">
      <c r="A47" s="54">
        <v>32</v>
      </c>
      <c r="B47" s="10"/>
      <c r="C47" s="22">
        <f>IF(D47=" "," ",Hoja1!N24)</f>
        <v>21</v>
      </c>
      <c r="D47" s="22">
        <f>+Hoja1!O24</f>
        <v>19</v>
      </c>
      <c r="E47" s="61">
        <f>+Hoja1!P24</f>
        <v>1500</v>
      </c>
      <c r="F47" s="61"/>
      <c r="G47" s="61">
        <f>+Hoja1!Q24</f>
        <v>28500</v>
      </c>
      <c r="H47" s="61"/>
      <c r="I47" s="38">
        <f>+IF(C47=" "," ",ROUNDUP(VLOOKUP(D47,Hoja1!$O$6:$R$25,4,FALSE),0))</f>
        <v>1505</v>
      </c>
      <c r="J47" s="39"/>
      <c r="K47" s="22">
        <f t="shared" si="0"/>
        <v>41</v>
      </c>
      <c r="L47" s="25">
        <f>+VLOOKUP(K47,Hoja1!N24:S109,5,FALSE)</f>
        <v>1504.2261353104727</v>
      </c>
      <c r="M47" s="25">
        <f>+VLOOKUP(K47,Hoja1!N24:S109,6,FALSE)</f>
        <v>28580.296570898987</v>
      </c>
      <c r="N47" s="4"/>
      <c r="O47" s="22">
        <f t="shared" si="1"/>
        <v>71</v>
      </c>
      <c r="P47" s="25">
        <f>IF(O47=" "," ",VLOOKUP(O47,Hoja1!N24:S109,5,FALSE))</f>
        <v>1504.2261353104727</v>
      </c>
      <c r="Q47" s="25">
        <f>IF(O47=" "," ",VLOOKUP(O47,Hoja1!N24:S109,6,FALSE))</f>
        <v>73707.08063021308</v>
      </c>
      <c r="R47" s="4"/>
    </row>
    <row r="48" spans="1:18" ht="21">
      <c r="A48" s="54">
        <v>33</v>
      </c>
      <c r="B48" s="10"/>
      <c r="C48" s="22">
        <f>IF(D48=" "," ",Hoja1!N25)</f>
        <v>22</v>
      </c>
      <c r="D48" s="22">
        <f>+Hoja1!O25</f>
        <v>20</v>
      </c>
      <c r="E48" s="61">
        <f>+Hoja1!P25</f>
        <v>1500</v>
      </c>
      <c r="F48" s="61"/>
      <c r="G48" s="61">
        <f>+Hoja1!Q25</f>
        <v>30000</v>
      </c>
      <c r="H48" s="61"/>
      <c r="I48" s="38">
        <f>+IF(C48=" "," ",ROUNDUP(VLOOKUP(D48,Hoja1!$O$6:$R$25,4,FALSE),0))</f>
        <v>1505</v>
      </c>
      <c r="J48" s="39"/>
      <c r="K48" s="22">
        <f t="shared" si="0"/>
        <v>42</v>
      </c>
      <c r="L48" s="25">
        <f>+VLOOKUP(K48,Hoja1!N25:S110,5,FALSE)</f>
        <v>1504.2261353104727</v>
      </c>
      <c r="M48" s="25">
        <f>+VLOOKUP(K48,Hoja1!N25:S110,6,FALSE)</f>
        <v>30084.52270620946</v>
      </c>
      <c r="N48" s="4"/>
      <c r="O48" s="22">
        <f t="shared" si="1"/>
        <v>72</v>
      </c>
      <c r="P48" s="25">
        <f>IF(O48=" "," ",VLOOKUP(O48,Hoja1!N25:S110,5,FALSE))</f>
        <v>1504.2261353104727</v>
      </c>
      <c r="Q48" s="25">
        <f>IF(O48=" "," ",VLOOKUP(O48,Hoja1!N25:S110,6,FALSE))</f>
        <v>75211.30676552355</v>
      </c>
      <c r="R48" s="4"/>
    </row>
    <row r="49" spans="1:18" ht="21">
      <c r="A49" s="54">
        <v>34</v>
      </c>
      <c r="B49" s="10"/>
      <c r="C49" s="21"/>
      <c r="D49" s="4"/>
      <c r="E49" s="4"/>
      <c r="F49" s="4"/>
      <c r="G49" s="4"/>
      <c r="H49" s="4"/>
      <c r="I49" s="4"/>
      <c r="J49" s="4"/>
      <c r="K49" s="22">
        <f t="shared" si="0"/>
        <v>43</v>
      </c>
      <c r="L49" s="25">
        <f>+VLOOKUP(K49,Hoja1!N26:S111,5,FALSE)</f>
        <v>1504.2261353104727</v>
      </c>
      <c r="M49" s="25">
        <f>+VLOOKUP(K49,Hoja1!N26:S111,6,FALSE)</f>
        <v>31588.748841519933</v>
      </c>
      <c r="N49" s="4"/>
      <c r="O49" s="22">
        <f t="shared" si="1"/>
        <v>73</v>
      </c>
      <c r="P49" s="25">
        <f>IF(O49=" "," ",VLOOKUP(O49,Hoja1!N26:S111,5,FALSE))</f>
        <v>1504.2261353104727</v>
      </c>
      <c r="Q49" s="25">
        <f>IF(O49=" "," ",VLOOKUP(O49,Hoja1!N26:S111,6,FALSE))</f>
        <v>76715.53290083402</v>
      </c>
      <c r="R49" s="4"/>
    </row>
    <row r="50" spans="1:18" ht="21">
      <c r="A50" s="54">
        <v>35</v>
      </c>
      <c r="B50" s="10"/>
      <c r="C50" s="58" t="str">
        <f>+"Recuperación en una sola exhibición: "&amp;TEXT(Hoja1!L13,"$#,##0")</f>
        <v>Recuperación en una sola exhibición: $39,482</v>
      </c>
      <c r="D50" s="58"/>
      <c r="E50" s="58"/>
      <c r="F50" s="58"/>
      <c r="G50" s="58"/>
      <c r="H50" s="58"/>
      <c r="I50" s="58"/>
      <c r="J50" s="4"/>
      <c r="K50" s="22">
        <f t="shared" si="0"/>
        <v>44</v>
      </c>
      <c r="L50" s="25">
        <f>+VLOOKUP(K50,Hoja1!N27:S112,5,FALSE)</f>
        <v>1504.2261353104727</v>
      </c>
      <c r="M50" s="25">
        <f>+VLOOKUP(K50,Hoja1!N27:S112,6,FALSE)</f>
        <v>33092.974976830403</v>
      </c>
      <c r="N50" s="4"/>
      <c r="O50" s="22">
        <f t="shared" si="1"/>
        <v>74</v>
      </c>
      <c r="P50" s="25">
        <f>IF(O50=" "," ",VLOOKUP(O50,Hoja1!N27:S112,5,FALSE))</f>
        <v>1504.2261353104727</v>
      </c>
      <c r="Q50" s="25">
        <f>IF(O50=" "," ",VLOOKUP(O50,Hoja1!N27:S112,6,FALSE))</f>
        <v>78219.759036144489</v>
      </c>
      <c r="R50" s="4"/>
    </row>
    <row r="51" spans="1:18" ht="21">
      <c r="A51" s="54">
        <v>36</v>
      </c>
      <c r="B51" s="10"/>
      <c r="C51" s="58"/>
      <c r="D51" s="58"/>
      <c r="E51" s="58"/>
      <c r="F51" s="58"/>
      <c r="G51" s="58"/>
      <c r="H51" s="58"/>
      <c r="I51" s="58"/>
      <c r="J51" s="4"/>
      <c r="K51" s="22">
        <f t="shared" si="0"/>
        <v>45</v>
      </c>
      <c r="L51" s="25">
        <f>+VLOOKUP(K51,Hoja1!N28:S113,5,FALSE)</f>
        <v>1504.2261353104727</v>
      </c>
      <c r="M51" s="25">
        <f>+VLOOKUP(K51,Hoja1!N28:S113,6,FALSE)</f>
        <v>34597.201112140872</v>
      </c>
      <c r="N51" s="4"/>
      <c r="O51" s="22">
        <f t="shared" si="1"/>
        <v>75</v>
      </c>
      <c r="P51" s="25">
        <f>IF(O51=" "," ",VLOOKUP(O51,Hoja1!N28:S113,5,FALSE))</f>
        <v>1504.2261353104727</v>
      </c>
      <c r="Q51" s="25">
        <f>IF(O51=" "," ",VLOOKUP(O51,Hoja1!N28:S113,6,FALSE))</f>
        <v>79723.985171454959</v>
      </c>
      <c r="R51" s="4"/>
    </row>
    <row r="52" spans="1:18" ht="21">
      <c r="A52" s="54">
        <v>37</v>
      </c>
      <c r="B52" s="10"/>
      <c r="C52" s="4"/>
      <c r="D52" s="4"/>
      <c r="E52" s="4"/>
      <c r="F52" s="4"/>
      <c r="G52" s="4"/>
      <c r="H52" s="4"/>
      <c r="I52" s="4"/>
      <c r="J52" s="4"/>
      <c r="K52" s="22">
        <f t="shared" si="0"/>
        <v>46</v>
      </c>
      <c r="L52" s="25">
        <f>+VLOOKUP(K52,Hoja1!N29:S114,5,FALSE)</f>
        <v>1504.2261353104727</v>
      </c>
      <c r="M52" s="25">
        <f>+VLOOKUP(K52,Hoja1!N29:S114,6,FALSE)</f>
        <v>36101.427247451342</v>
      </c>
      <c r="N52" s="4"/>
      <c r="O52" s="22">
        <f t="shared" si="1"/>
        <v>76</v>
      </c>
      <c r="P52" s="25">
        <f>IF(O52=" "," ",VLOOKUP(O52,Hoja1!N29:S114,5,FALSE))</f>
        <v>1504.2261353104727</v>
      </c>
      <c r="Q52" s="25">
        <f>IF(O52=" "," ",VLOOKUP(O52,Hoja1!N29:S114,6,FALSE))</f>
        <v>81228.211306765428</v>
      </c>
      <c r="R52" s="4"/>
    </row>
    <row r="53" spans="1:18" ht="21">
      <c r="A53" s="54">
        <v>38</v>
      </c>
      <c r="B53" s="10"/>
      <c r="C53" s="57" t="s">
        <v>76</v>
      </c>
      <c r="D53" s="21"/>
      <c r="E53" s="4"/>
      <c r="F53" s="4"/>
      <c r="G53" s="56" t="s">
        <v>77</v>
      </c>
      <c r="H53" s="57">
        <v>1</v>
      </c>
      <c r="I53" s="4"/>
      <c r="J53" s="4"/>
      <c r="K53" s="22">
        <f t="shared" si="0"/>
        <v>47</v>
      </c>
      <c r="L53" s="25">
        <f>+VLOOKUP(K53,Hoja1!N30:S115,5,FALSE)</f>
        <v>1504.2261353104727</v>
      </c>
      <c r="M53" s="25">
        <f>+VLOOKUP(K53,Hoja1!N30:S115,6,FALSE)</f>
        <v>37605.653382761811</v>
      </c>
      <c r="N53" s="4"/>
      <c r="O53" s="22">
        <f t="shared" si="1"/>
        <v>77</v>
      </c>
      <c r="P53" s="25">
        <f>IF(O53=" "," ",VLOOKUP(O53,Hoja1!N30:S115,5,FALSE))</f>
        <v>1504.2261353104727</v>
      </c>
      <c r="Q53" s="25">
        <f>IF(O53=" "," ",VLOOKUP(O53,Hoja1!N30:S115,6,FALSE))</f>
        <v>82732.437442075898</v>
      </c>
      <c r="R53" s="4"/>
    </row>
    <row r="54" spans="1:18" ht="21">
      <c r="A54" s="54">
        <v>39</v>
      </c>
      <c r="B54" s="10"/>
      <c r="C54" s="4"/>
      <c r="D54" s="10"/>
      <c r="E54" s="4"/>
      <c r="F54" s="4"/>
      <c r="G54" s="4"/>
      <c r="H54" s="4"/>
      <c r="I54" s="4"/>
      <c r="J54" s="4"/>
      <c r="K54" s="22">
        <f t="shared" si="0"/>
        <v>48</v>
      </c>
      <c r="L54" s="25">
        <f>+VLOOKUP(K54,Hoja1!N31:S116,5,FALSE)</f>
        <v>1504.2261353104727</v>
      </c>
      <c r="M54" s="25">
        <f>+VLOOKUP(K54,Hoja1!N31:S116,6,FALSE)</f>
        <v>39109.879518072281</v>
      </c>
      <c r="N54" s="4"/>
      <c r="O54" s="22">
        <f t="shared" si="1"/>
        <v>78</v>
      </c>
      <c r="P54" s="25">
        <f>IF(O54=" "," ",VLOOKUP(O54,Hoja1!N31:S116,5,FALSE))</f>
        <v>1504.2261353104727</v>
      </c>
      <c r="Q54" s="25">
        <f>IF(O54=" "," ",VLOOKUP(O54,Hoja1!N31:S116,6,FALSE))</f>
        <v>84236.663577386367</v>
      </c>
      <c r="R54" s="4"/>
    </row>
    <row r="55" spans="1:18" ht="21">
      <c r="A55" s="54">
        <v>40</v>
      </c>
      <c r="B55" s="10"/>
      <c r="C55" s="4"/>
      <c r="D55" s="4"/>
      <c r="E55" s="4"/>
      <c r="F55" s="4"/>
      <c r="G55" s="4"/>
      <c r="H55" s="4"/>
      <c r="I55" s="4"/>
      <c r="J55" s="4"/>
      <c r="K55" s="22">
        <f t="shared" si="0"/>
        <v>49</v>
      </c>
      <c r="L55" s="25">
        <f>+VLOOKUP(K55,Hoja1!N32:S117,5,FALSE)</f>
        <v>1504.2261353104727</v>
      </c>
      <c r="M55" s="25">
        <f>+VLOOKUP(K55,Hoja1!N32:S117,6,FALSE)</f>
        <v>40614.10565338275</v>
      </c>
      <c r="N55" s="4"/>
      <c r="O55" s="22">
        <f t="shared" si="1"/>
        <v>79</v>
      </c>
      <c r="P55" s="25">
        <f>IF(O55=" "," ",VLOOKUP(O55,Hoja1!N32:S117,5,FALSE))</f>
        <v>1504.2261353104727</v>
      </c>
      <c r="Q55" s="25">
        <f>IF(O55=" "," ",VLOOKUP(O55,Hoja1!N32:S117,6,FALSE))</f>
        <v>85740.889712696837</v>
      </c>
      <c r="R55" s="4"/>
    </row>
    <row r="56" spans="1:18" ht="21">
      <c r="A56" s="54">
        <v>41</v>
      </c>
      <c r="B56" s="10"/>
      <c r="C56" s="4"/>
      <c r="D56" s="4"/>
      <c r="E56" s="4"/>
      <c r="F56" s="4"/>
      <c r="G56" s="4"/>
      <c r="H56" s="4"/>
      <c r="I56" s="4"/>
      <c r="J56" s="4"/>
      <c r="K56" s="22">
        <f t="shared" si="0"/>
        <v>50</v>
      </c>
      <c r="L56" s="25">
        <f>+VLOOKUP(K56,Hoja1!N33:S118,5,FALSE)</f>
        <v>1504.2261353104727</v>
      </c>
      <c r="M56" s="25">
        <f>+VLOOKUP(K56,Hoja1!N33:S118,6,FALSE)</f>
        <v>42118.33178869322</v>
      </c>
      <c r="N56" s="4"/>
      <c r="O56" s="22">
        <f t="shared" si="1"/>
        <v>80</v>
      </c>
      <c r="P56" s="25">
        <f>IF(O56=" "," ",VLOOKUP(O56,Hoja1!N33:S118,5,FALSE))</f>
        <v>1504.2261353104727</v>
      </c>
      <c r="Q56" s="25">
        <f>IF(O56=" "," ",VLOOKUP(O56,Hoja1!N33:S118,6,FALSE))</f>
        <v>87245.115848007306</v>
      </c>
      <c r="R56" s="4"/>
    </row>
    <row r="57" spans="1:18" ht="21">
      <c r="A57" s="54">
        <v>42</v>
      </c>
      <c r="B57" s="10"/>
      <c r="C57" s="4"/>
      <c r="D57" s="4"/>
      <c r="E57" s="4"/>
      <c r="F57" s="4"/>
      <c r="G57" s="4"/>
      <c r="H57" s="4"/>
      <c r="I57" s="4"/>
      <c r="J57" s="4"/>
      <c r="K57" s="22">
        <f t="shared" si="0"/>
        <v>51</v>
      </c>
      <c r="L57" s="25">
        <f>+VLOOKUP(K57,Hoja1!N34:S119,5,FALSE)</f>
        <v>1504.2261353104727</v>
      </c>
      <c r="M57" s="25">
        <f>+VLOOKUP(K57,Hoja1!N34:S119,6,FALSE)</f>
        <v>43622.55792400369</v>
      </c>
      <c r="N57" s="4"/>
      <c r="O57" s="22">
        <f t="shared" si="1"/>
        <v>81</v>
      </c>
      <c r="P57" s="25">
        <f>IF(O57=" "," ",VLOOKUP(O57,Hoja1!N34:S119,5,FALSE))</f>
        <v>1504.2261353104727</v>
      </c>
      <c r="Q57" s="25">
        <f>IF(O57=" "," ",VLOOKUP(O57,Hoja1!N34:S119,6,FALSE))</f>
        <v>88749.341983317776</v>
      </c>
      <c r="R57" s="4"/>
    </row>
    <row r="58" spans="1:18" ht="21">
      <c r="A58" s="54">
        <v>43</v>
      </c>
      <c r="B58" s="10"/>
      <c r="C58" s="4"/>
      <c r="D58" s="4"/>
      <c r="E58" s="4"/>
      <c r="F58" s="4"/>
      <c r="G58" s="4"/>
      <c r="H58" s="4"/>
      <c r="I58" s="4"/>
      <c r="J58" s="4"/>
      <c r="K58" s="22">
        <f t="shared" si="0"/>
        <v>52</v>
      </c>
      <c r="L58" s="25">
        <f>+VLOOKUP(K58,Hoja1!N35:S120,5,FALSE)</f>
        <v>1504.2261353104727</v>
      </c>
      <c r="M58" s="25">
        <f>+VLOOKUP(K58,Hoja1!N35:S120,6,FALSE)</f>
        <v>45126.784059314159</v>
      </c>
      <c r="N58" s="4"/>
      <c r="O58" s="22">
        <f t="shared" si="1"/>
        <v>82</v>
      </c>
      <c r="P58" s="25">
        <f>IF(O58=" "," ",VLOOKUP(O58,Hoja1!N35:S120,5,FALSE))</f>
        <v>1504.2261353104727</v>
      </c>
      <c r="Q58" s="25">
        <f>IF(O58=" "," ",VLOOKUP(O58,Hoja1!N35:S120,6,FALSE))</f>
        <v>90253.568118628245</v>
      </c>
      <c r="R58" s="4"/>
    </row>
    <row r="59" spans="1:18">
      <c r="A59" s="54">
        <v>44</v>
      </c>
      <c r="B59" s="1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7" thickBot="1">
      <c r="A60" s="54">
        <v>45</v>
      </c>
      <c r="B60" s="10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>
      <c r="A61" s="54">
        <v>46</v>
      </c>
      <c r="B61" s="10"/>
      <c r="C61" s="26" t="s">
        <v>51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4"/>
    </row>
    <row r="62" spans="1:18">
      <c r="A62" s="54">
        <v>47</v>
      </c>
      <c r="B62" s="10"/>
      <c r="C62" s="29" t="s">
        <v>80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30"/>
      <c r="R62" s="4"/>
    </row>
    <row r="63" spans="1:18">
      <c r="A63" s="54">
        <v>48</v>
      </c>
      <c r="B63" s="10"/>
      <c r="C63" s="29" t="s">
        <v>52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30"/>
      <c r="R63" s="4"/>
    </row>
    <row r="64" spans="1:18">
      <c r="A64" s="54">
        <v>49</v>
      </c>
      <c r="B64" s="10"/>
      <c r="C64" s="31" t="s">
        <v>50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30"/>
      <c r="R64" s="4"/>
    </row>
    <row r="65" spans="1:18">
      <c r="A65" s="54">
        <v>50</v>
      </c>
      <c r="B65" s="10"/>
      <c r="C65" s="29" t="s">
        <v>54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30"/>
      <c r="R65" s="4"/>
    </row>
    <row r="66" spans="1:18">
      <c r="A66" s="54">
        <v>51</v>
      </c>
      <c r="B66" s="10"/>
      <c r="C66" s="29" t="s">
        <v>55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30"/>
      <c r="R66" s="4"/>
    </row>
    <row r="67" spans="1:18">
      <c r="A67" s="54">
        <v>52</v>
      </c>
      <c r="B67" s="10"/>
      <c r="C67" s="29" t="s">
        <v>56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30"/>
      <c r="R67" s="4"/>
    </row>
    <row r="68" spans="1:18" ht="17" thickBot="1">
      <c r="A68" s="54">
        <v>53</v>
      </c>
      <c r="B68" s="10"/>
      <c r="C68" s="32" t="s">
        <v>53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4"/>
      <c r="R68" s="4"/>
    </row>
    <row r="69" spans="1:18">
      <c r="A69" s="54">
        <v>54</v>
      </c>
      <c r="B69" s="10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>
      <c r="A70" s="54">
        <v>55</v>
      </c>
    </row>
    <row r="71" spans="1:18">
      <c r="A71" s="54">
        <v>56</v>
      </c>
    </row>
    <row r="72" spans="1:18">
      <c r="A72" s="54">
        <v>57</v>
      </c>
    </row>
    <row r="73" spans="1:18">
      <c r="A73" s="54">
        <v>58</v>
      </c>
    </row>
    <row r="74" spans="1:18">
      <c r="A74" s="54">
        <v>59</v>
      </c>
    </row>
    <row r="75" spans="1:18">
      <c r="A75" s="54">
        <v>60</v>
      </c>
    </row>
    <row r="76" spans="1:18">
      <c r="A76" s="54">
        <v>61</v>
      </c>
    </row>
    <row r="77" spans="1:18">
      <c r="A77" s="54">
        <v>62</v>
      </c>
    </row>
    <row r="78" spans="1:18">
      <c r="A78" s="54">
        <v>63</v>
      </c>
    </row>
    <row r="79" spans="1:18">
      <c r="A79" s="54">
        <v>64</v>
      </c>
    </row>
    <row r="80" spans="1:18">
      <c r="A80" s="54">
        <v>65</v>
      </c>
    </row>
    <row r="81" spans="1:1">
      <c r="A81" s="54">
        <v>66</v>
      </c>
    </row>
    <row r="82" spans="1:1">
      <c r="A82" s="54">
        <v>67</v>
      </c>
    </row>
    <row r="83" spans="1:1">
      <c r="A83" s="54">
        <v>68</v>
      </c>
    </row>
    <row r="84" spans="1:1">
      <c r="A84" s="54">
        <v>69</v>
      </c>
    </row>
    <row r="85" spans="1:1">
      <c r="A85" s="54">
        <v>70</v>
      </c>
    </row>
    <row r="86" spans="1:1">
      <c r="A86" s="54">
        <v>71</v>
      </c>
    </row>
    <row r="87" spans="1:1">
      <c r="A87" s="54">
        <v>72</v>
      </c>
    </row>
    <row r="88" spans="1:1">
      <c r="A88" s="54">
        <v>73</v>
      </c>
    </row>
    <row r="89" spans="1:1">
      <c r="A89" s="54">
        <v>74</v>
      </c>
    </row>
    <row r="90" spans="1:1">
      <c r="A90" s="54">
        <v>75</v>
      </c>
    </row>
    <row r="91" spans="1:1">
      <c r="A91" s="54">
        <v>76</v>
      </c>
    </row>
    <row r="92" spans="1:1">
      <c r="A92" s="54">
        <v>77</v>
      </c>
    </row>
    <row r="93" spans="1:1">
      <c r="A93" s="54">
        <v>78</v>
      </c>
    </row>
    <row r="94" spans="1:1">
      <c r="A94" s="54">
        <v>79</v>
      </c>
    </row>
    <row r="95" spans="1:1">
      <c r="A95" s="54">
        <v>80</v>
      </c>
    </row>
    <row r="96" spans="1:1">
      <c r="A96" s="54">
        <v>81</v>
      </c>
    </row>
    <row r="97" spans="1:1">
      <c r="A97" s="54">
        <v>82</v>
      </c>
    </row>
    <row r="98" spans="1:1">
      <c r="A98" s="54">
        <v>83</v>
      </c>
    </row>
    <row r="99" spans="1:1">
      <c r="A99" s="54">
        <v>84</v>
      </c>
    </row>
    <row r="100" spans="1:1">
      <c r="A100" s="54">
        <v>85</v>
      </c>
    </row>
    <row r="101" spans="1:1">
      <c r="A101" s="54">
        <v>86</v>
      </c>
    </row>
    <row r="102" spans="1:1">
      <c r="A102" s="54">
        <v>87</v>
      </c>
    </row>
    <row r="103" spans="1:1">
      <c r="A103" s="54">
        <v>88</v>
      </c>
    </row>
    <row r="104" spans="1:1">
      <c r="A104" s="54">
        <v>89</v>
      </c>
    </row>
    <row r="106" spans="1:1">
      <c r="A106" s="54" t="s">
        <v>24</v>
      </c>
    </row>
    <row r="107" spans="1:1">
      <c r="A107" s="54" t="s">
        <v>25</v>
      </c>
    </row>
    <row r="109" spans="1:1">
      <c r="A109" s="54" t="s">
        <v>31</v>
      </c>
    </row>
    <row r="110" spans="1:1">
      <c r="A110" s="54" t="s">
        <v>29</v>
      </c>
    </row>
    <row r="111" spans="1:1">
      <c r="A111" s="54" t="s">
        <v>30</v>
      </c>
    </row>
    <row r="112" spans="1:1">
      <c r="A112" s="54" t="s">
        <v>27</v>
      </c>
    </row>
    <row r="114" spans="1:1">
      <c r="A114" s="54" t="s">
        <v>75</v>
      </c>
    </row>
    <row r="115" spans="1:1">
      <c r="A115" s="54" t="s">
        <v>76</v>
      </c>
    </row>
  </sheetData>
  <mergeCells count="59">
    <mergeCell ref="B20:R20"/>
    <mergeCell ref="C22:Q22"/>
    <mergeCell ref="C23:Q23"/>
    <mergeCell ref="C24:Q24"/>
    <mergeCell ref="H9:I9"/>
    <mergeCell ref="H11:I11"/>
    <mergeCell ref="H13:I13"/>
    <mergeCell ref="H15:I15"/>
    <mergeCell ref="H17:I17"/>
    <mergeCell ref="K9:M9"/>
    <mergeCell ref="K11:M11"/>
    <mergeCell ref="O10:Q11"/>
    <mergeCell ref="N12:R13"/>
    <mergeCell ref="E38:F38"/>
    <mergeCell ref="E39:F39"/>
    <mergeCell ref="E40:F40"/>
    <mergeCell ref="E41:F41"/>
    <mergeCell ref="E43:F43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G39:H39"/>
    <mergeCell ref="G40:H40"/>
    <mergeCell ref="G41:H41"/>
    <mergeCell ref="G42:H42"/>
    <mergeCell ref="E48:F48"/>
    <mergeCell ref="E44:F44"/>
    <mergeCell ref="E45:F45"/>
    <mergeCell ref="E46:F46"/>
    <mergeCell ref="E47:F47"/>
    <mergeCell ref="G43:H43"/>
    <mergeCell ref="G44:H44"/>
    <mergeCell ref="G45:H45"/>
    <mergeCell ref="G46:H46"/>
    <mergeCell ref="G47:H47"/>
    <mergeCell ref="C50:I51"/>
    <mergeCell ref="C27:I27"/>
    <mergeCell ref="K27:M27"/>
    <mergeCell ref="O27:Q27"/>
    <mergeCell ref="G48:H48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</mergeCells>
  <dataValidations count="7">
    <dataValidation type="list" allowBlank="1" showInputMessage="1" showErrorMessage="1" sqref="H13" xr:uid="{A2FB19B9-1445-124F-BC63-33145E1620A8}">
      <formula1>$A$9:$A$11</formula1>
    </dataValidation>
    <dataValidation type="list" allowBlank="1" showInputMessage="1" showErrorMessage="1" sqref="K9" xr:uid="{0C1F2275-FA1A-FA4D-BFF0-865CA17B56F5}">
      <formula1>$A$13:$A$14</formula1>
    </dataValidation>
    <dataValidation type="list" allowBlank="1" showInputMessage="1" showErrorMessage="1" sqref="H9" xr:uid="{9D1A16BF-1040-2D4D-810A-D3DAB13DB01D}">
      <formula1>$A$15:$A$30</formula1>
    </dataValidation>
    <dataValidation type="list" allowBlank="1" showInputMessage="1" showErrorMessage="1" sqref="H11" xr:uid="{312144AB-A924-284C-9548-A165466FCF9D}">
      <formula1>$A$33:$A$104</formula1>
    </dataValidation>
    <dataValidation type="list" allowBlank="1" showInputMessage="1" showErrorMessage="1" sqref="H15" xr:uid="{442AA483-0A32-5343-9AEB-0AAF5B5BB7C1}">
      <formula1>$A$106:$A$107</formula1>
    </dataValidation>
    <dataValidation type="list" allowBlank="1" showInputMessage="1" showErrorMessage="1" sqref="H17" xr:uid="{17EF6DBA-F2BC-CB47-BC43-7A62E207E4A2}">
      <formula1>$A$109:$A$112</formula1>
    </dataValidation>
    <dataValidation type="list" allowBlank="1" showInputMessage="1" showErrorMessage="1" sqref="C53" xr:uid="{E5175524-15FF-FB4A-AAA8-1BAA58ABB104}">
      <formula1>$A$114:$A$115</formula1>
    </dataValidation>
  </dataValidations>
  <pageMargins left="0.25" right="0.25" top="0.75" bottom="0.75" header="0.3" footer="0.3"/>
  <pageSetup scale="4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Santa Forever</vt:lpstr>
      <vt:lpstr>'Santa Forever'!Área_de_impresión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2022-07-15T19:01:18Z</cp:lastPrinted>
  <dcterms:created xsi:type="dcterms:W3CDTF">2020-11-26T15:59:48Z</dcterms:created>
  <dcterms:modified xsi:type="dcterms:W3CDTF">2022-12-05T14:34:57Z</dcterms:modified>
</cp:coreProperties>
</file>