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b3aaf0bf15e5433/07. REGIONAL POLICY/IFQ Related Strategies/"/>
    </mc:Choice>
  </mc:AlternateContent>
  <xr:revisionPtr revIDLastSave="88" documentId="8_{73385AAF-8269-47C8-8CBF-9940EE10170F}" xr6:coauthVersionLast="47" xr6:coauthVersionMax="47" xr10:uidLastSave="{0CC54FF5-E2F8-4F1E-8EDD-FDC41A58654E}"/>
  <workbookProtection workbookAlgorithmName="SHA-512" workbookHashValue="hlvU9CxjtnnEO9b6iQdk0CHZ6/wbqkzCQkuYNwJMkTQ3XJ5Wc3GDew8dSGsPJVTI5saWrQlvt0kADWUeoRn/ow==" workbookSaltValue="q83Ld696HUBj2jJGpeQ/AQ==" workbookSpinCount="100000" lockStructure="1"/>
  <bookViews>
    <workbookView xWindow="-110" yWindow="-110" windowWidth="19420" windowHeight="10300" activeTab="1" xr2:uid="{00000000-000D-0000-FFFF-FFFF00000000}"/>
  </bookViews>
  <sheets>
    <sheet name="Inputs" sheetId="1" r:id="rId1"/>
    <sheet name="Quick Calculator" sheetId="2" r:id="rId2"/>
    <sheet name="Not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tiXA/k+1m/Ae+PnbSb7MJF74cfc2XzmvYzHjvHO2iEQ="/>
    </ext>
  </extLst>
</workbook>
</file>

<file path=xl/calcChain.xml><?xml version="1.0" encoding="utf-8"?>
<calcChain xmlns="http://schemas.openxmlformats.org/spreadsheetml/2006/main">
  <c r="B10" i="2" l="1"/>
  <c r="B9" i="2"/>
  <c r="B7" i="2"/>
  <c r="D17" i="1"/>
  <c r="C17" i="1"/>
  <c r="B17" i="1"/>
  <c r="G5" i="1"/>
  <c r="F5" i="1"/>
  <c r="E5" i="1"/>
  <c r="B12" i="2" l="1" a="1"/>
  <c r="B12" i="2" s="1"/>
  <c r="G6" i="1"/>
  <c r="G7" i="1" s="1"/>
  <c r="F6" i="1"/>
  <c r="F7" i="1" s="1"/>
  <c r="E6" i="1"/>
  <c r="E7" i="1" s="1"/>
  <c r="B15" i="2" l="1"/>
  <c r="G9" i="1"/>
  <c r="G8" i="1"/>
  <c r="B13" i="2"/>
  <c r="F8" i="1"/>
  <c r="F9" i="1"/>
  <c r="F5" i="2" s="1"/>
  <c r="E8" i="1"/>
  <c r="E9" i="1"/>
  <c r="F4" i="2" s="1"/>
  <c r="B11" i="2" l="1" a="1"/>
  <c r="B11" i="2" s="1"/>
  <c r="B17" i="2" s="1"/>
  <c r="F6" i="2"/>
  <c r="E6" i="2"/>
  <c r="G10" i="1"/>
  <c r="E5" i="2"/>
  <c r="F10" i="1"/>
  <c r="E4" i="2"/>
  <c r="E10" i="1"/>
  <c r="B14" i="2" l="1"/>
  <c r="B19" i="2" s="1"/>
</calcChain>
</file>

<file path=xl/sharedStrings.xml><?xml version="1.0" encoding="utf-8"?>
<sst xmlns="http://schemas.openxmlformats.org/spreadsheetml/2006/main" count="78" uniqueCount="75">
  <si>
    <t>Red Grouper Quota Pool Inputs and Assumptions</t>
  </si>
  <si>
    <t>Quota pool base (lbs)</t>
  </si>
  <si>
    <t>Year</t>
  </si>
  <si>
    <t>Quota pool share of quota above base</t>
  </si>
  <si>
    <t>Commercial quota (lbs)</t>
  </si>
  <si>
    <t>Eligibility threshold (lbs)</t>
  </si>
  <si>
    <t>Quota above base</t>
  </si>
  <si>
    <t>Shareholder group split</t>
  </si>
  <si>
    <t>Total quota pool</t>
  </si>
  <si>
    <t>Non-shareholder group split</t>
  </si>
  <si>
    <t>Distributable pool after reserve</t>
  </si>
  <si>
    <t>Appeals holdback / reserve</t>
  </si>
  <si>
    <t>Shareholder group pool</t>
  </si>
  <si>
    <t>2023 proxy: eligible accounts with shares</t>
  </si>
  <si>
    <t>Non-shareholder group pool</t>
  </si>
  <si>
    <t>2023 proxy: eligible accounts without shares</t>
  </si>
  <si>
    <t>Check: group pools sum</t>
  </si>
  <si>
    <t>Group landings denominators for proportional distribution</t>
  </si>
  <si>
    <t>Item</t>
  </si>
  <si>
    <t>Notes</t>
  </si>
  <si>
    <t>Eligible shareholder total red grouper landings</t>
  </si>
  <si>
    <t>Editable. Exact denominator should be the sum of landings for all eligible accounts with shares.</t>
  </si>
  <si>
    <t>Eligible non-shareholder total red grouper landings</t>
  </si>
  <si>
    <t>Editable. Exact denominator should be the sum of landings for all eligible accounts without red grouper shares.</t>
  </si>
  <si>
    <t>Total eligible red grouper landings</t>
  </si>
  <si>
    <t>Calculated from the two group denominators above.</t>
  </si>
  <si>
    <t>Default source note</t>
  </si>
  <si>
    <t>Defaults use 2023 actual landings in the uploaded workbook (2,606,936 lbs) and Amendment 63 statement that accounts without shares landed 65% in 2023. Replace with actual reference-period totals when available.</t>
  </si>
  <si>
    <t>Formula rule</t>
  </si>
  <si>
    <t>Account allocation = account landings / total eligible landings in that account’s group × that group’s quota-pool allocation.</t>
  </si>
  <si>
    <t>Quick Calculator: Individual Quota Pool Allocation</t>
  </si>
  <si>
    <t>Select quota pool year</t>
  </si>
  <si>
    <t>Shareholder pool</t>
  </si>
  <si>
    <t>Non-shareholder pool</t>
  </si>
  <si>
    <t>Red grouper shares owned (%)</t>
  </si>
  <si>
    <t>Qualifying red grouper landings (lbs)</t>
  </si>
  <si>
    <t>Valid or renewable commercial reef fish permit?</t>
  </si>
  <si>
    <t>Yes</t>
  </si>
  <si>
    <t>Account type</t>
  </si>
  <si>
    <t>Eligibility threshold</t>
  </si>
  <si>
    <t>Eligible?</t>
  </si>
  <si>
    <t>Relevant group pool</t>
  </si>
  <si>
    <t>Relevant group total landings</t>
  </si>
  <si>
    <t>Account proportion within group</t>
  </si>
  <si>
    <t>Estimated quota pool allocation</t>
  </si>
  <si>
    <t>Status / note</t>
  </si>
  <si>
    <t>Total allocation from quota pool + shares allocation</t>
  </si>
  <si>
    <t>Notes and Sources</t>
  </si>
  <si>
    <t>Topic</t>
  </si>
  <si>
    <t>Note</t>
  </si>
  <si>
    <t>Source / Location</t>
  </si>
  <si>
    <t>Distribution rule</t>
  </si>
  <si>
    <t>The workbook allocates each group pool proportionally by red grouper landings within that account group. In other words, a shareholder account’s denominator is total eligible shareholder landings; a non-shareholder account’s denominator is total eligible non-shareholder landings.</t>
  </si>
  <si>
    <t>User clarification, June 2026</t>
  </si>
  <si>
    <t>Default eligibility threshold is 500 lbs of red grouper landings and a valid or renewable commercial reef fish permit.</t>
  </si>
  <si>
    <t>Amendment 63, Action 2 preferred option</t>
  </si>
  <si>
    <t>Group split</t>
  </si>
  <si>
    <t>The workbook uses a 50/50 split between eligible accounts with red grouper shares and eligible accounts without red grouper shares.</t>
  </si>
  <si>
    <t>Amendment 63, Action 3 preferred alternative</t>
  </si>
  <si>
    <t>Quota pool size</t>
  </si>
  <si>
    <t>This version uses 50% of commercial red grouper quota above 4.28 million lbs, per user instruction.</t>
  </si>
  <si>
    <t>2027 pool example</t>
  </si>
  <si>
    <t>With a 4,830,000-lb commercial quota, quota above 4.28M is 550,000 lbs; 50% quota pool = 275,000 lbs; each group pool = 137,500 lbs.</t>
  </si>
  <si>
    <t>Workbook formulas</t>
  </si>
  <si>
    <t>Account counts</t>
  </si>
  <si>
    <t>For a 500-lb threshold using 2023-2024 as an illustrative reference period, Amendment 63 lists 86 accounts with shares and 126 accounts without shares. These counts are included as reference only; counts do not determine proportional allocation.</t>
  </si>
  <si>
    <t>Amendment 63 Table 4.3.2.1 / Table 2.2.1</t>
  </si>
  <si>
    <t>Required denominators</t>
  </si>
  <si>
    <t>Exact allocation requires the total red grouper landings for all eligible accounts in the same group. Replace default denominator assumptions on Inputs sheet when the official reference-period totals become available.</t>
  </si>
  <si>
    <t>Plain formula</t>
  </si>
  <si>
    <t>Individual allocation = Account landings ÷ Total eligible group landings × Group pool allocation.</t>
  </si>
  <si>
    <t>File used</t>
  </si>
  <si>
    <t>Red Grouper Quota Pool Decision Tool.xlsx was used as the starting structure.</t>
  </si>
  <si>
    <t>Allocation from shares, outside quota pool</t>
  </si>
  <si>
    <t>Allocation from Quota 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</si>
</sst>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#,##0.0"/>
    <numFmt numFmtId="166" formatCode="0.00000000"/>
  </numFmts>
  <fonts count="9">
    <font>
      <sz val="11"/>
      <color rgb="FF000000"/>
      <name val="Carlito"/>
      <scheme val="minor"/>
    </font>
    <font>
      <b/>
      <sz val="14"/>
      <color rgb="FFFFFFFF"/>
      <name val="Carlito"/>
    </font>
    <font>
      <sz val="11"/>
      <name val="Carlito"/>
    </font>
    <font>
      <b/>
      <sz val="11"/>
      <color theme="1"/>
      <name val="Carlito"/>
    </font>
    <font>
      <sz val="11"/>
      <color theme="1"/>
      <name val="Carlito"/>
    </font>
    <font>
      <b/>
      <sz val="11"/>
      <color rgb="FFFFFFFF"/>
      <name val="Carlito"/>
    </font>
    <font>
      <sz val="11"/>
      <color theme="1"/>
      <name val="Carlito"/>
      <scheme val="minor"/>
    </font>
    <font>
      <b/>
      <sz val="14"/>
      <color theme="1"/>
      <name val="Carlito"/>
    </font>
    <font>
      <sz val="14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F766E"/>
        <bgColor rgb="FF0F766E"/>
      </patternFill>
    </fill>
    <fill>
      <patternFill patternType="solid">
        <fgColor rgb="FFFEF3C7"/>
        <bgColor rgb="FFFEF3C7"/>
      </patternFill>
    </fill>
    <fill>
      <patternFill patternType="solid">
        <fgColor rgb="FFF0FDF4"/>
        <bgColor rgb="FFF0FDF4"/>
      </patternFill>
    </fill>
    <fill>
      <patternFill patternType="solid">
        <fgColor rgb="FFD9EAF7"/>
        <bgColor rgb="FFD9EAF7"/>
      </patternFill>
    </fill>
    <fill>
      <patternFill patternType="solid">
        <fgColor rgb="FFF3F4F6"/>
        <bgColor rgb="FFF3F4F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0FDF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wrapText="1"/>
    </xf>
    <xf numFmtId="3" fontId="4" fillId="3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center" vertical="center" wrapText="1"/>
    </xf>
    <xf numFmtId="9" fontId="4" fillId="3" borderId="4" xfId="0" applyNumberFormat="1" applyFont="1" applyFill="1" applyBorder="1" applyAlignment="1">
      <alignment horizontal="right"/>
    </xf>
    <xf numFmtId="3" fontId="3" fillId="4" borderId="4" xfId="0" applyNumberFormat="1" applyFont="1" applyFill="1" applyBorder="1" applyAlignment="1">
      <alignment horizontal="right"/>
    </xf>
    <xf numFmtId="1" fontId="4" fillId="3" borderId="4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3" fontId="4" fillId="0" borderId="0" xfId="0" applyNumberFormat="1" applyFont="1"/>
    <xf numFmtId="0" fontId="6" fillId="0" borderId="0" xfId="0" applyFont="1"/>
    <xf numFmtId="0" fontId="4" fillId="3" borderId="4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0" fontId="4" fillId="6" borderId="4" xfId="0" applyFont="1" applyFill="1" applyBorder="1" applyAlignment="1">
      <alignment wrapText="1"/>
    </xf>
    <xf numFmtId="164" fontId="3" fillId="4" borderId="4" xfId="0" applyNumberFormat="1" applyFont="1" applyFill="1" applyBorder="1" applyAlignment="1">
      <alignment horizontal="right"/>
    </xf>
    <xf numFmtId="165" fontId="3" fillId="4" borderId="4" xfId="0" applyNumberFormat="1" applyFont="1" applyFill="1" applyBorder="1" applyAlignment="1">
      <alignment horizontal="right"/>
    </xf>
    <xf numFmtId="165" fontId="3" fillId="4" borderId="5" xfId="0" applyNumberFormat="1" applyFont="1" applyFill="1" applyBorder="1" applyAlignment="1">
      <alignment horizontal="right"/>
    </xf>
    <xf numFmtId="0" fontId="0" fillId="0" borderId="5" xfId="0" applyBorder="1"/>
    <xf numFmtId="0" fontId="3" fillId="0" borderId="5" xfId="0" applyFont="1" applyBorder="1" applyAlignment="1">
      <alignment wrapText="1"/>
    </xf>
    <xf numFmtId="0" fontId="8" fillId="0" borderId="0" xfId="0" applyFont="1"/>
    <xf numFmtId="0" fontId="7" fillId="7" borderId="6" xfId="0" applyFont="1" applyFill="1" applyBorder="1" applyAlignment="1">
      <alignment wrapText="1"/>
    </xf>
    <xf numFmtId="165" fontId="7" fillId="8" borderId="7" xfId="0" applyNumberFormat="1" applyFont="1" applyFill="1" applyBorder="1" applyAlignment="1">
      <alignment horizontal="right"/>
    </xf>
    <xf numFmtId="0" fontId="7" fillId="7" borderId="8" xfId="0" applyFont="1" applyFill="1" applyBorder="1" applyAlignment="1">
      <alignment wrapText="1"/>
    </xf>
    <xf numFmtId="165" fontId="7" fillId="8" borderId="9" xfId="0" applyNumberFormat="1" applyFont="1" applyFill="1" applyBorder="1" applyAlignment="1">
      <alignment horizontal="right"/>
    </xf>
    <xf numFmtId="0" fontId="7" fillId="7" borderId="10" xfId="0" applyFont="1" applyFill="1" applyBorder="1" applyAlignment="1">
      <alignment wrapText="1"/>
    </xf>
    <xf numFmtId="165" fontId="7" fillId="8" borderId="11" xfId="0" applyNumberFormat="1" applyFont="1" applyFill="1" applyBorder="1" applyAlignment="1">
      <alignment horizontal="right"/>
    </xf>
    <xf numFmtId="166" fontId="4" fillId="3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3" fontId="4" fillId="3" borderId="4" xfId="0" applyNumberFormat="1" applyFont="1" applyFill="1" applyBorder="1" applyAlignment="1" applyProtection="1">
      <alignment horizontal="right"/>
    </xf>
    <xf numFmtId="3" fontId="3" fillId="4" borderId="4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E6" sqref="D3:G10"/>
    </sheetView>
  </sheetViews>
  <sheetFormatPr defaultColWidth="12.6640625" defaultRowHeight="15" customHeight="1"/>
  <cols>
    <col min="1" max="1" width="51" customWidth="1"/>
    <col min="2" max="2" width="173.6640625" customWidth="1"/>
    <col min="3" max="3" width="7.9140625" customWidth="1"/>
    <col min="4" max="4" width="25.6640625" customWidth="1"/>
    <col min="5" max="5" width="48" customWidth="1"/>
    <col min="6" max="7" width="8.75" bestFit="1" customWidth="1"/>
    <col min="8" max="26" width="8.6640625" customWidth="1"/>
  </cols>
  <sheetData>
    <row r="1" spans="1:10" ht="13.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13.5" customHeight="1"/>
    <row r="3" spans="1:10" ht="13.5" customHeight="1">
      <c r="A3" s="1" t="s">
        <v>1</v>
      </c>
      <c r="B3" s="2">
        <v>4280000</v>
      </c>
      <c r="D3" s="31" t="s">
        <v>2</v>
      </c>
      <c r="E3" s="31">
        <v>2027</v>
      </c>
      <c r="F3" s="31">
        <v>2028</v>
      </c>
      <c r="G3" s="31">
        <v>2029</v>
      </c>
    </row>
    <row r="4" spans="1:10" ht="13.5" customHeight="1">
      <c r="A4" s="1" t="s">
        <v>3</v>
      </c>
      <c r="B4" s="4">
        <v>0.5</v>
      </c>
      <c r="D4" s="32" t="s">
        <v>4</v>
      </c>
      <c r="E4" s="33">
        <v>4830000</v>
      </c>
      <c r="F4" s="33">
        <v>5370000</v>
      </c>
      <c r="G4" s="33">
        <v>5370000</v>
      </c>
    </row>
    <row r="5" spans="1:10" ht="13.5" customHeight="1">
      <c r="A5" s="1" t="s">
        <v>5</v>
      </c>
      <c r="B5" s="2">
        <v>500</v>
      </c>
      <c r="D5" s="32" t="s">
        <v>6</v>
      </c>
      <c r="E5" s="34">
        <f t="shared" ref="E5:G5" si="0">MAX(0,E4-$B$3)</f>
        <v>550000</v>
      </c>
      <c r="F5" s="34">
        <f t="shared" si="0"/>
        <v>1090000</v>
      </c>
      <c r="G5" s="34">
        <f t="shared" si="0"/>
        <v>1090000</v>
      </c>
    </row>
    <row r="6" spans="1:10" ht="13.5" customHeight="1">
      <c r="A6" s="1" t="s">
        <v>7</v>
      </c>
      <c r="B6" s="4">
        <v>0.5</v>
      </c>
      <c r="D6" s="32" t="s">
        <v>8</v>
      </c>
      <c r="E6" s="34">
        <f t="shared" ref="E6:G6" si="1">E5*$B$4</f>
        <v>275000</v>
      </c>
      <c r="F6" s="34">
        <f t="shared" si="1"/>
        <v>545000</v>
      </c>
      <c r="G6" s="34">
        <f t="shared" si="1"/>
        <v>545000</v>
      </c>
    </row>
    <row r="7" spans="1:10" ht="13.5" customHeight="1">
      <c r="A7" s="1" t="s">
        <v>9</v>
      </c>
      <c r="B7" s="4">
        <v>0.5</v>
      </c>
      <c r="D7" s="32" t="s">
        <v>10</v>
      </c>
      <c r="E7" s="34">
        <f t="shared" ref="E7:G7" si="2">E6*(1-$B$8)</f>
        <v>275000</v>
      </c>
      <c r="F7" s="34">
        <f t="shared" si="2"/>
        <v>545000</v>
      </c>
      <c r="G7" s="34">
        <f t="shared" si="2"/>
        <v>545000</v>
      </c>
    </row>
    <row r="8" spans="1:10" ht="13.5" customHeight="1">
      <c r="A8" s="1" t="s">
        <v>11</v>
      </c>
      <c r="B8" s="4">
        <v>0</v>
      </c>
      <c r="D8" s="32" t="s">
        <v>12</v>
      </c>
      <c r="E8" s="34">
        <f t="shared" ref="E8:G8" si="3">E7*$B$6</f>
        <v>137500</v>
      </c>
      <c r="F8" s="34">
        <f t="shared" si="3"/>
        <v>272500</v>
      </c>
      <c r="G8" s="34">
        <f t="shared" si="3"/>
        <v>272500</v>
      </c>
    </row>
    <row r="9" spans="1:10" ht="13.5" customHeight="1">
      <c r="A9" s="1" t="s">
        <v>13</v>
      </c>
      <c r="B9" s="6">
        <v>86</v>
      </c>
      <c r="D9" s="32" t="s">
        <v>14</v>
      </c>
      <c r="E9" s="34">
        <f t="shared" ref="E9:G9" si="4">E7*$B$7</f>
        <v>137500</v>
      </c>
      <c r="F9" s="34">
        <f t="shared" si="4"/>
        <v>272500</v>
      </c>
      <c r="G9" s="34">
        <f t="shared" si="4"/>
        <v>272500</v>
      </c>
    </row>
    <row r="10" spans="1:10" ht="13.5" customHeight="1">
      <c r="A10" s="1" t="s">
        <v>15</v>
      </c>
      <c r="B10" s="6">
        <v>126</v>
      </c>
      <c r="D10" s="32" t="s">
        <v>16</v>
      </c>
      <c r="E10" s="34">
        <f t="shared" ref="E10:G10" si="5">E8+E9</f>
        <v>275000</v>
      </c>
      <c r="F10" s="34">
        <f t="shared" si="5"/>
        <v>545000</v>
      </c>
      <c r="G10" s="34">
        <f t="shared" si="5"/>
        <v>545000</v>
      </c>
    </row>
    <row r="11" spans="1:10" ht="13.5" customHeight="1"/>
    <row r="12" spans="1:10" ht="13.5" customHeight="1"/>
    <row r="13" spans="1:10" ht="13.5" customHeight="1">
      <c r="A13" s="30" t="s">
        <v>17</v>
      </c>
      <c r="B13" s="28"/>
      <c r="C13" s="28"/>
      <c r="D13" s="28"/>
      <c r="E13" s="28"/>
      <c r="F13" s="28"/>
      <c r="G13" s="28"/>
      <c r="H13" s="28"/>
      <c r="I13" s="28"/>
      <c r="J13" s="29"/>
    </row>
    <row r="14" spans="1:10" ht="13.5" customHeight="1">
      <c r="A14" s="7" t="s">
        <v>18</v>
      </c>
      <c r="B14" s="7">
        <v>2027</v>
      </c>
      <c r="C14" s="7">
        <v>2028</v>
      </c>
      <c r="D14" s="7">
        <v>2029</v>
      </c>
      <c r="E14" s="7" t="s">
        <v>19</v>
      </c>
    </row>
    <row r="15" spans="1:10" ht="13.5" customHeight="1">
      <c r="A15" s="1" t="s">
        <v>20</v>
      </c>
      <c r="B15" s="2">
        <v>912428</v>
      </c>
      <c r="C15" s="2">
        <v>912428</v>
      </c>
      <c r="D15" s="2">
        <v>912428</v>
      </c>
      <c r="E15" s="8" t="s">
        <v>21</v>
      </c>
    </row>
    <row r="16" spans="1:10" ht="13.5" customHeight="1">
      <c r="A16" s="1" t="s">
        <v>22</v>
      </c>
      <c r="B16" s="2">
        <v>1694508</v>
      </c>
      <c r="C16" s="2">
        <v>1694508</v>
      </c>
      <c r="D16" s="2">
        <v>1694508</v>
      </c>
      <c r="E16" s="8" t="s">
        <v>23</v>
      </c>
    </row>
    <row r="17" spans="1:5" ht="13.5" customHeight="1">
      <c r="A17" s="1" t="s">
        <v>24</v>
      </c>
      <c r="B17" s="9">
        <f t="shared" ref="B17:D17" si="6">B15+B16</f>
        <v>2606936</v>
      </c>
      <c r="C17" s="9">
        <f t="shared" si="6"/>
        <v>2606936</v>
      </c>
      <c r="D17" s="9">
        <f t="shared" si="6"/>
        <v>2606936</v>
      </c>
      <c r="E17" s="8" t="s">
        <v>25</v>
      </c>
    </row>
    <row r="18" spans="1:5" ht="13.5" customHeight="1">
      <c r="A18" s="1" t="s">
        <v>26</v>
      </c>
      <c r="B18" s="10" t="s">
        <v>27</v>
      </c>
      <c r="E18" s="8"/>
    </row>
    <row r="19" spans="1:5" ht="13.5" customHeight="1">
      <c r="A19" s="1" t="s">
        <v>28</v>
      </c>
      <c r="B19" s="10" t="s">
        <v>29</v>
      </c>
      <c r="E19" s="8"/>
    </row>
    <row r="20" spans="1:5" ht="13.5" customHeight="1"/>
    <row r="21" spans="1:5" ht="13.5" customHeight="1"/>
    <row r="22" spans="1:5" ht="13.5" customHeight="1"/>
    <row r="23" spans="1:5" ht="13.5" customHeight="1"/>
    <row r="24" spans="1:5" ht="13.5" customHeight="1"/>
    <row r="25" spans="1:5" ht="13.5" customHeight="1"/>
    <row r="26" spans="1:5" ht="13.5" customHeight="1"/>
    <row r="27" spans="1:5" ht="13.5" customHeight="1"/>
    <row r="28" spans="1:5" ht="13.5" customHeight="1"/>
    <row r="29" spans="1:5" ht="13.5" customHeight="1"/>
    <row r="30" spans="1:5" ht="13.5" customHeight="1"/>
    <row r="31" spans="1:5" ht="13.5" customHeight="1"/>
    <row r="32" spans="1:5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">
    <mergeCell ref="A1:J1"/>
    <mergeCell ref="A13:J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1"/>
  <sheetViews>
    <sheetView tabSelected="1" zoomScale="98" zoomScaleNormal="98" workbookViewId="0">
      <selection activeCell="D15" sqref="D15"/>
    </sheetView>
  </sheetViews>
  <sheetFormatPr defaultColWidth="12.6640625" defaultRowHeight="15" customHeight="1"/>
  <cols>
    <col min="1" max="1" width="38" customWidth="1"/>
    <col min="2" max="2" width="21.5" bestFit="1" customWidth="1"/>
    <col min="3" max="3" width="8.6640625" customWidth="1"/>
    <col min="4" max="6" width="22" customWidth="1"/>
    <col min="7" max="26" width="8.6640625" customWidth="1"/>
  </cols>
  <sheetData>
    <row r="1" spans="1:6" ht="13.5" customHeight="1">
      <c r="A1" s="27" t="s">
        <v>30</v>
      </c>
      <c r="B1" s="28"/>
      <c r="C1" s="28"/>
      <c r="D1" s="28"/>
      <c r="E1" s="28"/>
      <c r="F1" s="29"/>
    </row>
    <row r="2" spans="1:6" ht="13.5" customHeight="1"/>
    <row r="3" spans="1:6" ht="13.5" customHeight="1">
      <c r="A3" s="1" t="s">
        <v>31</v>
      </c>
      <c r="B3" s="11">
        <v>2027</v>
      </c>
      <c r="D3" s="3" t="s">
        <v>2</v>
      </c>
      <c r="E3" s="3" t="s">
        <v>32</v>
      </c>
      <c r="F3" s="3" t="s">
        <v>33</v>
      </c>
    </row>
    <row r="4" spans="1:6" ht="13.5" customHeight="1">
      <c r="A4" s="1" t="s">
        <v>34</v>
      </c>
      <c r="B4" s="26"/>
      <c r="D4" s="10">
        <v>2027</v>
      </c>
      <c r="E4" s="9">
        <f>Inputs!E8</f>
        <v>137500</v>
      </c>
      <c r="F4" s="9">
        <f>Inputs!E9</f>
        <v>137500</v>
      </c>
    </row>
    <row r="5" spans="1:6" ht="13.5" customHeight="1">
      <c r="A5" s="1" t="s">
        <v>35</v>
      </c>
      <c r="B5" s="2"/>
      <c r="D5" s="10">
        <v>2028</v>
      </c>
      <c r="E5" s="9">
        <f>Inputs!F8</f>
        <v>272500</v>
      </c>
      <c r="F5" s="9">
        <f>Inputs!F9</f>
        <v>272500</v>
      </c>
    </row>
    <row r="6" spans="1:6" ht="13.5" customHeight="1">
      <c r="A6" s="1" t="s">
        <v>36</v>
      </c>
      <c r="B6" s="11" t="s">
        <v>37</v>
      </c>
      <c r="D6" s="10">
        <v>2029</v>
      </c>
      <c r="E6" s="9">
        <f>Inputs!G8</f>
        <v>272500</v>
      </c>
      <c r="F6" s="9">
        <f>Inputs!G9</f>
        <v>272500</v>
      </c>
    </row>
    <row r="7" spans="1:6" ht="13.5" customHeight="1">
      <c r="A7" s="1" t="s">
        <v>38</v>
      </c>
      <c r="B7" s="12" t="str">
        <f>IF(B4&gt;0,"With red grouper shares","No red grouper shares")</f>
        <v>No red grouper shares</v>
      </c>
    </row>
    <row r="8" spans="1:6" ht="13.5" customHeight="1">
      <c r="D8" s="13"/>
      <c r="E8" s="13"/>
      <c r="F8" s="13"/>
    </row>
    <row r="9" spans="1:6" ht="13.5" customHeight="1">
      <c r="A9" s="1" t="s">
        <v>39</v>
      </c>
      <c r="B9" s="5">
        <f>Inputs!$B$5</f>
        <v>500</v>
      </c>
    </row>
    <row r="10" spans="1:6" ht="13.5" customHeight="1">
      <c r="A10" s="1" t="s">
        <v>40</v>
      </c>
      <c r="B10" s="5" t="b">
        <f>AND(B6="Yes",B5&gt;=B9)</f>
        <v>0</v>
      </c>
    </row>
    <row r="11" spans="1:6" ht="13.5" customHeight="1">
      <c r="A11" s="1" t="s">
        <v>41</v>
      </c>
      <c r="B11" s="5">
        <f t="array" ref="B11">IF(B7="With red grouper shares",INDEX(Inputs!$E$8:$G$8,1,MATCH(B3,Inputs!$E$3:$G$3,0)),INDEX(Inputs!$E$9:$G$9,1,MATCH(B3,Inputs!$E$3:$G$3,0)))</f>
        <v>137500</v>
      </c>
    </row>
    <row r="12" spans="1:6" ht="13.5" customHeight="1">
      <c r="A12" s="1" t="s">
        <v>42</v>
      </c>
      <c r="B12" s="5">
        <f t="array" ref="B12">IF(B7="With red grouper shares",INDEX(Inputs!$B$15:$D$15,1,MATCH(B3,Inputs!$B$14:$D$14,0)),INDEX(Inputs!$B$16:$D$16,1,MATCH(B3,Inputs!$B$14:$D$14,0)))</f>
        <v>1694508</v>
      </c>
    </row>
    <row r="13" spans="1:6" ht="13.5" customHeight="1">
      <c r="A13" s="1" t="s">
        <v>43</v>
      </c>
      <c r="B13" s="14">
        <f>IFERROR(IF(B10,B5/B12,0),0)</f>
        <v>0</v>
      </c>
    </row>
    <row r="14" spans="1:6" ht="13.5" customHeight="1">
      <c r="A14" s="1" t="s">
        <v>44</v>
      </c>
      <c r="B14" s="15">
        <f>IFERROR(IF(B10,B13*B11,0),0)</f>
        <v>0</v>
      </c>
    </row>
    <row r="15" spans="1:6" ht="13.5" customHeight="1">
      <c r="A15" s="1" t="s">
        <v>45</v>
      </c>
      <c r="B15" s="15" t="str">
        <f>IF(B6&lt;&gt;"Yes","Not eligible: permit required",IF(B5&lt;B9,"Not eligible: landings below 500-lb threshold",IF(B12&lt;=0,"Enter group total landings on Inputs sheet","Eligible estimate")))</f>
        <v>Not eligible: landings below 500-lb threshold</v>
      </c>
    </row>
    <row r="16" spans="1:6" ht="13.5" customHeight="1" thickBot="1">
      <c r="A16" s="18"/>
      <c r="B16" s="16"/>
      <c r="D16" s="19"/>
    </row>
    <row r="17" spans="1:4" ht="34.5" customHeight="1">
      <c r="A17" s="20" t="s">
        <v>74</v>
      </c>
      <c r="B17" s="21">
        <f>IFERROR(IF(B10,B13*B11,0),0)</f>
        <v>0</v>
      </c>
      <c r="D17" s="19"/>
    </row>
    <row r="18" spans="1:4" ht="34.5" customHeight="1">
      <c r="A18" s="22" t="s">
        <v>73</v>
      </c>
      <c r="B18" s="23"/>
      <c r="C18" s="17"/>
    </row>
    <row r="19" spans="1:4" ht="34.5" customHeight="1" thickBot="1">
      <c r="A19" s="24" t="s">
        <v>46</v>
      </c>
      <c r="B19" s="25">
        <f>B14+B18</f>
        <v>0</v>
      </c>
      <c r="C19" s="17"/>
    </row>
    <row r="20" spans="1:4" ht="13.5" customHeight="1">
      <c r="A20" s="17"/>
      <c r="B20" s="17"/>
    </row>
    <row r="21" spans="1:4" ht="13.5" customHeight="1"/>
    <row r="22" spans="1:4" ht="13.5" customHeight="1"/>
    <row r="23" spans="1:4" ht="13.5" customHeight="1"/>
    <row r="24" spans="1:4" ht="13.5" customHeight="1"/>
    <row r="25" spans="1:4" ht="13.5" customHeight="1"/>
    <row r="26" spans="1:4" ht="13.5" customHeight="1"/>
    <row r="27" spans="1:4" ht="13.5" customHeight="1"/>
    <row r="28" spans="1:4" ht="13.5" customHeight="1"/>
    <row r="29" spans="1:4" ht="13.5" customHeight="1"/>
    <row r="30" spans="1:4" ht="13.5" customHeight="1"/>
    <row r="31" spans="1:4" ht="13.5" customHeight="1"/>
    <row r="32" spans="1: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mergeCells count="1">
    <mergeCell ref="A1:F1"/>
  </mergeCells>
  <dataValidations count="2">
    <dataValidation type="list" allowBlank="1" showErrorMessage="1" sqref="B6" xr:uid="{00000000-0002-0000-0100-000000000000}">
      <formula1>"Yes,No"</formula1>
    </dataValidation>
    <dataValidation type="list" allowBlank="1" showErrorMessage="1" sqref="B3" xr:uid="{00000000-0002-0000-0100-000001000000}">
      <formula1>"2027,2028,2029"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2.6640625" defaultRowHeight="15" customHeight="1"/>
  <cols>
    <col min="1" max="1" width="19.25" customWidth="1"/>
    <col min="2" max="2" width="58" customWidth="1"/>
    <col min="3" max="3" width="38" customWidth="1"/>
    <col min="4" max="26" width="8.6640625" customWidth="1"/>
  </cols>
  <sheetData>
    <row r="1" spans="1:4" ht="13.5" customHeight="1">
      <c r="A1" s="27" t="s">
        <v>47</v>
      </c>
      <c r="B1" s="28"/>
      <c r="C1" s="28"/>
      <c r="D1" s="29"/>
    </row>
    <row r="2" spans="1:4" ht="13.5" customHeight="1"/>
    <row r="3" spans="1:4" ht="13.5" customHeight="1">
      <c r="A3" s="3" t="s">
        <v>48</v>
      </c>
      <c r="B3" s="3" t="s">
        <v>49</v>
      </c>
      <c r="C3" s="3" t="s">
        <v>50</v>
      </c>
      <c r="D3" s="3"/>
    </row>
    <row r="4" spans="1:4" ht="13.5" customHeight="1">
      <c r="A4" s="1" t="s">
        <v>51</v>
      </c>
      <c r="B4" s="10" t="s">
        <v>52</v>
      </c>
      <c r="C4" s="10" t="s">
        <v>53</v>
      </c>
    </row>
    <row r="5" spans="1:4" ht="13.5" customHeight="1">
      <c r="A5" s="1" t="s">
        <v>39</v>
      </c>
      <c r="B5" s="10" t="s">
        <v>54</v>
      </c>
      <c r="C5" s="10" t="s">
        <v>55</v>
      </c>
    </row>
    <row r="6" spans="1:4" ht="13.5" customHeight="1">
      <c r="A6" s="1" t="s">
        <v>56</v>
      </c>
      <c r="B6" s="10" t="s">
        <v>57</v>
      </c>
      <c r="C6" s="10" t="s">
        <v>58</v>
      </c>
    </row>
    <row r="7" spans="1:4" ht="13.5" customHeight="1">
      <c r="A7" s="1" t="s">
        <v>59</v>
      </c>
      <c r="B7" s="10" t="s">
        <v>60</v>
      </c>
      <c r="C7" s="10" t="s">
        <v>53</v>
      </c>
    </row>
    <row r="8" spans="1:4" ht="13.5" customHeight="1">
      <c r="A8" s="1" t="s">
        <v>61</v>
      </c>
      <c r="B8" s="10" t="s">
        <v>62</v>
      </c>
      <c r="C8" s="10" t="s">
        <v>63</v>
      </c>
    </row>
    <row r="9" spans="1:4" ht="13.5" customHeight="1">
      <c r="A9" s="1" t="s">
        <v>64</v>
      </c>
      <c r="B9" s="10" t="s">
        <v>65</v>
      </c>
      <c r="C9" s="10" t="s">
        <v>66</v>
      </c>
    </row>
    <row r="10" spans="1:4" ht="13.5" customHeight="1">
      <c r="A10" s="1" t="s">
        <v>67</v>
      </c>
      <c r="B10" s="10" t="s">
        <v>68</v>
      </c>
    </row>
    <row r="11" spans="1:4" ht="13.5" customHeight="1">
      <c r="A11" s="1" t="s">
        <v>69</v>
      </c>
      <c r="B11" s="10" t="s">
        <v>70</v>
      </c>
    </row>
    <row r="12" spans="1:4" ht="13.5" customHeight="1">
      <c r="A12" s="1" t="s">
        <v>71</v>
      </c>
      <c r="B12" s="10" t="s">
        <v>72</v>
      </c>
    </row>
    <row r="13" spans="1:4" ht="13.5" customHeight="1"/>
    <row r="14" spans="1:4" ht="13.5" customHeight="1"/>
    <row r="15" spans="1:4" ht="13.5" customHeight="1"/>
    <row r="16" spans="1:4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Inputs</vt:lpstr>
      <vt:lpstr>Quick Calculator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Ashford Rosenberg</dc:creator>
  <cp:lastModifiedBy>Ashford Rosenberg</cp:lastModifiedBy>
  <dcterms:created xsi:type="dcterms:W3CDTF">2026-06-05T15:58:04Z</dcterms:created>
  <dcterms:modified xsi:type="dcterms:W3CDTF">2026-06-10T16:26:19Z</dcterms:modified>
</cp:coreProperties>
</file>