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harmacy\Infusion standardisation\PaNDR drug calculator\"/>
    </mc:Choice>
  </mc:AlternateContent>
  <xr:revisionPtr revIDLastSave="0" documentId="13_ncr:1_{534AD188-D9C8-4E76-991A-266D3B119DFF}" xr6:coauthVersionLast="47" xr6:coauthVersionMax="47" xr10:uidLastSave="{00000000-0000-0000-0000-000000000000}"/>
  <workbookProtection workbookAlgorithmName="SHA-512" workbookHashValue="IBXUxFNRliM5pvZxrVL73imm7xjqo3UQJpWHTvq9f4MQQhB5C6Z5+qpwVONrQX21KHG4zONtyMvkQK8gH5Fpmw==" workbookSaltValue="5Brjh3iFVKxrDJJNZ5jHoA==" workbookSpinCount="100000" lockStructure="1"/>
  <bookViews>
    <workbookView xWindow="51480" yWindow="2310" windowWidth="29040" windowHeight="15720" xr2:uid="{00000000-000D-0000-FFFF-FFFF00000000}"/>
  </bookViews>
  <sheets>
    <sheet name="Sheet1" sheetId="1" r:id="rId1"/>
    <sheet name="Sheet2" sheetId="2" state="hidden" r:id="rId2"/>
  </sheets>
  <definedNames>
    <definedName name="Adrenaline">Sheet2!$C$26:$C$29</definedName>
    <definedName name="adrenalineConcentration">Sheet1!$BA$42</definedName>
    <definedName name="babyName">Sheet1!$E$7</definedName>
    <definedName name="calciumConcentration">Sheet1!$BA$43</definedName>
    <definedName name="callNumber">Sheet1!$E$9</definedName>
    <definedName name="date">Sheet1!$E$15</definedName>
    <definedName name="Dinoprostone">Sheet2!$C$6:$C$7</definedName>
    <definedName name="DoB">Sheet1!$E$13</definedName>
    <definedName name="Dobutamine">Sheet2!$C$30:$C$32</definedName>
    <definedName name="Dopamine">Sheet2!$C$33:$C$36</definedName>
    <definedName name="ErrorCheck">Sheet1!$BA$35</definedName>
    <definedName name="finalVolume">Sheet1!$BA$72</definedName>
    <definedName name="InputWeight">Sheet1!$E$11</definedName>
    <definedName name="maxDobtamineIn25ml_kg">Sheet1!#REF!</definedName>
    <definedName name="micrograms_in_mg">Sheet1!$BA$70</definedName>
    <definedName name="micrograms_in_nanogram">Sheet1!$BA$71</definedName>
    <definedName name="Midazolam">Sheet2!$C$8:$C$11</definedName>
    <definedName name="mins_in_hour">Sheet1!$BA$69</definedName>
    <definedName name="Morphine">Sheet2!$C$12:$C$15</definedName>
    <definedName name="Noradrenaline">Sheet2!$C$37:$C$40</definedName>
    <definedName name="_xlnm.Print_Area" localSheetId="0">Sheet1!$AJ$36:$AQ$99</definedName>
    <definedName name="Rocuronium">Sheet2!$C$16:$C$18</definedName>
    <definedName name="UmbilicalStumpLength">Sheet1!$F$19</definedName>
    <definedName name="Vecuronium">Sheet2!$C$19:$C$20</definedName>
    <definedName name="VersionNumber">Sheet1!$D$24</definedName>
    <definedName name="Weight">Sheet1!$AO$40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70" i="1" l="1"/>
  <c r="AN72" i="1"/>
  <c r="AN71" i="1"/>
  <c r="AN69" i="1"/>
  <c r="AN68" i="1"/>
  <c r="AN77" i="1"/>
  <c r="AN76" i="1"/>
  <c r="AN75" i="1"/>
  <c r="AN74" i="1"/>
  <c r="E15" i="1" l="1"/>
  <c r="AL39" i="1"/>
  <c r="AL40" i="1"/>
  <c r="BA35" i="1" l="1"/>
  <c r="AP81" i="1"/>
  <c r="AP80" i="1"/>
  <c r="AO81" i="1"/>
  <c r="AO80" i="1"/>
  <c r="AK97" i="1"/>
  <c r="AO39" i="1"/>
  <c r="BC86" i="1"/>
  <c r="BD86" i="1"/>
  <c r="BE86" i="1"/>
  <c r="BF86" i="1"/>
  <c r="BC87" i="1"/>
  <c r="BD87" i="1"/>
  <c r="BA70" i="1" s="1"/>
  <c r="BE87" i="1"/>
  <c r="BF87" i="1"/>
  <c r="BC88" i="1"/>
  <c r="BD88" i="1"/>
  <c r="BE88" i="1"/>
  <c r="BF88" i="1"/>
  <c r="BC89" i="1"/>
  <c r="BD89" i="1"/>
  <c r="BE89" i="1"/>
  <c r="BF89" i="1"/>
  <c r="BC90" i="1"/>
  <c r="BD90" i="1"/>
  <c r="BE90" i="1"/>
  <c r="BF90" i="1"/>
  <c r="BB87" i="1"/>
  <c r="BA71" i="1" s="1"/>
  <c r="BB88" i="1"/>
  <c r="BB89" i="1"/>
  <c r="BB90" i="1"/>
  <c r="BB86" i="1"/>
  <c r="AP92" i="1"/>
  <c r="AP94" i="1" s="1"/>
  <c r="BA42" i="1" l="1"/>
  <c r="AM44" i="1" s="1"/>
  <c r="AO40" i="1"/>
  <c r="BA43" i="1"/>
  <c r="AM45" i="1" s="1"/>
  <c r="E35" i="2" l="1"/>
  <c r="F35" i="2"/>
  <c r="E34" i="2"/>
  <c r="F34" i="2"/>
  <c r="E39" i="2"/>
  <c r="E40" i="2"/>
  <c r="E37" i="2"/>
  <c r="E38" i="2"/>
  <c r="E11" i="2"/>
  <c r="E9" i="2"/>
  <c r="E10" i="2"/>
  <c r="E8" i="2"/>
  <c r="F10" i="2"/>
  <c r="F11" i="2"/>
  <c r="F8" i="2"/>
  <c r="F9" i="2"/>
  <c r="F6" i="2"/>
  <c r="Q9" i="1" s="1" a="1"/>
  <c r="Q9" i="1" s="1"/>
  <c r="F7" i="2"/>
  <c r="F40" i="2"/>
  <c r="F38" i="2"/>
  <c r="F39" i="2"/>
  <c r="F36" i="2"/>
  <c r="F37" i="2"/>
  <c r="F32" i="2"/>
  <c r="F33" i="2"/>
  <c r="F30" i="2"/>
  <c r="F31" i="2"/>
  <c r="F28" i="2"/>
  <c r="F29" i="2"/>
  <c r="F26" i="2"/>
  <c r="F27" i="2"/>
  <c r="E36" i="2"/>
  <c r="E33" i="2"/>
  <c r="E31" i="2"/>
  <c r="E32" i="2"/>
  <c r="E29" i="2"/>
  <c r="E30" i="2"/>
  <c r="E27" i="2"/>
  <c r="E28" i="2"/>
  <c r="F20" i="2"/>
  <c r="E26" i="2"/>
  <c r="F18" i="2"/>
  <c r="F19" i="2"/>
  <c r="F16" i="2"/>
  <c r="F17" i="2"/>
  <c r="F14" i="2"/>
  <c r="F15" i="2"/>
  <c r="F12" i="2"/>
  <c r="F13" i="2"/>
  <c r="E19" i="2"/>
  <c r="E20" i="2"/>
  <c r="E17" i="2"/>
  <c r="E18" i="2"/>
  <c r="E16" i="2"/>
  <c r="E7" i="2"/>
  <c r="E15" i="2"/>
  <c r="E6" i="2"/>
  <c r="P9" i="1" s="1" a="1"/>
  <c r="P9" i="1" s="1"/>
  <c r="E12" i="2"/>
  <c r="E13" i="2"/>
  <c r="E14" i="2"/>
  <c r="AM64" i="1"/>
  <c r="AM63" i="1"/>
  <c r="AM53" i="1"/>
  <c r="AM56" i="1"/>
  <c r="AO47" i="1"/>
  <c r="AN44" i="1"/>
  <c r="AO44" i="1"/>
  <c r="AM60" i="1"/>
  <c r="AM54" i="1"/>
  <c r="AO49" i="1"/>
  <c r="AO45" i="1"/>
  <c r="AO46" i="1"/>
  <c r="AM61" i="1"/>
  <c r="AM55" i="1"/>
  <c r="AN45" i="1"/>
  <c r="AN49" i="1"/>
  <c r="AM62" i="1"/>
  <c r="Q16" i="1" l="1" a="1"/>
  <c r="Q16" i="1" s="1"/>
  <c r="AP75" i="1" s="1"/>
  <c r="P16" i="1" a="1"/>
  <c r="P16" i="1" s="1"/>
  <c r="AO75" i="1" s="1"/>
  <c r="P17" i="1" a="1"/>
  <c r="P17" i="1" s="1"/>
  <c r="AO76" i="1" s="1"/>
  <c r="Q18" i="1" a="1"/>
  <c r="Q18" i="1" s="1"/>
  <c r="AP77" i="1" s="1"/>
  <c r="P18" i="1" a="1"/>
  <c r="P18" i="1" s="1"/>
  <c r="AO77" i="1" s="1"/>
  <c r="Q17" i="1" a="1"/>
  <c r="Q17" i="1" s="1"/>
  <c r="AP76" i="1" s="1"/>
  <c r="Q13" i="1" a="1"/>
  <c r="Q13" i="1" s="1"/>
  <c r="AP72" i="1" s="1"/>
  <c r="Q15" i="1" a="1"/>
  <c r="Q15" i="1" s="1"/>
  <c r="AP74" i="1" s="1"/>
  <c r="P15" i="1" a="1"/>
  <c r="P15" i="1" s="1"/>
  <c r="AO74" i="1" s="1"/>
  <c r="P12" i="1" a="1"/>
  <c r="P12" i="1" s="1"/>
  <c r="AO71" i="1" s="1"/>
  <c r="P13" i="1" a="1"/>
  <c r="P13" i="1" s="1"/>
  <c r="AO72" i="1" s="1"/>
  <c r="Q12" i="1" a="1"/>
  <c r="Q12" i="1" s="1"/>
  <c r="AP71" i="1" s="1"/>
  <c r="Q11" i="1" a="1"/>
  <c r="Q11" i="1" s="1"/>
  <c r="AP70" i="1" s="1"/>
  <c r="P11" i="1" a="1"/>
  <c r="P11" i="1" s="1"/>
  <c r="AO70" i="1" s="1"/>
  <c r="Q10" i="1" a="1"/>
  <c r="Q10" i="1" s="1"/>
  <c r="AP69" i="1" s="1"/>
  <c r="P10" i="1" a="1"/>
  <c r="P10" i="1" s="1"/>
  <c r="AO69" i="1" s="1"/>
  <c r="AO68" i="1"/>
  <c r="AP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<sst xmlns="http://schemas.openxmlformats.org/spreadsheetml/2006/main" count="226" uniqueCount="125">
  <si>
    <t>NEONATAL DRUG CALCULATOR</t>
  </si>
  <si>
    <t>Baby Name</t>
  </si>
  <si>
    <t>Call Number</t>
  </si>
  <si>
    <t>Current Weight (kg)</t>
  </si>
  <si>
    <t>(Max 6kg)</t>
  </si>
  <si>
    <t>Date of birth  (DD/MM/YY)</t>
  </si>
  <si>
    <t>Today's date  (DD/MM/YY)</t>
  </si>
  <si>
    <t>Umbilical Catheters</t>
  </si>
  <si>
    <t>UAC and UVC Stump Length (cm)  - if applicable</t>
  </si>
  <si>
    <t>Once printed, check and sign the form, and close this program (without saving) Ensure that a patient sticker has been attached to the form</t>
  </si>
  <si>
    <t>inputError</t>
  </si>
  <si>
    <t>Baby's Name:</t>
  </si>
  <si>
    <t>Date of Birth:</t>
  </si>
  <si>
    <t>Call Number:</t>
  </si>
  <si>
    <t>Weight (kg):</t>
  </si>
  <si>
    <t>Bolus doses</t>
  </si>
  <si>
    <t>Concentration ()</t>
  </si>
  <si>
    <t>Units</t>
  </si>
  <si>
    <t>Resuscitation Drugs</t>
  </si>
  <si>
    <t xml:space="preserve">Adrenaline </t>
  </si>
  <si>
    <t>micrograms/ml</t>
  </si>
  <si>
    <t>Drug</t>
  </si>
  <si>
    <t>Dose per unit weight (kg)</t>
  </si>
  <si>
    <t>Calculated Dose</t>
  </si>
  <si>
    <t>Calculated Volume</t>
  </si>
  <si>
    <t>Calcium</t>
  </si>
  <si>
    <t>millimols/ml</t>
  </si>
  <si>
    <t>Adrenaline (resus) (1:10,000)</t>
  </si>
  <si>
    <t>Calcium Gluconate 10%</t>
  </si>
  <si>
    <t xml:space="preserve">Sodium Bicarbonate 4.2% </t>
  </si>
  <si>
    <t>(undiluted)</t>
  </si>
  <si>
    <t xml:space="preserve">Sodium Chloride 0.9% (Volume) </t>
  </si>
  <si>
    <t>Volume Range per unit weight (kg)</t>
  </si>
  <si>
    <t>Calculated Volume Range</t>
  </si>
  <si>
    <t>Dextrose 10%</t>
  </si>
  <si>
    <t xml:space="preserve">Drug Infusions (standard strength - prepared syringe) </t>
  </si>
  <si>
    <t>Intubation Drugs</t>
  </si>
  <si>
    <t>Final Volume 50ml</t>
  </si>
  <si>
    <t>Min rate (ml/hr)</t>
  </si>
  <si>
    <t>Max rate (ml/hr)</t>
  </si>
  <si>
    <t>Atropine</t>
  </si>
  <si>
    <t>Adrenaline</t>
  </si>
  <si>
    <t>Fentanyl</t>
  </si>
  <si>
    <t>Morphine</t>
  </si>
  <si>
    <t>Morphine bolus</t>
  </si>
  <si>
    <t>Noradrenaline (base)</t>
  </si>
  <si>
    <t>Suxamethonium</t>
  </si>
  <si>
    <t>Vecuronium</t>
  </si>
  <si>
    <t>Miscellanous Drugs</t>
  </si>
  <si>
    <t>Usual Dose</t>
  </si>
  <si>
    <t>Notes</t>
  </si>
  <si>
    <t>Hydrocortisone (hypotension)</t>
  </si>
  <si>
    <t>4 HOURLY AND REVIEW DOSE EVERY 24 HOURS</t>
  </si>
  <si>
    <t>Dobutamine</t>
  </si>
  <si>
    <t>Phenobarbitone (load)</t>
  </si>
  <si>
    <t>Dopamine</t>
  </si>
  <si>
    <t>Midazolam</t>
  </si>
  <si>
    <t>Pancuronium</t>
  </si>
  <si>
    <t>Dose Range</t>
  </si>
  <si>
    <t>Drug in final volume of 50ml</t>
  </si>
  <si>
    <t>Min Rate</t>
  </si>
  <si>
    <t>Max Rate</t>
  </si>
  <si>
    <t>Minutes in an Hour</t>
  </si>
  <si>
    <t>Micrograms in a milligram</t>
  </si>
  <si>
    <t>Micrograms in a nanogram</t>
  </si>
  <si>
    <t>Dinoprostone</t>
  </si>
  <si>
    <t>Final volume 50ml syringe</t>
  </si>
  <si>
    <t>Rocuronium</t>
  </si>
  <si>
    <t xml:space="preserve">Formula (Rosie Hospital Neonatal Unit Handbook version 18 2022) </t>
  </si>
  <si>
    <t>Stump Length</t>
  </si>
  <si>
    <t>Desired Catheter length</t>
  </si>
  <si>
    <t>Umbilical Arterial Catheter (UAC)</t>
  </si>
  <si>
    <t>(3 x weight in kg) + 9cm + stump length in cm</t>
  </si>
  <si>
    <t>Umbilical Venus Catheter (UVC)</t>
  </si>
  <si>
    <t>(2 x weight in kg) + 5cm + stump length in cm</t>
  </si>
  <si>
    <t>Endotracheal Tube fixation length (cm)</t>
  </si>
  <si>
    <t>Converting to</t>
  </si>
  <si>
    <t>Weight (kg)</t>
  </si>
  <si>
    <t>Size of ETT</t>
  </si>
  <si>
    <t>Lips</t>
  </si>
  <si>
    <t>Nose</t>
  </si>
  <si>
    <t>ng</t>
  </si>
  <si>
    <t>μg</t>
  </si>
  <si>
    <t>mg</t>
  </si>
  <si>
    <t>g</t>
  </si>
  <si>
    <t>kg</t>
  </si>
  <si>
    <t>&lt;0.7</t>
  </si>
  <si>
    <t>Value (g)</t>
  </si>
  <si>
    <t>&lt;1.0</t>
  </si>
  <si>
    <t>Converting from</t>
  </si>
  <si>
    <t>3.0+</t>
  </si>
  <si>
    <t>3.5+</t>
  </si>
  <si>
    <t>Doctor/Prescriber signature:</t>
  </si>
  <si>
    <t>Sheet printed on:</t>
  </si>
  <si>
    <t>Doctor/Prescriber name in block capitals:</t>
  </si>
  <si>
    <t>Nurses signature:</t>
  </si>
  <si>
    <t>Nurse name in block capitals:</t>
  </si>
  <si>
    <t xml:space="preserve">To provide feedback and / or report any problems with use of this calculator please email: </t>
  </si>
  <si>
    <t>cuh.pandrservice@nhs.net</t>
  </si>
  <si>
    <t>Note: Cell Checks all inputs have been included by user. If not it will not calculate values</t>
  </si>
  <si>
    <t>Sheet expiry date:</t>
  </si>
  <si>
    <t>Amount of drug per kilo in a 50ml syringe</t>
  </si>
  <si>
    <t>Final Volume 20ml</t>
  </si>
  <si>
    <t>Drug in final volume of 20ml</t>
  </si>
  <si>
    <t>Noradrenaline</t>
  </si>
  <si>
    <t>10 -</t>
  </si>
  <si>
    <t>20 microgram/kg/hour</t>
  </si>
  <si>
    <t>5 -</t>
  </si>
  <si>
    <t>Dose range</t>
  </si>
  <si>
    <t>5 - 20 nanogram/kg/min</t>
  </si>
  <si>
    <t>30 - 60 microgram/kg/hour</t>
  </si>
  <si>
    <t>10 - 20 microgram/kg/hour</t>
  </si>
  <si>
    <t>300 - 600 microgram/kg/hour</t>
  </si>
  <si>
    <t>50 - 200 microgram/kg/hour</t>
  </si>
  <si>
    <t>0.05 - 1 microgram/kg/min</t>
  </si>
  <si>
    <t>5 - 20 microgram/kg/min</t>
  </si>
  <si>
    <t>0.02 - 1 microgram/kg/min</t>
  </si>
  <si>
    <t>Amount of drug per kilo in a 20ml syringe</t>
  </si>
  <si>
    <t>EDIT TABLE BELOW FOR ALL DRUGS BEFORE PRINTING</t>
  </si>
  <si>
    <r>
      <rPr>
        <sz val="12"/>
        <color rgb="FFFF0000"/>
        <rFont val="Arial"/>
        <family val="2"/>
      </rPr>
      <t>Tool to be used on advice of the PANDR neonatal team for babies based on a Neonatal unit</t>
    </r>
    <r>
      <rPr>
        <sz val="12"/>
        <rFont val="Arial"/>
        <family val="2"/>
      </rPr>
      <t xml:space="preserve">. </t>
    </r>
    <r>
      <rPr>
        <sz val="12"/>
        <color rgb="FFFF0000"/>
        <rFont val="Arial"/>
        <family val="2"/>
      </rPr>
      <t>Please check https://pandreastofengland.co.uk/drug-calculators to ensure you have the latest version.</t>
    </r>
    <r>
      <rPr>
        <sz val="12"/>
        <rFont val="Arial"/>
        <family val="2"/>
      </rPr>
      <t xml:space="preserve">
Please fill in the baby's details in the boxes below </t>
    </r>
    <r>
      <rPr>
        <b/>
        <sz val="12"/>
        <rFont val="Arial"/>
        <family val="2"/>
      </rPr>
      <t>AND</t>
    </r>
    <r>
      <rPr>
        <sz val="12"/>
        <rFont val="Arial"/>
        <family val="2"/>
      </rPr>
      <t xml:space="preserve"> fill in </t>
    </r>
    <r>
      <rPr>
        <b/>
        <u/>
        <sz val="12"/>
        <rFont val="Arial"/>
        <family val="2"/>
      </rPr>
      <t>ALL</t>
    </r>
    <r>
      <rPr>
        <sz val="12"/>
        <rFont val="Arial"/>
        <family val="2"/>
      </rPr>
      <t xml:space="preserve"> yellow sections of the table on the right.
Each printed sheet is valid for 7 days and then must be recalcualted based on the most up to date weight.</t>
    </r>
  </si>
  <si>
    <r>
      <rPr>
        <b/>
        <u/>
        <sz val="14"/>
        <color rgb="FFFF0000"/>
        <rFont val="Arial"/>
        <family val="2"/>
      </rPr>
      <t xml:space="preserve">Select the required standardised concentration from the dropdown list </t>
    </r>
    <r>
      <rPr>
        <b/>
        <sz val="14"/>
        <color rgb="FFFF0000"/>
        <rFont val="Arial"/>
        <family val="2"/>
      </rPr>
      <t xml:space="preserve">in each yellow column cell below for </t>
    </r>
    <r>
      <rPr>
        <b/>
        <u/>
        <sz val="14"/>
        <color rgb="FFFF0000"/>
        <rFont val="Arial"/>
        <family val="2"/>
      </rPr>
      <t>ALL</t>
    </r>
    <r>
      <rPr>
        <b/>
        <sz val="14"/>
        <color rgb="FFFF0000"/>
        <rFont val="Arial"/>
        <family val="2"/>
      </rPr>
      <t xml:space="preserve"> drugs.
Min/Max rates will update to show the mL/hr rate at the concentration selected.
</t>
    </r>
    <r>
      <rPr>
        <b/>
        <sz val="11.5"/>
        <color theme="5" tint="-0.249977111117893"/>
        <rFont val="Arial"/>
        <family val="2"/>
      </rPr>
      <t xml:space="preserve">Cells will be highlighted </t>
    </r>
    <r>
      <rPr>
        <b/>
        <sz val="11.5"/>
        <color theme="5"/>
        <rFont val="Arial"/>
        <family val="2"/>
      </rPr>
      <t>red</t>
    </r>
    <r>
      <rPr>
        <b/>
        <sz val="11.5"/>
        <color theme="5" tint="-0.249977111117893"/>
        <rFont val="Arial"/>
        <family val="2"/>
      </rPr>
      <t xml:space="preserve"> if the rate is &lt;0.1mL and cannot be administered on a syringe pump.</t>
    </r>
  </si>
  <si>
    <t>Drug Infusions (standardised strength)</t>
  </si>
  <si>
    <t>300-600 microgram/kg/hour</t>
  </si>
  <si>
    <t>NEONATAL DRUG CALCULATOR FOR DRUGS COMMONLY USED BY PaNDR</t>
  </si>
  <si>
    <t>Version 15.1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</si>
</sst>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dd/mm/yy;@"/>
    <numFmt numFmtId="165" formatCode="0.0"/>
    <numFmt numFmtId="166" formatCode="#,##0.0"/>
    <numFmt numFmtId="167" formatCode="0.0\ &quot;ml/kg&quot;"/>
    <numFmt numFmtId="168" formatCode="0.0\ &quot;ml&quot;"/>
    <numFmt numFmtId="169" formatCode="0.0\ &quot;mg&quot;"/>
    <numFmt numFmtId="170" formatCode="0.0\ &quot;ml/hr&quot;"/>
    <numFmt numFmtId="171" formatCode="0.00\ &quot;mmol/kg&quot;"/>
    <numFmt numFmtId="172" formatCode="0.00\ &quot;-&quot;"/>
    <numFmt numFmtId="173" formatCode="0.0\ &quot;-&quot;"/>
    <numFmt numFmtId="174" formatCode="0\ &quot;mg&quot;"/>
    <numFmt numFmtId="175" formatCode="0.00\ &quot;mmol&quot;"/>
    <numFmt numFmtId="176" formatCode="0\ &quot;mg/kg&quot;"/>
    <numFmt numFmtId="177" formatCode="0.00\ &quot;kg&quot;"/>
    <numFmt numFmtId="178" formatCode="0.0\ &quot;mircograms/kg/hour&quot;"/>
    <numFmt numFmtId="179" formatCode="0.0\ &quot;microgram/kg&quot;"/>
    <numFmt numFmtId="180" formatCode="0.0\ &quot;microgram&quot;"/>
    <numFmt numFmtId="181" formatCode="0\ &quot;microgram/kg&quot;"/>
    <numFmt numFmtId="182" formatCode="0.0\ &quot;cm&quot;"/>
    <numFmt numFmtId="183" formatCode="0.00\ &quot;cm&quot;"/>
    <numFmt numFmtId="184" formatCode="0\ &quot;microgram&quot;"/>
    <numFmt numFmtId="185" formatCode="0.0\ &quot;microgram/kg/min&quot;"/>
    <numFmt numFmtId="186" formatCode="0.00\ &quot;ml&quot;"/>
    <numFmt numFmtId="187" formatCode="0\ &quot;ml/kg&quot;"/>
    <numFmt numFmtId="188" formatCode="0.00\ &quot;mg&quot;"/>
    <numFmt numFmtId="189" formatCode="0.00\ &quot;ml/hr&quot;"/>
    <numFmt numFmtId="190" formatCode="0.0\ &quot;mg/kg/dose&quot;"/>
    <numFmt numFmtId="191" formatCode="0\ &quot;nanogram/kg/min&quot;"/>
    <numFmt numFmtId="192" formatCode="0\ &quot;-&quot;"/>
    <numFmt numFmtId="193" formatCode="0\ &quot;microgram/kg/hour&quot;"/>
    <numFmt numFmtId="194" formatCode="0\ &quot;micrograms/kg/hour&quot;"/>
    <numFmt numFmtId="195" formatCode="0\ &quot;micrograms/kg/min&quot;"/>
  </numFmts>
  <fonts count="3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26"/>
      <name val="Arial"/>
      <family val="2"/>
    </font>
    <font>
      <sz val="8"/>
      <name val="Arial"/>
      <family val="2"/>
    </font>
    <font>
      <b/>
      <u/>
      <sz val="14"/>
      <name val="Arial"/>
      <family val="2"/>
    </font>
    <font>
      <sz val="10"/>
      <name val="Trebuchet MS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u/>
      <sz val="12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i/>
      <sz val="8"/>
      <name val="Arial"/>
      <family val="2"/>
    </font>
    <font>
      <sz val="12"/>
      <color rgb="FFFF0000"/>
      <name val="Arial"/>
      <family val="2"/>
    </font>
    <font>
      <sz val="12"/>
      <color theme="5"/>
      <name val="Arial"/>
      <family val="2"/>
    </font>
    <font>
      <b/>
      <u/>
      <sz val="14"/>
      <color rgb="FFFF0000"/>
      <name val="Arial"/>
      <family val="2"/>
    </font>
    <font>
      <b/>
      <sz val="14"/>
      <color rgb="FFFF0000"/>
      <name val="Arial"/>
      <family val="2"/>
    </font>
    <font>
      <b/>
      <sz val="11.5"/>
      <color theme="5" tint="-0.249977111117893"/>
      <name val="Arial"/>
      <family val="2"/>
    </font>
    <font>
      <b/>
      <sz val="11.5"/>
      <color theme="5"/>
      <name val="Arial"/>
      <family val="2"/>
    </font>
    <font>
      <b/>
      <u/>
      <sz val="15"/>
      <color rgb="FF00B05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5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7FF"/>
        <bgColor indexed="64"/>
      </patternFill>
    </fill>
  </fills>
  <borders count="79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ck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DashDot">
        <color auto="1"/>
      </left>
      <right/>
      <top style="mediumDashDot">
        <color auto="1"/>
      </top>
      <bottom/>
      <diagonal/>
    </border>
    <border>
      <left/>
      <right/>
      <top style="mediumDashDot">
        <color auto="1"/>
      </top>
      <bottom/>
      <diagonal/>
    </border>
    <border>
      <left/>
      <right style="mediumDashDot">
        <color auto="1"/>
      </right>
      <top style="mediumDashDot">
        <color auto="1"/>
      </top>
      <bottom/>
      <diagonal/>
    </border>
    <border>
      <left style="mediumDashDot">
        <color auto="1"/>
      </left>
      <right/>
      <top/>
      <bottom/>
      <diagonal/>
    </border>
    <border>
      <left/>
      <right style="mediumDashDot">
        <color auto="1"/>
      </right>
      <top/>
      <bottom/>
      <diagonal/>
    </border>
    <border>
      <left style="mediumDashDot">
        <color auto="1"/>
      </left>
      <right/>
      <top/>
      <bottom style="mediumDashDot">
        <color auto="1"/>
      </bottom>
      <diagonal/>
    </border>
    <border>
      <left/>
      <right/>
      <top/>
      <bottom style="mediumDashDot">
        <color auto="1"/>
      </bottom>
      <diagonal/>
    </border>
    <border>
      <left/>
      <right style="mediumDashDot">
        <color auto="1"/>
      </right>
      <top/>
      <bottom style="mediumDashDot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5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5" fillId="0" borderId="0" xfId="0" applyFont="1"/>
    <xf numFmtId="2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0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11" fillId="0" borderId="0" xfId="0" applyFont="1"/>
    <xf numFmtId="2" fontId="0" fillId="0" borderId="0" xfId="0" applyNumberFormat="1"/>
    <xf numFmtId="165" fontId="11" fillId="0" borderId="0" xfId="0" applyNumberFormat="1" applyFont="1"/>
    <xf numFmtId="0" fontId="1" fillId="0" borderId="0" xfId="0" applyFont="1"/>
    <xf numFmtId="2" fontId="7" fillId="0" borderId="0" xfId="0" applyNumberFormat="1" applyFont="1"/>
    <xf numFmtId="166" fontId="7" fillId="0" borderId="0" xfId="0" applyNumberFormat="1" applyFont="1"/>
    <xf numFmtId="164" fontId="0" fillId="0" borderId="0" xfId="0" applyNumberFormat="1"/>
    <xf numFmtId="0" fontId="5" fillId="0" borderId="5" xfId="0" applyFont="1" applyBorder="1"/>
    <xf numFmtId="2" fontId="7" fillId="0" borderId="5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0" fontId="14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12" fillId="4" borderId="9" xfId="0" applyFont="1" applyFill="1" applyBorder="1" applyAlignment="1">
      <alignment vertical="center"/>
    </xf>
    <xf numFmtId="0" fontId="13" fillId="4" borderId="8" xfId="0" applyFont="1" applyFill="1" applyBorder="1" applyAlignment="1">
      <alignment vertical="center"/>
    </xf>
    <xf numFmtId="0" fontId="13" fillId="4" borderId="7" xfId="0" applyFont="1" applyFill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12" fillId="4" borderId="22" xfId="0" applyFont="1" applyFill="1" applyBorder="1" applyAlignment="1">
      <alignment vertical="center"/>
    </xf>
    <xf numFmtId="0" fontId="13" fillId="4" borderId="24" xfId="0" applyFont="1" applyFill="1" applyBorder="1" applyAlignment="1">
      <alignment vertical="center"/>
    </xf>
    <xf numFmtId="0" fontId="13" fillId="4" borderId="29" xfId="0" applyFont="1" applyFill="1" applyBorder="1" applyAlignment="1">
      <alignment vertical="center"/>
    </xf>
    <xf numFmtId="0" fontId="9" fillId="3" borderId="26" xfId="0" applyFont="1" applyFill="1" applyBorder="1" applyAlignment="1">
      <alignment vertical="center"/>
    </xf>
    <xf numFmtId="0" fontId="9" fillId="3" borderId="31" xfId="0" applyFont="1" applyFill="1" applyBorder="1" applyAlignment="1">
      <alignment vertical="center"/>
    </xf>
    <xf numFmtId="0" fontId="14" fillId="3" borderId="39" xfId="0" applyFont="1" applyFill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0" fontId="14" fillId="3" borderId="35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vertical="center"/>
    </xf>
    <xf numFmtId="0" fontId="14" fillId="3" borderId="3" xfId="0" applyFont="1" applyFill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14" fillId="3" borderId="26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2" fillId="4" borderId="47" xfId="0" applyFont="1" applyFill="1" applyBorder="1" applyAlignment="1">
      <alignment vertical="center"/>
    </xf>
    <xf numFmtId="0" fontId="12" fillId="4" borderId="45" xfId="0" applyFont="1" applyFill="1" applyBorder="1" applyAlignment="1">
      <alignment vertical="center"/>
    </xf>
    <xf numFmtId="0" fontId="12" fillId="4" borderId="48" xfId="0" applyFont="1" applyFill="1" applyBorder="1" applyAlignment="1">
      <alignment vertical="center"/>
    </xf>
    <xf numFmtId="0" fontId="9" fillId="0" borderId="2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4" fillId="0" borderId="26" xfId="0" applyFont="1" applyBorder="1" applyAlignment="1">
      <alignment vertical="center"/>
    </xf>
    <xf numFmtId="0" fontId="13" fillId="6" borderId="52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4" fillId="0" borderId="52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right" vertical="center"/>
    </xf>
    <xf numFmtId="0" fontId="7" fillId="0" borderId="50" xfId="0" applyFont="1" applyBorder="1" applyAlignment="1">
      <alignment horizontal="right" vertical="center"/>
    </xf>
    <xf numFmtId="0" fontId="21" fillId="0" borderId="0" xfId="0" applyFont="1"/>
    <xf numFmtId="0" fontId="21" fillId="0" borderId="0" xfId="0" applyFont="1" applyAlignment="1">
      <alignment vertical="center"/>
    </xf>
    <xf numFmtId="0" fontId="15" fillId="0" borderId="28" xfId="0" applyFont="1" applyBorder="1" applyAlignment="1">
      <alignment vertical="center"/>
    </xf>
    <xf numFmtId="0" fontId="15" fillId="0" borderId="5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11" fontId="9" fillId="0" borderId="0" xfId="0" applyNumberFormat="1" applyFont="1" applyAlignment="1">
      <alignment horizontal="center" vertical="center"/>
    </xf>
    <xf numFmtId="0" fontId="22" fillId="7" borderId="57" xfId="0" applyFont="1" applyFill="1" applyBorder="1" applyAlignment="1">
      <alignment horizontal="center" vertical="center" wrapText="1"/>
    </xf>
    <xf numFmtId="0" fontId="22" fillId="7" borderId="57" xfId="0" applyFont="1" applyFill="1" applyBorder="1" applyAlignment="1">
      <alignment vertical="center" wrapText="1"/>
    </xf>
    <xf numFmtId="0" fontId="22" fillId="7" borderId="56" xfId="0" applyFont="1" applyFill="1" applyBorder="1" applyAlignment="1">
      <alignment vertical="center" wrapText="1"/>
    </xf>
    <xf numFmtId="0" fontId="22" fillId="7" borderId="56" xfId="0" applyFont="1" applyFill="1" applyBorder="1" applyAlignment="1">
      <alignment horizontal="center" vertical="center" wrapText="1"/>
    </xf>
    <xf numFmtId="0" fontId="23" fillId="8" borderId="0" xfId="0" applyFont="1" applyFill="1" applyAlignment="1">
      <alignment horizontal="right"/>
    </xf>
    <xf numFmtId="0" fontId="23" fillId="8" borderId="0" xfId="0" applyFont="1" applyFill="1"/>
    <xf numFmtId="0" fontId="0" fillId="0" borderId="16" xfId="0" applyBorder="1"/>
    <xf numFmtId="0" fontId="1" fillId="0" borderId="0" xfId="0" applyFont="1" applyAlignment="1">
      <alignment vertical="center"/>
    </xf>
    <xf numFmtId="0" fontId="7" fillId="0" borderId="47" xfId="0" applyFont="1" applyBorder="1" applyAlignment="1">
      <alignment vertical="center"/>
    </xf>
    <xf numFmtId="0" fontId="17" fillId="0" borderId="45" xfId="0" applyFont="1" applyBorder="1" applyAlignment="1">
      <alignment horizontal="left" vertical="center"/>
    </xf>
    <xf numFmtId="0" fontId="7" fillId="0" borderId="49" xfId="0" applyFont="1" applyBorder="1" applyAlignment="1">
      <alignment vertical="center"/>
    </xf>
    <xf numFmtId="0" fontId="17" fillId="0" borderId="50" xfId="0" applyFont="1" applyBorder="1" applyAlignment="1">
      <alignment horizontal="left" vertical="center"/>
    </xf>
    <xf numFmtId="0" fontId="9" fillId="0" borderId="1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1" xfId="0" applyFont="1" applyBorder="1"/>
    <xf numFmtId="1" fontId="1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173" fontId="0" fillId="0" borderId="2" xfId="0" applyNumberFormat="1" applyBorder="1" applyAlignment="1">
      <alignment vertical="center"/>
    </xf>
    <xf numFmtId="171" fontId="9" fillId="0" borderId="4" xfId="0" applyNumberFormat="1" applyFont="1" applyBorder="1" applyAlignment="1">
      <alignment horizontal="center"/>
    </xf>
    <xf numFmtId="175" fontId="9" fillId="0" borderId="3" xfId="0" applyNumberFormat="1" applyFont="1" applyBorder="1" applyAlignment="1">
      <alignment horizontal="center" vertical="center"/>
    </xf>
    <xf numFmtId="173" fontId="9" fillId="0" borderId="32" xfId="0" applyNumberFormat="1" applyFont="1" applyBorder="1" applyAlignment="1">
      <alignment vertical="center"/>
    </xf>
    <xf numFmtId="167" fontId="9" fillId="0" borderId="33" xfId="0" applyNumberFormat="1" applyFont="1" applyBorder="1" applyAlignment="1">
      <alignment horizontal="left" vertical="center"/>
    </xf>
    <xf numFmtId="168" fontId="9" fillId="0" borderId="34" xfId="0" applyNumberFormat="1" applyFont="1" applyBorder="1" applyAlignment="1">
      <alignment horizontal="left" vertical="center"/>
    </xf>
    <xf numFmtId="181" fontId="9" fillId="0" borderId="3" xfId="0" applyNumberFormat="1" applyFont="1" applyBorder="1" applyAlignment="1">
      <alignment horizontal="center" vertical="center"/>
    </xf>
    <xf numFmtId="169" fontId="14" fillId="2" borderId="35" xfId="0" applyNumberFormat="1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vertical="center"/>
    </xf>
    <xf numFmtId="0" fontId="18" fillId="2" borderId="44" xfId="0" applyFont="1" applyFill="1" applyBorder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/>
    </xf>
    <xf numFmtId="169" fontId="14" fillId="0" borderId="0" xfId="0" applyNumberFormat="1" applyFont="1" applyAlignment="1">
      <alignment horizontal="center" vertical="center"/>
    </xf>
    <xf numFmtId="0" fontId="20" fillId="0" borderId="1" xfId="0" applyFont="1" applyBorder="1" applyAlignment="1">
      <alignment vertical="center"/>
    </xf>
    <xf numFmtId="164" fontId="17" fillId="0" borderId="48" xfId="0" applyNumberFormat="1" applyFont="1" applyBorder="1" applyAlignment="1">
      <alignment horizontal="left" vertical="center" wrapText="1"/>
    </xf>
    <xf numFmtId="177" fontId="17" fillId="0" borderId="51" xfId="0" applyNumberFormat="1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 wrapText="1"/>
    </xf>
    <xf numFmtId="0" fontId="20" fillId="0" borderId="2" xfId="0" applyFont="1" applyBorder="1" applyAlignment="1">
      <alignment vertical="center" wrapText="1"/>
    </xf>
    <xf numFmtId="0" fontId="5" fillId="0" borderId="17" xfId="0" applyFont="1" applyBorder="1"/>
    <xf numFmtId="0" fontId="0" fillId="0" borderId="17" xfId="0" applyBorder="1"/>
    <xf numFmtId="2" fontId="7" fillId="0" borderId="17" xfId="0" applyNumberFormat="1" applyFont="1" applyBorder="1" applyAlignment="1">
      <alignment horizontal="right" vertical="center"/>
    </xf>
    <xf numFmtId="0" fontId="7" fillId="0" borderId="18" xfId="0" applyFont="1" applyBorder="1" applyAlignment="1">
      <alignment horizontal="left" vertical="center"/>
    </xf>
    <xf numFmtId="167" fontId="9" fillId="0" borderId="10" xfId="0" applyNumberFormat="1" applyFont="1" applyBorder="1" applyAlignment="1">
      <alignment horizontal="center" vertical="center"/>
    </xf>
    <xf numFmtId="167" fontId="9" fillId="0" borderId="3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vertical="center"/>
    </xf>
    <xf numFmtId="0" fontId="9" fillId="0" borderId="21" xfId="0" applyFont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168" fontId="9" fillId="0" borderId="54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vertical="center"/>
    </xf>
    <xf numFmtId="0" fontId="9" fillId="5" borderId="38" xfId="0" applyFont="1" applyFill="1" applyBorder="1"/>
    <xf numFmtId="0" fontId="9" fillId="5" borderId="10" xfId="0" applyFont="1" applyFill="1" applyBorder="1" applyAlignment="1">
      <alignment horizontal="center" vertical="center"/>
    </xf>
    <xf numFmtId="168" fontId="9" fillId="0" borderId="53" xfId="0" applyNumberFormat="1" applyFont="1" applyBorder="1" applyAlignment="1">
      <alignment horizontal="center" vertical="center"/>
    </xf>
    <xf numFmtId="184" fontId="9" fillId="0" borderId="3" xfId="0" applyNumberFormat="1" applyFont="1" applyBorder="1" applyAlignment="1">
      <alignment horizontal="center" vertical="center"/>
    </xf>
    <xf numFmtId="179" fontId="9" fillId="0" borderId="4" xfId="0" applyNumberFormat="1" applyFont="1" applyBorder="1" applyAlignment="1">
      <alignment horizontal="center"/>
    </xf>
    <xf numFmtId="180" fontId="9" fillId="0" borderId="3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0" fontId="1" fillId="0" borderId="50" xfId="0" applyFont="1" applyBorder="1" applyAlignment="1">
      <alignment vertical="center"/>
    </xf>
    <xf numFmtId="0" fontId="9" fillId="6" borderId="46" xfId="0" applyFont="1" applyFill="1" applyBorder="1" applyAlignment="1">
      <alignment vertical="center"/>
    </xf>
    <xf numFmtId="0" fontId="1" fillId="0" borderId="2" xfId="0" applyFont="1" applyBorder="1"/>
    <xf numFmtId="0" fontId="9" fillId="0" borderId="2" xfId="0" applyFont="1" applyBorder="1" applyAlignment="1">
      <alignment vertical="center"/>
    </xf>
    <xf numFmtId="0" fontId="9" fillId="0" borderId="0" xfId="0" applyFont="1"/>
    <xf numFmtId="0" fontId="9" fillId="0" borderId="30" xfId="0" applyFont="1" applyBorder="1" applyAlignment="1">
      <alignment vertical="center"/>
    </xf>
    <xf numFmtId="0" fontId="9" fillId="6" borderId="24" xfId="0" applyFont="1" applyFill="1" applyBorder="1" applyAlignment="1">
      <alignment vertical="center"/>
    </xf>
    <xf numFmtId="0" fontId="9" fillId="6" borderId="29" xfId="0" applyFont="1" applyFill="1" applyBorder="1" applyAlignment="1">
      <alignment vertical="center"/>
    </xf>
    <xf numFmtId="0" fontId="9" fillId="0" borderId="27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72" fontId="9" fillId="0" borderId="19" xfId="0" applyNumberFormat="1" applyFont="1" applyBorder="1" applyAlignment="1">
      <alignment vertical="center"/>
    </xf>
    <xf numFmtId="173" fontId="9" fillId="0" borderId="0" xfId="0" applyNumberFormat="1" applyFont="1" applyAlignment="1">
      <alignment vertical="center"/>
    </xf>
    <xf numFmtId="178" fontId="9" fillId="0" borderId="0" xfId="0" applyNumberFormat="1" applyFont="1" applyAlignment="1">
      <alignment horizontal="left" vertical="center"/>
    </xf>
    <xf numFmtId="170" fontId="9" fillId="0" borderId="0" xfId="0" applyNumberFormat="1" applyFont="1" applyAlignment="1">
      <alignment horizontal="center" vertical="center"/>
    </xf>
    <xf numFmtId="182" fontId="9" fillId="0" borderId="35" xfId="0" applyNumberFormat="1" applyFont="1" applyBorder="1" applyAlignment="1">
      <alignment horizontal="center" vertical="center"/>
    </xf>
    <xf numFmtId="182" fontId="9" fillId="0" borderId="35" xfId="0" applyNumberFormat="1" applyFont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164" fontId="9" fillId="0" borderId="4" xfId="0" applyNumberFormat="1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164" fontId="9" fillId="0" borderId="2" xfId="0" applyNumberFormat="1" applyFont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" fillId="0" borderId="5" xfId="0" applyFont="1" applyBorder="1"/>
    <xf numFmtId="164" fontId="9" fillId="0" borderId="42" xfId="0" applyNumberFormat="1" applyFont="1" applyBorder="1" applyAlignment="1">
      <alignment vertical="center"/>
    </xf>
    <xf numFmtId="186" fontId="9" fillId="0" borderId="39" xfId="0" applyNumberFormat="1" applyFont="1" applyBorder="1" applyAlignment="1">
      <alignment horizontal="center" vertical="center"/>
    </xf>
    <xf numFmtId="186" fontId="9" fillId="0" borderId="13" xfId="0" applyNumberFormat="1" applyFont="1" applyBorder="1" applyAlignment="1">
      <alignment horizontal="center" vertical="center"/>
    </xf>
    <xf numFmtId="187" fontId="9" fillId="0" borderId="32" xfId="0" applyNumberFormat="1" applyFont="1" applyBorder="1" applyAlignment="1">
      <alignment horizontal="center" vertical="center"/>
    </xf>
    <xf numFmtId="187" fontId="9" fillId="0" borderId="11" xfId="0" applyNumberFormat="1" applyFont="1" applyBorder="1" applyAlignment="1">
      <alignment horizontal="center" vertical="center"/>
    </xf>
    <xf numFmtId="181" fontId="9" fillId="0" borderId="19" xfId="0" applyNumberFormat="1" applyFont="1" applyBorder="1" applyAlignment="1">
      <alignment horizontal="center" vertical="center"/>
    </xf>
    <xf numFmtId="176" fontId="9" fillId="0" borderId="32" xfId="0" applyNumberFormat="1" applyFont="1" applyBorder="1" applyAlignment="1">
      <alignment horizontal="center" vertical="center"/>
    </xf>
    <xf numFmtId="184" fontId="9" fillId="0" borderId="39" xfId="0" applyNumberFormat="1" applyFont="1" applyBorder="1" applyAlignment="1">
      <alignment horizontal="center" vertical="center"/>
    </xf>
    <xf numFmtId="169" fontId="9" fillId="0" borderId="3" xfId="0" applyNumberFormat="1" applyFont="1" applyBorder="1" applyAlignment="1">
      <alignment horizontal="center" vertical="center"/>
    </xf>
    <xf numFmtId="188" fontId="14" fillId="2" borderId="35" xfId="0" applyNumberFormat="1" applyFont="1" applyFill="1" applyBorder="1" applyAlignment="1">
      <alignment horizontal="center" vertical="center"/>
    </xf>
    <xf numFmtId="189" fontId="9" fillId="0" borderId="43" xfId="0" applyNumberFormat="1" applyFont="1" applyBorder="1" applyAlignment="1">
      <alignment horizontal="center" vertical="center"/>
    </xf>
    <xf numFmtId="189" fontId="9" fillId="0" borderId="13" xfId="0" applyNumberFormat="1" applyFont="1" applyBorder="1" applyAlignment="1">
      <alignment horizontal="center" vertical="center"/>
    </xf>
    <xf numFmtId="189" fontId="9" fillId="0" borderId="36" xfId="0" applyNumberFormat="1" applyFont="1" applyBorder="1" applyAlignment="1">
      <alignment horizontal="center" vertical="center"/>
    </xf>
    <xf numFmtId="189" fontId="9" fillId="0" borderId="35" xfId="0" applyNumberFormat="1" applyFont="1" applyBorder="1" applyAlignment="1">
      <alignment horizontal="center" vertical="center"/>
    </xf>
    <xf numFmtId="189" fontId="9" fillId="0" borderId="27" xfId="0" applyNumberFormat="1" applyFont="1" applyBorder="1" applyAlignment="1">
      <alignment horizontal="center" vertical="center"/>
    </xf>
    <xf numFmtId="180" fontId="9" fillId="0" borderId="39" xfId="0" applyNumberFormat="1" applyFont="1" applyBorder="1" applyAlignment="1">
      <alignment horizontal="center" vertical="center"/>
    </xf>
    <xf numFmtId="169" fontId="9" fillId="0" borderId="40" xfId="0" applyNumberFormat="1" applyFont="1" applyBorder="1" applyAlignment="1">
      <alignment horizontal="center" vertical="center"/>
    </xf>
    <xf numFmtId="0" fontId="0" fillId="10" borderId="0" xfId="0" applyFill="1"/>
    <xf numFmtId="0" fontId="8" fillId="10" borderId="0" xfId="0" applyFont="1" applyFill="1"/>
    <xf numFmtId="0" fontId="3" fillId="10" borderId="0" xfId="0" applyFont="1" applyFill="1"/>
    <xf numFmtId="0" fontId="3" fillId="10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0" fillId="10" borderId="0" xfId="0" applyFill="1" applyAlignment="1">
      <alignment vertical="center"/>
    </xf>
    <xf numFmtId="0" fontId="4" fillId="10" borderId="0" xfId="0" applyFont="1" applyFill="1" applyAlignment="1">
      <alignment vertical="center" wrapText="1"/>
    </xf>
    <xf numFmtId="0" fontId="1" fillId="10" borderId="0" xfId="0" applyFont="1" applyFill="1" applyAlignment="1">
      <alignment vertical="center"/>
    </xf>
    <xf numFmtId="0" fontId="7" fillId="10" borderId="0" xfId="0" applyFont="1" applyFill="1" applyAlignment="1">
      <alignment vertical="center"/>
    </xf>
    <xf numFmtId="164" fontId="0" fillId="10" borderId="0" xfId="0" applyNumberFormat="1" applyFill="1" applyAlignment="1">
      <alignment vertical="center"/>
    </xf>
    <xf numFmtId="2" fontId="1" fillId="10" borderId="30" xfId="0" applyNumberFormat="1" applyFont="1" applyFill="1" applyBorder="1" applyAlignment="1" applyProtection="1">
      <alignment vertical="center"/>
      <protection locked="0"/>
    </xf>
    <xf numFmtId="49" fontId="1" fillId="10" borderId="0" xfId="0" applyNumberFormat="1" applyFont="1" applyFill="1" applyAlignment="1" applyProtection="1">
      <alignment vertical="center"/>
      <protection locked="0"/>
    </xf>
    <xf numFmtId="0" fontId="4" fillId="10" borderId="0" xfId="0" applyFont="1" applyFill="1"/>
    <xf numFmtId="49" fontId="1" fillId="10" borderId="0" xfId="0" applyNumberFormat="1" applyFont="1" applyFill="1" applyAlignment="1" applyProtection="1">
      <alignment horizontal="center"/>
      <protection locked="0"/>
    </xf>
    <xf numFmtId="177" fontId="0" fillId="11" borderId="6" xfId="0" applyNumberFormat="1" applyFill="1" applyBorder="1" applyAlignment="1" applyProtection="1">
      <alignment horizontal="left" vertical="center"/>
      <protection locked="0"/>
    </xf>
    <xf numFmtId="164" fontId="0" fillId="11" borderId="6" xfId="0" applyNumberFormat="1" applyFill="1" applyBorder="1" applyAlignment="1" applyProtection="1">
      <alignment horizontal="left" vertical="center"/>
      <protection locked="0"/>
    </xf>
    <xf numFmtId="183" fontId="1" fillId="11" borderId="6" xfId="0" applyNumberFormat="1" applyFont="1" applyFill="1" applyBorder="1" applyAlignment="1" applyProtection="1">
      <alignment horizontal="left" vertical="center"/>
      <protection locked="0"/>
    </xf>
    <xf numFmtId="164" fontId="0" fillId="12" borderId="6" xfId="0" applyNumberFormat="1" applyFill="1" applyBorder="1" applyAlignment="1">
      <alignment horizontal="left" vertical="center"/>
    </xf>
    <xf numFmtId="0" fontId="9" fillId="3" borderId="0" xfId="0" applyFont="1" applyFill="1" applyAlignment="1">
      <alignment vertical="center"/>
    </xf>
    <xf numFmtId="190" fontId="9" fillId="0" borderId="3" xfId="0" applyNumberFormat="1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0" fontId="9" fillId="0" borderId="49" xfId="0" applyFont="1" applyBorder="1" applyAlignment="1">
      <alignment vertical="center"/>
    </xf>
    <xf numFmtId="181" fontId="9" fillId="0" borderId="59" xfId="0" applyNumberFormat="1" applyFont="1" applyBorder="1" applyAlignment="1">
      <alignment horizontal="center" vertical="center"/>
    </xf>
    <xf numFmtId="184" fontId="9" fillId="0" borderId="59" xfId="0" applyNumberFormat="1" applyFont="1" applyBorder="1" applyAlignment="1">
      <alignment horizontal="center" vertical="center"/>
    </xf>
    <xf numFmtId="0" fontId="9" fillId="0" borderId="59" xfId="0" applyFont="1" applyBorder="1" applyAlignment="1">
      <alignment vertical="center"/>
    </xf>
    <xf numFmtId="0" fontId="9" fillId="0" borderId="50" xfId="0" applyFont="1" applyBorder="1" applyAlignment="1">
      <alignment vertical="center"/>
    </xf>
    <xf numFmtId="0" fontId="9" fillId="0" borderId="51" xfId="0" applyFont="1" applyBorder="1" applyAlignment="1">
      <alignment vertical="center"/>
    </xf>
    <xf numFmtId="174" fontId="14" fillId="2" borderId="35" xfId="0" applyNumberFormat="1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84" fontId="9" fillId="0" borderId="35" xfId="0" applyNumberFormat="1" applyFont="1" applyBorder="1" applyAlignment="1">
      <alignment horizontal="center" vertical="center" wrapText="1"/>
    </xf>
    <xf numFmtId="0" fontId="9" fillId="0" borderId="60" xfId="0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188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4" fontId="9" fillId="0" borderId="35" xfId="0" applyNumberFormat="1" applyFont="1" applyBorder="1" applyAlignment="1">
      <alignment horizontal="center" vertical="center" wrapText="1"/>
    </xf>
    <xf numFmtId="169" fontId="9" fillId="0" borderId="35" xfId="0" applyNumberFormat="1" applyFont="1" applyBorder="1" applyAlignment="1">
      <alignment horizontal="center" vertical="center" wrapText="1"/>
    </xf>
    <xf numFmtId="188" fontId="9" fillId="0" borderId="61" xfId="0" applyNumberFormat="1" applyFont="1" applyBorder="1" applyAlignment="1">
      <alignment horizontal="center"/>
    </xf>
    <xf numFmtId="169" fontId="9" fillId="0" borderId="35" xfId="0" applyNumberFormat="1" applyFont="1" applyBorder="1" applyAlignment="1">
      <alignment horizontal="center" vertical="center"/>
    </xf>
    <xf numFmtId="174" fontId="9" fillId="0" borderId="43" xfId="0" applyNumberFormat="1" applyFont="1" applyBorder="1" applyAlignment="1">
      <alignment horizontal="center" vertical="center"/>
    </xf>
    <xf numFmtId="0" fontId="9" fillId="0" borderId="60" xfId="0" applyFont="1" applyBorder="1" applyAlignment="1">
      <alignment vertical="center"/>
    </xf>
    <xf numFmtId="174" fontId="9" fillId="0" borderId="61" xfId="0" applyNumberFormat="1" applyFont="1" applyBorder="1" applyAlignment="1">
      <alignment horizontal="center"/>
    </xf>
    <xf numFmtId="174" fontId="9" fillId="0" borderId="35" xfId="0" applyNumberFormat="1" applyFont="1" applyBorder="1" applyAlignment="1">
      <alignment horizontal="center" vertical="center"/>
    </xf>
    <xf numFmtId="169" fontId="9" fillId="0" borderId="43" xfId="0" applyNumberFormat="1" applyFont="1" applyBorder="1" applyAlignment="1">
      <alignment horizontal="center" vertical="center"/>
    </xf>
    <xf numFmtId="169" fontId="9" fillId="0" borderId="61" xfId="0" applyNumberFormat="1" applyFont="1" applyBorder="1" applyAlignment="1">
      <alignment horizontal="center"/>
    </xf>
    <xf numFmtId="191" fontId="9" fillId="0" borderId="14" xfId="0" applyNumberFormat="1" applyFont="1" applyBorder="1" applyAlignment="1">
      <alignment horizontal="left" vertical="center"/>
    </xf>
    <xf numFmtId="192" fontId="9" fillId="0" borderId="10" xfId="0" applyNumberFormat="1" applyFont="1" applyBorder="1" applyAlignment="1">
      <alignment horizontal="right" vertical="center"/>
    </xf>
    <xf numFmtId="194" fontId="9" fillId="0" borderId="33" xfId="0" applyNumberFormat="1" applyFont="1" applyBorder="1" applyAlignment="1">
      <alignment horizontal="left" vertical="center"/>
    </xf>
    <xf numFmtId="195" fontId="9" fillId="0" borderId="0" xfId="0" applyNumberFormat="1" applyFont="1" applyAlignment="1">
      <alignment horizontal="left" vertical="center"/>
    </xf>
    <xf numFmtId="192" fontId="9" fillId="0" borderId="3" xfId="0" applyNumberFormat="1" applyFont="1" applyBorder="1" applyAlignment="1">
      <alignment vertical="center"/>
    </xf>
    <xf numFmtId="195" fontId="9" fillId="0" borderId="12" xfId="0" applyNumberFormat="1" applyFont="1" applyBorder="1" applyAlignment="1">
      <alignment horizontal="left" vertical="center"/>
    </xf>
    <xf numFmtId="172" fontId="9" fillId="0" borderId="32" xfId="0" applyNumberFormat="1" applyFont="1" applyBorder="1" applyAlignment="1">
      <alignment vertical="center"/>
    </xf>
    <xf numFmtId="192" fontId="9" fillId="0" borderId="10" xfId="0" applyNumberFormat="1" applyFont="1" applyBorder="1" applyAlignment="1">
      <alignment vertical="center"/>
    </xf>
    <xf numFmtId="194" fontId="9" fillId="0" borderId="14" xfId="0" applyNumberFormat="1" applyFont="1" applyBorder="1" applyAlignment="1">
      <alignment horizontal="left" vertical="center"/>
    </xf>
    <xf numFmtId="192" fontId="9" fillId="0" borderId="59" xfId="0" applyNumberFormat="1" applyFont="1" applyBorder="1" applyAlignment="1">
      <alignment vertical="center"/>
    </xf>
    <xf numFmtId="193" fontId="9" fillId="0" borderId="50" xfId="0" applyNumberFormat="1" applyFont="1" applyBorder="1" applyAlignment="1">
      <alignment horizontal="left" vertical="center"/>
    </xf>
    <xf numFmtId="172" fontId="9" fillId="0" borderId="10" xfId="0" applyNumberFormat="1" applyFont="1" applyBorder="1" applyAlignment="1">
      <alignment horizontal="right" vertical="center"/>
    </xf>
    <xf numFmtId="185" fontId="9" fillId="0" borderId="62" xfId="0" applyNumberFormat="1" applyFont="1" applyBorder="1" applyAlignment="1">
      <alignment horizontal="left" vertical="center"/>
    </xf>
    <xf numFmtId="193" fontId="9" fillId="0" borderId="4" xfId="0" applyNumberFormat="1" applyFont="1" applyBorder="1" applyAlignment="1">
      <alignment horizontal="left" vertical="center"/>
    </xf>
    <xf numFmtId="189" fontId="9" fillId="0" borderId="39" xfId="0" applyNumberFormat="1" applyFont="1" applyBorder="1" applyAlignment="1">
      <alignment horizontal="center" vertical="center"/>
    </xf>
    <xf numFmtId="169" fontId="14" fillId="2" borderId="36" xfId="0" applyNumberFormat="1" applyFont="1" applyFill="1" applyBorder="1" applyAlignment="1">
      <alignment horizontal="center" vertical="center"/>
    </xf>
    <xf numFmtId="189" fontId="9" fillId="0" borderId="40" xfId="0" applyNumberFormat="1" applyFont="1" applyBorder="1" applyAlignment="1">
      <alignment horizontal="center" vertical="center"/>
    </xf>
    <xf numFmtId="184" fontId="14" fillId="2" borderId="35" xfId="0" applyNumberFormat="1" applyFont="1" applyFill="1" applyBorder="1" applyAlignment="1">
      <alignment horizontal="center" vertical="center"/>
    </xf>
    <xf numFmtId="169" fontId="14" fillId="9" borderId="10" xfId="0" applyNumberFormat="1" applyFont="1" applyFill="1" applyBorder="1" applyAlignment="1">
      <alignment horizontal="center" vertical="center"/>
    </xf>
    <xf numFmtId="184" fontId="9" fillId="0" borderId="3" xfId="0" applyNumberFormat="1" applyFont="1" applyBorder="1" applyAlignment="1">
      <alignment horizontal="center" vertical="center" wrapText="1"/>
    </xf>
    <xf numFmtId="169" fontId="9" fillId="0" borderId="3" xfId="0" applyNumberFormat="1" applyFont="1" applyBorder="1" applyAlignment="1">
      <alignment horizontal="center" vertical="center" wrapText="1"/>
    </xf>
    <xf numFmtId="174" fontId="9" fillId="0" borderId="3" xfId="0" applyNumberFormat="1" applyFont="1" applyBorder="1" applyAlignment="1">
      <alignment horizontal="center" vertical="center" wrapText="1"/>
    </xf>
    <xf numFmtId="188" fontId="9" fillId="0" borderId="19" xfId="0" applyNumberFormat="1" applyFont="1" applyBorder="1" applyAlignment="1">
      <alignment horizontal="center"/>
    </xf>
    <xf numFmtId="174" fontId="9" fillId="0" borderId="10" xfId="0" applyNumberFormat="1" applyFont="1" applyBorder="1" applyAlignment="1">
      <alignment horizontal="center" vertical="center"/>
    </xf>
    <xf numFmtId="174" fontId="9" fillId="0" borderId="19" xfId="0" applyNumberFormat="1" applyFont="1" applyBorder="1" applyAlignment="1">
      <alignment horizontal="center"/>
    </xf>
    <xf numFmtId="174" fontId="9" fillId="0" borderId="3" xfId="0" applyNumberFormat="1" applyFont="1" applyBorder="1" applyAlignment="1">
      <alignment horizontal="center" vertical="center"/>
    </xf>
    <xf numFmtId="169" fontId="9" fillId="0" borderId="10" xfId="0" applyNumberFormat="1" applyFont="1" applyBorder="1" applyAlignment="1">
      <alignment horizontal="center" vertical="center"/>
    </xf>
    <xf numFmtId="169" fontId="9" fillId="0" borderId="19" xfId="0" applyNumberFormat="1" applyFont="1" applyBorder="1" applyAlignment="1">
      <alignment horizontal="center"/>
    </xf>
    <xf numFmtId="184" fontId="14" fillId="11" borderId="3" xfId="0" applyNumberFormat="1" applyFont="1" applyFill="1" applyBorder="1" applyAlignment="1">
      <alignment horizontal="center" vertical="center"/>
    </xf>
    <xf numFmtId="169" fontId="14" fillId="11" borderId="3" xfId="0" applyNumberFormat="1" applyFont="1" applyFill="1" applyBorder="1" applyAlignment="1">
      <alignment horizontal="center" vertical="center"/>
    </xf>
    <xf numFmtId="188" fontId="14" fillId="11" borderId="3" xfId="0" applyNumberFormat="1" applyFont="1" applyFill="1" applyBorder="1" applyAlignment="1">
      <alignment horizontal="center" vertical="center"/>
    </xf>
    <xf numFmtId="169" fontId="14" fillId="11" borderId="10" xfId="0" applyNumberFormat="1" applyFont="1" applyFill="1" applyBorder="1" applyAlignment="1">
      <alignment horizontal="center" vertical="center"/>
    </xf>
    <xf numFmtId="169" fontId="14" fillId="11" borderId="65" xfId="0" applyNumberFormat="1" applyFont="1" applyFill="1" applyBorder="1" applyAlignment="1">
      <alignment horizontal="center" vertical="center" wrapText="1"/>
    </xf>
    <xf numFmtId="174" fontId="14" fillId="11" borderId="65" xfId="0" applyNumberFormat="1" applyFont="1" applyFill="1" applyBorder="1" applyAlignment="1">
      <alignment horizontal="center" vertical="center" wrapText="1"/>
    </xf>
    <xf numFmtId="174" fontId="14" fillId="11" borderId="12" xfId="0" applyNumberFormat="1" applyFont="1" applyFill="1" applyBorder="1" applyAlignment="1">
      <alignment horizontal="center" vertical="center"/>
    </xf>
    <xf numFmtId="169" fontId="14" fillId="11" borderId="33" xfId="0" applyNumberFormat="1" applyFont="1" applyFill="1" applyBorder="1" applyAlignment="1">
      <alignment horizontal="center" vertical="center"/>
    </xf>
    <xf numFmtId="0" fontId="14" fillId="0" borderId="28" xfId="0" applyFont="1" applyBorder="1" applyAlignment="1">
      <alignment vertical="center"/>
    </xf>
    <xf numFmtId="0" fontId="14" fillId="2" borderId="55" xfId="0" applyFont="1" applyFill="1" applyBorder="1" applyAlignment="1">
      <alignment horizontal="center" vertical="center" wrapText="1"/>
    </xf>
    <xf numFmtId="0" fontId="14" fillId="11" borderId="19" xfId="0" applyFont="1" applyFill="1" applyBorder="1" applyAlignment="1">
      <alignment horizontal="center" vertical="center" wrapText="1"/>
    </xf>
    <xf numFmtId="0" fontId="14" fillId="0" borderId="66" xfId="0" applyFont="1" applyBorder="1" applyAlignment="1">
      <alignment horizontal="center" vertical="center"/>
    </xf>
    <xf numFmtId="0" fontId="9" fillId="0" borderId="63" xfId="0" applyFont="1" applyFill="1" applyBorder="1" applyAlignment="1">
      <alignment vertical="center"/>
    </xf>
    <xf numFmtId="0" fontId="14" fillId="5" borderId="9" xfId="0" applyFont="1" applyFill="1" applyBorder="1" applyAlignment="1">
      <alignment vertical="center"/>
    </xf>
    <xf numFmtId="0" fontId="18" fillId="2" borderId="67" xfId="0" applyFont="1" applyFill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textRotation="90" wrapText="1"/>
    </xf>
    <xf numFmtId="189" fontId="9" fillId="0" borderId="63" xfId="0" applyNumberFormat="1" applyFont="1" applyFill="1" applyBorder="1" applyAlignment="1">
      <alignment horizontal="center" vertical="center"/>
    </xf>
    <xf numFmtId="189" fontId="9" fillId="0" borderId="54" xfId="0" applyNumberFormat="1" applyFont="1" applyFill="1" applyBorder="1" applyAlignment="1">
      <alignment horizontal="center" vertical="center"/>
    </xf>
    <xf numFmtId="189" fontId="9" fillId="0" borderId="60" xfId="0" applyNumberFormat="1" applyFont="1" applyFill="1" applyBorder="1" applyAlignment="1">
      <alignment horizontal="center" vertical="center"/>
    </xf>
    <xf numFmtId="189" fontId="9" fillId="0" borderId="39" xfId="0" applyNumberFormat="1" applyFont="1" applyFill="1" applyBorder="1" applyAlignment="1">
      <alignment horizontal="center" vertical="center"/>
    </xf>
    <xf numFmtId="189" fontId="9" fillId="0" borderId="64" xfId="0" applyNumberFormat="1" applyFont="1" applyFill="1" applyBorder="1" applyAlignment="1">
      <alignment horizontal="center" vertical="center"/>
    </xf>
    <xf numFmtId="189" fontId="9" fillId="0" borderId="4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textRotation="90" wrapText="1"/>
    </xf>
    <xf numFmtId="184" fontId="14" fillId="2" borderId="39" xfId="0" applyNumberFormat="1" applyFont="1" applyFill="1" applyBorder="1" applyAlignment="1" applyProtection="1">
      <alignment horizontal="center" vertical="center"/>
      <protection locked="0"/>
    </xf>
    <xf numFmtId="169" fontId="14" fillId="2" borderId="39" xfId="0" applyNumberFormat="1" applyFont="1" applyFill="1" applyBorder="1" applyAlignment="1" applyProtection="1">
      <alignment horizontal="center" vertical="center"/>
      <protection locked="0"/>
    </xf>
    <xf numFmtId="188" fontId="14" fillId="2" borderId="39" xfId="0" applyNumberFormat="1" applyFont="1" applyFill="1" applyBorder="1" applyAlignment="1" applyProtection="1">
      <alignment horizontal="center" vertical="center"/>
      <protection locked="0"/>
    </xf>
    <xf numFmtId="169" fontId="14" fillId="9" borderId="53" xfId="0" applyNumberFormat="1" applyFont="1" applyFill="1" applyBorder="1" applyAlignment="1" applyProtection="1">
      <alignment horizontal="center" vertical="center"/>
      <protection locked="0"/>
    </xf>
    <xf numFmtId="169" fontId="14" fillId="2" borderId="54" xfId="0" applyNumberFormat="1" applyFont="1" applyFill="1" applyBorder="1" applyAlignment="1" applyProtection="1">
      <alignment horizontal="center" vertical="center" wrapText="1"/>
      <protection locked="0"/>
    </xf>
    <xf numFmtId="174" fontId="14" fillId="2" borderId="54" xfId="0" applyNumberFormat="1" applyFont="1" applyFill="1" applyBorder="1" applyAlignment="1" applyProtection="1">
      <alignment horizontal="center" vertical="center" wrapText="1"/>
      <protection locked="0"/>
    </xf>
    <xf numFmtId="174" fontId="14" fillId="2" borderId="39" xfId="0" applyNumberFormat="1" applyFont="1" applyFill="1" applyBorder="1" applyAlignment="1" applyProtection="1">
      <alignment horizontal="center" vertical="center"/>
      <protection locked="0"/>
    </xf>
    <xf numFmtId="169" fontId="14" fillId="2" borderId="40" xfId="0" applyNumberFormat="1" applyFont="1" applyFill="1" applyBorder="1" applyAlignment="1" applyProtection="1">
      <alignment horizontal="center" vertical="center"/>
      <protection locked="0"/>
    </xf>
    <xf numFmtId="0" fontId="9" fillId="0" borderId="35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0" fillId="13" borderId="69" xfId="0" applyFill="1" applyBorder="1"/>
    <xf numFmtId="0" fontId="0" fillId="13" borderId="71" xfId="0" applyFill="1" applyBorder="1"/>
    <xf numFmtId="0" fontId="3" fillId="13" borderId="72" xfId="0" applyFont="1" applyFill="1" applyBorder="1" applyAlignment="1">
      <alignment horizontal="left" vertical="center" wrapText="1"/>
    </xf>
    <xf numFmtId="0" fontId="0" fillId="13" borderId="73" xfId="0" applyFill="1" applyBorder="1"/>
    <xf numFmtId="0" fontId="0" fillId="13" borderId="72" xfId="0" applyFill="1" applyBorder="1"/>
    <xf numFmtId="0" fontId="0" fillId="13" borderId="0" xfId="0" applyFill="1" applyBorder="1"/>
    <xf numFmtId="0" fontId="0" fillId="13" borderId="74" xfId="0" applyFill="1" applyBorder="1"/>
    <xf numFmtId="0" fontId="0" fillId="13" borderId="76" xfId="0" applyFill="1" applyBorder="1"/>
    <xf numFmtId="0" fontId="0" fillId="13" borderId="75" xfId="0" applyFill="1" applyBorder="1"/>
    <xf numFmtId="0" fontId="14" fillId="11" borderId="9" xfId="0" applyFont="1" applyFill="1" applyBorder="1" applyAlignment="1">
      <alignment horizontal="center" vertical="center" wrapText="1"/>
    </xf>
    <xf numFmtId="0" fontId="14" fillId="0" borderId="77" xfId="0" applyFont="1" applyBorder="1" applyAlignment="1">
      <alignment horizontal="center" vertical="center"/>
    </xf>
    <xf numFmtId="189" fontId="9" fillId="0" borderId="60" xfId="0" applyNumberFormat="1" applyFont="1" applyBorder="1" applyAlignment="1">
      <alignment horizontal="center" vertical="center"/>
    </xf>
    <xf numFmtId="189" fontId="9" fillId="0" borderId="60" xfId="0" quotePrefix="1" applyNumberFormat="1" applyFont="1" applyBorder="1" applyAlignment="1">
      <alignment horizontal="center" vertical="center"/>
    </xf>
    <xf numFmtId="189" fontId="9" fillId="0" borderId="7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7" fillId="0" borderId="0" xfId="0" applyFont="1" applyAlignment="1">
      <alignment horizontal="left" vertical="center" wrapText="1"/>
    </xf>
    <xf numFmtId="0" fontId="2" fillId="0" borderId="0" xfId="1" applyFill="1" applyBorder="1" applyAlignment="1" applyProtection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4" fillId="0" borderId="35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textRotation="90" wrapText="1"/>
    </xf>
    <xf numFmtId="0" fontId="12" fillId="4" borderId="22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  <xf numFmtId="0" fontId="12" fillId="4" borderId="29" xfId="0" applyFont="1" applyFill="1" applyBorder="1" applyAlignment="1">
      <alignment horizontal="center" vertical="center" wrapText="1"/>
    </xf>
    <xf numFmtId="165" fontId="24" fillId="0" borderId="35" xfId="0" applyNumberFormat="1" applyFont="1" applyBorder="1" applyAlignment="1">
      <alignment horizontal="center" vertical="center"/>
    </xf>
    <xf numFmtId="165" fontId="24" fillId="0" borderId="35" xfId="0" applyNumberFormat="1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14" fillId="5" borderId="23" xfId="0" applyFont="1" applyFill="1" applyBorder="1" applyAlignment="1">
      <alignment horizontal="center" vertical="center"/>
    </xf>
    <xf numFmtId="0" fontId="14" fillId="5" borderId="25" xfId="0" applyFont="1" applyFill="1" applyBorder="1" applyAlignment="1">
      <alignment horizontal="center" vertical="center"/>
    </xf>
    <xf numFmtId="49" fontId="1" fillId="11" borderId="9" xfId="0" applyNumberFormat="1" applyFont="1" applyFill="1" applyBorder="1" applyAlignment="1" applyProtection="1">
      <alignment horizontal="left" vertical="center"/>
      <protection locked="0"/>
    </xf>
    <xf numFmtId="49" fontId="1" fillId="11" borderId="8" xfId="0" applyNumberFormat="1" applyFont="1" applyFill="1" applyBorder="1" applyAlignment="1" applyProtection="1">
      <alignment horizontal="left" vertical="center"/>
      <protection locked="0"/>
    </xf>
    <xf numFmtId="49" fontId="1" fillId="11" borderId="7" xfId="0" applyNumberFormat="1" applyFont="1" applyFill="1" applyBorder="1" applyAlignment="1" applyProtection="1">
      <alignment horizontal="left" vertical="center"/>
      <protection locked="0"/>
    </xf>
    <xf numFmtId="1" fontId="1" fillId="11" borderId="9" xfId="0" applyNumberFormat="1" applyFont="1" applyFill="1" applyBorder="1" applyAlignment="1" applyProtection="1">
      <alignment horizontal="left" vertical="center"/>
      <protection locked="0"/>
    </xf>
    <xf numFmtId="1" fontId="0" fillId="11" borderId="7" xfId="0" applyNumberFormat="1" applyFill="1" applyBorder="1" applyAlignment="1" applyProtection="1">
      <alignment horizontal="left" vertical="center"/>
      <protection locked="0"/>
    </xf>
    <xf numFmtId="0" fontId="26" fillId="13" borderId="0" xfId="0" applyFont="1" applyFill="1" applyBorder="1" applyAlignment="1">
      <alignment wrapText="1"/>
    </xf>
    <xf numFmtId="0" fontId="0" fillId="13" borderId="0" xfId="0" applyFill="1" applyAlignment="1">
      <alignment wrapText="1"/>
    </xf>
    <xf numFmtId="0" fontId="31" fillId="13" borderId="70" xfId="0" applyFont="1" applyFill="1" applyBorder="1" applyAlignment="1">
      <alignment horizontal="center" vertical="center"/>
    </xf>
    <xf numFmtId="0" fontId="31" fillId="0" borderId="70" xfId="0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3" fillId="10" borderId="0" xfId="0" applyFont="1" applyFill="1" applyAlignment="1">
      <alignment horizontal="left" vertical="center" wrapText="1"/>
    </xf>
    <xf numFmtId="0" fontId="16" fillId="10" borderId="0" xfId="0" applyFont="1" applyFill="1" applyAlignment="1">
      <alignment horizontal="left" vertical="center"/>
    </xf>
    <xf numFmtId="0" fontId="6" fillId="10" borderId="0" xfId="0" applyFont="1" applyFill="1" applyAlignment="1">
      <alignment horizontal="left" vertical="center" wrapText="1"/>
    </xf>
    <xf numFmtId="0" fontId="12" fillId="4" borderId="9" xfId="0" applyFont="1" applyFill="1" applyBorder="1" applyAlignment="1">
      <alignment vertical="center"/>
    </xf>
    <xf numFmtId="0" fontId="0" fillId="0" borderId="8" xfId="0" applyBorder="1" applyAlignment="1"/>
    <xf numFmtId="0" fontId="0" fillId="0" borderId="7" xfId="0" applyBorder="1" applyAlignment="1"/>
    <xf numFmtId="0" fontId="7" fillId="1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4" fillId="0" borderId="3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0" fillId="0" borderId="37" xfId="0" applyBorder="1" applyAlignment="1">
      <alignment horizontal="left"/>
    </xf>
    <xf numFmtId="0" fontId="0" fillId="6" borderId="30" xfId="0" applyFill="1" applyBorder="1" applyAlignment="1"/>
    <xf numFmtId="0" fontId="0" fillId="0" borderId="37" xfId="0" applyBorder="1" applyAlignment="1"/>
    <xf numFmtId="0" fontId="12" fillId="4" borderId="30" xfId="0" applyFont="1" applyFill="1" applyBorder="1" applyAlignment="1">
      <alignment vertical="center"/>
    </xf>
    <xf numFmtId="0" fontId="0" fillId="0" borderId="0" xfId="0" applyBorder="1" applyAlignment="1"/>
  </cellXfs>
  <cellStyles count="2">
    <cellStyle name="Hyperlink" xfId="1" builtinId="8"/>
    <cellStyle name="Normal" xfId="0" builtinId="0"/>
  </cellStyles>
  <dxfs count="14"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9" formatCode="0.0\ &quot;mg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8"/>
        <color auto="1"/>
        <name val="Arial"/>
        <scheme val="none"/>
      </font>
    </dxf>
  </dxfs>
  <tableStyles count="0" defaultTableStyle="TableStyleMedium9" defaultPivotStyle="PivotStyleLight16"/>
  <colors>
    <mruColors>
      <color rgb="FFEBF7FF"/>
      <color rgb="FFFFF5EB"/>
      <color rgb="FFFFECD9"/>
      <color rgb="FFFFE2C5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96368</xdr:colOff>
      <xdr:row>1</xdr:row>
      <xdr:rowOff>144610</xdr:rowOff>
    </xdr:from>
    <xdr:to>
      <xdr:col>23</xdr:col>
      <xdr:colOff>524806</xdr:colOff>
      <xdr:row>8</xdr:row>
      <xdr:rowOff>173467</xdr:rowOff>
    </xdr:to>
    <xdr:pic>
      <xdr:nvPicPr>
        <xdr:cNvPr id="1166" name="Picture 4" descr="PaNDR">
          <a:extLst>
            <a:ext uri="{FF2B5EF4-FFF2-40B4-BE49-F238E27FC236}">
              <a16:creationId xmlns:a16="http://schemas.microsoft.com/office/drawing/2014/main" id="{A3575CE6-BA5F-8079-2F13-B6B3126C9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078" t="23531" r="19608" b="20784"/>
        <a:stretch>
          <a:fillRect/>
        </a:stretch>
      </xdr:blipFill>
      <xdr:spPr bwMode="auto">
        <a:xfrm>
          <a:off x="14787280" y="312698"/>
          <a:ext cx="3061820" cy="2729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41</xdr:col>
      <xdr:colOff>218621</xdr:colOff>
      <xdr:row>37</xdr:row>
      <xdr:rowOff>99624</xdr:rowOff>
    </xdr:from>
    <xdr:to>
      <xdr:col>42</xdr:col>
      <xdr:colOff>53729</xdr:colOff>
      <xdr:row>43</xdr:row>
      <xdr:rowOff>36282</xdr:rowOff>
    </xdr:to>
    <xdr:pic>
      <xdr:nvPicPr>
        <xdr:cNvPr id="1167" name="Picture 5" descr="PaNDR">
          <a:extLst>
            <a:ext uri="{FF2B5EF4-FFF2-40B4-BE49-F238E27FC236}">
              <a16:creationId xmlns:a16="http://schemas.microsoft.com/office/drawing/2014/main" id="{27FBA69B-D2D7-88B1-9003-588F7D859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078" t="23531" r="19608" b="20784"/>
        <a:stretch>
          <a:fillRect/>
        </a:stretch>
      </xdr:blipFill>
      <xdr:spPr bwMode="auto">
        <a:xfrm>
          <a:off x="23948571" y="8602274"/>
          <a:ext cx="1432834" cy="1145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Z41:BB43" totalsRowShown="0">
  <autoFilter ref="AZ41:BB43" xr:uid="{00000000-0009-0000-0100-000003000000}"/>
  <tableColumns count="3">
    <tableColumn id="1" xr3:uid="{00000000-0010-0000-0200-000001000000}" name="Bolus doses"/>
    <tableColumn id="2" xr3:uid="{00000000-0010-0000-0200-000002000000}" name="Concentration ()"/>
    <tableColumn id="3" xr3:uid="{00000000-0010-0000-0200-000003000000}" name="Unit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Drug_Infusion_rates_FV50ml57" displayName="Drug_Infusion_rates_FV50ml57" ref="B5:F20" totalsRowShown="0" dataDxfId="13" tableBorderDxfId="12">
  <autoFilter ref="B5:F20" xr:uid="{00000000-0009-0000-0100-000006000000}"/>
  <tableColumns count="5">
    <tableColumn id="1" xr3:uid="{00000000-0010-0000-0300-000001000000}" name="Drug" dataDxfId="11"/>
    <tableColumn id="5" xr3:uid="{00000000-0010-0000-0300-000005000000}" name="Amount of drug per kilo in a 50ml syringe" dataDxfId="10"/>
    <tableColumn id="4" xr3:uid="{4573B4A4-E843-4725-A4BA-DE287FDBA919}" name="Dose range"/>
    <tableColumn id="2" xr3:uid="{00000000-0010-0000-0300-000002000000}" name="Min rate (ml/hr)" dataDxfId="9"/>
    <tableColumn id="3" xr3:uid="{00000000-0010-0000-0300-000003000000}" name="Max rate (ml/hr)" dataDxfId="8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Drug_Infusion_rates_FV50ml568" displayName="Drug_Infusion_rates_FV50ml568" ref="B25:F40" totalsRowShown="0" dataDxfId="7" tableBorderDxfId="6">
  <autoFilter ref="B25:F40" xr:uid="{00000000-0009-0000-0100-000007000000}"/>
  <tableColumns count="5">
    <tableColumn id="1" xr3:uid="{00000000-0010-0000-0400-000001000000}" name="Drug" dataDxfId="5"/>
    <tableColumn id="5" xr3:uid="{00000000-0010-0000-0400-000005000000}" name="Amount of drug per kilo in a 20ml syringe" dataDxfId="4"/>
    <tableColumn id="4" xr3:uid="{6646E254-80DA-4725-997A-14129158D143}" name="Dose range" dataDxfId="3"/>
    <tableColumn id="2" xr3:uid="{00000000-0010-0000-0400-000002000000}" name="Min rate (ml/hr)" dataDxfId="2"/>
    <tableColumn id="3" xr3:uid="{00000000-0010-0000-0400-000003000000}" name="Max rate (ml/hr)" dataDxfId="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uh.pandrservice@nhs.net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I152"/>
  <sheetViews>
    <sheetView showGridLines="0" tabSelected="1" zoomScale="85" zoomScaleNormal="85" workbookViewId="0">
      <selection activeCell="E7" sqref="E7:H7"/>
    </sheetView>
  </sheetViews>
  <sheetFormatPr defaultRowHeight="12.75" x14ac:dyDescent="0.2"/>
  <cols>
    <col min="4" max="4" width="32.5703125" customWidth="1"/>
    <col min="5" max="5" width="14.42578125" customWidth="1"/>
    <col min="11" max="11" width="13.5703125" customWidth="1"/>
    <col min="12" max="12" width="3.28515625" customWidth="1"/>
    <col min="13" max="13" width="15.5703125" customWidth="1"/>
    <col min="14" max="14" width="14.28515625" customWidth="1"/>
    <col min="15" max="15" width="24.42578125" customWidth="1"/>
    <col min="16" max="16" width="11.42578125" customWidth="1"/>
    <col min="17" max="17" width="14.85546875" customWidth="1"/>
    <col min="18" max="19" width="3.140625" customWidth="1"/>
    <col min="34" max="34" width="8.42578125" customWidth="1"/>
    <col min="35" max="35" width="4.42578125" customWidth="1"/>
    <col min="36" max="36" width="3.28515625" customWidth="1"/>
    <col min="37" max="37" width="22.5703125" customWidth="1"/>
    <col min="38" max="38" width="13.7109375" customWidth="1"/>
    <col min="39" max="39" width="19.28515625" customWidth="1"/>
    <col min="40" max="40" width="13.7109375" customWidth="1"/>
    <col min="41" max="41" width="18.7109375" customWidth="1"/>
    <col min="42" max="42" width="22.7109375" customWidth="1"/>
    <col min="43" max="43" width="2.7109375" customWidth="1"/>
    <col min="44" max="44" width="4.42578125" customWidth="1"/>
    <col min="45" max="45" width="4.7109375" customWidth="1"/>
    <col min="46" max="46" width="7.7109375" hidden="1" customWidth="1"/>
    <col min="47" max="47" width="6.42578125" hidden="1" customWidth="1"/>
    <col min="48" max="51" width="6.5703125" hidden="1" customWidth="1"/>
    <col min="52" max="52" width="17.42578125" hidden="1" customWidth="1"/>
    <col min="53" max="53" width="33.5703125" hidden="1" customWidth="1"/>
    <col min="54" max="54" width="25.28515625" hidden="1" customWidth="1"/>
    <col min="55" max="58" width="20.7109375" hidden="1" customWidth="1"/>
    <col min="59" max="59" width="16.7109375" hidden="1" customWidth="1"/>
    <col min="60" max="61" width="16.28515625" hidden="1" customWidth="1"/>
  </cols>
  <sheetData>
    <row r="1" spans="1:44" ht="13.5" thickBot="1" x14ac:dyDescent="0.25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</row>
    <row r="2" spans="1:44" ht="33.75" x14ac:dyDescent="0.5">
      <c r="A2" s="181"/>
      <c r="B2" s="181"/>
      <c r="C2" s="181"/>
      <c r="D2" s="182" t="s">
        <v>0</v>
      </c>
      <c r="E2" s="181"/>
      <c r="F2" s="181"/>
      <c r="G2" s="181"/>
      <c r="H2" s="181"/>
      <c r="I2" s="181"/>
      <c r="J2" s="181"/>
      <c r="K2" s="181"/>
      <c r="L2" s="288"/>
      <c r="M2" s="335" t="s">
        <v>118</v>
      </c>
      <c r="N2" s="336"/>
      <c r="O2" s="336"/>
      <c r="P2" s="336"/>
      <c r="Q2" s="336"/>
      <c r="R2" s="289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K2" s="7"/>
    </row>
    <row r="3" spans="1:44" ht="15.75" x14ac:dyDescent="0.25">
      <c r="A3" s="181"/>
      <c r="B3" s="181"/>
      <c r="C3" s="181"/>
      <c r="D3" s="183"/>
      <c r="E3" s="181"/>
      <c r="F3" s="181"/>
      <c r="G3" s="181"/>
      <c r="H3" s="181"/>
      <c r="I3" s="181"/>
      <c r="J3" s="181"/>
      <c r="K3" s="181"/>
      <c r="L3" s="292"/>
      <c r="M3" s="347" t="s">
        <v>120</v>
      </c>
      <c r="N3" s="348"/>
      <c r="O3" s="348"/>
      <c r="P3" s="348"/>
      <c r="Q3" s="348"/>
      <c r="R3" s="29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K3" s="4"/>
      <c r="AO3" s="4"/>
      <c r="AP3" s="337"/>
      <c r="AQ3" s="338"/>
    </row>
    <row r="4" spans="1:44" ht="90.6" customHeight="1" x14ac:dyDescent="0.2">
      <c r="A4" s="181"/>
      <c r="B4" s="181"/>
      <c r="C4" s="181"/>
      <c r="D4" s="341" t="s">
        <v>119</v>
      </c>
      <c r="E4" s="341"/>
      <c r="F4" s="341"/>
      <c r="G4" s="341"/>
      <c r="H4" s="341"/>
      <c r="I4" s="341"/>
      <c r="J4" s="341"/>
      <c r="K4" s="341"/>
      <c r="L4" s="290"/>
      <c r="M4" s="348"/>
      <c r="N4" s="348"/>
      <c r="O4" s="348"/>
      <c r="P4" s="348"/>
      <c r="Q4" s="348"/>
      <c r="R4" s="29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1"/>
      <c r="AE4" s="181"/>
      <c r="AF4" s="181"/>
    </row>
    <row r="5" spans="1:44" ht="15.75" x14ac:dyDescent="0.25">
      <c r="A5" s="181"/>
      <c r="B5" s="181"/>
      <c r="C5" s="181"/>
      <c r="D5" s="183"/>
      <c r="E5" s="181"/>
      <c r="F5" s="181"/>
      <c r="G5" s="181"/>
      <c r="H5" s="181"/>
      <c r="I5" s="181"/>
      <c r="J5" s="181"/>
      <c r="K5" s="181"/>
      <c r="L5" s="292"/>
      <c r="M5" s="348"/>
      <c r="N5" s="348"/>
      <c r="O5" s="348"/>
      <c r="P5" s="348"/>
      <c r="Q5" s="348"/>
      <c r="R5" s="29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K5" s="4"/>
      <c r="AO5" s="4"/>
      <c r="AP5" s="5"/>
      <c r="AQ5" s="6"/>
    </row>
    <row r="6" spans="1:44" ht="15.75" thickBot="1" x14ac:dyDescent="0.25">
      <c r="A6" s="181"/>
      <c r="B6" s="181"/>
      <c r="C6" s="181"/>
      <c r="D6" s="183"/>
      <c r="E6" s="181"/>
      <c r="F6" s="181"/>
      <c r="G6" s="181"/>
      <c r="H6" s="181"/>
      <c r="I6" s="181"/>
      <c r="J6" s="181"/>
      <c r="K6" s="181"/>
      <c r="L6" s="292"/>
      <c r="M6" s="293"/>
      <c r="N6" s="293"/>
      <c r="O6" s="293"/>
      <c r="P6" s="293"/>
      <c r="Q6" s="293"/>
      <c r="R6" s="29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</row>
    <row r="7" spans="1:44" ht="18.75" customHeight="1" thickBot="1" x14ac:dyDescent="0.3">
      <c r="A7" s="181"/>
      <c r="B7" s="181"/>
      <c r="C7" s="181"/>
      <c r="D7" s="184" t="s">
        <v>1</v>
      </c>
      <c r="E7" s="328"/>
      <c r="F7" s="329"/>
      <c r="G7" s="329"/>
      <c r="H7" s="330"/>
      <c r="I7" s="181"/>
      <c r="J7" s="181"/>
      <c r="K7" s="181"/>
      <c r="L7" s="292"/>
      <c r="M7" s="344" t="s">
        <v>121</v>
      </c>
      <c r="N7" s="345"/>
      <c r="O7" s="345"/>
      <c r="P7" s="345"/>
      <c r="Q7" s="346"/>
      <c r="R7" s="29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K7" s="4"/>
      <c r="AO7" s="4"/>
      <c r="AP7" s="337"/>
      <c r="AQ7" s="338"/>
    </row>
    <row r="8" spans="1:44" ht="23.25" thickBot="1" x14ac:dyDescent="0.25">
      <c r="A8" s="181"/>
      <c r="B8" s="181"/>
      <c r="C8" s="181"/>
      <c r="D8" s="185"/>
      <c r="E8" s="186"/>
      <c r="F8" s="186"/>
      <c r="G8" s="186"/>
      <c r="H8" s="186"/>
      <c r="I8" s="181"/>
      <c r="J8" s="181"/>
      <c r="K8" s="181"/>
      <c r="L8" s="292"/>
      <c r="M8" s="261" t="s">
        <v>21</v>
      </c>
      <c r="N8" s="262" t="s">
        <v>59</v>
      </c>
      <c r="O8" s="263" t="s">
        <v>108</v>
      </c>
      <c r="P8" s="298" t="s">
        <v>60</v>
      </c>
      <c r="Q8" s="264" t="s">
        <v>61</v>
      </c>
      <c r="R8" s="29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1"/>
    </row>
    <row r="9" spans="1:44" ht="21" customHeight="1" thickBot="1" x14ac:dyDescent="0.3">
      <c r="A9" s="181"/>
      <c r="B9" s="181"/>
      <c r="C9" s="181"/>
      <c r="D9" s="185" t="s">
        <v>2</v>
      </c>
      <c r="E9" s="331"/>
      <c r="F9" s="332"/>
      <c r="G9" s="186"/>
      <c r="H9" s="186"/>
      <c r="I9" s="181"/>
      <c r="J9" s="181"/>
      <c r="K9" s="181"/>
      <c r="L9" s="292"/>
      <c r="M9" s="33" t="s">
        <v>65</v>
      </c>
      <c r="N9" s="278"/>
      <c r="O9" s="253" t="s">
        <v>109</v>
      </c>
      <c r="P9" s="299" t="str" cm="1">
        <f t="array" ref="P9">IFERROR(_xlfn.IFS(N9=Sheet2!C6,Sheet2!E6,N9=Sheet2!C7,Sheet2!E7),"")</f>
        <v/>
      </c>
      <c r="Q9" s="178" t="str" cm="1">
        <f t="array" ref="Q9">IFERROR(_xlfn.IFS(N9=Sheet2!C6,Sheet2!F6,N9=Sheet2!C7,Sheet2!F7),"")</f>
        <v/>
      </c>
      <c r="R9" s="29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K9" s="4"/>
      <c r="AO9" s="4"/>
      <c r="AP9" s="5"/>
      <c r="AQ9" s="6"/>
    </row>
    <row r="10" spans="1:44" ht="15" thickBot="1" x14ac:dyDescent="0.25">
      <c r="A10" s="181"/>
      <c r="B10" s="181"/>
      <c r="C10" s="181"/>
      <c r="D10" s="185"/>
      <c r="E10" s="186"/>
      <c r="F10" s="186"/>
      <c r="G10" s="186"/>
      <c r="H10" s="186"/>
      <c r="I10" s="181"/>
      <c r="J10" s="181"/>
      <c r="K10" s="181"/>
      <c r="L10" s="292"/>
      <c r="M10" s="33" t="s">
        <v>56</v>
      </c>
      <c r="N10" s="279"/>
      <c r="O10" s="254" t="s">
        <v>110</v>
      </c>
      <c r="P10" s="299" t="str" cm="1">
        <f t="array" ref="P10">IFERROR(_xlfn.IFS(N10=Sheet2!C8,Sheet2!E8,N10=Sheet2!C9,Sheet2!E9,N10=Sheet2!C10,Sheet2!E10,N10=Sheet2!C11,Sheet2!E11),"")</f>
        <v/>
      </c>
      <c r="Q10" s="178" t="str" cm="1">
        <f t="array" ref="Q10">IFERROR(_xlfn.IFS(N10=Sheet2!C8,Sheet2!F8,N10=Sheet2!C9,Sheet2!F9,N10=Sheet2!C10,Sheet2!F10,N10=Sheet2!C11,Sheet2!F11),"")</f>
        <v/>
      </c>
      <c r="R10" s="29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</row>
    <row r="11" spans="1:44" ht="21" customHeight="1" thickBot="1" x14ac:dyDescent="0.25">
      <c r="A11" s="181"/>
      <c r="B11" s="181"/>
      <c r="C11" s="181"/>
      <c r="D11" s="187" t="s">
        <v>3</v>
      </c>
      <c r="E11" s="195"/>
      <c r="F11" s="186" t="s">
        <v>4</v>
      </c>
      <c r="G11" s="186"/>
      <c r="H11" s="186"/>
      <c r="I11" s="181"/>
      <c r="J11" s="181"/>
      <c r="K11" s="181"/>
      <c r="L11" s="292"/>
      <c r="M11" s="29" t="s">
        <v>43</v>
      </c>
      <c r="N11" s="280"/>
      <c r="O11" s="255" t="s">
        <v>111</v>
      </c>
      <c r="P11" s="300" t="str" cm="1">
        <f t="array" ref="P11">IFERROR(_xlfn.IFS(N11=Sheet2!C12,Sheet2!E12,N11=Sheet2!C13,Sheet2!E13,N11=Sheet2!C14,Sheet2!E14,N11=Sheet2!C15,Sheet2!E15),"")</f>
        <v/>
      </c>
      <c r="Q11" s="178" t="str" cm="1">
        <f t="array" ref="Q11">IFERROR(_xlfn.IFS(N11=Sheet2!C12,Sheet2!F12,N11=Sheet2!C13,Sheet2!F13,N11=Sheet2!C14,Sheet2!F14,N11=Sheet2!C15,Sheet2!F15),"")</f>
        <v/>
      </c>
      <c r="R11" s="291"/>
      <c r="S11" s="181"/>
      <c r="T11" s="181"/>
      <c r="U11" s="181"/>
      <c r="V11" s="181"/>
      <c r="W11" s="181"/>
      <c r="X11" s="181"/>
      <c r="Y11" s="181"/>
      <c r="Z11" s="181"/>
      <c r="AA11" s="181"/>
      <c r="AB11" s="181"/>
      <c r="AC11" s="181"/>
      <c r="AD11" s="181"/>
      <c r="AE11" s="181"/>
      <c r="AF11" s="181"/>
    </row>
    <row r="12" spans="1:44" ht="24.75" customHeight="1" thickBot="1" x14ac:dyDescent="0.25">
      <c r="A12" s="181"/>
      <c r="B12" s="181"/>
      <c r="C12" s="181"/>
      <c r="D12" s="188"/>
      <c r="E12" s="186"/>
      <c r="F12" s="186"/>
      <c r="G12" s="186"/>
      <c r="H12" s="186"/>
      <c r="I12" s="181"/>
      <c r="J12" s="181"/>
      <c r="K12" s="181"/>
      <c r="L12" s="292"/>
      <c r="M12" s="28" t="s">
        <v>67</v>
      </c>
      <c r="N12" s="279"/>
      <c r="O12" s="254" t="s">
        <v>122</v>
      </c>
      <c r="P12" s="299" t="str" cm="1">
        <f t="array" ref="P12">IFERROR(_xlfn.IFS(N12=Sheet2!C16,Sheet2!E16,N12=Sheet2!C17,Sheet2!E17,N12=Sheet2!C18,Sheet2!E18),"")</f>
        <v/>
      </c>
      <c r="Q12" s="178" t="str" cm="1">
        <f t="array" ref="Q12">IFERROR(_xlfn.IFS(N12=Sheet2!C16,Sheet2!F16,N12=Sheet2!C17,Sheet2!F17,N12=Sheet2!C18,Sheet2!F18),"")</f>
        <v/>
      </c>
      <c r="R12" s="291"/>
      <c r="S12" s="181"/>
      <c r="T12" s="181"/>
      <c r="U12" s="18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</row>
    <row r="13" spans="1:44" ht="23.25" customHeight="1" thickBot="1" x14ac:dyDescent="0.25">
      <c r="A13" s="181"/>
      <c r="B13" s="181"/>
      <c r="C13" s="181"/>
      <c r="D13" s="185" t="s">
        <v>5</v>
      </c>
      <c r="E13" s="196"/>
      <c r="F13" s="188"/>
      <c r="G13" s="186"/>
      <c r="H13" s="186"/>
      <c r="I13" s="181"/>
      <c r="J13" s="181"/>
      <c r="K13" s="181"/>
      <c r="L13" s="292"/>
      <c r="M13" s="28" t="s">
        <v>47</v>
      </c>
      <c r="N13" s="281"/>
      <c r="O13" s="256" t="s">
        <v>113</v>
      </c>
      <c r="P13" s="301" t="str" cm="1">
        <f t="array" ref="P13">IFERROR(_xlfn.IFS(N13=Sheet2!C19,Sheet2!E19,N13=Sheet2!C20,Sheet2!E20),"")</f>
        <v/>
      </c>
      <c r="Q13" s="175" t="str" cm="1">
        <f t="array" ref="Q13">IFERROR(_xlfn.IFS(N13=Sheet2!C19,Sheet2!F19,N13=Sheet2!C20,Sheet2!F20),"")</f>
        <v/>
      </c>
      <c r="R13" s="291"/>
      <c r="S13" s="181"/>
      <c r="T13" s="181"/>
      <c r="U13" s="181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K13" s="8"/>
      <c r="AL13" s="8"/>
      <c r="AM13" s="8"/>
      <c r="AN13" s="8"/>
      <c r="AP13" s="8"/>
      <c r="AQ13" s="9"/>
      <c r="AR13" s="9"/>
    </row>
    <row r="14" spans="1:44" ht="27.6" customHeight="1" thickBot="1" x14ac:dyDescent="0.35">
      <c r="A14" s="181"/>
      <c r="B14" s="181"/>
      <c r="C14" s="181"/>
      <c r="D14" s="188"/>
      <c r="E14" s="186"/>
      <c r="F14" s="186"/>
      <c r="G14" s="186"/>
      <c r="H14" s="186"/>
      <c r="I14" s="181"/>
      <c r="J14" s="181"/>
      <c r="K14" s="181"/>
      <c r="L14" s="292"/>
      <c r="M14" s="266"/>
      <c r="N14" s="267" t="s">
        <v>103</v>
      </c>
      <c r="O14" s="297" t="s">
        <v>108</v>
      </c>
      <c r="P14" s="268" t="s">
        <v>60</v>
      </c>
      <c r="Q14" s="269" t="s">
        <v>61</v>
      </c>
      <c r="R14" s="29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H14" s="92"/>
      <c r="AP14" s="10"/>
      <c r="AR14" s="11"/>
    </row>
    <row r="15" spans="1:44" ht="21" customHeight="1" thickBot="1" x14ac:dyDescent="0.35">
      <c r="A15" s="181"/>
      <c r="B15" s="181"/>
      <c r="C15" s="181"/>
      <c r="D15" s="185" t="s">
        <v>6</v>
      </c>
      <c r="E15" s="198">
        <f ca="1">TODAY()</f>
        <v>45911</v>
      </c>
      <c r="F15" s="186"/>
      <c r="G15" s="186"/>
      <c r="H15" s="186"/>
      <c r="I15" s="181"/>
      <c r="J15" s="181"/>
      <c r="K15" s="181"/>
      <c r="L15" s="292"/>
      <c r="M15" s="265" t="s">
        <v>41</v>
      </c>
      <c r="N15" s="282"/>
      <c r="O15" s="257" t="s">
        <v>114</v>
      </c>
      <c r="P15" s="271" t="str" cm="1">
        <f t="array" ref="P15">IFERROR(_xlfn.IFS(N15=Sheet2!C26,Sheet2!E26,N15=Sheet2!C27,Sheet2!E27,N15=Sheet2!C28,Sheet2!E28,N15=Sheet2!C29,Sheet2!E29),"")</f>
        <v/>
      </c>
      <c r="Q15" s="272" t="str" cm="1">
        <f t="array" ref="Q15">IFERROR(_xlfn.IFS(N15=Sheet2!C26,Sheet2!F26,N15=Sheet2!C27,Sheet2!F27,N15=Sheet2!C28,Sheet2!F28,N15=Sheet2!C29,Sheet2!F29),"")</f>
        <v/>
      </c>
      <c r="R15" s="291"/>
      <c r="S15" s="181"/>
      <c r="T15" s="181"/>
      <c r="U15" s="181"/>
      <c r="V15" s="181"/>
      <c r="W15" s="181"/>
      <c r="X15" s="181"/>
      <c r="Y15" s="181"/>
      <c r="Z15" s="181"/>
      <c r="AA15" s="181"/>
      <c r="AB15" s="181"/>
      <c r="AC15" s="181"/>
      <c r="AD15" s="181"/>
      <c r="AE15" s="181"/>
      <c r="AF15" s="181"/>
      <c r="AH15" s="92"/>
      <c r="AP15" s="10"/>
    </row>
    <row r="16" spans="1:44" ht="21.75" customHeight="1" x14ac:dyDescent="0.3">
      <c r="A16" s="181"/>
      <c r="B16" s="181"/>
      <c r="C16" s="181"/>
      <c r="D16" s="189"/>
      <c r="E16" s="190"/>
      <c r="F16" s="186"/>
      <c r="G16" s="186"/>
      <c r="H16" s="186"/>
      <c r="I16" s="181"/>
      <c r="J16" s="181"/>
      <c r="K16" s="181"/>
      <c r="L16" s="292"/>
      <c r="M16" s="211" t="s">
        <v>53</v>
      </c>
      <c r="N16" s="283"/>
      <c r="O16" s="258" t="s">
        <v>115</v>
      </c>
      <c r="P16" s="273" t="str" cm="1">
        <f t="array" ref="P16">IFERROR(_xlfn.IFS(N16=Sheet2!C30,Sheet2!E30,N16=Sheet2!C31,Sheet2!E31,N16=Sheet2!C32,Sheet2!E32),"")</f>
        <v/>
      </c>
      <c r="Q16" s="274" t="str" cm="1">
        <f t="array" ref="Q16">IFERROR(_xlfn.IFS(N16=Sheet2!C30,Sheet2!F30,N16=Sheet2!C31,Sheet2!F31,N16=Sheet2!C32,Sheet2!F32),"")</f>
        <v/>
      </c>
      <c r="R16" s="29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H16" s="92"/>
      <c r="AP16" s="12"/>
      <c r="AR16" s="8"/>
    </row>
    <row r="17" spans="1:45" ht="22.5" customHeight="1" x14ac:dyDescent="0.2">
      <c r="A17" s="181"/>
      <c r="B17" s="181"/>
      <c r="C17" s="181"/>
      <c r="D17" s="186"/>
      <c r="E17" s="186"/>
      <c r="F17" s="186"/>
      <c r="G17" s="186"/>
      <c r="H17" s="186"/>
      <c r="I17" s="181"/>
      <c r="J17" s="181"/>
      <c r="K17" s="181"/>
      <c r="L17" s="292"/>
      <c r="M17" s="138" t="s">
        <v>55</v>
      </c>
      <c r="N17" s="284"/>
      <c r="O17" s="259" t="s">
        <v>115</v>
      </c>
      <c r="P17" s="273" t="str" cm="1">
        <f t="array" ref="P17">IFERROR(_xlfn.IFS(N17=Sheet2!C33,Sheet2!E33,N17=Sheet2!C34,Sheet2!E34,N17=Sheet2!C35,Sheet2!E35,N17=Sheet2!C36,Sheet2!E36),"")</f>
        <v/>
      </c>
      <c r="Q17" s="274" t="str" cm="1">
        <f t="array" ref="Q17">IFERROR(_xlfn.IFS(N17=Sheet2!C33,Sheet2!F33,N17=Sheet2!C34,Sheet2!F34,N17=Sheet2!C35,Sheet2!F35,N17=Sheet2!C36,Sheet2!F36),"")</f>
        <v/>
      </c>
      <c r="R17" s="291"/>
      <c r="S17" s="181"/>
      <c r="T17" s="181"/>
      <c r="U17" s="181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1"/>
      <c r="AH17" s="92"/>
      <c r="AP17" s="13"/>
    </row>
    <row r="18" spans="1:45" ht="22.5" customHeight="1" thickBot="1" x14ac:dyDescent="0.25">
      <c r="A18" s="181"/>
      <c r="B18" s="181"/>
      <c r="C18" s="181"/>
      <c r="D18" s="342" t="s">
        <v>7</v>
      </c>
      <c r="E18" s="342"/>
      <c r="F18" s="342"/>
      <c r="G18" s="342"/>
      <c r="H18" s="342"/>
      <c r="I18" s="181"/>
      <c r="J18" s="181"/>
      <c r="K18" s="181"/>
      <c r="L18" s="292"/>
      <c r="M18" s="124" t="s">
        <v>45</v>
      </c>
      <c r="N18" s="285"/>
      <c r="O18" s="260" t="s">
        <v>116</v>
      </c>
      <c r="P18" s="275" t="str" cm="1">
        <f t="array" ref="P18">IFERROR(_xlfn.IFS(N18=Sheet2!C37,Sheet2!E37,N18=Sheet2!C38,Sheet2!E38,N18=Sheet2!C39,Sheet2!E39,N18=Sheet2!C40,Sheet2!E40),"")</f>
        <v/>
      </c>
      <c r="Q18" s="276" t="str" cm="1">
        <f t="array" ref="Q18">IFERROR(_xlfn.IFS(N18=Sheet2!C37,Sheet2!F37,N18=Sheet2!C38,Sheet2!F38,N18=Sheet2!C39,Sheet2!F39,N18=Sheet2!C40,Sheet2!F40),"")</f>
        <v/>
      </c>
      <c r="R18" s="291"/>
      <c r="S18" s="181"/>
      <c r="T18" s="181"/>
      <c r="U18" s="181"/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H18" s="92"/>
      <c r="AP18" s="13"/>
    </row>
    <row r="19" spans="1:45" ht="18" customHeight="1" thickBot="1" x14ac:dyDescent="0.25">
      <c r="A19" s="181"/>
      <c r="B19" s="181"/>
      <c r="C19" s="181"/>
      <c r="D19" s="185" t="s">
        <v>8</v>
      </c>
      <c r="E19" s="186"/>
      <c r="F19" s="197"/>
      <c r="G19" s="191"/>
      <c r="H19" s="192"/>
      <c r="I19" s="181"/>
      <c r="J19" s="181"/>
      <c r="K19" s="181"/>
      <c r="L19" s="292"/>
      <c r="M19" s="293"/>
      <c r="N19" s="293"/>
      <c r="O19" s="293"/>
      <c r="P19" s="293"/>
      <c r="Q19" s="293"/>
      <c r="R19" s="29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H19" s="92"/>
      <c r="AP19" s="13"/>
    </row>
    <row r="20" spans="1:45" ht="18" customHeight="1" x14ac:dyDescent="0.2">
      <c r="A20" s="181"/>
      <c r="B20" s="181"/>
      <c r="C20" s="181"/>
      <c r="D20" s="193"/>
      <c r="E20" s="194"/>
      <c r="F20" s="194"/>
      <c r="G20" s="194"/>
      <c r="H20" s="194"/>
      <c r="I20" s="181"/>
      <c r="J20" s="181"/>
      <c r="K20" s="181"/>
      <c r="L20" s="292"/>
      <c r="M20" s="333"/>
      <c r="N20" s="334"/>
      <c r="O20" s="334"/>
      <c r="P20" s="334"/>
      <c r="Q20" s="334"/>
      <c r="R20" s="29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H20" s="92"/>
      <c r="AP20" s="13"/>
    </row>
    <row r="21" spans="1:45" ht="16.149999999999999" customHeight="1" x14ac:dyDescent="0.2">
      <c r="A21" s="181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292"/>
      <c r="M21" s="334"/>
      <c r="N21" s="334"/>
      <c r="O21" s="334"/>
      <c r="P21" s="334"/>
      <c r="Q21" s="334"/>
      <c r="R21" s="29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H21" s="92"/>
      <c r="AP21" s="13"/>
    </row>
    <row r="22" spans="1:45" ht="33" customHeight="1" thickBot="1" x14ac:dyDescent="0.25">
      <c r="A22" s="181"/>
      <c r="B22" s="181"/>
      <c r="C22" s="181"/>
      <c r="D22" s="343" t="s">
        <v>9</v>
      </c>
      <c r="E22" s="343"/>
      <c r="F22" s="343"/>
      <c r="G22" s="343"/>
      <c r="H22" s="343"/>
      <c r="I22" s="343"/>
      <c r="J22" s="343"/>
      <c r="K22" s="181"/>
      <c r="L22" s="294"/>
      <c r="M22" s="296"/>
      <c r="N22" s="296"/>
      <c r="O22" s="296"/>
      <c r="P22" s="296"/>
      <c r="Q22" s="296"/>
      <c r="R22" s="295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H22" s="92"/>
      <c r="AP22" s="13"/>
    </row>
    <row r="23" spans="1:45" ht="16.5" customHeight="1" x14ac:dyDescent="0.2">
      <c r="A23" s="181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</row>
    <row r="24" spans="1:45" ht="19.5" customHeight="1" x14ac:dyDescent="0.2">
      <c r="A24" s="181"/>
      <c r="B24" s="181"/>
      <c r="C24" s="181"/>
      <c r="D24" s="188" t="s">
        <v>124</v>
      </c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  <c r="AC24" s="181"/>
      <c r="AD24" s="181"/>
      <c r="AE24" s="181"/>
      <c r="AF24" s="181"/>
      <c r="AK24" s="8"/>
    </row>
    <row r="25" spans="1:45" ht="17.25" customHeight="1" x14ac:dyDescent="0.2">
      <c r="A25" s="181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K25" s="21"/>
      <c r="AL25" s="21"/>
      <c r="AM25" s="21"/>
      <c r="AN25" s="21"/>
      <c r="AO25" s="21"/>
      <c r="AP25" s="8"/>
      <c r="AQ25" s="8"/>
      <c r="AR25" s="21"/>
      <c r="AS25" s="21"/>
    </row>
    <row r="26" spans="1:45" ht="12" customHeight="1" x14ac:dyDescent="0.2">
      <c r="A26" s="181"/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1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K26" s="21"/>
      <c r="AL26" s="21"/>
      <c r="AM26" s="21"/>
      <c r="AN26" s="21"/>
      <c r="AO26" s="21"/>
      <c r="AP26" s="8"/>
      <c r="AQ26" s="8"/>
      <c r="AR26" s="21"/>
      <c r="AS26" s="21"/>
    </row>
    <row r="27" spans="1:45" ht="18" customHeight="1" x14ac:dyDescent="0.2">
      <c r="A27" s="181"/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K27" s="13"/>
      <c r="AP27" s="14"/>
      <c r="AQ27" s="8"/>
      <c r="AR27" s="13"/>
      <c r="AS27" s="13"/>
    </row>
    <row r="28" spans="1:45" ht="18" customHeight="1" x14ac:dyDescent="0.2">
      <c r="A28" s="181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81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  <c r="AE28" s="181"/>
      <c r="AF28" s="181"/>
      <c r="AP28" s="8"/>
      <c r="AQ28" s="8"/>
      <c r="AR28" s="13"/>
      <c r="AS28" s="13"/>
    </row>
    <row r="29" spans="1:45" ht="18" customHeight="1" x14ac:dyDescent="0.2">
      <c r="A29" s="181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P29" s="8"/>
      <c r="AQ29" s="8"/>
      <c r="AR29" s="13"/>
      <c r="AS29" s="13"/>
    </row>
    <row r="30" spans="1:45" ht="18" customHeight="1" x14ac:dyDescent="0.2">
      <c r="A30" s="181"/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1"/>
      <c r="AE30" s="181"/>
      <c r="AF30" s="181"/>
      <c r="AP30" s="15"/>
      <c r="AQ30" s="8"/>
      <c r="AR30" s="13"/>
      <c r="AS30" s="13"/>
    </row>
    <row r="31" spans="1:45" ht="18" customHeight="1" x14ac:dyDescent="0.2">
      <c r="A31" s="181"/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  <c r="O31" s="181"/>
      <c r="P31" s="181"/>
      <c r="Q31" s="181"/>
      <c r="R31" s="181"/>
      <c r="S31" s="181"/>
      <c r="T31" s="181"/>
      <c r="U31" s="181"/>
      <c r="V31" s="181"/>
      <c r="W31" s="181"/>
      <c r="X31" s="181"/>
      <c r="Y31" s="181"/>
      <c r="Z31" s="181"/>
      <c r="AA31" s="181"/>
      <c r="AB31" s="181"/>
      <c r="AC31" s="181"/>
      <c r="AD31" s="181"/>
      <c r="AE31" s="181"/>
      <c r="AF31" s="181"/>
      <c r="AP31" s="8"/>
      <c r="AQ31" s="8"/>
      <c r="AR31" s="13"/>
      <c r="AS31" s="13"/>
    </row>
    <row r="32" spans="1:45" ht="15" customHeight="1" x14ac:dyDescent="0.2">
      <c r="A32" s="181"/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1"/>
      <c r="U32" s="181"/>
      <c r="V32" s="181"/>
      <c r="W32" s="181"/>
      <c r="X32" s="181"/>
      <c r="Y32" s="181"/>
      <c r="Z32" s="181"/>
      <c r="AA32" s="181"/>
      <c r="AB32" s="181"/>
      <c r="AC32" s="181"/>
      <c r="AD32" s="181"/>
      <c r="AE32" s="181"/>
      <c r="AF32" s="181"/>
    </row>
    <row r="33" spans="1:58" ht="16.5" customHeight="1" x14ac:dyDescent="0.2">
      <c r="A33" s="181"/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K33" s="8"/>
      <c r="AQ33" s="8"/>
      <c r="AS33" s="16"/>
    </row>
    <row r="34" spans="1:58" ht="21" customHeight="1" x14ac:dyDescent="0.2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1"/>
      <c r="X34" s="181"/>
      <c r="Y34" s="181"/>
      <c r="Z34" s="181"/>
      <c r="AA34" s="181"/>
      <c r="AB34" s="181"/>
      <c r="AC34" s="181"/>
      <c r="AD34" s="181"/>
      <c r="AE34" s="181"/>
      <c r="AF34" s="181"/>
      <c r="AK34" s="8"/>
      <c r="AQ34" s="8"/>
      <c r="AS34" s="16"/>
    </row>
    <row r="35" spans="1:58" ht="30" customHeight="1" thickBot="1" x14ac:dyDescent="0.3">
      <c r="A35" s="181"/>
      <c r="B35" s="181"/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  <c r="O35" s="181"/>
      <c r="P35" s="181"/>
      <c r="Q35" s="181"/>
      <c r="R35" s="181"/>
      <c r="S35" s="181"/>
      <c r="T35" s="181"/>
      <c r="U35" s="181"/>
      <c r="V35" s="181"/>
      <c r="W35" s="181"/>
      <c r="X35" s="181"/>
      <c r="Y35" s="181"/>
      <c r="Z35" s="181"/>
      <c r="AA35" s="181"/>
      <c r="AB35" s="181"/>
      <c r="AC35" s="181"/>
      <c r="AD35" s="181"/>
      <c r="AE35" s="181"/>
      <c r="AF35" s="181"/>
      <c r="AJ35" s="3"/>
      <c r="AK35" s="17"/>
      <c r="AL35" s="3"/>
      <c r="AM35" s="3"/>
      <c r="AN35" s="3"/>
      <c r="AO35" s="17"/>
      <c r="AP35" s="18"/>
      <c r="AQ35" s="19"/>
      <c r="AZ35" s="8" t="s">
        <v>10</v>
      </c>
      <c r="BA35" s="68" t="str">
        <f ca="1">IF(OR(ISBLANK(babyName), ISBLANK(DoB), ISBLANK(date), ISBLANK(InputWeight)), "Error", "No Error")</f>
        <v>Error</v>
      </c>
      <c r="BB35" s="302" t="s">
        <v>99</v>
      </c>
      <c r="BC35" s="302"/>
      <c r="BD35" s="302"/>
      <c r="BE35" s="302"/>
      <c r="BF35" s="302"/>
    </row>
    <row r="36" spans="1:58" ht="10.15" customHeight="1" thickTop="1" x14ac:dyDescent="0.25">
      <c r="A36" s="181"/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J36" s="82"/>
      <c r="AK36" s="114"/>
      <c r="AL36" s="115"/>
      <c r="AM36" s="115"/>
      <c r="AN36" s="115"/>
      <c r="AO36" s="114"/>
      <c r="AP36" s="116"/>
      <c r="AQ36" s="117"/>
      <c r="AR36" s="1"/>
      <c r="BB36" s="13"/>
    </row>
    <row r="37" spans="1:58" ht="33" customHeight="1" x14ac:dyDescent="0.2">
      <c r="A37" s="181"/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J37" s="1"/>
      <c r="AK37" s="305" t="s">
        <v>123</v>
      </c>
      <c r="AL37" s="305"/>
      <c r="AM37" s="305"/>
      <c r="AN37" s="305"/>
      <c r="AO37" s="305"/>
      <c r="AP37" s="305"/>
      <c r="AQ37" s="113"/>
      <c r="AR37" s="108"/>
      <c r="AS37" s="60"/>
      <c r="AT37" s="60"/>
      <c r="AU37" s="57"/>
      <c r="AV37" s="57"/>
      <c r="AW37" s="57"/>
      <c r="AX37" s="57"/>
      <c r="AY37" s="57"/>
    </row>
    <row r="38" spans="1:58" ht="8.65" customHeight="1" thickBot="1" x14ac:dyDescent="0.25">
      <c r="A38" s="181"/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J38" s="131"/>
      <c r="AK38" s="62"/>
      <c r="AL38" s="83"/>
      <c r="AM38" s="83"/>
      <c r="AN38" s="83"/>
      <c r="AO38" s="83"/>
      <c r="AP38" s="83"/>
      <c r="AQ38" s="89"/>
      <c r="AR38" s="83"/>
      <c r="AS38" s="83"/>
      <c r="AT38" s="13"/>
      <c r="AU38" s="13"/>
      <c r="AV38" s="13"/>
      <c r="AW38" s="13"/>
      <c r="AX38" s="13"/>
      <c r="AY38" s="13"/>
    </row>
    <row r="39" spans="1:58" ht="19.149999999999999" customHeight="1" x14ac:dyDescent="0.2">
      <c r="A39" s="181"/>
      <c r="B39" s="181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J39" s="131"/>
      <c r="AK39" s="84" t="s">
        <v>11</v>
      </c>
      <c r="AL39" s="85" t="str">
        <f>IF(ISBLANK( babyName), "Error please add baby name", $E$7)</f>
        <v>Error please add baby name</v>
      </c>
      <c r="AM39" s="132"/>
      <c r="AN39" s="66" t="s">
        <v>12</v>
      </c>
      <c r="AO39" s="109" t="str">
        <f>IF(ISBLANK(DoB), "Error please add DoB", $E$13)</f>
        <v>Error please add DoB</v>
      </c>
      <c r="AP39" s="83"/>
      <c r="AQ39" s="2"/>
    </row>
    <row r="40" spans="1:58" ht="19.149999999999999" customHeight="1" thickBot="1" x14ac:dyDescent="0.25">
      <c r="A40" s="181"/>
      <c r="B40" s="181"/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J40" s="131"/>
      <c r="AK40" s="86" t="s">
        <v>13</v>
      </c>
      <c r="AL40" s="87" t="str">
        <f>IF(ISBLANK(callNumber),"Error please add call number",callNumber )</f>
        <v>Error please add call number</v>
      </c>
      <c r="AM40" s="133"/>
      <c r="AN40" s="67" t="s">
        <v>14</v>
      </c>
      <c r="AO40" s="110" t="str">
        <f ca="1">IF(ErrorCheck="Error","Error please check inputs",InputWeight)</f>
        <v>Error please check inputs</v>
      </c>
      <c r="AP40" s="13"/>
      <c r="AQ40" s="23"/>
    </row>
    <row r="41" spans="1:58" ht="11.1" customHeight="1" thickBot="1" x14ac:dyDescent="0.25">
      <c r="A41" s="181"/>
      <c r="B41" s="181"/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  <c r="AF41" s="181"/>
      <c r="AG41" s="68"/>
      <c r="AH41" s="68"/>
      <c r="AI41" s="68"/>
      <c r="AJ41" s="131"/>
      <c r="AK41" s="83"/>
      <c r="AL41" s="83"/>
      <c r="AM41" s="83"/>
      <c r="AN41" s="83"/>
      <c r="AO41" s="83"/>
      <c r="AP41" s="83"/>
      <c r="AQ41" s="89"/>
      <c r="AR41" s="83"/>
      <c r="AS41" s="83"/>
      <c r="AT41" s="13"/>
      <c r="AU41" s="83"/>
      <c r="AV41" s="83"/>
      <c r="AW41" s="83"/>
      <c r="AX41" s="83"/>
      <c r="AY41" s="83"/>
      <c r="AZ41" s="89" t="s">
        <v>15</v>
      </c>
      <c r="BA41" s="90" t="s">
        <v>16</v>
      </c>
      <c r="BB41" s="13" t="s">
        <v>17</v>
      </c>
    </row>
    <row r="42" spans="1:58" ht="14.1" customHeight="1" thickBot="1" x14ac:dyDescent="0.25">
      <c r="A42" s="181"/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  <c r="AF42" s="181"/>
      <c r="AG42" s="68"/>
      <c r="AH42" s="68"/>
      <c r="AI42" s="68"/>
      <c r="AJ42" s="131"/>
      <c r="AK42" s="24" t="s">
        <v>18</v>
      </c>
      <c r="AL42" s="25"/>
      <c r="AM42" s="25"/>
      <c r="AN42" s="25"/>
      <c r="AO42" s="134"/>
      <c r="AP42" s="44"/>
      <c r="AQ42" s="135"/>
      <c r="AZ42" s="13" t="s">
        <v>19</v>
      </c>
      <c r="BA42" t="str">
        <f ca="1">IF(ErrorCheck = "Error", "Error", 100)</f>
        <v>Error</v>
      </c>
      <c r="BB42" t="s">
        <v>20</v>
      </c>
    </row>
    <row r="43" spans="1:58" ht="23.25" customHeight="1" x14ac:dyDescent="0.2">
      <c r="A43" s="181"/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68"/>
      <c r="AH43" s="68"/>
      <c r="AI43" s="68"/>
      <c r="AJ43" s="131"/>
      <c r="AK43" s="27" t="s">
        <v>21</v>
      </c>
      <c r="AL43" s="339" t="s">
        <v>22</v>
      </c>
      <c r="AM43" s="340"/>
      <c r="AN43" s="53" t="s">
        <v>23</v>
      </c>
      <c r="AO43" s="54" t="s">
        <v>24</v>
      </c>
      <c r="AP43" s="44"/>
      <c r="AQ43" s="135"/>
      <c r="AZ43" s="13" t="s">
        <v>25</v>
      </c>
      <c r="BA43" t="str">
        <f ca="1">IF(ErrorCheck="Error", "Error", 0.22)</f>
        <v>Error</v>
      </c>
      <c r="BB43" s="13" t="s">
        <v>26</v>
      </c>
    </row>
    <row r="44" spans="1:58" ht="13.15" customHeight="1" x14ac:dyDescent="0.2">
      <c r="A44" s="181"/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68"/>
      <c r="AH44" s="68"/>
      <c r="AI44" s="68"/>
      <c r="AJ44" s="131"/>
      <c r="AK44" s="28" t="s">
        <v>27</v>
      </c>
      <c r="AL44" s="118">
        <v>0.2</v>
      </c>
      <c r="AM44" s="129" t="e">
        <f ca="1">AL44*adrenalineConcentration</f>
        <v>#VALUE!</v>
      </c>
      <c r="AN44" s="130" t="e">
        <f ca="1">Weight*AM44</f>
        <v>#VALUE!</v>
      </c>
      <c r="AO44" s="166" t="e">
        <f ca="1">Weight*AL44</f>
        <v>#VALUE!</v>
      </c>
      <c r="AP44" s="44"/>
      <c r="AQ44" s="89"/>
    </row>
    <row r="45" spans="1:58" ht="13.15" customHeight="1" x14ac:dyDescent="0.2">
      <c r="A45" s="181"/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  <c r="AF45" s="181"/>
      <c r="AG45" s="68"/>
      <c r="AH45" s="68"/>
      <c r="AI45" s="68"/>
      <c r="AJ45" s="131"/>
      <c r="AK45" s="29" t="s">
        <v>28</v>
      </c>
      <c r="AL45" s="119">
        <v>0.5</v>
      </c>
      <c r="AM45" s="97" t="e">
        <f ca="1">AL45 * calciumConcentration</f>
        <v>#VALUE!</v>
      </c>
      <c r="AN45" s="98" t="e">
        <f ca="1">Weight*AM45</f>
        <v>#VALUE!</v>
      </c>
      <c r="AO45" s="165" t="e">
        <f ca="1">Weight*AL45</f>
        <v>#VALUE!</v>
      </c>
      <c r="AP45" s="44"/>
      <c r="AQ45" s="89"/>
    </row>
    <row r="46" spans="1:58" ht="13.15" customHeight="1" x14ac:dyDescent="0.2">
      <c r="A46" s="181"/>
      <c r="B46" s="181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68"/>
      <c r="AH46" s="68"/>
      <c r="AI46" s="68"/>
      <c r="AJ46" s="131"/>
      <c r="AK46" s="120" t="s">
        <v>29</v>
      </c>
      <c r="AL46" s="168">
        <v>4</v>
      </c>
      <c r="AM46" s="121" t="s">
        <v>30</v>
      </c>
      <c r="AN46" s="122"/>
      <c r="AO46" s="123" t="e">
        <f ca="1">Weight*AL46</f>
        <v>#VALUE!</v>
      </c>
      <c r="AP46" s="44"/>
      <c r="AQ46" s="89"/>
    </row>
    <row r="47" spans="1:58" ht="14.65" customHeight="1" thickBot="1" x14ac:dyDescent="0.25">
      <c r="A47" s="181"/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68"/>
      <c r="AH47" s="68"/>
      <c r="AI47" s="68"/>
      <c r="AJ47" s="131"/>
      <c r="AK47" s="124" t="s">
        <v>31</v>
      </c>
      <c r="AL47" s="167">
        <v>10</v>
      </c>
      <c r="AM47" s="125"/>
      <c r="AN47" s="126"/>
      <c r="AO47" s="127" t="e">
        <f ca="1">Weight*AL47</f>
        <v>#VALUE!</v>
      </c>
      <c r="AP47" s="44"/>
      <c r="AQ47" s="89"/>
    </row>
    <row r="48" spans="1:58" ht="14.1" customHeight="1" x14ac:dyDescent="0.2">
      <c r="A48" s="181"/>
      <c r="B48" s="181"/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181"/>
      <c r="AG48" s="68"/>
      <c r="AH48" s="68"/>
      <c r="AI48" s="68"/>
      <c r="AJ48" s="131"/>
      <c r="AK48" s="39"/>
      <c r="AL48" s="307" t="s">
        <v>32</v>
      </c>
      <c r="AM48" s="308"/>
      <c r="AN48" s="307" t="s">
        <v>33</v>
      </c>
      <c r="AO48" s="309"/>
      <c r="AP48" s="44"/>
      <c r="AQ48" s="89"/>
    </row>
    <row r="49" spans="1:58" ht="14.1" customHeight="1" thickBot="1" x14ac:dyDescent="0.25">
      <c r="A49" s="181"/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68"/>
      <c r="AH49" s="68"/>
      <c r="AI49" s="68"/>
      <c r="AJ49" s="131"/>
      <c r="AK49" s="124" t="s">
        <v>34</v>
      </c>
      <c r="AL49" s="99">
        <v>2</v>
      </c>
      <c r="AM49" s="100">
        <v>5</v>
      </c>
      <c r="AN49" s="99" t="e">
        <f ca="1">Weight*AL49</f>
        <v>#VALUE!</v>
      </c>
      <c r="AO49" s="101" t="e">
        <f ca="1">Weight*AM49</f>
        <v>#VALUE!</v>
      </c>
      <c r="AP49" s="44"/>
      <c r="AQ49" s="135"/>
    </row>
    <row r="50" spans="1:58" ht="10.15" customHeight="1" thickBot="1" x14ac:dyDescent="0.25">
      <c r="A50" s="181"/>
      <c r="B50" s="181"/>
      <c r="C50" s="181"/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68"/>
      <c r="AH50" s="68"/>
      <c r="AI50" s="68"/>
      <c r="AJ50" s="131"/>
      <c r="AK50" s="44"/>
      <c r="AL50" s="44"/>
      <c r="AM50" s="44"/>
      <c r="AN50" s="44"/>
      <c r="AO50" s="44"/>
      <c r="AP50" s="44"/>
      <c r="AQ50" s="136"/>
      <c r="AR50" s="44"/>
      <c r="AS50" s="137"/>
    </row>
    <row r="51" spans="1:58" ht="14.1" customHeight="1" thickBot="1" x14ac:dyDescent="0.25">
      <c r="A51" s="181"/>
      <c r="B51" s="181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68"/>
      <c r="AH51" s="68"/>
      <c r="AI51" s="68"/>
      <c r="AJ51" s="131"/>
      <c r="AK51" s="24" t="s">
        <v>36</v>
      </c>
      <c r="AL51" s="25"/>
      <c r="AM51" s="26"/>
      <c r="AN51" s="44"/>
      <c r="AO51" s="44"/>
      <c r="AP51" s="44"/>
      <c r="AQ51" s="136"/>
      <c r="AR51" s="13"/>
      <c r="AS51" s="13"/>
    </row>
    <row r="52" spans="1:58" ht="22.9" customHeight="1" x14ac:dyDescent="0.2">
      <c r="A52" s="181"/>
      <c r="B52" s="181"/>
      <c r="C52" s="181"/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68"/>
      <c r="AH52" s="68"/>
      <c r="AI52" s="68"/>
      <c r="AJ52" s="131"/>
      <c r="AK52" s="27" t="s">
        <v>21</v>
      </c>
      <c r="AL52" s="53" t="s">
        <v>22</v>
      </c>
      <c r="AM52" s="61" t="s">
        <v>23</v>
      </c>
      <c r="AN52" s="44"/>
      <c r="AQ52" s="136"/>
      <c r="AR52" s="83"/>
      <c r="AS52" s="83"/>
    </row>
    <row r="53" spans="1:58" ht="13.15" customHeight="1" x14ac:dyDescent="0.2">
      <c r="A53" s="181"/>
      <c r="B53" s="181"/>
      <c r="C53" s="181"/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68"/>
      <c r="AH53" s="68"/>
      <c r="AI53" s="68"/>
      <c r="AJ53" s="131"/>
      <c r="AK53" s="29" t="s">
        <v>40</v>
      </c>
      <c r="AL53" s="102">
        <v>20</v>
      </c>
      <c r="AM53" s="171" t="e">
        <f ca="1">Weight*AL53</f>
        <v>#VALUE!</v>
      </c>
      <c r="AN53" s="44"/>
      <c r="AQ53" s="136"/>
      <c r="AR53" s="83"/>
      <c r="AS53" s="83"/>
    </row>
    <row r="54" spans="1:58" ht="13.15" customHeight="1" x14ac:dyDescent="0.2">
      <c r="A54" s="181"/>
      <c r="B54" s="181"/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181"/>
      <c r="AF54" s="181"/>
      <c r="AG54" s="68"/>
      <c r="AH54" s="68"/>
      <c r="AI54" s="68"/>
      <c r="AJ54" s="131"/>
      <c r="AK54" s="138" t="s">
        <v>42</v>
      </c>
      <c r="AL54" s="169">
        <v>2</v>
      </c>
      <c r="AM54" s="179" t="e">
        <f ca="1">Weight*AL54</f>
        <v>#VALUE!</v>
      </c>
      <c r="AN54" s="44"/>
      <c r="AQ54" s="136"/>
      <c r="AR54" s="83"/>
      <c r="AS54" s="83"/>
    </row>
    <row r="55" spans="1:58" ht="13.15" customHeight="1" x14ac:dyDescent="0.2">
      <c r="A55" s="181"/>
      <c r="B55" s="181"/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181"/>
      <c r="AF55" s="181"/>
      <c r="AG55" s="68"/>
      <c r="AH55" s="68"/>
      <c r="AI55" s="68"/>
      <c r="AJ55" s="131"/>
      <c r="AK55" s="29" t="s">
        <v>44</v>
      </c>
      <c r="AL55" s="102">
        <v>100</v>
      </c>
      <c r="AM55" s="171" t="e">
        <f ca="1">Weight*AL55</f>
        <v>#VALUE!</v>
      </c>
      <c r="AN55" s="44"/>
      <c r="AO55" s="44"/>
      <c r="AP55" s="44"/>
      <c r="AQ55" s="136"/>
      <c r="AR55" s="83"/>
      <c r="AS55" s="83"/>
    </row>
    <row r="56" spans="1:58" ht="13.15" customHeight="1" thickBot="1" x14ac:dyDescent="0.25">
      <c r="A56" s="181"/>
      <c r="B56" s="181"/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68"/>
      <c r="AH56" s="68"/>
      <c r="AI56" s="68"/>
      <c r="AJ56" s="131"/>
      <c r="AK56" s="124" t="s">
        <v>46</v>
      </c>
      <c r="AL56" s="170">
        <v>2</v>
      </c>
      <c r="AM56" s="180" t="e">
        <f ca="1">Weight*AL56</f>
        <v>#VALUE!</v>
      </c>
      <c r="AN56" s="44"/>
      <c r="AO56" s="44"/>
      <c r="AP56" s="44"/>
      <c r="AQ56" s="136"/>
      <c r="AR56" s="83"/>
      <c r="AS56" s="83"/>
    </row>
    <row r="57" spans="1:58" ht="9.6" customHeight="1" thickBot="1" x14ac:dyDescent="0.25">
      <c r="A57" s="181"/>
      <c r="B57" s="181"/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68"/>
      <c r="AH57" s="68"/>
      <c r="AI57" s="68"/>
      <c r="AJ57" s="131"/>
      <c r="AK57" s="44"/>
      <c r="AL57" s="44"/>
      <c r="AM57" s="44"/>
      <c r="AN57" s="44"/>
      <c r="AO57" s="44"/>
      <c r="AP57" s="44"/>
      <c r="AQ57" s="136"/>
      <c r="AR57" s="44"/>
      <c r="AS57" s="83"/>
      <c r="AT57" s="22"/>
    </row>
    <row r="58" spans="1:58" ht="14.1" customHeight="1" thickBot="1" x14ac:dyDescent="0.25">
      <c r="A58" s="181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68"/>
      <c r="AH58" s="68"/>
      <c r="AI58" s="68"/>
      <c r="AJ58" s="131"/>
      <c r="AK58" s="24" t="s">
        <v>48</v>
      </c>
      <c r="AL58" s="25"/>
      <c r="AM58" s="25"/>
      <c r="AN58" s="59"/>
      <c r="AO58" s="139"/>
      <c r="AP58" s="140"/>
      <c r="AQ58" s="136"/>
      <c r="AR58" s="13"/>
    </row>
    <row r="59" spans="1:58" ht="25.9" customHeight="1" x14ac:dyDescent="0.2">
      <c r="A59" s="181"/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68"/>
      <c r="AH59" s="68"/>
      <c r="AI59" s="68"/>
      <c r="AJ59" s="131"/>
      <c r="AK59" s="27" t="s">
        <v>21</v>
      </c>
      <c r="AL59" s="41" t="s">
        <v>49</v>
      </c>
      <c r="AM59" s="41" t="s">
        <v>23</v>
      </c>
      <c r="AN59" s="313" t="s">
        <v>50</v>
      </c>
      <c r="AO59" s="314"/>
      <c r="AP59" s="315"/>
      <c r="AQ59" s="136"/>
    </row>
    <row r="60" spans="1:58" ht="12.6" customHeight="1" x14ac:dyDescent="0.2">
      <c r="A60" s="181"/>
      <c r="B60" s="181"/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68"/>
      <c r="AH60" s="93"/>
      <c r="AI60" s="68"/>
      <c r="AJ60" s="131"/>
      <c r="AK60" s="29" t="s">
        <v>51</v>
      </c>
      <c r="AL60" s="200">
        <v>2.5</v>
      </c>
      <c r="AM60" s="172" t="e">
        <f ca="1">Weight*AL60</f>
        <v>#VALUE!</v>
      </c>
      <c r="AN60" s="310" t="s">
        <v>52</v>
      </c>
      <c r="AO60" s="311"/>
      <c r="AP60" s="312"/>
      <c r="AQ60" s="136"/>
    </row>
    <row r="61" spans="1:58" ht="12.6" customHeight="1" x14ac:dyDescent="0.2">
      <c r="A61" s="181"/>
      <c r="B61" s="181"/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68"/>
      <c r="AH61" s="93"/>
      <c r="AI61" s="68"/>
      <c r="AJ61" s="131"/>
      <c r="AK61" s="28" t="s">
        <v>54</v>
      </c>
      <c r="AL61" s="201">
        <v>20</v>
      </c>
      <c r="AM61" s="172" t="e">
        <f ca="1">Weight*AL61</f>
        <v>#VALUE!</v>
      </c>
      <c r="AN61" s="36"/>
      <c r="AO61" s="88"/>
      <c r="AP61" s="141"/>
      <c r="AQ61" s="65"/>
    </row>
    <row r="62" spans="1:58" ht="12.6" customHeight="1" x14ac:dyDescent="0.2">
      <c r="A62" s="181"/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68"/>
      <c r="AH62" s="93"/>
      <c r="AI62" s="68"/>
      <c r="AJ62" s="131"/>
      <c r="AK62" s="29" t="s">
        <v>47</v>
      </c>
      <c r="AL62" s="102">
        <v>80</v>
      </c>
      <c r="AM62" s="128" t="e">
        <f ca="1">Weight*AL62</f>
        <v>#VALUE!</v>
      </c>
      <c r="AN62" s="142"/>
      <c r="AO62" s="88"/>
      <c r="AP62" s="141"/>
      <c r="AQ62" s="136"/>
    </row>
    <row r="63" spans="1:58" ht="12.6" customHeight="1" x14ac:dyDescent="0.2">
      <c r="A63" s="181"/>
      <c r="B63" s="181"/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68"/>
      <c r="AH63" s="93"/>
      <c r="AI63" s="68"/>
      <c r="AJ63" s="131"/>
      <c r="AK63" s="29" t="s">
        <v>57</v>
      </c>
      <c r="AL63" s="102">
        <v>100</v>
      </c>
      <c r="AM63" s="128" t="e">
        <f ca="1">Weight*AL63</f>
        <v>#VALUE!</v>
      </c>
      <c r="AN63" s="142"/>
      <c r="AO63" s="88"/>
      <c r="AP63" s="141"/>
      <c r="AQ63" s="136"/>
      <c r="AZ63" s="199"/>
      <c r="BA63" s="199"/>
      <c r="BB63" s="199"/>
      <c r="BC63" s="47"/>
      <c r="BD63" s="47"/>
      <c r="BE63" s="47"/>
      <c r="BF63" s="47"/>
    </row>
    <row r="64" spans="1:58" ht="12.6" customHeight="1" thickBot="1" x14ac:dyDescent="0.25">
      <c r="A64" s="181"/>
      <c r="B64" s="181"/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68"/>
      <c r="AH64" s="93"/>
      <c r="AI64" s="68"/>
      <c r="AJ64" s="131"/>
      <c r="AK64" s="202" t="s">
        <v>67</v>
      </c>
      <c r="AL64" s="203">
        <v>600</v>
      </c>
      <c r="AM64" s="204" t="e">
        <f ca="1">Weight*AL64</f>
        <v>#VALUE!</v>
      </c>
      <c r="AN64" s="205"/>
      <c r="AO64" s="206"/>
      <c r="AP64" s="207"/>
      <c r="AQ64" s="136"/>
    </row>
    <row r="65" spans="1:60" ht="10.15" customHeight="1" thickBot="1" x14ac:dyDescent="0.25">
      <c r="A65" s="181"/>
      <c r="B65" s="181"/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68"/>
      <c r="AH65" s="68"/>
      <c r="AI65" s="68"/>
      <c r="AJ65" s="131"/>
      <c r="AK65" s="44"/>
      <c r="AL65" s="44"/>
      <c r="AM65" s="44"/>
      <c r="AN65" s="44"/>
      <c r="AO65" s="44"/>
      <c r="AP65" s="44"/>
      <c r="AQ65" s="136"/>
      <c r="AR65" s="44"/>
      <c r="AS65" s="44"/>
    </row>
    <row r="66" spans="1:60" ht="14.1" customHeight="1" x14ac:dyDescent="0.2">
      <c r="A66" s="181"/>
      <c r="B66" s="181"/>
      <c r="C66" s="181"/>
      <c r="D66" s="181"/>
      <c r="E66" s="181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68"/>
      <c r="AH66" s="68"/>
      <c r="AI66" s="68"/>
      <c r="AJ66" s="131"/>
      <c r="AK66" s="30" t="s">
        <v>121</v>
      </c>
      <c r="AL66" s="31"/>
      <c r="AM66" s="31"/>
      <c r="AN66" s="31"/>
      <c r="AO66" s="31"/>
      <c r="AP66" s="32"/>
      <c r="AQ66" s="2"/>
    </row>
    <row r="67" spans="1:60" ht="32.25" customHeight="1" x14ac:dyDescent="0.2">
      <c r="A67" s="181"/>
      <c r="B67" s="181"/>
      <c r="C67" s="181"/>
      <c r="D67" s="181"/>
      <c r="E67" s="181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181"/>
      <c r="AF67" s="181"/>
      <c r="AG67" s="68"/>
      <c r="AH67" s="68"/>
      <c r="AI67" s="68"/>
      <c r="AJ67" s="131"/>
      <c r="AK67" s="58" t="s">
        <v>21</v>
      </c>
      <c r="AL67" s="313" t="s">
        <v>58</v>
      </c>
      <c r="AM67" s="316"/>
      <c r="AN67" s="43" t="s">
        <v>59</v>
      </c>
      <c r="AO67" s="55" t="s">
        <v>60</v>
      </c>
      <c r="AP67" s="45" t="s">
        <v>61</v>
      </c>
      <c r="AQ67" s="2"/>
      <c r="AV67" s="22"/>
      <c r="AW67" s="22"/>
      <c r="AX67" s="22"/>
      <c r="AY67" s="22"/>
      <c r="BE67" s="21"/>
      <c r="BF67" s="21"/>
      <c r="BG67" s="21"/>
      <c r="BH67" s="21"/>
    </row>
    <row r="68" spans="1:60" s="22" customFormat="1" ht="13.15" customHeight="1" x14ac:dyDescent="0.2">
      <c r="A68" s="186"/>
      <c r="B68" s="186"/>
      <c r="C68" s="186"/>
      <c r="D68" s="186"/>
      <c r="E68" s="186"/>
      <c r="F68" s="186"/>
      <c r="G68" s="186"/>
      <c r="H68" s="186"/>
      <c r="I68" s="186"/>
      <c r="J68" s="186"/>
      <c r="K68" s="186"/>
      <c r="L68" s="186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  <c r="AD68" s="186"/>
      <c r="AE68" s="186"/>
      <c r="AF68" s="186"/>
      <c r="AG68" s="69"/>
      <c r="AH68" s="94"/>
      <c r="AI68" s="69"/>
      <c r="AJ68" s="131"/>
      <c r="AK68" s="33" t="s">
        <v>65</v>
      </c>
      <c r="AL68" s="226" t="s">
        <v>107</v>
      </c>
      <c r="AM68" s="225">
        <v>20</v>
      </c>
      <c r="AN68" s="242">
        <f>$N$9</f>
        <v>0</v>
      </c>
      <c r="AO68" s="177" t="str">
        <f>P9</f>
        <v/>
      </c>
      <c r="AP68" s="178" t="str">
        <f t="shared" ref="AP68:AP72" si="0">Q9</f>
        <v/>
      </c>
      <c r="AQ68" s="23"/>
      <c r="AR68"/>
      <c r="AS68"/>
      <c r="AT68"/>
      <c r="AZ68" s="63"/>
      <c r="BA68" s="21"/>
      <c r="BB68" s="21"/>
      <c r="BC68" s="21"/>
      <c r="BD68" s="21"/>
      <c r="BE68" s="74"/>
    </row>
    <row r="69" spans="1:60" s="22" customFormat="1" ht="13.15" customHeight="1" x14ac:dyDescent="0.2">
      <c r="A69" s="186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69"/>
      <c r="AH69" s="94"/>
      <c r="AI69" s="69"/>
      <c r="AJ69" s="131"/>
      <c r="AK69" s="29" t="s">
        <v>56</v>
      </c>
      <c r="AL69" s="232">
        <v>30</v>
      </c>
      <c r="AM69" s="233">
        <v>60</v>
      </c>
      <c r="AN69" s="103">
        <f>$N$10</f>
        <v>0</v>
      </c>
      <c r="AO69" s="177" t="str">
        <f t="shared" ref="AO69:AO72" si="1">P10</f>
        <v/>
      </c>
      <c r="AP69" s="178" t="str">
        <f t="shared" si="0"/>
        <v/>
      </c>
      <c r="AQ69" s="23"/>
      <c r="AR69"/>
      <c r="AS69"/>
      <c r="AT69"/>
      <c r="AZ69" s="21" t="s">
        <v>62</v>
      </c>
      <c r="BA69" s="91">
        <v>60</v>
      </c>
      <c r="BB69" s="47"/>
      <c r="BC69" s="73"/>
      <c r="BD69" s="74"/>
      <c r="BE69" s="75"/>
    </row>
    <row r="70" spans="1:60" s="22" customFormat="1" ht="13.15" customHeight="1" x14ac:dyDescent="0.2">
      <c r="A70" s="186"/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  <c r="AD70" s="186"/>
      <c r="AE70" s="186"/>
      <c r="AF70" s="186"/>
      <c r="AG70" s="69"/>
      <c r="AH70" s="94"/>
      <c r="AI70" s="69"/>
      <c r="AJ70" s="131"/>
      <c r="AK70" s="138" t="s">
        <v>43</v>
      </c>
      <c r="AL70" s="236" t="s">
        <v>105</v>
      </c>
      <c r="AM70" s="237" t="s">
        <v>106</v>
      </c>
      <c r="AN70" s="173">
        <f>$N$11</f>
        <v>0</v>
      </c>
      <c r="AO70" s="177" t="str">
        <f t="shared" si="1"/>
        <v/>
      </c>
      <c r="AP70" s="178" t="str">
        <f t="shared" si="0"/>
        <v/>
      </c>
      <c r="AQ70" s="23"/>
      <c r="AR70"/>
      <c r="AS70"/>
      <c r="AT70"/>
      <c r="AZ70" s="21" t="s">
        <v>63</v>
      </c>
      <c r="BA70" s="91">
        <f xml:space="preserve"> BD87</f>
        <v>1000.0000000000001</v>
      </c>
      <c r="BC70" s="47"/>
      <c r="BD70" s="75"/>
      <c r="BE70" s="47"/>
    </row>
    <row r="71" spans="1:60" s="22" customFormat="1" ht="14.65" customHeight="1" x14ac:dyDescent="0.2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  <c r="AD71" s="186"/>
      <c r="AE71" s="186"/>
      <c r="AF71" s="186"/>
      <c r="AG71" s="69"/>
      <c r="AH71" s="94"/>
      <c r="AI71" s="69"/>
      <c r="AJ71" s="131"/>
      <c r="AK71" s="28" t="s">
        <v>67</v>
      </c>
      <c r="AL71" s="229">
        <v>300</v>
      </c>
      <c r="AM71" s="238">
        <v>600</v>
      </c>
      <c r="AN71" s="103">
        <f>$N$12</f>
        <v>0</v>
      </c>
      <c r="AO71" s="177" t="str">
        <f t="shared" si="1"/>
        <v/>
      </c>
      <c r="AP71" s="178" t="str">
        <f t="shared" si="0"/>
        <v/>
      </c>
      <c r="AQ71" s="23"/>
      <c r="AZ71" s="21" t="s">
        <v>64</v>
      </c>
      <c r="BA71">
        <f>BB87</f>
        <v>1E-3</v>
      </c>
      <c r="BB71" s="47"/>
      <c r="BC71" s="47"/>
      <c r="BD71" s="47"/>
      <c r="BE71" s="47"/>
    </row>
    <row r="72" spans="1:60" ht="14.1" customHeight="1" thickBot="1" x14ac:dyDescent="0.25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I72" s="68"/>
      <c r="AJ72" s="131"/>
      <c r="AK72" s="28" t="s">
        <v>47</v>
      </c>
      <c r="AL72" s="234">
        <v>50</v>
      </c>
      <c r="AM72" s="235">
        <v>200</v>
      </c>
      <c r="AN72" s="243">
        <f>$N$13</f>
        <v>0</v>
      </c>
      <c r="AO72" s="174" t="str">
        <f t="shared" si="1"/>
        <v/>
      </c>
      <c r="AP72" s="175" t="str">
        <f t="shared" si="0"/>
        <v/>
      </c>
      <c r="AQ72" s="96"/>
      <c r="AR72" s="22"/>
      <c r="AS72" s="22"/>
      <c r="AT72" s="22"/>
      <c r="AV72" s="21"/>
      <c r="AW72" s="21"/>
      <c r="AX72" s="21"/>
      <c r="AY72" s="21"/>
      <c r="AZ72" s="8" t="s">
        <v>66</v>
      </c>
      <c r="BA72" s="83">
        <v>50</v>
      </c>
      <c r="BB72" s="47"/>
      <c r="BC72" s="47"/>
      <c r="BD72" s="47"/>
      <c r="BE72" s="47"/>
    </row>
    <row r="73" spans="1:60" ht="34.5" customHeight="1" x14ac:dyDescent="0.2">
      <c r="A73" s="181"/>
      <c r="B73" s="181"/>
      <c r="C73" s="181"/>
      <c r="D73" s="181"/>
      <c r="E73" s="181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181"/>
      <c r="AF73" s="181"/>
      <c r="AG73" s="68"/>
      <c r="AH73" s="95"/>
      <c r="AI73" s="68"/>
      <c r="AJ73" s="131"/>
      <c r="AK73" s="104"/>
      <c r="AL73" s="326"/>
      <c r="AM73" s="327"/>
      <c r="AN73" s="105" t="s">
        <v>103</v>
      </c>
      <c r="AO73" s="56" t="s">
        <v>60</v>
      </c>
      <c r="AP73" s="42" t="s">
        <v>61</v>
      </c>
      <c r="AQ73" s="2"/>
      <c r="AR73" s="22"/>
      <c r="AS73" s="22"/>
      <c r="AT73" s="22"/>
      <c r="BA73" s="47"/>
      <c r="BB73" s="47"/>
      <c r="BC73" s="47"/>
      <c r="BD73" s="47"/>
      <c r="BE73" s="47"/>
    </row>
    <row r="74" spans="1:60" ht="13.15" customHeight="1" x14ac:dyDescent="0.2">
      <c r="A74" s="181"/>
      <c r="B74" s="181"/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3"/>
      <c r="AH74" s="92"/>
      <c r="AJ74" s="131"/>
      <c r="AK74" s="138" t="s">
        <v>41</v>
      </c>
      <c r="AL74" s="143">
        <v>0.05</v>
      </c>
      <c r="AM74" s="228">
        <v>1</v>
      </c>
      <c r="AN74" s="103">
        <f>$N$15</f>
        <v>0</v>
      </c>
      <c r="AO74" s="177" t="str">
        <f t="shared" ref="AO74:AO77" si="2">P15</f>
        <v/>
      </c>
      <c r="AP74" s="239" t="str">
        <f t="shared" ref="AP74:AP77" si="3">Q15</f>
        <v/>
      </c>
      <c r="AQ74" s="2"/>
      <c r="BA74" s="47"/>
      <c r="BB74" s="47"/>
      <c r="BC74" s="47"/>
      <c r="BD74" s="47"/>
    </row>
    <row r="75" spans="1:60" ht="13.15" customHeight="1" x14ac:dyDescent="0.2">
      <c r="A75" s="181"/>
      <c r="B75" s="181"/>
      <c r="C75" s="181"/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3"/>
      <c r="AH75" s="92"/>
      <c r="AJ75" s="131"/>
      <c r="AK75" s="29" t="s">
        <v>53</v>
      </c>
      <c r="AL75" s="229">
        <v>5</v>
      </c>
      <c r="AM75" s="230">
        <v>20</v>
      </c>
      <c r="AN75" s="208">
        <f>$N$16</f>
        <v>0</v>
      </c>
      <c r="AO75" s="177" t="str">
        <f t="shared" si="2"/>
        <v/>
      </c>
      <c r="AP75" s="239" t="str">
        <f t="shared" si="3"/>
        <v/>
      </c>
      <c r="AQ75" s="2"/>
      <c r="BA75" s="47"/>
      <c r="BB75" s="47"/>
      <c r="BC75" s="47"/>
      <c r="BD75" s="47"/>
    </row>
    <row r="76" spans="1:60" ht="11.65" customHeight="1" x14ac:dyDescent="0.2">
      <c r="A76" s="181"/>
      <c r="B76" s="181"/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H76" s="92"/>
      <c r="AJ76" s="131"/>
      <c r="AK76" s="29" t="s">
        <v>55</v>
      </c>
      <c r="AL76" s="229">
        <v>5</v>
      </c>
      <c r="AM76" s="230">
        <v>20</v>
      </c>
      <c r="AN76" s="208">
        <f>$N$17</f>
        <v>0</v>
      </c>
      <c r="AO76" s="177" t="str">
        <f t="shared" si="2"/>
        <v/>
      </c>
      <c r="AP76" s="239" t="str">
        <f t="shared" si="3"/>
        <v/>
      </c>
      <c r="AQ76" s="2"/>
      <c r="AR76" s="13"/>
      <c r="AS76" s="13"/>
      <c r="AT76" s="13"/>
    </row>
    <row r="77" spans="1:60" ht="14.1" customHeight="1" thickBot="1" x14ac:dyDescent="0.25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H77" s="92"/>
      <c r="AJ77" s="131"/>
      <c r="AK77" s="34" t="s">
        <v>45</v>
      </c>
      <c r="AL77" s="231">
        <v>0.02</v>
      </c>
      <c r="AM77" s="227">
        <v>1</v>
      </c>
      <c r="AN77" s="240">
        <f>$N$18</f>
        <v>0</v>
      </c>
      <c r="AO77" s="176" t="str">
        <f t="shared" si="2"/>
        <v/>
      </c>
      <c r="AP77" s="241" t="str">
        <f t="shared" si="3"/>
        <v/>
      </c>
      <c r="AQ77" s="2"/>
      <c r="AV77" s="8"/>
      <c r="AW77" s="8"/>
      <c r="AX77" s="8"/>
      <c r="AY77" s="8"/>
    </row>
    <row r="78" spans="1:60" ht="10.5" customHeight="1" x14ac:dyDescent="0.2">
      <c r="A78" s="181"/>
      <c r="B78" s="181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H78" s="92"/>
      <c r="AJ78" s="131"/>
      <c r="AK78" s="44"/>
      <c r="AL78" s="144"/>
      <c r="AM78" s="145"/>
      <c r="AN78" s="107"/>
      <c r="AO78" s="146"/>
      <c r="AP78" s="146"/>
      <c r="AQ78" s="2"/>
      <c r="AV78" s="8"/>
      <c r="AW78" s="8"/>
      <c r="AX78" s="8"/>
      <c r="AY78" s="8"/>
      <c r="AZ78" s="21"/>
    </row>
    <row r="79" spans="1:60" ht="24" customHeight="1" x14ac:dyDescent="0.2">
      <c r="A79" s="181"/>
      <c r="B79" s="181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H79" s="92"/>
      <c r="AJ79" s="131"/>
      <c r="AK79" s="325"/>
      <c r="AL79" s="325"/>
      <c r="AM79" s="324" t="s">
        <v>68</v>
      </c>
      <c r="AN79" s="324"/>
      <c r="AO79" s="112" t="s">
        <v>69</v>
      </c>
      <c r="AP79" s="112" t="s">
        <v>70</v>
      </c>
      <c r="AQ79" s="2"/>
      <c r="AV79" s="8"/>
      <c r="AW79" s="8"/>
      <c r="AX79" s="8"/>
      <c r="AY79" s="8"/>
      <c r="AZ79" s="21"/>
    </row>
    <row r="80" spans="1:60" ht="13.15" customHeight="1" x14ac:dyDescent="0.2">
      <c r="A80" s="181"/>
      <c r="B80" s="181"/>
      <c r="C80" s="181"/>
      <c r="D80" s="181"/>
      <c r="E80" s="181"/>
      <c r="F80" s="181"/>
      <c r="G80" s="181"/>
      <c r="H80" s="181"/>
      <c r="I80" s="181"/>
      <c r="J80" s="181"/>
      <c r="K80" s="181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181"/>
      <c r="AF80" s="181"/>
      <c r="AH80" s="92"/>
      <c r="AJ80" s="131"/>
      <c r="AK80" s="306" t="s">
        <v>71</v>
      </c>
      <c r="AL80" s="306"/>
      <c r="AM80" s="323" t="s">
        <v>72</v>
      </c>
      <c r="AN80" s="323"/>
      <c r="AO80" s="147" t="str">
        <f>IF(ISBLANK(UmbilicalStumpLength), "", UmbilicalStumpLength)</f>
        <v/>
      </c>
      <c r="AP80" s="148" t="str">
        <f>IF(OR(ISBLANK(UmbilicalStumpLength),UmbilicalStumpLength=0),"",(3*InputWeight)+9+UmbilicalStumpLength)</f>
        <v/>
      </c>
      <c r="AQ80" s="135"/>
      <c r="AV80" s="8"/>
      <c r="AW80" s="8"/>
      <c r="AX80" s="8"/>
      <c r="AY80" s="8"/>
      <c r="AZ80" s="21"/>
    </row>
    <row r="81" spans="1:58" ht="13.15" customHeight="1" x14ac:dyDescent="0.2">
      <c r="A81" s="181"/>
      <c r="B81" s="181"/>
      <c r="C81" s="181"/>
      <c r="D81" s="181"/>
      <c r="E81" s="181"/>
      <c r="F81" s="181"/>
      <c r="G81" s="181"/>
      <c r="H81" s="181"/>
      <c r="I81" s="181"/>
      <c r="J81" s="181"/>
      <c r="K81" s="181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181"/>
      <c r="AF81" s="181"/>
      <c r="AH81" s="92"/>
      <c r="AJ81" s="131"/>
      <c r="AK81" s="306" t="s">
        <v>73</v>
      </c>
      <c r="AL81" s="306"/>
      <c r="AM81" s="322" t="s">
        <v>74</v>
      </c>
      <c r="AN81" s="322"/>
      <c r="AO81" s="147" t="str">
        <f>IF(ISBLANK(UmbilicalStumpLength), "", UmbilicalStumpLength)</f>
        <v/>
      </c>
      <c r="AP81" s="148" t="str">
        <f>IF(OR(ISBLANK(UmbilicalStumpLength),UmbilicalStumpLength=0),"",(3*InputWeight)+9+UmbilicalStumpLength)</f>
        <v/>
      </c>
      <c r="AQ81" s="135"/>
      <c r="AV81" s="8"/>
      <c r="AW81" s="8"/>
      <c r="AX81" s="8"/>
      <c r="AY81" s="8"/>
      <c r="AZ81" s="21"/>
    </row>
    <row r="82" spans="1:58" ht="11.1" customHeight="1" thickBot="1" x14ac:dyDescent="0.25">
      <c r="A82" s="181"/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68"/>
      <c r="AH82" s="95"/>
      <c r="AJ82" s="131"/>
      <c r="AK82" s="44"/>
      <c r="AL82" s="111"/>
      <c r="AM82" s="106"/>
      <c r="AN82" s="44"/>
      <c r="AO82" s="44"/>
      <c r="AP82" s="44"/>
      <c r="AQ82" s="2"/>
      <c r="AZ82" s="21"/>
    </row>
    <row r="83" spans="1:58" ht="11.1" customHeight="1" thickBot="1" x14ac:dyDescent="0.25">
      <c r="A83" s="181"/>
      <c r="B83" s="181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68"/>
      <c r="AH83" s="95"/>
      <c r="AJ83" s="131"/>
      <c r="AK83" s="13"/>
      <c r="AL83" s="319" t="s">
        <v>75</v>
      </c>
      <c r="AM83" s="320"/>
      <c r="AN83" s="320"/>
      <c r="AO83" s="321"/>
      <c r="AQ83" s="2"/>
      <c r="BB83" s="317" t="s">
        <v>76</v>
      </c>
      <c r="BC83" s="317"/>
      <c r="BD83" s="317"/>
      <c r="BE83" s="317"/>
      <c r="BF83" s="317"/>
    </row>
    <row r="84" spans="1:58" ht="11.1" customHeight="1" thickBot="1" x14ac:dyDescent="0.25">
      <c r="A84" s="181"/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H84" s="92"/>
      <c r="AJ84" s="131"/>
      <c r="AK84" s="13"/>
      <c r="AL84" s="46" t="s">
        <v>77</v>
      </c>
      <c r="AM84" s="40" t="s">
        <v>78</v>
      </c>
      <c r="AN84" s="38" t="s">
        <v>79</v>
      </c>
      <c r="AO84" s="35" t="s">
        <v>80</v>
      </c>
      <c r="AQ84" s="2"/>
      <c r="AR84" s="44"/>
      <c r="AS84" s="44"/>
      <c r="AT84" s="44"/>
      <c r="AU84" s="13"/>
      <c r="BB84" s="76" t="s">
        <v>81</v>
      </c>
      <c r="BC84" s="76" t="s">
        <v>82</v>
      </c>
      <c r="BD84" s="76" t="s">
        <v>83</v>
      </c>
      <c r="BE84" s="77" t="s">
        <v>84</v>
      </c>
      <c r="BF84" s="78" t="s">
        <v>85</v>
      </c>
    </row>
    <row r="85" spans="1:58" ht="11.1" customHeight="1" thickTop="1" thickBot="1" x14ac:dyDescent="0.25">
      <c r="A85" s="181"/>
      <c r="B85" s="181"/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H85" s="92"/>
      <c r="AJ85" s="131"/>
      <c r="AL85" s="149" t="s">
        <v>86</v>
      </c>
      <c r="AM85" s="150">
        <v>2</v>
      </c>
      <c r="AN85" s="151">
        <v>5</v>
      </c>
      <c r="AO85" s="152">
        <v>6</v>
      </c>
      <c r="AQ85" s="2"/>
      <c r="AR85" s="44"/>
      <c r="AS85" s="44"/>
      <c r="AT85" s="44"/>
      <c r="AU85" s="44"/>
      <c r="BA85" s="80" t="s">
        <v>87</v>
      </c>
      <c r="BB85" s="81">
        <v>1.0000000000000001E-9</v>
      </c>
      <c r="BC85" s="81">
        <v>9.9999999999999995E-7</v>
      </c>
      <c r="BD85" s="81">
        <v>1E-3</v>
      </c>
      <c r="BE85" s="81">
        <v>1</v>
      </c>
      <c r="BF85" s="81">
        <v>1000</v>
      </c>
    </row>
    <row r="86" spans="1:58" ht="11.1" customHeight="1" thickBot="1" x14ac:dyDescent="0.25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H86" s="92"/>
      <c r="AJ86" s="131"/>
      <c r="AL86" s="149" t="s">
        <v>88</v>
      </c>
      <c r="AM86" s="150">
        <v>2.5</v>
      </c>
      <c r="AN86" s="151">
        <v>5.5</v>
      </c>
      <c r="AO86" s="152">
        <v>7</v>
      </c>
      <c r="AQ86" s="2"/>
      <c r="AR86" s="83"/>
      <c r="AS86" s="44"/>
      <c r="AT86" s="44"/>
      <c r="AU86" s="44"/>
      <c r="AV86" s="318" t="s">
        <v>89</v>
      </c>
      <c r="AW86" s="270"/>
      <c r="AX86" s="270"/>
      <c r="AY86" s="270"/>
      <c r="AZ86" s="76" t="s">
        <v>81</v>
      </c>
      <c r="BA86" s="81">
        <v>1.0000000000000001E-9</v>
      </c>
      <c r="BB86">
        <f t="shared" ref="BB86:BF90" si="4">BB$85/$BA86</f>
        <v>1</v>
      </c>
      <c r="BC86">
        <f t="shared" si="4"/>
        <v>999.99999999999989</v>
      </c>
      <c r="BD86">
        <f t="shared" si="4"/>
        <v>1000000</v>
      </c>
      <c r="BE86">
        <f t="shared" si="4"/>
        <v>999999999.99999988</v>
      </c>
      <c r="BF86">
        <f t="shared" si="4"/>
        <v>999999999999.99988</v>
      </c>
    </row>
    <row r="87" spans="1:58" ht="11.1" customHeight="1" thickTop="1" thickBot="1" x14ac:dyDescent="0.25">
      <c r="A87" s="181"/>
      <c r="B87" s="181"/>
      <c r="C87" s="181"/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H87" s="92"/>
      <c r="AJ87" s="131"/>
      <c r="AL87" s="149">
        <v>1</v>
      </c>
      <c r="AM87" s="150" t="s">
        <v>90</v>
      </c>
      <c r="AN87" s="151">
        <v>6</v>
      </c>
      <c r="AO87" s="152">
        <v>7.5</v>
      </c>
      <c r="AQ87" s="2"/>
      <c r="AR87" s="83"/>
      <c r="AS87" s="44"/>
      <c r="AT87" s="44"/>
      <c r="AU87" s="44"/>
      <c r="AV87" s="318"/>
      <c r="AW87" s="270"/>
      <c r="AX87" s="270"/>
      <c r="AY87" s="270"/>
      <c r="AZ87" s="76" t="s">
        <v>82</v>
      </c>
      <c r="BA87" s="81">
        <v>9.9999999999999995E-7</v>
      </c>
      <c r="BB87">
        <f t="shared" si="4"/>
        <v>1E-3</v>
      </c>
      <c r="BC87">
        <f t="shared" si="4"/>
        <v>1</v>
      </c>
      <c r="BD87">
        <f t="shared" si="4"/>
        <v>1000.0000000000001</v>
      </c>
      <c r="BE87">
        <f t="shared" si="4"/>
        <v>1000000</v>
      </c>
      <c r="BF87">
        <f t="shared" si="4"/>
        <v>1000000000</v>
      </c>
    </row>
    <row r="88" spans="1:58" ht="11.1" customHeight="1" thickTop="1" thickBot="1" x14ac:dyDescent="0.25">
      <c r="A88" s="181"/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H88" s="92"/>
      <c r="AJ88" s="131"/>
      <c r="AK88" s="44"/>
      <c r="AL88" s="149">
        <v>2</v>
      </c>
      <c r="AM88" s="150" t="s">
        <v>90</v>
      </c>
      <c r="AN88" s="151">
        <v>7</v>
      </c>
      <c r="AO88" s="152">
        <v>9</v>
      </c>
      <c r="AQ88" s="2"/>
      <c r="AR88" s="83"/>
      <c r="AS88" s="44"/>
      <c r="AT88" s="44"/>
      <c r="AU88" s="44"/>
      <c r="AV88" s="318"/>
      <c r="AW88" s="270"/>
      <c r="AX88" s="270"/>
      <c r="AY88" s="270"/>
      <c r="AZ88" s="76" t="s">
        <v>83</v>
      </c>
      <c r="BA88" s="81">
        <v>1E-3</v>
      </c>
      <c r="BB88">
        <f t="shared" si="4"/>
        <v>9.9999999999999995E-7</v>
      </c>
      <c r="BC88">
        <f t="shared" si="4"/>
        <v>1E-3</v>
      </c>
      <c r="BD88">
        <f t="shared" si="4"/>
        <v>1</v>
      </c>
      <c r="BE88">
        <f t="shared" si="4"/>
        <v>1000</v>
      </c>
      <c r="BF88">
        <f t="shared" si="4"/>
        <v>1000000</v>
      </c>
    </row>
    <row r="89" spans="1:58" ht="11.1" customHeight="1" thickTop="1" thickBot="1" x14ac:dyDescent="0.25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H89" s="92"/>
      <c r="AJ89" s="131"/>
      <c r="AK89" s="44"/>
      <c r="AL89" s="149">
        <v>3</v>
      </c>
      <c r="AM89" s="150" t="s">
        <v>90</v>
      </c>
      <c r="AN89" s="151">
        <v>8.5</v>
      </c>
      <c r="AO89" s="152">
        <v>10.5</v>
      </c>
      <c r="AQ89" s="2"/>
      <c r="AR89" s="83"/>
      <c r="AS89" s="44"/>
      <c r="AT89" s="44"/>
      <c r="AU89" s="44"/>
      <c r="AV89" s="318"/>
      <c r="AW89" s="270"/>
      <c r="AX89" s="270"/>
      <c r="AY89" s="270"/>
      <c r="AZ89" s="76" t="s">
        <v>84</v>
      </c>
      <c r="BA89" s="81">
        <v>1</v>
      </c>
      <c r="BB89">
        <f t="shared" si="4"/>
        <v>1.0000000000000001E-9</v>
      </c>
      <c r="BC89">
        <f t="shared" si="4"/>
        <v>9.9999999999999995E-7</v>
      </c>
      <c r="BD89">
        <f t="shared" si="4"/>
        <v>1E-3</v>
      </c>
      <c r="BE89">
        <f t="shared" si="4"/>
        <v>1</v>
      </c>
      <c r="BF89">
        <f t="shared" si="4"/>
        <v>1000</v>
      </c>
    </row>
    <row r="90" spans="1:58" ht="12.6" customHeight="1" thickTop="1" thickBot="1" x14ac:dyDescent="0.25">
      <c r="A90" s="181"/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181"/>
      <c r="AF90" s="181"/>
      <c r="AH90" s="92"/>
      <c r="AJ90" s="131"/>
      <c r="AK90" s="44"/>
      <c r="AL90" s="153">
        <v>3.5</v>
      </c>
      <c r="AM90" s="154" t="s">
        <v>91</v>
      </c>
      <c r="AN90" s="155">
        <v>9</v>
      </c>
      <c r="AO90" s="156">
        <v>11</v>
      </c>
      <c r="AQ90" s="136"/>
      <c r="AR90" s="83"/>
      <c r="AS90" s="44"/>
      <c r="AT90" s="44"/>
      <c r="AU90" s="44"/>
      <c r="AV90" s="318"/>
      <c r="AW90" s="277"/>
      <c r="AX90" s="277"/>
      <c r="AY90" s="277"/>
      <c r="AZ90" s="79" t="s">
        <v>85</v>
      </c>
      <c r="BA90" s="81">
        <v>1000</v>
      </c>
      <c r="BB90">
        <f t="shared" si="4"/>
        <v>9.9999999999999998E-13</v>
      </c>
      <c r="BC90">
        <f t="shared" si="4"/>
        <v>9.9999999999999986E-10</v>
      </c>
      <c r="BD90">
        <f t="shared" si="4"/>
        <v>9.9999999999999995E-7</v>
      </c>
      <c r="BE90">
        <f t="shared" si="4"/>
        <v>1E-3</v>
      </c>
      <c r="BF90">
        <f t="shared" si="4"/>
        <v>1</v>
      </c>
    </row>
    <row r="91" spans="1:58" ht="10.5" customHeight="1" x14ac:dyDescent="0.2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  <c r="AF91" s="181"/>
      <c r="AH91" s="92"/>
      <c r="AJ91" s="131"/>
      <c r="AK91" s="44"/>
      <c r="AL91" s="44"/>
      <c r="AM91" s="44"/>
      <c r="AN91" s="44"/>
      <c r="AO91" s="44"/>
      <c r="AP91" s="44"/>
      <c r="AQ91" s="136"/>
      <c r="AR91" s="83"/>
      <c r="AS91" s="44"/>
      <c r="AT91" s="44"/>
      <c r="AU91" s="13"/>
      <c r="AV91" s="44"/>
      <c r="AW91" s="44"/>
      <c r="AX91" s="44"/>
      <c r="AY91" s="44"/>
    </row>
    <row r="92" spans="1:58" ht="14.65" customHeight="1" x14ac:dyDescent="0.2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  <c r="AF92" s="181"/>
      <c r="AH92" s="92"/>
      <c r="AJ92" s="131"/>
      <c r="AK92" s="36" t="s">
        <v>92</v>
      </c>
      <c r="AL92" s="88"/>
      <c r="AM92" s="88"/>
      <c r="AN92" s="88"/>
      <c r="AO92" s="37" t="s">
        <v>93</v>
      </c>
      <c r="AP92" s="157">
        <f ca="1">TODAY()</f>
        <v>45911</v>
      </c>
      <c r="AQ92" s="136"/>
      <c r="AR92" s="83"/>
      <c r="AS92" s="44"/>
      <c r="AT92" s="44"/>
      <c r="AU92" s="13"/>
      <c r="AV92" s="44"/>
      <c r="AW92" s="44"/>
      <c r="AX92" s="44"/>
      <c r="AY92" s="44"/>
    </row>
    <row r="93" spans="1:58" ht="14.65" customHeight="1" x14ac:dyDescent="0.2">
      <c r="A93" s="181"/>
      <c r="B93" s="181"/>
      <c r="C93" s="181"/>
      <c r="D93" s="181"/>
      <c r="E93" s="181"/>
      <c r="F93" s="181"/>
      <c r="G93" s="181"/>
      <c r="H93" s="181"/>
      <c r="I93" s="181"/>
      <c r="J93" s="181"/>
      <c r="K93" s="181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  <c r="AF93" s="181"/>
      <c r="AH93" s="92"/>
      <c r="AJ93" s="131"/>
      <c r="AK93" s="36" t="s">
        <v>94</v>
      </c>
      <c r="AL93" s="88"/>
      <c r="AM93" s="88"/>
      <c r="AN93" s="44"/>
      <c r="AO93" s="83"/>
      <c r="AP93" s="158"/>
      <c r="AQ93" s="136"/>
      <c r="AR93" s="44"/>
      <c r="AS93" s="44"/>
      <c r="AT93" s="44"/>
      <c r="AU93" s="13"/>
    </row>
    <row r="94" spans="1:58" ht="14.65" customHeight="1" x14ac:dyDescent="0.2">
      <c r="A94" s="181"/>
      <c r="B94" s="181"/>
      <c r="C94" s="181"/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181"/>
      <c r="AF94" s="181"/>
      <c r="AH94" s="92"/>
      <c r="AJ94" s="131"/>
      <c r="AK94" s="36" t="s">
        <v>95</v>
      </c>
      <c r="AL94" s="88"/>
      <c r="AM94" s="88"/>
      <c r="AN94" s="88"/>
      <c r="AO94" s="37" t="s">
        <v>100</v>
      </c>
      <c r="AP94" s="157">
        <f ca="1">AP92+7</f>
        <v>45918</v>
      </c>
      <c r="AQ94" s="136"/>
    </row>
    <row r="95" spans="1:58" ht="14.65" customHeight="1" x14ac:dyDescent="0.2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H95" s="92"/>
      <c r="AJ95" s="131"/>
      <c r="AK95" s="36" t="s">
        <v>96</v>
      </c>
      <c r="AL95" s="88"/>
      <c r="AM95" s="88"/>
      <c r="AN95" s="88"/>
      <c r="AO95" s="88"/>
      <c r="AP95" s="157"/>
      <c r="AQ95" s="159"/>
    </row>
    <row r="96" spans="1:58" ht="11.65" customHeight="1" x14ac:dyDescent="0.2">
      <c r="A96" s="181"/>
      <c r="B96" s="181"/>
      <c r="C96" s="181"/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181"/>
      <c r="AF96" s="181"/>
      <c r="AH96" s="92"/>
      <c r="AJ96" s="131"/>
      <c r="AK96" s="63"/>
      <c r="AL96" s="44"/>
      <c r="AM96" s="44"/>
      <c r="AN96" s="44"/>
      <c r="AO96" s="63"/>
      <c r="AP96" s="44"/>
      <c r="AQ96" s="135"/>
    </row>
    <row r="97" spans="1:52" ht="15.6" customHeight="1" x14ac:dyDescent="0.2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H97" s="92"/>
      <c r="AJ97" s="131"/>
      <c r="AK97" s="83" t="str">
        <f>VersionNumber</f>
        <v>Version 15.1</v>
      </c>
      <c r="AL97" s="303" t="s">
        <v>97</v>
      </c>
      <c r="AM97" s="303"/>
      <c r="AN97" s="303"/>
      <c r="AO97" s="303"/>
      <c r="AP97" s="303"/>
      <c r="AQ97" s="135"/>
    </row>
    <row r="98" spans="1:52" ht="12.6" customHeight="1" x14ac:dyDescent="0.2">
      <c r="A98" s="181"/>
      <c r="B98" s="181"/>
      <c r="C98" s="181"/>
      <c r="D98" s="181"/>
      <c r="E98" s="181"/>
      <c r="F98" s="181"/>
      <c r="G98" s="181"/>
      <c r="H98" s="181"/>
      <c r="I98" s="181"/>
      <c r="J98" s="181"/>
      <c r="K98" s="181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J98" s="131"/>
      <c r="AL98" s="304" t="s">
        <v>98</v>
      </c>
      <c r="AM98" s="304"/>
      <c r="AN98" s="304"/>
      <c r="AO98" s="304"/>
      <c r="AP98" s="304"/>
      <c r="AQ98" s="135"/>
      <c r="AR98" s="44"/>
      <c r="AS98" s="44"/>
      <c r="AT98" s="44"/>
      <c r="AU98" s="13"/>
    </row>
    <row r="99" spans="1:52" ht="8.1" customHeight="1" thickBot="1" x14ac:dyDescent="0.25">
      <c r="A99" s="181"/>
      <c r="B99" s="181"/>
      <c r="C99" s="181"/>
      <c r="D99" s="181"/>
      <c r="E99" s="181"/>
      <c r="F99" s="181"/>
      <c r="G99" s="181"/>
      <c r="H99" s="181"/>
      <c r="I99" s="181"/>
      <c r="J99" s="181"/>
      <c r="K99" s="181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J99" s="160"/>
      <c r="AK99" s="161"/>
      <c r="AL99" s="162"/>
      <c r="AM99" s="163"/>
      <c r="AN99" s="162"/>
      <c r="AO99" s="64"/>
      <c r="AP99" s="162"/>
      <c r="AQ99" s="164"/>
    </row>
    <row r="100" spans="1:52" ht="10.15" customHeight="1" thickTop="1" x14ac:dyDescent="0.2">
      <c r="A100" s="181"/>
      <c r="B100" s="181"/>
      <c r="C100" s="181"/>
      <c r="D100" s="181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S100" s="20"/>
      <c r="AT100" s="44"/>
      <c r="AU100" s="44"/>
      <c r="AV100" s="44"/>
      <c r="AW100" s="44"/>
      <c r="AX100" s="44"/>
      <c r="AY100" s="44"/>
    </row>
    <row r="101" spans="1:52" x14ac:dyDescent="0.2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Q101" s="20"/>
      <c r="AR101" s="20"/>
      <c r="AS101" s="20"/>
      <c r="AZ101" s="13"/>
    </row>
    <row r="102" spans="1:52" x14ac:dyDescent="0.2">
      <c r="A102" s="181"/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81"/>
      <c r="AQ102" s="20"/>
      <c r="AR102" s="20"/>
    </row>
    <row r="103" spans="1:52" x14ac:dyDescent="0.2">
      <c r="A103" s="181"/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81"/>
    </row>
    <row r="104" spans="1:52" x14ac:dyDescent="0.2">
      <c r="A104" s="181"/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81"/>
    </row>
    <row r="105" spans="1:52" x14ac:dyDescent="0.2">
      <c r="A105" s="181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</row>
    <row r="106" spans="1:52" x14ac:dyDescent="0.2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</row>
    <row r="107" spans="1:52" x14ac:dyDescent="0.2">
      <c r="A107" s="181"/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81"/>
    </row>
    <row r="108" spans="1:52" x14ac:dyDescent="0.2">
      <c r="A108" s="181"/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81"/>
    </row>
    <row r="109" spans="1:52" x14ac:dyDescent="0.2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81"/>
    </row>
    <row r="110" spans="1:52" x14ac:dyDescent="0.2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81"/>
    </row>
    <row r="111" spans="1:52" x14ac:dyDescent="0.2">
      <c r="A111" s="181"/>
      <c r="B111" s="181"/>
      <c r="C111" s="181"/>
      <c r="D111" s="181"/>
      <c r="E111" s="181"/>
      <c r="F111" s="181"/>
      <c r="G111" s="181"/>
      <c r="H111" s="181"/>
      <c r="I111" s="181"/>
      <c r="J111" s="181"/>
      <c r="K111" s="181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81"/>
    </row>
    <row r="112" spans="1:52" x14ac:dyDescent="0.2">
      <c r="A112" s="181"/>
      <c r="B112" s="181"/>
      <c r="C112" s="181"/>
      <c r="D112" s="181"/>
      <c r="E112" s="181"/>
      <c r="F112" s="181"/>
      <c r="G112" s="181"/>
      <c r="H112" s="181"/>
      <c r="I112" s="181"/>
      <c r="J112" s="181"/>
      <c r="K112" s="181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81"/>
    </row>
    <row r="113" spans="1:32" x14ac:dyDescent="0.2">
      <c r="A113" s="181"/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81"/>
    </row>
    <row r="114" spans="1:32" x14ac:dyDescent="0.2">
      <c r="A114" s="181"/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81"/>
    </row>
    <row r="115" spans="1:32" x14ac:dyDescent="0.2">
      <c r="A115" s="181"/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81"/>
    </row>
    <row r="116" spans="1:32" x14ac:dyDescent="0.2">
      <c r="A116" s="181"/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81"/>
    </row>
    <row r="117" spans="1:32" x14ac:dyDescent="0.2">
      <c r="A117" s="181"/>
      <c r="B117" s="181"/>
      <c r="C117" s="181"/>
      <c r="D117" s="181"/>
      <c r="E117" s="181"/>
      <c r="F117" s="181"/>
      <c r="G117" s="181"/>
      <c r="H117" s="181"/>
      <c r="I117" s="181"/>
      <c r="J117" s="181"/>
      <c r="K117" s="181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  <c r="AF117" s="181"/>
    </row>
    <row r="118" spans="1:32" x14ac:dyDescent="0.2">
      <c r="A118" s="181"/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81"/>
    </row>
    <row r="119" spans="1:32" x14ac:dyDescent="0.2">
      <c r="A119" s="181"/>
      <c r="B119" s="181"/>
      <c r="C119" s="181"/>
      <c r="D119" s="181"/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</row>
    <row r="120" spans="1:32" x14ac:dyDescent="0.2">
      <c r="A120" s="181"/>
      <c r="B120" s="181"/>
      <c r="C120" s="181"/>
      <c r="D120" s="181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81"/>
    </row>
    <row r="121" spans="1:32" x14ac:dyDescent="0.2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</row>
    <row r="122" spans="1:32" x14ac:dyDescent="0.2">
      <c r="A122" s="181"/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  <c r="L122" s="181"/>
      <c r="M122" s="181"/>
      <c r="N122" s="181"/>
      <c r="O122" s="181"/>
      <c r="P122" s="181"/>
      <c r="Q122" s="181"/>
      <c r="R122" s="181"/>
      <c r="S122" s="181"/>
      <c r="T122" s="181"/>
      <c r="U122" s="181"/>
      <c r="V122" s="181"/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</row>
    <row r="123" spans="1:32" x14ac:dyDescent="0.2">
      <c r="A123" s="181"/>
      <c r="B123" s="181"/>
      <c r="C123" s="181"/>
      <c r="D123" s="181"/>
      <c r="E123" s="181"/>
      <c r="F123" s="181"/>
      <c r="G123" s="181"/>
      <c r="H123" s="181"/>
      <c r="I123" s="181"/>
      <c r="J123" s="181"/>
      <c r="K123" s="181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</row>
    <row r="124" spans="1:32" x14ac:dyDescent="0.2">
      <c r="A124" s="181"/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81"/>
      <c r="Q124" s="181"/>
      <c r="R124" s="181"/>
      <c r="S124" s="181"/>
      <c r="T124" s="181"/>
      <c r="U124" s="181"/>
      <c r="V124" s="181"/>
      <c r="W124" s="181"/>
      <c r="X124" s="181"/>
      <c r="Y124" s="181"/>
      <c r="Z124" s="181"/>
      <c r="AA124" s="181"/>
      <c r="AB124" s="181"/>
      <c r="AC124" s="181"/>
      <c r="AD124" s="181"/>
      <c r="AE124" s="181"/>
      <c r="AF124" s="181"/>
    </row>
    <row r="125" spans="1:32" x14ac:dyDescent="0.2">
      <c r="A125" s="181"/>
      <c r="B125" s="181"/>
      <c r="C125" s="181"/>
      <c r="D125" s="181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81"/>
      <c r="Q125" s="181"/>
      <c r="R125" s="181"/>
      <c r="S125" s="181"/>
      <c r="T125" s="181"/>
      <c r="U125" s="181"/>
      <c r="V125" s="181"/>
      <c r="W125" s="181"/>
      <c r="X125" s="181"/>
      <c r="Y125" s="181"/>
      <c r="Z125" s="181"/>
      <c r="AA125" s="181"/>
      <c r="AB125" s="181"/>
      <c r="AC125" s="181"/>
      <c r="AD125" s="181"/>
      <c r="AE125" s="181"/>
      <c r="AF125" s="181"/>
    </row>
    <row r="126" spans="1:32" x14ac:dyDescent="0.2">
      <c r="A126" s="181"/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</row>
    <row r="127" spans="1:32" x14ac:dyDescent="0.2">
      <c r="A127" s="181"/>
      <c r="B127" s="181"/>
      <c r="C127" s="181"/>
      <c r="D127" s="181"/>
      <c r="E127" s="181"/>
      <c r="F127" s="181"/>
      <c r="G127" s="181"/>
      <c r="H127" s="181"/>
      <c r="I127" s="181"/>
      <c r="J127" s="181"/>
      <c r="K127" s="181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  <c r="AF127" s="181"/>
    </row>
    <row r="128" spans="1:32" x14ac:dyDescent="0.2">
      <c r="A128" s="181"/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  <c r="AF128" s="181"/>
    </row>
    <row r="129" spans="1:32" x14ac:dyDescent="0.2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81"/>
      <c r="AF129" s="181"/>
    </row>
    <row r="130" spans="1:32" x14ac:dyDescent="0.2">
      <c r="A130" s="181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  <c r="AF130" s="181"/>
    </row>
    <row r="131" spans="1:32" x14ac:dyDescent="0.2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</row>
    <row r="132" spans="1:32" x14ac:dyDescent="0.2">
      <c r="A132" s="181"/>
      <c r="B132" s="181"/>
      <c r="C132" s="181"/>
      <c r="D132" s="181"/>
      <c r="E132" s="181"/>
      <c r="F132" s="181"/>
      <c r="G132" s="181"/>
      <c r="H132" s="181"/>
      <c r="I132" s="181"/>
      <c r="J132" s="181"/>
      <c r="K132" s="181"/>
      <c r="L132" s="181"/>
      <c r="M132" s="181"/>
      <c r="N132" s="181"/>
      <c r="O132" s="181"/>
      <c r="P132" s="181"/>
      <c r="Q132" s="181"/>
      <c r="R132" s="181"/>
      <c r="S132" s="181"/>
      <c r="T132" s="181"/>
      <c r="U132" s="181"/>
      <c r="V132" s="181"/>
      <c r="W132" s="181"/>
      <c r="X132" s="181"/>
      <c r="Y132" s="181"/>
      <c r="Z132" s="181"/>
      <c r="AA132" s="181"/>
      <c r="AB132" s="181"/>
      <c r="AC132" s="181"/>
      <c r="AD132" s="181"/>
      <c r="AE132" s="181"/>
      <c r="AF132" s="181"/>
    </row>
    <row r="133" spans="1:32" x14ac:dyDescent="0.2">
      <c r="A133" s="181"/>
      <c r="B133" s="181"/>
      <c r="C133" s="181"/>
      <c r="D133" s="181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181"/>
      <c r="T133" s="181"/>
      <c r="U133" s="181"/>
      <c r="V133" s="181"/>
      <c r="W133" s="181"/>
      <c r="X133" s="181"/>
      <c r="Y133" s="181"/>
      <c r="Z133" s="181"/>
      <c r="AA133" s="181"/>
      <c r="AB133" s="181"/>
      <c r="AC133" s="181"/>
      <c r="AD133" s="181"/>
      <c r="AE133" s="181"/>
      <c r="AF133" s="181"/>
    </row>
    <row r="134" spans="1:32" x14ac:dyDescent="0.2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  <c r="AF134" s="181"/>
    </row>
    <row r="135" spans="1:32" x14ac:dyDescent="0.2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181"/>
      <c r="AE135" s="181"/>
      <c r="AF135" s="181"/>
    </row>
    <row r="136" spans="1:32" x14ac:dyDescent="0.2">
      <c r="A136" s="181"/>
      <c r="B136" s="181"/>
      <c r="C136" s="181"/>
      <c r="D136" s="181"/>
      <c r="E136" s="181"/>
      <c r="F136" s="181"/>
      <c r="G136" s="181"/>
      <c r="H136" s="181"/>
      <c r="I136" s="181"/>
      <c r="J136" s="181"/>
      <c r="K136" s="181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181"/>
      <c r="AB136" s="181"/>
      <c r="AC136" s="181"/>
      <c r="AD136" s="181"/>
      <c r="AE136" s="181"/>
      <c r="AF136" s="181"/>
    </row>
    <row r="137" spans="1:32" x14ac:dyDescent="0.2">
      <c r="A137" s="181"/>
      <c r="B137" s="181"/>
      <c r="C137" s="181"/>
      <c r="D137" s="181"/>
      <c r="E137" s="181"/>
      <c r="F137" s="181"/>
      <c r="G137" s="181"/>
      <c r="H137" s="181"/>
      <c r="I137" s="181"/>
      <c r="J137" s="181"/>
      <c r="K137" s="181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1"/>
      <c r="AA137" s="181"/>
      <c r="AB137" s="181"/>
      <c r="AC137" s="181"/>
      <c r="AD137" s="181"/>
      <c r="AE137" s="181"/>
      <c r="AF137" s="181"/>
    </row>
    <row r="138" spans="1:32" x14ac:dyDescent="0.2">
      <c r="A138" s="181"/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  <c r="L138" s="181"/>
      <c r="M138" s="181"/>
      <c r="N138" s="181"/>
      <c r="O138" s="181"/>
      <c r="P138" s="181"/>
      <c r="Q138" s="181"/>
      <c r="R138" s="181"/>
      <c r="S138" s="181"/>
      <c r="T138" s="181"/>
      <c r="U138" s="181"/>
      <c r="V138" s="181"/>
      <c r="W138" s="181"/>
      <c r="X138" s="181"/>
      <c r="Y138" s="181"/>
      <c r="Z138" s="181"/>
      <c r="AA138" s="181"/>
      <c r="AB138" s="181"/>
      <c r="AC138" s="181"/>
      <c r="AD138" s="181"/>
      <c r="AE138" s="181"/>
      <c r="AF138" s="181"/>
    </row>
    <row r="139" spans="1:32" x14ac:dyDescent="0.2">
      <c r="A139" s="181"/>
      <c r="B139" s="181"/>
      <c r="C139" s="181"/>
      <c r="D139" s="181"/>
      <c r="E139" s="181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81"/>
      <c r="Q139" s="181"/>
      <c r="R139" s="181"/>
      <c r="S139" s="181"/>
      <c r="T139" s="181"/>
      <c r="U139" s="181"/>
      <c r="V139" s="181"/>
      <c r="W139" s="181"/>
      <c r="X139" s="181"/>
      <c r="Y139" s="181"/>
      <c r="Z139" s="181"/>
      <c r="AA139" s="181"/>
      <c r="AB139" s="181"/>
      <c r="AC139" s="181"/>
      <c r="AD139" s="181"/>
      <c r="AE139" s="181"/>
      <c r="AF139" s="181"/>
    </row>
    <row r="140" spans="1:32" x14ac:dyDescent="0.2">
      <c r="A140" s="181"/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81"/>
      <c r="Z140" s="181"/>
      <c r="AA140" s="181"/>
      <c r="AB140" s="181"/>
      <c r="AC140" s="181"/>
      <c r="AD140" s="181"/>
      <c r="AE140" s="181"/>
      <c r="AF140" s="181"/>
    </row>
    <row r="141" spans="1:32" x14ac:dyDescent="0.2">
      <c r="A141" s="181"/>
      <c r="B141" s="181"/>
      <c r="C141" s="181"/>
      <c r="D141" s="181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81"/>
      <c r="T141" s="181"/>
      <c r="U141" s="181"/>
      <c r="V141" s="181"/>
      <c r="W141" s="181"/>
      <c r="X141" s="181"/>
      <c r="Y141" s="181"/>
      <c r="Z141" s="181"/>
      <c r="AA141" s="181"/>
      <c r="AB141" s="181"/>
      <c r="AC141" s="181"/>
      <c r="AD141" s="181"/>
      <c r="AE141" s="181"/>
      <c r="AF141" s="181"/>
    </row>
    <row r="142" spans="1:32" x14ac:dyDescent="0.2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181"/>
      <c r="T142" s="181"/>
      <c r="U142" s="181"/>
      <c r="V142" s="181"/>
      <c r="W142" s="181"/>
      <c r="X142" s="181"/>
      <c r="Y142" s="181"/>
      <c r="Z142" s="181"/>
      <c r="AA142" s="181"/>
      <c r="AB142" s="181"/>
      <c r="AC142" s="181"/>
      <c r="AD142" s="181"/>
      <c r="AE142" s="181"/>
      <c r="AF142" s="181"/>
    </row>
    <row r="143" spans="1:32" x14ac:dyDescent="0.2">
      <c r="A143" s="181"/>
      <c r="B143" s="181"/>
      <c r="C143" s="181"/>
      <c r="D143" s="181"/>
      <c r="E143" s="181"/>
      <c r="F143" s="181"/>
      <c r="G143" s="181"/>
      <c r="H143" s="181"/>
      <c r="I143" s="181"/>
      <c r="J143" s="181"/>
      <c r="K143" s="181"/>
      <c r="L143" s="181"/>
      <c r="M143" s="181"/>
      <c r="N143" s="181"/>
      <c r="O143" s="181"/>
      <c r="P143" s="181"/>
      <c r="Q143" s="181"/>
      <c r="R143" s="181"/>
      <c r="S143" s="181"/>
      <c r="T143" s="181"/>
      <c r="U143" s="181"/>
      <c r="V143" s="181"/>
      <c r="W143" s="181"/>
      <c r="X143" s="181"/>
      <c r="Y143" s="181"/>
      <c r="Z143" s="181"/>
      <c r="AA143" s="181"/>
      <c r="AB143" s="181"/>
      <c r="AC143" s="181"/>
      <c r="AD143" s="181"/>
      <c r="AE143" s="181"/>
      <c r="AF143" s="181"/>
    </row>
    <row r="144" spans="1:32" x14ac:dyDescent="0.2">
      <c r="A144" s="181"/>
      <c r="B144" s="181"/>
      <c r="C144" s="181"/>
      <c r="D144" s="181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181"/>
      <c r="T144" s="181"/>
      <c r="U144" s="181"/>
      <c r="V144" s="181"/>
      <c r="W144" s="181"/>
      <c r="X144" s="181"/>
      <c r="Y144" s="181"/>
      <c r="Z144" s="181"/>
      <c r="AA144" s="181"/>
      <c r="AB144" s="181"/>
      <c r="AC144" s="181"/>
      <c r="AD144" s="181"/>
      <c r="AE144" s="181"/>
      <c r="AF144" s="181"/>
    </row>
    <row r="145" spans="1:32" x14ac:dyDescent="0.2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</row>
    <row r="146" spans="1:32" x14ac:dyDescent="0.2">
      <c r="A146" s="181"/>
      <c r="B146" s="181"/>
      <c r="C146" s="181"/>
      <c r="D146" s="181"/>
      <c r="E146" s="181"/>
      <c r="F146" s="181"/>
      <c r="G146" s="181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1"/>
      <c r="AC146" s="181"/>
      <c r="AD146" s="181"/>
      <c r="AE146" s="181"/>
      <c r="AF146" s="181"/>
    </row>
    <row r="147" spans="1:32" x14ac:dyDescent="0.2">
      <c r="A147" s="181"/>
      <c r="B147" s="181"/>
      <c r="C147" s="181"/>
      <c r="D147" s="181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1"/>
      <c r="AA147" s="181"/>
      <c r="AB147" s="181"/>
      <c r="AC147" s="181"/>
      <c r="AD147" s="181"/>
      <c r="AE147" s="181"/>
      <c r="AF147" s="181"/>
    </row>
    <row r="148" spans="1:32" x14ac:dyDescent="0.2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181"/>
      <c r="T148" s="181"/>
      <c r="U148" s="181"/>
      <c r="V148" s="181"/>
      <c r="W148" s="181"/>
      <c r="X148" s="181"/>
      <c r="Y148" s="181"/>
      <c r="Z148" s="181"/>
      <c r="AA148" s="181"/>
      <c r="AB148" s="181"/>
      <c r="AC148" s="181"/>
      <c r="AD148" s="181"/>
      <c r="AE148" s="181"/>
      <c r="AF148" s="181"/>
    </row>
    <row r="149" spans="1:32" x14ac:dyDescent="0.2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1"/>
      <c r="AC149" s="181"/>
      <c r="AD149" s="181"/>
      <c r="AE149" s="181"/>
      <c r="AF149" s="181"/>
    </row>
    <row r="150" spans="1:32" x14ac:dyDescent="0.2">
      <c r="A150" s="181"/>
      <c r="B150" s="181"/>
      <c r="C150" s="181"/>
      <c r="D150" s="181"/>
      <c r="E150" s="181"/>
      <c r="F150" s="181"/>
      <c r="G150" s="181"/>
      <c r="H150" s="181"/>
      <c r="I150" s="181"/>
      <c r="J150" s="181"/>
      <c r="K150" s="181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  <c r="AF150" s="181"/>
    </row>
    <row r="151" spans="1:32" x14ac:dyDescent="0.2">
      <c r="A151" s="181"/>
      <c r="B151" s="181"/>
      <c r="C151" s="181"/>
      <c r="D151" s="181"/>
      <c r="E151" s="181"/>
      <c r="F151" s="181"/>
      <c r="G151" s="181"/>
      <c r="H151" s="181"/>
      <c r="I151" s="181"/>
      <c r="J151" s="181"/>
      <c r="K151" s="181"/>
      <c r="L151" s="181"/>
      <c r="M151" s="181"/>
      <c r="N151" s="181"/>
      <c r="O151" s="181"/>
      <c r="P151" s="181"/>
      <c r="Q151" s="181"/>
      <c r="R151" s="181"/>
      <c r="S151" s="181"/>
      <c r="T151" s="181"/>
      <c r="U151" s="181"/>
      <c r="V151" s="181"/>
      <c r="W151" s="181"/>
      <c r="X151" s="181"/>
      <c r="Y151" s="181"/>
      <c r="Z151" s="181"/>
      <c r="AA151" s="181"/>
      <c r="AB151" s="181"/>
      <c r="AC151" s="181"/>
      <c r="AD151" s="181"/>
      <c r="AE151" s="181"/>
      <c r="AF151" s="181"/>
    </row>
    <row r="152" spans="1:32" x14ac:dyDescent="0.2">
      <c r="A152" s="181"/>
      <c r="B152" s="181"/>
      <c r="C152" s="181"/>
      <c r="D152" s="181"/>
      <c r="E152" s="181"/>
      <c r="F152" s="181"/>
      <c r="G152" s="181"/>
      <c r="H152" s="181"/>
      <c r="I152" s="181"/>
      <c r="J152" s="181"/>
      <c r="K152" s="181"/>
      <c r="L152" s="181"/>
      <c r="M152" s="181"/>
      <c r="N152" s="181"/>
      <c r="O152" s="181"/>
      <c r="P152" s="181"/>
      <c r="Q152" s="181"/>
      <c r="R152" s="181"/>
      <c r="S152" s="181"/>
      <c r="T152" s="181"/>
      <c r="U152" s="181"/>
      <c r="V152" s="181"/>
      <c r="W152" s="181"/>
      <c r="X152" s="181"/>
      <c r="Y152" s="181"/>
      <c r="Z152" s="181"/>
      <c r="AA152" s="181"/>
      <c r="AB152" s="181"/>
      <c r="AC152" s="181"/>
      <c r="AD152" s="181"/>
      <c r="AE152" s="181"/>
      <c r="AF152" s="181"/>
    </row>
  </sheetData>
  <sheetProtection algorithmName="SHA-512" hashValue="K3YjucccKzZTMuq1GhCXkfEP2mlTkkEuR0vASBEB9O8cl709xcon+egf/6h8LvQTIr94nrbp9h2lgVkyyDy+YQ==" saltValue="0L9NU3atna2hqfziXXi95w==" spinCount="100000" sheet="1" selectLockedCells="1"/>
  <mergeCells count="31">
    <mergeCell ref="M2:Q2"/>
    <mergeCell ref="AP3:AQ3"/>
    <mergeCell ref="AP7:AQ7"/>
    <mergeCell ref="AL43:AM43"/>
    <mergeCell ref="D4:K4"/>
    <mergeCell ref="D18:H18"/>
    <mergeCell ref="D22:J22"/>
    <mergeCell ref="M7:Q7"/>
    <mergeCell ref="M3:Q5"/>
    <mergeCell ref="AM79:AN79"/>
    <mergeCell ref="AK79:AL79"/>
    <mergeCell ref="AL73:AM73"/>
    <mergeCell ref="E7:H7"/>
    <mergeCell ref="E9:F9"/>
    <mergeCell ref="M20:Q21"/>
    <mergeCell ref="BB35:BF35"/>
    <mergeCell ref="AL97:AP97"/>
    <mergeCell ref="AL98:AP98"/>
    <mergeCell ref="AK37:AP37"/>
    <mergeCell ref="AK81:AL81"/>
    <mergeCell ref="AK80:AL80"/>
    <mergeCell ref="AL48:AM48"/>
    <mergeCell ref="AN48:AO48"/>
    <mergeCell ref="AN60:AP60"/>
    <mergeCell ref="AN59:AP59"/>
    <mergeCell ref="AL67:AM67"/>
    <mergeCell ref="BB83:BF83"/>
    <mergeCell ref="AV86:AV90"/>
    <mergeCell ref="AL83:AO83"/>
    <mergeCell ref="AM81:AN81"/>
    <mergeCell ref="AM80:AN80"/>
  </mergeCells>
  <phoneticPr fontId="9" type="noConversion"/>
  <conditionalFormatting sqref="P9:Q13 P15:Q18">
    <cfRule type="cellIs" dxfId="0" priority="1" operator="lessThan">
      <formula>0.1</formula>
    </cfRule>
  </conditionalFormatting>
  <dataValidations count="15">
    <dataValidation type="decimal" allowBlank="1" showInputMessage="1" showErrorMessage="1" errorTitle="Check Weight" error="Please check that the correct weight has been entered in this field. This calculator supports weights that are greater than 0kg and up to 6kg." sqref="E11" xr:uid="{00000000-0002-0000-0000-000000000000}">
      <formula1>0.01</formula1>
      <formula2>6</formula2>
    </dataValidation>
    <dataValidation type="textLength" allowBlank="1" showInputMessage="1" showErrorMessage="1" error="Please only add text characters" sqref="E7:H7 E20:H20 H19" xr:uid="{00000000-0002-0000-0000-000001000000}">
      <formula1>3</formula1>
      <formula2>50</formula2>
    </dataValidation>
    <dataValidation type="whole" allowBlank="1" showInputMessage="1" showErrorMessage="1" sqref="E9:F9" xr:uid="{00000000-0002-0000-0000-000002000000}">
      <formula1>0</formula1>
      <formula2>100000000000000</formula2>
    </dataValidation>
    <dataValidation type="decimal" operator="greaterThan" allowBlank="1" showInputMessage="1" showErrorMessage="1" error="Please only add decimal values in cm" sqref="F19:G19" xr:uid="{00000000-0002-0000-0000-000003000000}">
      <formula1>0</formula1>
    </dataValidation>
    <dataValidation type="date" allowBlank="1" showInputMessage="1" showErrorMessage="1" error="This calculator is for babies on the Neonatal unit therefore it will not work for babies older than 183 days." sqref="E13" xr:uid="{00000000-0002-0000-0000-000004000000}">
      <formula1>TODAY() - 183</formula1>
      <formula2>TODAY()</formula2>
    </dataValidation>
    <dataValidation type="list" allowBlank="1" showInputMessage="1" showErrorMessage="1" sqref="N11" xr:uid="{00000000-0002-0000-0000-000005000000}">
      <formula1>Morphine</formula1>
    </dataValidation>
    <dataValidation type="list" allowBlank="1" showInputMessage="1" showErrorMessage="1" sqref="N9" xr:uid="{00000000-0002-0000-0000-000006000000}">
      <formula1>Dinoprostone</formula1>
    </dataValidation>
    <dataValidation type="list" allowBlank="1" showInputMessage="1" showErrorMessage="1" sqref="N10" xr:uid="{00000000-0002-0000-0000-000007000000}">
      <formula1>Midazolam</formula1>
    </dataValidation>
    <dataValidation type="list" allowBlank="1" showInputMessage="1" showErrorMessage="1" sqref="N12" xr:uid="{00000000-0002-0000-0000-000008000000}">
      <formula1>Rocuronium</formula1>
    </dataValidation>
    <dataValidation type="list" allowBlank="1" showInputMessage="1" showErrorMessage="1" sqref="N13" xr:uid="{00000000-0002-0000-0000-000009000000}">
      <formula1 xml:space="preserve"> Vecuronium</formula1>
    </dataValidation>
    <dataValidation type="list" allowBlank="1" showInputMessage="1" showErrorMessage="1" sqref="N15" xr:uid="{00000000-0002-0000-0000-00000A000000}">
      <formula1>Adrenaline</formula1>
    </dataValidation>
    <dataValidation type="list" allowBlank="1" showInputMessage="1" showErrorMessage="1" sqref="N16" xr:uid="{00000000-0002-0000-0000-00000B000000}">
      <formula1>Dobutamine</formula1>
    </dataValidation>
    <dataValidation type="list" allowBlank="1" showInputMessage="1" showErrorMessage="1" sqref="N17" xr:uid="{00000000-0002-0000-0000-00000C000000}">
      <formula1>Dopamine</formula1>
    </dataValidation>
    <dataValidation type="list" allowBlank="1" showInputMessage="1" showErrorMessage="1" sqref="N18" xr:uid="{00000000-0002-0000-0000-00000D000000}">
      <formula1>Noradrenaline</formula1>
    </dataValidation>
    <dataValidation type="decimal" operator="lessThan" allowBlank="1" showInputMessage="1" error="cannot measure" sqref="P9" xr:uid="{4E557B05-4483-407F-AB3E-01E2CD18AC4B}">
      <formula1>0.1</formula1>
    </dataValidation>
  </dataValidations>
  <hyperlinks>
    <hyperlink ref="AL98" r:id="rId1" xr:uid="{00000000-0004-0000-0000-000000000000}"/>
  </hyperlinks>
  <pageMargins left="0.25" right="0.25" top="0.75" bottom="0.75" header="0.3" footer="0.3"/>
  <pageSetup paperSize="9" scale="82" fitToWidth="0" orientation="portrait" r:id="rId2"/>
  <headerFooter alignWithMargins="0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F40"/>
  <sheetViews>
    <sheetView topLeftCell="A15" workbookViewId="0">
      <selection activeCell="E7" sqref="E7"/>
    </sheetView>
  </sheetViews>
  <sheetFormatPr defaultRowHeight="12.75" x14ac:dyDescent="0.2"/>
  <cols>
    <col min="2" max="2" width="23.28515625" customWidth="1"/>
    <col min="3" max="3" width="21.85546875" customWidth="1"/>
    <col min="4" max="4" width="21.42578125" customWidth="1"/>
    <col min="5" max="5" width="18.7109375" customWidth="1"/>
    <col min="6" max="6" width="21" customWidth="1"/>
  </cols>
  <sheetData>
    <row r="3" spans="2:6" x14ac:dyDescent="0.2">
      <c r="B3" s="354" t="s">
        <v>35</v>
      </c>
      <c r="C3" s="355"/>
      <c r="D3" s="355"/>
      <c r="E3" s="355"/>
      <c r="F3" s="353"/>
    </row>
    <row r="4" spans="2:6" x14ac:dyDescent="0.2">
      <c r="B4" s="349" t="s">
        <v>37</v>
      </c>
      <c r="C4" s="350"/>
      <c r="D4" s="350"/>
      <c r="E4" s="350"/>
      <c r="F4" s="351"/>
    </row>
    <row r="5" spans="2:6" ht="24" x14ac:dyDescent="0.2">
      <c r="B5" s="70" t="s">
        <v>21</v>
      </c>
      <c r="C5" s="73" t="s">
        <v>101</v>
      </c>
      <c r="D5" s="73" t="s">
        <v>108</v>
      </c>
      <c r="E5" s="52" t="s">
        <v>38</v>
      </c>
      <c r="F5" s="71" t="s">
        <v>39</v>
      </c>
    </row>
    <row r="6" spans="2:6" x14ac:dyDescent="0.2">
      <c r="B6" s="120" t="s">
        <v>65</v>
      </c>
      <c r="C6" s="210">
        <v>50</v>
      </c>
      <c r="D6" s="244" t="s">
        <v>109</v>
      </c>
      <c r="E6" s="286" t="e">
        <f ca="1">0.3*Weight</f>
        <v>#VALUE!</v>
      </c>
      <c r="F6" s="209" t="e">
        <f ca="1">1.2*Weight</f>
        <v>#VALUE!</v>
      </c>
    </row>
    <row r="7" spans="2:6" x14ac:dyDescent="0.2">
      <c r="B7" s="120" t="s">
        <v>65</v>
      </c>
      <c r="C7" s="210">
        <v>200</v>
      </c>
      <c r="D7" s="244" t="s">
        <v>109</v>
      </c>
      <c r="E7" s="286" t="e">
        <f ca="1">0.075*Weight</f>
        <v>#VALUE!</v>
      </c>
      <c r="F7" s="209" t="e">
        <f ca="1">0.3*Weight</f>
        <v>#VALUE!</v>
      </c>
    </row>
    <row r="8" spans="2:6" x14ac:dyDescent="0.2">
      <c r="B8" s="120" t="s">
        <v>56</v>
      </c>
      <c r="C8" s="216">
        <v>12.5</v>
      </c>
      <c r="D8" s="245" t="s">
        <v>110</v>
      </c>
      <c r="E8" s="286" t="e">
        <f ca="1">0.12*Weight</f>
        <v>#VALUE!</v>
      </c>
      <c r="F8" s="209" t="e">
        <f ca="1">0.24*Weight</f>
        <v>#VALUE!</v>
      </c>
    </row>
    <row r="9" spans="2:6" x14ac:dyDescent="0.2">
      <c r="B9" s="120" t="s">
        <v>56</v>
      </c>
      <c r="C9" s="215">
        <v>25</v>
      </c>
      <c r="D9" s="246" t="s">
        <v>110</v>
      </c>
      <c r="E9" s="286" t="e">
        <f ca="1">0.06*Weight</f>
        <v>#VALUE!</v>
      </c>
      <c r="F9" s="209" t="e">
        <f ca="1">0.12*Weight</f>
        <v>#VALUE!</v>
      </c>
    </row>
    <row r="10" spans="2:6" x14ac:dyDescent="0.2">
      <c r="B10" s="120" t="s">
        <v>56</v>
      </c>
      <c r="C10" s="215">
        <v>50</v>
      </c>
      <c r="D10" s="246" t="s">
        <v>110</v>
      </c>
      <c r="E10" s="286" t="e">
        <f ca="1">0.03*Weight</f>
        <v>#VALUE!</v>
      </c>
      <c r="F10" s="209" t="e">
        <f ca="1">0.06*Weight</f>
        <v>#VALUE!</v>
      </c>
    </row>
    <row r="11" spans="2:6" x14ac:dyDescent="0.2">
      <c r="B11" s="120" t="s">
        <v>56</v>
      </c>
      <c r="C11" s="215">
        <v>100</v>
      </c>
      <c r="D11" s="246" t="s">
        <v>110</v>
      </c>
      <c r="E11" s="286" t="e">
        <f ca="1">0.015*Weight</f>
        <v>#VALUE!</v>
      </c>
      <c r="F11" s="209" t="e">
        <f ca="1">0.03*Weight</f>
        <v>#VALUE!</v>
      </c>
    </row>
    <row r="12" spans="2:6" x14ac:dyDescent="0.2">
      <c r="B12" s="137" t="s">
        <v>43</v>
      </c>
      <c r="C12" s="217">
        <v>1.25</v>
      </c>
      <c r="D12" s="247" t="s">
        <v>111</v>
      </c>
      <c r="E12" s="286" t="e">
        <f ca="1">0.4*Weight</f>
        <v>#VALUE!</v>
      </c>
      <c r="F12" s="209" t="e">
        <f ca="1">0.8*Weight</f>
        <v>#VALUE!</v>
      </c>
    </row>
    <row r="13" spans="2:6" x14ac:dyDescent="0.2">
      <c r="B13" s="29" t="s">
        <v>43</v>
      </c>
      <c r="C13" s="218">
        <v>2.5</v>
      </c>
      <c r="D13" s="172" t="s">
        <v>111</v>
      </c>
      <c r="E13" s="286" t="e">
        <f ca="1">0.2*Weight</f>
        <v>#VALUE!</v>
      </c>
      <c r="F13" s="209" t="e">
        <f ca="1">0.4*Weight</f>
        <v>#VALUE!</v>
      </c>
    </row>
    <row r="14" spans="2:6" x14ac:dyDescent="0.2">
      <c r="B14" s="28" t="s">
        <v>43</v>
      </c>
      <c r="C14" s="219">
        <v>10</v>
      </c>
      <c r="D14" s="248" t="s">
        <v>111</v>
      </c>
      <c r="E14" s="286" t="e">
        <f ca="1">0.05*Weight</f>
        <v>#VALUE!</v>
      </c>
      <c r="F14" s="209" t="e">
        <f ca="1">0.1*Weight</f>
        <v>#VALUE!</v>
      </c>
    </row>
    <row r="15" spans="2:6" x14ac:dyDescent="0.2">
      <c r="B15" s="220" t="s">
        <v>43</v>
      </c>
      <c r="C15" s="219">
        <v>50</v>
      </c>
      <c r="D15" s="248" t="s">
        <v>111</v>
      </c>
      <c r="E15" s="286" t="e">
        <f ca="1">0.01*Weight</f>
        <v>#VALUE!</v>
      </c>
      <c r="F15" s="209" t="e">
        <f ca="1">0.02*Weight</f>
        <v>#VALUE!</v>
      </c>
    </row>
    <row r="16" spans="2:6" x14ac:dyDescent="0.2">
      <c r="B16" s="120" t="s">
        <v>67</v>
      </c>
      <c r="C16" s="216">
        <v>62.5</v>
      </c>
      <c r="D16" s="245" t="s">
        <v>112</v>
      </c>
      <c r="E16" s="286" t="e">
        <f ca="1">0.24*Weight</f>
        <v>#VALUE!</v>
      </c>
      <c r="F16" s="209" t="e">
        <f ca="1">0.48*Weight</f>
        <v>#VALUE!</v>
      </c>
    </row>
    <row r="17" spans="2:6" x14ac:dyDescent="0.2">
      <c r="B17" s="137" t="s">
        <v>67</v>
      </c>
      <c r="C17" s="221">
        <v>250</v>
      </c>
      <c r="D17" s="249" t="s">
        <v>112</v>
      </c>
      <c r="E17" s="286" t="e">
        <f ca="1">0.06*Weight</f>
        <v>#VALUE!</v>
      </c>
      <c r="F17" s="51" t="e">
        <f ca="1">0.12*Weight</f>
        <v>#VALUE!</v>
      </c>
    </row>
    <row r="18" spans="2:6" x14ac:dyDescent="0.2">
      <c r="B18" s="29" t="s">
        <v>67</v>
      </c>
      <c r="C18" s="222">
        <v>500</v>
      </c>
      <c r="D18" s="250" t="s">
        <v>112</v>
      </c>
      <c r="E18" s="286" t="e">
        <f ca="1">0.03*Weight</f>
        <v>#VALUE!</v>
      </c>
      <c r="F18" s="51" t="e">
        <f ca="1">0.06*Weight</f>
        <v>#VALUE!</v>
      </c>
    </row>
    <row r="19" spans="2:6" x14ac:dyDescent="0.2">
      <c r="B19" s="28" t="s">
        <v>47</v>
      </c>
      <c r="C19" s="223">
        <v>12.5</v>
      </c>
      <c r="D19" s="251" t="s">
        <v>113</v>
      </c>
      <c r="E19" s="287" t="e">
        <f ca="1">0.2*Weight</f>
        <v>#VALUE!</v>
      </c>
      <c r="F19" s="72" t="e">
        <f ca="1">0.8*Weight</f>
        <v>#VALUE!</v>
      </c>
    </row>
    <row r="20" spans="2:6" x14ac:dyDescent="0.2">
      <c r="B20" s="28" t="s">
        <v>47</v>
      </c>
      <c r="C20" s="219">
        <v>50</v>
      </c>
      <c r="D20" s="248" t="s">
        <v>113</v>
      </c>
      <c r="E20" s="287" t="e">
        <f ca="1">0.05*Weight</f>
        <v>#VALUE!</v>
      </c>
      <c r="F20" s="72" t="e">
        <f ca="1">0.2*Weight</f>
        <v>#VALUE!</v>
      </c>
    </row>
    <row r="21" spans="2:6" x14ac:dyDescent="0.2">
      <c r="B21" s="212"/>
      <c r="C21" s="213"/>
      <c r="D21" s="214"/>
      <c r="E21" s="214"/>
    </row>
    <row r="22" spans="2:6" ht="13.5" thickBot="1" x14ac:dyDescent="0.25"/>
    <row r="23" spans="2:6" x14ac:dyDescent="0.2">
      <c r="B23" s="48" t="s">
        <v>35</v>
      </c>
      <c r="C23" s="49"/>
      <c r="D23" s="50"/>
      <c r="E23" s="352"/>
      <c r="F23" s="353"/>
    </row>
    <row r="24" spans="2:6" x14ac:dyDescent="0.2">
      <c r="B24" s="349" t="s">
        <v>102</v>
      </c>
      <c r="C24" s="350"/>
      <c r="D24" s="350"/>
      <c r="E24" s="350"/>
      <c r="F24" s="351"/>
    </row>
    <row r="25" spans="2:6" ht="24" x14ac:dyDescent="0.2">
      <c r="B25" s="70" t="s">
        <v>21</v>
      </c>
      <c r="C25" s="73" t="s">
        <v>117</v>
      </c>
      <c r="D25" s="73" t="s">
        <v>108</v>
      </c>
      <c r="E25" s="52" t="s">
        <v>38</v>
      </c>
      <c r="F25" s="71" t="s">
        <v>39</v>
      </c>
    </row>
    <row r="26" spans="2:6" x14ac:dyDescent="0.2">
      <c r="B26" s="120" t="s">
        <v>41</v>
      </c>
      <c r="C26" s="216">
        <v>0.2</v>
      </c>
      <c r="D26" s="245" t="s">
        <v>114</v>
      </c>
      <c r="E26" s="286" t="e">
        <f ca="1">0.3*Weight</f>
        <v>#VALUE!</v>
      </c>
      <c r="F26" s="209" t="e">
        <f ca="1">6*Weight</f>
        <v>#VALUE!</v>
      </c>
    </row>
    <row r="27" spans="2:6" x14ac:dyDescent="0.2">
      <c r="B27" s="120" t="s">
        <v>41</v>
      </c>
      <c r="C27" s="216">
        <v>0.4</v>
      </c>
      <c r="D27" s="245" t="s">
        <v>114</v>
      </c>
      <c r="E27" s="286" t="e">
        <f ca="1">0.15*Weight</f>
        <v>#VALUE!</v>
      </c>
      <c r="F27" s="209" t="e">
        <f ca="1">3*Weight</f>
        <v>#VALUE!</v>
      </c>
    </row>
    <row r="28" spans="2:6" x14ac:dyDescent="0.2">
      <c r="B28" s="120" t="s">
        <v>41</v>
      </c>
      <c r="C28" s="216">
        <v>0.8</v>
      </c>
      <c r="D28" s="245" t="s">
        <v>114</v>
      </c>
      <c r="E28" s="286" t="e">
        <f ca="1">0.075*Weight</f>
        <v>#VALUE!</v>
      </c>
      <c r="F28" s="209" t="e">
        <f ca="1">1.5*Weight</f>
        <v>#VALUE!</v>
      </c>
    </row>
    <row r="29" spans="2:6" x14ac:dyDescent="0.2">
      <c r="B29" s="120" t="s">
        <v>41</v>
      </c>
      <c r="C29" s="216">
        <v>3.2</v>
      </c>
      <c r="D29" s="245" t="s">
        <v>114</v>
      </c>
      <c r="E29" s="286" t="e">
        <f ca="1">0.01875*Weight</f>
        <v>#VALUE!</v>
      </c>
      <c r="F29" s="209" t="e">
        <f ca="1">0.375*Weight</f>
        <v>#VALUE!</v>
      </c>
    </row>
    <row r="30" spans="2:6" x14ac:dyDescent="0.2">
      <c r="B30" s="120" t="s">
        <v>53</v>
      </c>
      <c r="C30" s="215">
        <v>20</v>
      </c>
      <c r="D30" s="246" t="s">
        <v>115</v>
      </c>
      <c r="E30" s="286" t="e">
        <f ca="1">0.3*Weight</f>
        <v>#VALUE!</v>
      </c>
      <c r="F30" s="209" t="e">
        <f ca="1">1.2*Weight</f>
        <v>#VALUE!</v>
      </c>
    </row>
    <row r="31" spans="2:6" x14ac:dyDescent="0.2">
      <c r="B31" s="120" t="s">
        <v>53</v>
      </c>
      <c r="C31" s="215">
        <v>40</v>
      </c>
      <c r="D31" s="246" t="s">
        <v>115</v>
      </c>
      <c r="E31" s="286" t="e">
        <f ca="1">0.15*Weight</f>
        <v>#VALUE!</v>
      </c>
      <c r="F31" s="209" t="e">
        <f ca="1">0.6*Weight</f>
        <v>#VALUE!</v>
      </c>
    </row>
    <row r="32" spans="2:6" x14ac:dyDescent="0.2">
      <c r="B32" s="137" t="s">
        <v>53</v>
      </c>
      <c r="C32" s="221">
        <v>100</v>
      </c>
      <c r="D32" s="249" t="s">
        <v>115</v>
      </c>
      <c r="E32" s="286" t="e">
        <f ca="1">0.06*Weight</f>
        <v>#VALUE!</v>
      </c>
      <c r="F32" s="209" t="e">
        <f ca="1">0.24*Weight</f>
        <v>#VALUE!</v>
      </c>
    </row>
    <row r="33" spans="2:6" x14ac:dyDescent="0.2">
      <c r="B33" s="29" t="s">
        <v>55</v>
      </c>
      <c r="C33" s="222">
        <v>20</v>
      </c>
      <c r="D33" s="250" t="s">
        <v>115</v>
      </c>
      <c r="E33" s="286" t="e">
        <f ca="1">0.3*Weight</f>
        <v>#VALUE!</v>
      </c>
      <c r="F33" s="209" t="e">
        <f ca="1">1.2*Weight</f>
        <v>#VALUE!</v>
      </c>
    </row>
    <row r="34" spans="2:6" x14ac:dyDescent="0.2">
      <c r="B34" s="28" t="s">
        <v>55</v>
      </c>
      <c r="C34" s="219">
        <v>30</v>
      </c>
      <c r="D34" s="248" t="s">
        <v>115</v>
      </c>
      <c r="E34" s="286" t="e">
        <f ca="1">0.2*Weight</f>
        <v>#VALUE!</v>
      </c>
      <c r="F34" s="209" t="e">
        <f ca="1">0.8*Weight</f>
        <v>#VALUE!</v>
      </c>
    </row>
    <row r="35" spans="2:6" x14ac:dyDescent="0.2">
      <c r="B35" s="220" t="s">
        <v>55</v>
      </c>
      <c r="C35" s="219">
        <v>90</v>
      </c>
      <c r="D35" s="248" t="s">
        <v>115</v>
      </c>
      <c r="E35" s="286" t="e">
        <f ca="1">0.067*Weight</f>
        <v>#VALUE!</v>
      </c>
      <c r="F35" s="209" t="e">
        <f ca="1">0.27*Weight</f>
        <v>#VALUE!</v>
      </c>
    </row>
    <row r="36" spans="2:6" x14ac:dyDescent="0.2">
      <c r="B36" s="120" t="s">
        <v>55</v>
      </c>
      <c r="C36" s="215">
        <v>240</v>
      </c>
      <c r="D36" s="246" t="s">
        <v>115</v>
      </c>
      <c r="E36" s="286" t="e">
        <f ca="1">0.025*Weight</f>
        <v>#VALUE!</v>
      </c>
      <c r="F36" s="209" t="e">
        <f ca="1">0.1*Weight</f>
        <v>#VALUE!</v>
      </c>
    </row>
    <row r="37" spans="2:6" x14ac:dyDescent="0.2">
      <c r="B37" s="137" t="s">
        <v>104</v>
      </c>
      <c r="C37" s="224">
        <v>0.2</v>
      </c>
      <c r="D37" s="252" t="s">
        <v>116</v>
      </c>
      <c r="E37" s="286" t="e">
        <f ca="1">0.12*Weight</f>
        <v>#VALUE!</v>
      </c>
      <c r="F37" s="51" t="e">
        <f ca="1">6*Weight</f>
        <v>#VALUE!</v>
      </c>
    </row>
    <row r="38" spans="2:6" x14ac:dyDescent="0.2">
      <c r="B38" s="29" t="s">
        <v>104</v>
      </c>
      <c r="C38" s="218">
        <v>0.4</v>
      </c>
      <c r="D38" s="172" t="s">
        <v>116</v>
      </c>
      <c r="E38" s="286" t="e">
        <f ca="1">0.06*Weight</f>
        <v>#VALUE!</v>
      </c>
      <c r="F38" s="51" t="e">
        <f ca="1">3*Weight</f>
        <v>#VALUE!</v>
      </c>
    </row>
    <row r="39" spans="2:6" x14ac:dyDescent="0.2">
      <c r="B39" s="28" t="s">
        <v>104</v>
      </c>
      <c r="C39" s="223">
        <v>0.8</v>
      </c>
      <c r="D39" s="251" t="s">
        <v>116</v>
      </c>
      <c r="E39" s="286" t="e">
        <f ca="1">0.03*Weight</f>
        <v>#VALUE!</v>
      </c>
      <c r="F39" s="72" t="e">
        <f ca="1">1.5*Weight</f>
        <v>#VALUE!</v>
      </c>
    </row>
    <row r="40" spans="2:6" x14ac:dyDescent="0.2">
      <c r="B40" s="28" t="s">
        <v>104</v>
      </c>
      <c r="C40" s="223">
        <v>3.2</v>
      </c>
      <c r="D40" s="251" t="s">
        <v>116</v>
      </c>
      <c r="E40" s="286" t="e">
        <f ca="1">0.0075*Weight</f>
        <v>#VALUE!</v>
      </c>
      <c r="F40" s="72" t="e">
        <f ca="1">0.375*Weight</f>
        <v>#VALUE!</v>
      </c>
    </row>
  </sheetData>
  <mergeCells count="4">
    <mergeCell ref="B4:F4"/>
    <mergeCell ref="E23:F23"/>
    <mergeCell ref="B24:F24"/>
    <mergeCell ref="B3:F3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EF81A2C155E499883D3B4B8F92145" ma:contentTypeVersion="18" ma:contentTypeDescription="Create a new document." ma:contentTypeScope="" ma:versionID="54797eaca1d1603b8f80b84c8cf90d10">
  <xsd:schema xmlns:xsd="http://www.w3.org/2001/XMLSchema" xmlns:xs="http://www.w3.org/2001/XMLSchema" xmlns:p="http://schemas.microsoft.com/office/2006/metadata/properties" xmlns:ns1="http://schemas.microsoft.com/sharepoint/v3" xmlns:ns2="815dd6d7-cc64-4e40-a0f5-2738425cf3ae" xmlns:ns3="b97c2deb-031d-4fa7-b1fb-4c3658af6c30" targetNamespace="http://schemas.microsoft.com/office/2006/metadata/properties" ma:root="true" ma:fieldsID="94af575ff2b162cd2b770b5afa7b0c09" ns1:_="" ns2:_="" ns3:_="">
    <xsd:import namespace="http://schemas.microsoft.com/sharepoint/v3"/>
    <xsd:import namespace="815dd6d7-cc64-4e40-a0f5-2738425cf3ae"/>
    <xsd:import namespace="b97c2deb-031d-4fa7-b1fb-4c3658af6c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Comments_x002f_Act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5dd6d7-cc64-4e40-a0f5-2738425cf3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_x002f_Actions" ma:index="25" nillable="true" ma:displayName="Comments/Actions" ma:format="Dropdown" ma:internalName="Comments_x002f_Action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7c2deb-031d-4fa7-b1fb-4c3658af6c3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041d43da-4ea2-4a73-ae57-ddb88bfdb995}" ma:internalName="TaxCatchAll" ma:showField="CatchAllData" ma:web="b97c2deb-031d-4fa7-b1fb-4c3658af6c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5dd6d7-cc64-4e40-a0f5-2738425cf3ae">
      <Terms xmlns="http://schemas.microsoft.com/office/infopath/2007/PartnerControls"/>
    </lcf76f155ced4ddcb4097134ff3c332f>
    <SharedWithUsers xmlns="b97c2deb-031d-4fa7-b1fb-4c3658af6c30">
      <UserInfo>
        <DisplayName>GOODING, Nigel (CAMBRIDGE UNIVERSITY HOSPITALS NHS FOUNDATION TRUST)</DisplayName>
        <AccountId>165</AccountId>
        <AccountType/>
      </UserInfo>
    </SharedWithUsers>
    <_ip_UnifiedCompliancePolicyUIAction xmlns="http://schemas.microsoft.com/sharepoint/v3" xsi:nil="true"/>
    <TaxCatchAll xmlns="b97c2deb-031d-4fa7-b1fb-4c3658af6c30" xsi:nil="true"/>
    <_ip_UnifiedCompliancePolicyProperties xmlns="http://schemas.microsoft.com/sharepoint/v3" xsi:nil="true"/>
    <Comments_x002f_Actions xmlns="815dd6d7-cc64-4e40-a0f5-2738425cf3ae" xsi:nil="true"/>
  </documentManagement>
</p:properties>
</file>

<file path=customXml/itemProps1.xml><?xml version="1.0" encoding="utf-8"?>
<ds:datastoreItem xmlns:ds="http://schemas.openxmlformats.org/officeDocument/2006/customXml" ds:itemID="{FC2D4CC3-D727-4308-B29E-C3A9BFA15B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48AB45D-A3E9-41D6-8D81-0F0DF1E68C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15dd6d7-cc64-4e40-a0f5-2738425cf3ae"/>
    <ds:schemaRef ds:uri="b97c2deb-031d-4fa7-b1fb-4c3658af6c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7F0B08C-C30C-4F46-9E34-DB4D1BD7D08A}">
  <ds:schemaRefs>
    <ds:schemaRef ds:uri="http://schemas.microsoft.com/office/2006/metadata/properties"/>
    <ds:schemaRef ds:uri="815dd6d7-cc64-4e40-a0f5-2738425cf3ae"/>
    <ds:schemaRef ds:uri="http://schemas.openxmlformats.org/package/2006/metadata/core-properties"/>
    <ds:schemaRef ds:uri="http://schemas.microsoft.com/sharepoint/v3"/>
    <ds:schemaRef ds:uri="b97c2deb-031d-4fa7-b1fb-4c3658af6c30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Adrenaline</vt:lpstr>
      <vt:lpstr>adrenalineConcentration</vt:lpstr>
      <vt:lpstr>babyName</vt:lpstr>
      <vt:lpstr>calciumConcentration</vt:lpstr>
      <vt:lpstr>callNumber</vt:lpstr>
      <vt:lpstr>date</vt:lpstr>
      <vt:lpstr>Dinoprostone</vt:lpstr>
      <vt:lpstr>DoB</vt:lpstr>
      <vt:lpstr>Dobutamine</vt:lpstr>
      <vt:lpstr>Dopamine</vt:lpstr>
      <vt:lpstr>ErrorCheck</vt:lpstr>
      <vt:lpstr>finalVolume</vt:lpstr>
      <vt:lpstr>InputWeight</vt:lpstr>
      <vt:lpstr>micrograms_in_mg</vt:lpstr>
      <vt:lpstr>micrograms_in_nanogram</vt:lpstr>
      <vt:lpstr>Midazolam</vt:lpstr>
      <vt:lpstr>mins_in_hour</vt:lpstr>
      <vt:lpstr>Morphine</vt:lpstr>
      <vt:lpstr>Noradrenaline</vt:lpstr>
      <vt:lpstr>Sheet1!Print_Area</vt:lpstr>
      <vt:lpstr>Rocuronium</vt:lpstr>
      <vt:lpstr>UmbilicalStumpLength</vt:lpstr>
      <vt:lpstr>Vecuronium</vt:lpstr>
      <vt:lpstr>VersionNumber</vt:lpstr>
      <vt:lpstr>Weight</vt:lpstr>
    </vt:vector>
  </TitlesOfParts>
  <Manager/>
  <Company>Addenbrookes NHS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 Services</dc:creator>
  <cp:keywords/>
  <dc:description/>
  <cp:lastModifiedBy>GOODING, Nigel (CAMBRIDGE UNIVERSITY HOSPITALS NHS FOU</cp:lastModifiedBy>
  <cp:revision/>
  <cp:lastPrinted>2025-09-11T14:39:12Z</cp:lastPrinted>
  <dcterms:created xsi:type="dcterms:W3CDTF">2008-05-08T15:20:45Z</dcterms:created>
  <dcterms:modified xsi:type="dcterms:W3CDTF">2025-09-11T14:39:23Z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0x010100BE6EF81A2C155E499883D3B4B8F92145</vt:lpwstr>
  </property>
  <property fmtid="{D5CDD505-2E9C-101B-9397-08002B2CF9AE}" pid="4" name="Order">
    <vt:r8>164400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