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conformance="strict">
  <fileVersion appName="xl" lastEdited="7" lowestEdited="5" rupBuild="10917"/>
  <workbookPr dateCompatibility="0" showInkAnnotation="0" codeName="ThisWorkbook"/>
  <mc:AlternateContent xmlns:mc="http://schemas.openxmlformats.org/markup-compatibility/2006">
    <mc:Choice Requires="x15">
      <x15ac:absPath xmlns:x15ac="http://schemas.microsoft.com/office/spreadsheetml/2010/11/ac" url="/Users/joeyasis/Desktop/"/>
    </mc:Choice>
  </mc:AlternateContent>
  <xr:revisionPtr revIDLastSave="0" documentId="8_{84411234-A7F4-5C4E-9999-B0EF6A2EA0F0}" xr6:coauthVersionLast="47" xr6:coauthVersionMax="47" xr10:uidLastSave="{00000000-0000-0000-0000-000000000000}"/>
  <bookViews>
    <workbookView xWindow="0" yWindow="500" windowWidth="27320" windowHeight="13120" xr2:uid="{396D462F-741D-3449-9F59-778406FA9F03}"/>
  </bookViews>
  <sheets>
    <sheet name="OVERVIEW" sheetId="4" r:id="rId1"/>
    <sheet name="PURCHASE ORDER" sheetId="12" r:id="rId2"/>
    <sheet name="Alpine Ski Rental Calculator" sheetId="10" r:id="rId3"/>
    <sheet name="Snowboard Rental Calculator" sheetId="1" r:id="rId4"/>
    <sheet name="Hidden Data" sheetId="7" state="hidden" r:id="rId5"/>
  </sheets>
  <externalReferences>
    <externalReference r:id="rId6"/>
  </externalReferences>
  <definedNames>
    <definedName name="_xlnm._FilterDatabase" localSheetId="4" hidden="1">'Hidden Data'!$AG$38:$AG$54</definedName>
    <definedName name="ALPINE_NET_0_ADULT_BOOTS">'Alpine Ski Rental Calculator'!$K$32</definedName>
    <definedName name="ALPINE_NET_0_ADULT_POLES">'Alpine Ski Rental Calculator'!$K$38</definedName>
    <definedName name="ALPINE_NET_0_ADULT_SKIS">'Alpine Ski Rental Calculator'!$K$24</definedName>
    <definedName name="ALPINE_NET_0_HELMETS">'Alpine Ski Rental Calculator'!$K$64</definedName>
    <definedName name="ALPINE_NET_0_JR_BOOTS">'Alpine Ski Rental Calculator'!$K$51</definedName>
    <definedName name="ALPINE_NET_0_JR_POLES">'Alpine Ski Rental Calculator'!$K$57</definedName>
    <definedName name="ALPINE_NET_0_JR_SKIS">'Alpine Ski Rental Calculator'!$K$45</definedName>
    <definedName name="ALPINE_NET_1_ADULT_BOOTS">'Alpine Ski Rental Calculator'!$K$85</definedName>
    <definedName name="ALPINE_NET_1_ADULT_POLES">'Alpine Ski Rental Calculator'!$K$91</definedName>
    <definedName name="ALPINE_NET_1_ADULT_SKIS">'Alpine Ski Rental Calculator'!$K$77</definedName>
    <definedName name="ALPINE_NET_1_HELMETS">'Alpine Ski Rental Calculator'!$K$117</definedName>
    <definedName name="ALPINE_NET_1_JR_BOOTS">'Alpine Ski Rental Calculator'!$K$104</definedName>
    <definedName name="ALPINE_NET_1_JR_POLES">'Alpine Ski Rental Calculator'!$K$110</definedName>
    <definedName name="ALPINE_NET_1_JR_SKIS">'Alpine Ski Rental Calculator'!$K$98</definedName>
    <definedName name="ALPINE_UNITS_0_ADULT_BOOTS">'Alpine Ski Rental Calculator'!$L$32</definedName>
    <definedName name="ALPINE_UNITS_0_ADULT_POLES">'Alpine Ski Rental Calculator'!$L$38</definedName>
    <definedName name="ALPINE_UNITS_0_ADULT_SKIS">'Alpine Ski Rental Calculator'!$L$24</definedName>
    <definedName name="ALPINE_UNITS_0_HELMETS">'Alpine Ski Rental Calculator'!$L$64</definedName>
    <definedName name="ALPINE_UNITS_0_JR_BOOTS">'Alpine Ski Rental Calculator'!$L$51</definedName>
    <definedName name="ALPINE_UNITS_0_JR_POLES">'Alpine Ski Rental Calculator'!$L$57</definedName>
    <definedName name="ALPINE_UNITS_0_JR_SKIS">'Alpine Ski Rental Calculator'!$L$45</definedName>
    <definedName name="ALPINE_UNITS_1_ADULT_BOOTS">'Alpine Ski Rental Calculator'!$L$85</definedName>
    <definedName name="ALPINE_UNITS_1_ADULT_POLES">'Alpine Ski Rental Calculator'!$L$91</definedName>
    <definedName name="ALPINE_UNITS_1_ADULT_SKIS">'Alpine Ski Rental Calculator'!$L$77</definedName>
    <definedName name="ALPINE_UNITS_1_HELMETS">'Alpine Ski Rental Calculator'!$L$117</definedName>
    <definedName name="ALPINE_UNITS_1_JR_BOOTS">'Alpine Ski Rental Calculator'!$L$104</definedName>
    <definedName name="ALPINE_UNITS_1_JR_POLES">'Alpine Ski Rental Calculator'!$L$110</definedName>
    <definedName name="ALPINE_UNITS_1_JR_SKIS">'Alpine Ski Rental Calculator'!$L$98</definedName>
    <definedName name="NUMBER_TO_LETTER">'Hidden Data'!$V$2:$AU$3</definedName>
    <definedName name="_xlnm.Print_Area" localSheetId="2">'Alpine Ski Rental Calculator'!$C$3:$AF$119</definedName>
    <definedName name="_xlnm.Print_Area" localSheetId="4">'Hidden Data'!$C$1:$T$93</definedName>
    <definedName name="_xlnm.Print_Area" localSheetId="0">OVERVIEW!$B$2:$R$50</definedName>
    <definedName name="_xlnm.Print_Area" localSheetId="3">'Snowboard Rental Calculator'!$C$3:$Y$82</definedName>
    <definedName name="_xlnm.Print_Titles" localSheetId="1">'PURCHASE ORDER'!$5:$12</definedName>
    <definedName name="SKI_CALCULATOR_TYPE">'Alpine Ski Rental Calculator'!$B$2</definedName>
    <definedName name="SKI_DISCOUNT_TYPE">'Alpine Ski Rental Calculator'!$D$2</definedName>
    <definedName name="SKIS_MASTER_DATA_AREA">'Alpine Ski Rental Calculator'!$B$16:$BF$119</definedName>
    <definedName name="SKUS_TO_SIZES">'Hidden Data'!$D$2:$T$154</definedName>
    <definedName name="SNOWBOARD_CALCULATOR_TYPE">'Snowboard Rental Calculator'!$B$2</definedName>
    <definedName name="SNOWBOARD_DISCOUNT_TYPE">'Snowboard Rental Calculator'!$D$2</definedName>
    <definedName name="SNOWBOARDS_MASTER_DATA_AREA">'Snowboard Rental Calculator'!$B$14:$AW$95</definedName>
    <definedName name="V_CAT_TO_LET">'[1]BACKEND DATA'!$Q$2:$R$6</definedName>
    <definedName name="V_CODE_TO_NUM">'[1]BACKEND DATA'!$V$2:$W$17</definedName>
  </definedNames>
  <calcPr calcId="191029"/>
  <extLs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purl.oclc.org/ooxml/spreadsheetml/main">
  <c r="AH75" i="10" l="1"/>
  <c r="L97" i="10"/>
  <c r="L84" i="10"/>
  <c r="J75" i="10"/>
  <c r="J22" i="10"/>
  <c r="AH22" i="10"/>
  <c r="AG63" i="10"/>
  <c r="AG116" i="10"/>
  <c r="B57" i="1"/>
  <c r="B16" i="10"/>
  <c r="J16" i="10"/>
  <c r="B17" i="10" l="1"/>
  <c r="U3" i="7"/>
  <c r="AF24" i="7"/>
  <c r="AE24" i="7"/>
  <c r="U163" i="7"/>
  <c r="U161" i="7"/>
  <c r="U159" i="7"/>
  <c r="U157" i="7"/>
  <c r="U155" i="7"/>
  <c r="U153" i="7"/>
  <c r="U151" i="7"/>
  <c r="U149" i="7"/>
  <c r="U135" i="7"/>
  <c r="U81" i="7"/>
  <c r="U75" i="7"/>
  <c r="U67" i="7"/>
  <c r="U65" i="7"/>
  <c r="U63" i="7"/>
  <c r="U61" i="7"/>
  <c r="U59" i="7"/>
  <c r="U57" i="7"/>
  <c r="U55" i="7"/>
  <c r="U53" i="7"/>
  <c r="U41" i="7"/>
  <c r="U39" i="7"/>
  <c r="U37" i="7"/>
  <c r="U35" i="7"/>
  <c r="U33" i="7"/>
  <c r="U31" i="7"/>
  <c r="U29" i="7"/>
  <c r="U27" i="7"/>
  <c r="U25" i="7"/>
  <c r="U23" i="7"/>
  <c r="U21" i="7"/>
  <c r="U19" i="7"/>
  <c r="U17" i="7"/>
  <c r="U15" i="7"/>
  <c r="U13" i="7"/>
  <c r="U11" i="7"/>
  <c r="U9" i="7"/>
  <c r="U7" i="7"/>
  <c r="U5" i="7"/>
  <c r="U51" i="7"/>
  <c r="U49" i="7"/>
  <c r="U47" i="7"/>
  <c r="U45" i="7"/>
  <c r="U43" i="7"/>
  <c r="AE30" i="7"/>
  <c r="AE33" i="7"/>
  <c r="AG24" i="7"/>
  <c r="AH24" i="7"/>
  <c r="AI24" i="7"/>
  <c r="AJ24" i="7"/>
  <c r="AK24" i="7"/>
  <c r="AF33" i="7"/>
  <c r="AG33" i="7"/>
  <c r="AH33" i="7"/>
  <c r="AI33" i="7"/>
  <c r="AJ33" i="7"/>
  <c r="AK33" i="7"/>
  <c r="AL33" i="7"/>
  <c r="AM33" i="7"/>
  <c r="AN33" i="7"/>
  <c r="AO33" i="7"/>
  <c r="AP33" i="7"/>
  <c r="AO30" i="7"/>
  <c r="AN30" i="7"/>
  <c r="AM30" i="7"/>
  <c r="AL30" i="7"/>
  <c r="AK30" i="7"/>
  <c r="AJ30" i="7"/>
  <c r="AI30" i="7"/>
  <c r="AH30" i="7"/>
  <c r="AG30" i="7"/>
  <c r="AF30" i="7"/>
  <c r="L83" i="1"/>
  <c r="U84" i="1"/>
  <c r="P84" i="1"/>
  <c r="Q84" i="1"/>
  <c r="R84" i="1"/>
  <c r="S84" i="1"/>
  <c r="T84" i="1"/>
  <c r="AE27" i="7"/>
  <c r="AF9" i="7"/>
  <c r="D119" i="7"/>
  <c r="D121" i="7"/>
  <c r="D129" i="7"/>
  <c r="U76" i="7"/>
  <c r="D45" i="7"/>
  <c r="D47" i="7"/>
  <c r="D67" i="7"/>
  <c r="D65" i="7"/>
  <c r="D63" i="7"/>
  <c r="D61" i="7"/>
  <c r="D59" i="7"/>
  <c r="D57" i="7"/>
  <c r="D55" i="7"/>
  <c r="D53" i="7"/>
  <c r="D51" i="7"/>
  <c r="D49" i="7"/>
  <c r="D43" i="7"/>
  <c r="D163" i="7"/>
  <c r="D161" i="7"/>
  <c r="D159" i="7"/>
  <c r="D157" i="7"/>
  <c r="D155" i="7"/>
  <c r="D153" i="7"/>
  <c r="D151" i="7"/>
  <c r="D149" i="7"/>
  <c r="D25" i="7"/>
  <c r="D23" i="7"/>
  <c r="D21" i="7"/>
  <c r="D19" i="7"/>
  <c r="D17" i="7"/>
  <c r="D15" i="7"/>
  <c r="D13" i="7"/>
  <c r="D11" i="7"/>
  <c r="D9" i="7"/>
  <c r="D7" i="7"/>
  <c r="D5" i="7"/>
  <c r="D3" i="7"/>
  <c r="F22" i="10" l="1"/>
  <c r="F75" i="10"/>
  <c r="H75" i="10" s="1"/>
  <c r="E75" i="10"/>
  <c r="E22" i="10"/>
  <c r="AI22" i="10"/>
  <c r="AI75" i="10"/>
  <c r="B18" i="10"/>
  <c r="AH96" i="10"/>
  <c r="J16" i="1"/>
  <c r="M10" i="1"/>
  <c r="M9" i="1"/>
  <c r="J115" i="10"/>
  <c r="J62" i="10"/>
  <c r="I10" i="10"/>
  <c r="I7" i="10"/>
  <c r="I7" i="1"/>
  <c r="I10" i="1"/>
  <c r="M10" i="10"/>
  <c r="M9" i="10"/>
  <c r="AA69" i="1"/>
  <c r="AA70" i="1"/>
  <c r="AA71" i="1"/>
  <c r="AA72" i="1"/>
  <c r="AA63" i="1"/>
  <c r="J72" i="1"/>
  <c r="J63" i="1"/>
  <c r="B15" i="1"/>
  <c r="AA30" i="1"/>
  <c r="J30" i="1"/>
  <c r="AH115" i="10"/>
  <c r="AH116" i="10"/>
  <c r="U143" i="7"/>
  <c r="D143" i="7"/>
  <c r="J21" i="1"/>
  <c r="AA21" i="1"/>
  <c r="J71" i="1"/>
  <c r="J70" i="1"/>
  <c r="J69" i="1"/>
  <c r="J68" i="1"/>
  <c r="J67" i="1"/>
  <c r="AA60" i="1"/>
  <c r="AA61" i="1"/>
  <c r="AA62" i="1"/>
  <c r="J58" i="1"/>
  <c r="J60" i="1"/>
  <c r="J61" i="1"/>
  <c r="J62" i="1"/>
  <c r="Z93" i="1"/>
  <c r="Z94" i="1" s="1"/>
  <c r="Z88" i="1"/>
  <c r="Z77" i="1"/>
  <c r="Z68" i="1"/>
  <c r="Z69" i="1" s="1"/>
  <c r="Z70" i="1" s="1"/>
  <c r="Z71" i="1" s="1"/>
  <c r="Z72" i="1" s="1"/>
  <c r="Z59" i="1"/>
  <c r="Z60" i="1" s="1"/>
  <c r="Z61" i="1" s="1"/>
  <c r="Z62" i="1" s="1"/>
  <c r="Z63" i="1" s="1"/>
  <c r="Z51" i="1"/>
  <c r="Z52" i="1" s="1"/>
  <c r="Z46" i="1"/>
  <c r="Z35" i="1"/>
  <c r="Z26" i="1"/>
  <c r="Z27" i="1" s="1"/>
  <c r="Z28" i="1" s="1"/>
  <c r="Z29" i="1" s="1"/>
  <c r="Z30" i="1" s="1"/>
  <c r="Z17" i="1"/>
  <c r="Z18" i="1" s="1"/>
  <c r="Z19" i="1" s="1"/>
  <c r="Z20" i="1" s="1"/>
  <c r="Z21" i="1" s="1"/>
  <c r="H22" i="10" l="1"/>
  <c r="G22" i="10"/>
  <c r="B19" i="10"/>
  <c r="B16" i="1"/>
  <c r="B20" i="10" l="1"/>
  <c r="B21" i="10" s="1"/>
  <c r="B22" i="10" s="1"/>
  <c r="B17" i="1"/>
  <c r="B18" i="1" s="1"/>
  <c r="AA16" i="1"/>
  <c r="J17" i="1"/>
  <c r="B23" i="10" l="1"/>
  <c r="B24" i="10" s="1"/>
  <c r="B19" i="1"/>
  <c r="B20" i="1" s="1"/>
  <c r="AA17" i="1"/>
  <c r="J18" i="1"/>
  <c r="B25" i="10" l="1"/>
  <c r="B26" i="10" s="1"/>
  <c r="B27" i="10" s="1"/>
  <c r="B21" i="1"/>
  <c r="B22" i="1" s="1"/>
  <c r="AA18" i="1"/>
  <c r="J25" i="1"/>
  <c r="B28" i="10" l="1"/>
  <c r="B23" i="1"/>
  <c r="AA25" i="1"/>
  <c r="J26" i="1"/>
  <c r="B29" i="10" l="1"/>
  <c r="B30" i="10" s="1"/>
  <c r="B24" i="1"/>
  <c r="B25" i="1" s="1"/>
  <c r="AA26" i="1"/>
  <c r="J27" i="1"/>
  <c r="B31" i="10" l="1"/>
  <c r="B26" i="1"/>
  <c r="B27" i="1" s="1"/>
  <c r="B28" i="1" s="1"/>
  <c r="B29" i="1" s="1"/>
  <c r="B30" i="1" s="1"/>
  <c r="AA27" i="1"/>
  <c r="J19" i="1"/>
  <c r="B32" i="10" l="1"/>
  <c r="B31" i="1"/>
  <c r="B32" i="1" s="1"/>
  <c r="B33" i="1" s="1"/>
  <c r="B34" i="1" s="1"/>
  <c r="AA19" i="1"/>
  <c r="J20" i="1"/>
  <c r="B33" i="10" l="1"/>
  <c r="B34" i="10" s="1"/>
  <c r="B35" i="10" s="1"/>
  <c r="B36" i="10" s="1"/>
  <c r="B37" i="10" s="1"/>
  <c r="B38" i="10" s="1"/>
  <c r="B39" i="10" s="1"/>
  <c r="B40" i="10" s="1"/>
  <c r="B41" i="10" s="1"/>
  <c r="B42" i="10" s="1"/>
  <c r="B35" i="1"/>
  <c r="B36" i="1" s="1"/>
  <c r="B37" i="1" s="1"/>
  <c r="B38" i="1" s="1"/>
  <c r="B39" i="1" s="1"/>
  <c r="B40" i="1" s="1"/>
  <c r="B41" i="1" s="1"/>
  <c r="B42" i="1" s="1"/>
  <c r="B43" i="1" s="1"/>
  <c r="B44" i="1" s="1"/>
  <c r="B45" i="1" s="1"/>
  <c r="B46" i="1" s="1"/>
  <c r="B47" i="1" s="1"/>
  <c r="B48" i="1" s="1"/>
  <c r="B49" i="1" s="1"/>
  <c r="AA20" i="1"/>
  <c r="J28" i="1"/>
  <c r="B43" i="10" l="1"/>
  <c r="B50" i="1"/>
  <c r="B51" i="1" s="1"/>
  <c r="B52" i="1" s="1"/>
  <c r="B53" i="1" s="1"/>
  <c r="AA28" i="1"/>
  <c r="J29" i="1"/>
  <c r="B44" i="10" l="1"/>
  <c r="B45" i="10" s="1"/>
  <c r="AA29" i="1"/>
  <c r="B46" i="10" l="1"/>
  <c r="B47" i="10" s="1"/>
  <c r="B48" i="10" s="1"/>
  <c r="B49" i="10" s="1"/>
  <c r="B50" i="10" s="1"/>
  <c r="B51" i="10" s="1"/>
  <c r="B52" i="10" s="1"/>
  <c r="B53" i="10" s="1"/>
  <c r="B54" i="10" s="1"/>
  <c r="AH31" i="10"/>
  <c r="U141" i="7"/>
  <c r="D141" i="7"/>
  <c r="J31" i="10"/>
  <c r="U139" i="7"/>
  <c r="U137" i="7"/>
  <c r="D137" i="7"/>
  <c r="AH62" i="10"/>
  <c r="AH97" i="10"/>
  <c r="AG97" i="10"/>
  <c r="J97" i="10"/>
  <c r="J96" i="10"/>
  <c r="AH44" i="10"/>
  <c r="AG44" i="10"/>
  <c r="J44" i="10"/>
  <c r="AH43" i="10"/>
  <c r="J43" i="10"/>
  <c r="AG70" i="10"/>
  <c r="AG71" i="10" s="1"/>
  <c r="AG72" i="10" s="1"/>
  <c r="AG73" i="10" s="1"/>
  <c r="AG74" i="10" s="1"/>
  <c r="AG75" i="10" s="1"/>
  <c r="AG76" i="10" l="1"/>
  <c r="AJ75" i="10"/>
  <c r="B55" i="10"/>
  <c r="B56" i="10" s="1"/>
  <c r="B57" i="10" s="1"/>
  <c r="B58" i="10" s="1"/>
  <c r="B59" i="10" s="1"/>
  <c r="B60" i="10" s="1"/>
  <c r="B61" i="10" s="1"/>
  <c r="D81" i="7"/>
  <c r="D75" i="7"/>
  <c r="AH71" i="10"/>
  <c r="J71" i="10"/>
  <c r="AH72" i="10"/>
  <c r="J72" i="10"/>
  <c r="AH18" i="10"/>
  <c r="J18" i="10"/>
  <c r="AH19" i="10"/>
  <c r="J19" i="10"/>
  <c r="B62" i="10" l="1"/>
  <c r="B63" i="10" s="1"/>
  <c r="B64" i="10" s="1"/>
  <c r="AE9" i="7"/>
  <c r="D139" i="7" l="1"/>
  <c r="D135" i="7"/>
  <c r="D133" i="7"/>
  <c r="D131" i="7"/>
  <c r="D127" i="7"/>
  <c r="D125" i="7"/>
  <c r="D117" i="7"/>
  <c r="D115" i="7"/>
  <c r="D107" i="7"/>
  <c r="D105" i="7"/>
  <c r="D97" i="7"/>
  <c r="D95" i="7"/>
  <c r="D103" i="7"/>
  <c r="D101" i="7"/>
  <c r="D99" i="7"/>
  <c r="D123" i="7"/>
  <c r="D113" i="7"/>
  <c r="D111" i="7"/>
  <c r="D109" i="7"/>
  <c r="D93" i="7"/>
  <c r="D91" i="7"/>
  <c r="D89" i="7"/>
  <c r="D87" i="7"/>
  <c r="D85" i="7"/>
  <c r="D83" i="7"/>
  <c r="D79" i="7"/>
  <c r="D77" i="7"/>
  <c r="D73" i="7"/>
  <c r="D71" i="7"/>
  <c r="D69" i="7"/>
  <c r="D41" i="7"/>
  <c r="D39" i="7"/>
  <c r="D37" i="7"/>
  <c r="D35" i="7"/>
  <c r="D33" i="7"/>
  <c r="D31" i="7"/>
  <c r="D29" i="7"/>
  <c r="D27" i="7"/>
  <c r="R85" i="10"/>
  <c r="Q85" i="10"/>
  <c r="P85" i="10"/>
  <c r="O85" i="10"/>
  <c r="N89" i="1"/>
  <c r="M89" i="1"/>
  <c r="E76" i="10" l="1"/>
  <c r="E23" i="10"/>
  <c r="E31" i="10"/>
  <c r="F31" i="10"/>
  <c r="AI31" i="10"/>
  <c r="E92" i="1"/>
  <c r="F69" i="1"/>
  <c r="H69" i="1" s="1"/>
  <c r="E26" i="1"/>
  <c r="F26" i="1"/>
  <c r="H26" i="1" s="1"/>
  <c r="E62" i="1"/>
  <c r="E68" i="1"/>
  <c r="AB26" i="1"/>
  <c r="AB27" i="1"/>
  <c r="AB19" i="1"/>
  <c r="AB71" i="1"/>
  <c r="AC71" i="1" s="1"/>
  <c r="AB61" i="1"/>
  <c r="AC61" i="1" s="1"/>
  <c r="F62" i="1"/>
  <c r="H62" i="1" s="1"/>
  <c r="F67" i="1"/>
  <c r="H67" i="1" s="1"/>
  <c r="E88" i="1"/>
  <c r="E69" i="1"/>
  <c r="E94" i="1"/>
  <c r="F60" i="1"/>
  <c r="H60" i="1" s="1"/>
  <c r="F71" i="1"/>
  <c r="H71" i="1" s="1"/>
  <c r="AB20" i="1"/>
  <c r="F68" i="1"/>
  <c r="H68" i="1" s="1"/>
  <c r="AB62" i="1"/>
  <c r="AC62" i="1" s="1"/>
  <c r="E70" i="1"/>
  <c r="E87" i="1"/>
  <c r="AB25" i="1"/>
  <c r="E93" i="1"/>
  <c r="AB69" i="1"/>
  <c r="AC69" i="1" s="1"/>
  <c r="AB28" i="1"/>
  <c r="AB60" i="1"/>
  <c r="AC60" i="1" s="1"/>
  <c r="E60" i="1"/>
  <c r="AB17" i="1"/>
  <c r="E67" i="1"/>
  <c r="AB70" i="1"/>
  <c r="AC70" i="1" s="1"/>
  <c r="F25" i="1"/>
  <c r="H25" i="1" s="1"/>
  <c r="E83" i="1"/>
  <c r="AB29" i="1"/>
  <c r="E25" i="1"/>
  <c r="F61" i="1"/>
  <c r="H61" i="1" s="1"/>
  <c r="AB18" i="1"/>
  <c r="E71" i="1"/>
  <c r="E61" i="1"/>
  <c r="F70" i="1"/>
  <c r="H70" i="1" s="1"/>
  <c r="AB72" i="1"/>
  <c r="F30" i="1"/>
  <c r="H30" i="1" s="1"/>
  <c r="E30" i="1"/>
  <c r="AI115" i="10"/>
  <c r="E21" i="1"/>
  <c r="F72" i="1"/>
  <c r="H72" i="1" s="1"/>
  <c r="E72" i="1"/>
  <c r="AB63" i="1"/>
  <c r="F63" i="1"/>
  <c r="H63" i="1" s="1"/>
  <c r="E63" i="1"/>
  <c r="AB21" i="1"/>
  <c r="F21" i="1"/>
  <c r="H21" i="1" s="1"/>
  <c r="AB30" i="1"/>
  <c r="AI116" i="10"/>
  <c r="E16" i="1"/>
  <c r="F16" i="1"/>
  <c r="H16" i="1" s="1"/>
  <c r="AB16" i="1"/>
  <c r="E17" i="1"/>
  <c r="F17" i="1"/>
  <c r="H17" i="1" s="1"/>
  <c r="E18" i="1"/>
  <c r="F18" i="1"/>
  <c r="H18" i="1" s="1"/>
  <c r="E27" i="1"/>
  <c r="F27" i="1"/>
  <c r="H27" i="1" s="1"/>
  <c r="F19" i="1"/>
  <c r="H19" i="1" s="1"/>
  <c r="E19" i="1"/>
  <c r="F20" i="1"/>
  <c r="H20" i="1" s="1"/>
  <c r="E20" i="1"/>
  <c r="E28" i="1"/>
  <c r="F28" i="1"/>
  <c r="H28" i="1" s="1"/>
  <c r="E29" i="1"/>
  <c r="F29" i="1"/>
  <c r="H29" i="1" s="1"/>
  <c r="F115" i="10"/>
  <c r="H115" i="10" s="1"/>
  <c r="E115" i="10"/>
  <c r="F96" i="10"/>
  <c r="H96" i="10" s="1"/>
  <c r="F43" i="10"/>
  <c r="H43" i="10" s="1"/>
  <c r="E96" i="10"/>
  <c r="F62" i="10"/>
  <c r="E43" i="10"/>
  <c r="F97" i="10"/>
  <c r="H97" i="10" s="1"/>
  <c r="E62" i="10"/>
  <c r="E44" i="10"/>
  <c r="F44" i="10"/>
  <c r="H44" i="10" s="1"/>
  <c r="E97" i="10"/>
  <c r="AI44" i="10"/>
  <c r="AI97" i="10"/>
  <c r="AI62" i="10"/>
  <c r="AI43" i="10"/>
  <c r="F71" i="10"/>
  <c r="H71" i="10" s="1"/>
  <c r="E72" i="10"/>
  <c r="F18" i="10"/>
  <c r="E18" i="10"/>
  <c r="E19" i="10"/>
  <c r="AI71" i="10"/>
  <c r="F19" i="10"/>
  <c r="AI72" i="10"/>
  <c r="AI18" i="10"/>
  <c r="F72" i="10"/>
  <c r="E71" i="10"/>
  <c r="AI19" i="10"/>
  <c r="AH83" i="10"/>
  <c r="AI83" i="10" s="1"/>
  <c r="AH84" i="10"/>
  <c r="AG81" i="10"/>
  <c r="AG82" i="10" s="1"/>
  <c r="AG83" i="10" s="1"/>
  <c r="AG84" i="10" s="1"/>
  <c r="J83" i="10"/>
  <c r="J84" i="10"/>
  <c r="F82" i="10"/>
  <c r="F83" i="10"/>
  <c r="H83" i="10" s="1"/>
  <c r="F84" i="10"/>
  <c r="H84" i="10" s="1"/>
  <c r="K84" i="10" s="1"/>
  <c r="E84" i="10"/>
  <c r="E83" i="10"/>
  <c r="E82" i="10"/>
  <c r="E81" i="10"/>
  <c r="E80" i="10"/>
  <c r="AH70" i="10"/>
  <c r="AH69" i="10"/>
  <c r="AH16" i="10"/>
  <c r="H72" i="10" l="1"/>
  <c r="H31" i="10"/>
  <c r="G31" i="10"/>
  <c r="H62" i="10"/>
  <c r="G62" i="10"/>
  <c r="G19" i="10"/>
  <c r="H19" i="10"/>
  <c r="G18" i="10"/>
  <c r="H18" i="10"/>
  <c r="AJ83" i="10"/>
  <c r="AI84" i="10"/>
  <c r="AJ84" i="10" s="1"/>
  <c r="J46" i="1"/>
  <c r="J45" i="1"/>
  <c r="J41" i="1"/>
  <c r="J34" i="1"/>
  <c r="L89" i="1"/>
  <c r="M78" i="1" l="1"/>
  <c r="U108" i="7"/>
  <c r="U82" i="7"/>
  <c r="U98" i="7"/>
  <c r="N95" i="1" l="1"/>
  <c r="M95" i="1"/>
  <c r="J92" i="1" l="1"/>
  <c r="AA52" i="1"/>
  <c r="AA51" i="1"/>
  <c r="AA50" i="1"/>
  <c r="N49" i="1"/>
  <c r="M49" i="1"/>
  <c r="J52" i="1"/>
  <c r="J51" i="1"/>
  <c r="J50" i="1"/>
  <c r="S95" i="1"/>
  <c r="AA94" i="1"/>
  <c r="O95" i="1"/>
  <c r="P95" i="1"/>
  <c r="Q95" i="1"/>
  <c r="R95" i="1"/>
  <c r="L94" i="1"/>
  <c r="L93" i="1"/>
  <c r="L92" i="1"/>
  <c r="N91" i="1"/>
  <c r="M91" i="1"/>
  <c r="J94" i="1"/>
  <c r="U128" i="7"/>
  <c r="L95" i="1" l="1"/>
  <c r="U94" i="7"/>
  <c r="U124" i="7" l="1"/>
  <c r="U114" i="7"/>
  <c r="U104" i="7"/>
  <c r="U89" i="7"/>
  <c r="AM27" i="7"/>
  <c r="AL27" i="7"/>
  <c r="AK27" i="7"/>
  <c r="AJ27" i="7"/>
  <c r="AI27" i="7"/>
  <c r="AH27" i="7"/>
  <c r="AG27" i="7"/>
  <c r="AF27" i="7"/>
  <c r="U69" i="7"/>
  <c r="U71" i="7"/>
  <c r="U73" i="7"/>
  <c r="AJ21" i="7" l="1"/>
  <c r="AI21" i="7"/>
  <c r="AH21" i="7"/>
  <c r="AG21" i="7"/>
  <c r="AF21" i="7"/>
  <c r="AE21" i="7"/>
  <c r="AG12" i="7"/>
  <c r="AF12" i="7"/>
  <c r="AE12" i="7"/>
  <c r="AI18" i="7"/>
  <c r="AH18" i="7"/>
  <c r="AG18" i="7"/>
  <c r="AF18" i="7"/>
  <c r="AE18" i="7"/>
  <c r="AF15" i="7"/>
  <c r="AG15" i="7"/>
  <c r="AH15" i="7"/>
  <c r="AE15" i="7"/>
  <c r="AG108" i="10"/>
  <c r="AG109" i="10" s="1"/>
  <c r="AG102" i="10"/>
  <c r="AG103" i="10" s="1"/>
  <c r="AG89" i="10"/>
  <c r="AG90" i="10" s="1"/>
  <c r="J101" i="10"/>
  <c r="J102" i="10"/>
  <c r="J103" i="10"/>
  <c r="J107" i="10"/>
  <c r="J108" i="10"/>
  <c r="J109" i="10"/>
  <c r="J69" i="10"/>
  <c r="J70" i="10" l="1"/>
  <c r="J73" i="10" l="1"/>
  <c r="AH73" i="10" l="1"/>
  <c r="J74" i="10"/>
  <c r="AH74" i="10" l="1"/>
  <c r="J76" i="10"/>
  <c r="AH76" i="10" l="1"/>
  <c r="J80" i="10"/>
  <c r="J81" i="10"/>
  <c r="J82" i="10"/>
  <c r="J88" i="10"/>
  <c r="J89" i="10"/>
  <c r="J90" i="10"/>
  <c r="AG17" i="10"/>
  <c r="AG18" i="10" s="1"/>
  <c r="AG19" i="10" s="1"/>
  <c r="AG20" i="10" s="1"/>
  <c r="AG21" i="10" s="1"/>
  <c r="AG22" i="10" s="1"/>
  <c r="AG23" i="10" s="1"/>
  <c r="AG28" i="10" l="1"/>
  <c r="AG29" i="10" s="1"/>
  <c r="AG30" i="10" s="1"/>
  <c r="AG31" i="10" s="1"/>
  <c r="I4" i="12" l="1"/>
  <c r="J4" i="12" s="1"/>
  <c r="K4" i="12" s="1"/>
  <c r="L4" i="12" s="1"/>
  <c r="M4" i="12" s="1"/>
  <c r="N4" i="12" s="1"/>
  <c r="O4" i="12" s="1"/>
  <c r="P4" i="12" s="1"/>
  <c r="Q4" i="12" s="1"/>
  <c r="R4" i="12" s="1"/>
  <c r="S4" i="12" s="1"/>
  <c r="I3" i="12"/>
  <c r="J3" i="12" s="1"/>
  <c r="K3" i="12" s="1"/>
  <c r="L3" i="12" s="1"/>
  <c r="M3" i="12" s="1"/>
  <c r="N3" i="12" s="1"/>
  <c r="O3" i="12" s="1"/>
  <c r="P3" i="12" s="1"/>
  <c r="Q3" i="12" s="1"/>
  <c r="R3" i="12" s="1"/>
  <c r="S3" i="12" s="1"/>
  <c r="I2" i="12"/>
  <c r="I1" i="12"/>
  <c r="J116" i="10"/>
  <c r="J63" i="10"/>
  <c r="AH63" i="10"/>
  <c r="AG55" i="10"/>
  <c r="AG56" i="10" s="1"/>
  <c r="AG49" i="10"/>
  <c r="AG50" i="10" s="1"/>
  <c r="AG36" i="10"/>
  <c r="AG37" i="10" s="1"/>
  <c r="J2" i="12" l="1"/>
  <c r="J1" i="12"/>
  <c r="AA59" i="1"/>
  <c r="J59" i="1"/>
  <c r="AA58" i="1"/>
  <c r="AB58" i="1" l="1"/>
  <c r="AC58" i="1" s="1"/>
  <c r="AB59" i="1"/>
  <c r="AC59" i="1" s="1"/>
  <c r="K1" i="12"/>
  <c r="K2" i="12"/>
  <c r="L2" i="12" l="1"/>
  <c r="L1" i="12"/>
  <c r="M1" i="12" l="1"/>
  <c r="M2" i="12"/>
  <c r="J36" i="10"/>
  <c r="AH108" i="10"/>
  <c r="AH89" i="10"/>
  <c r="AH81" i="10"/>
  <c r="AH82" i="10"/>
  <c r="AH36" i="10"/>
  <c r="AH30" i="10"/>
  <c r="J30" i="10"/>
  <c r="AH28" i="10"/>
  <c r="J28" i="10"/>
  <c r="J54" i="10"/>
  <c r="AH55" i="10"/>
  <c r="J55" i="10"/>
  <c r="N2" i="12" l="1"/>
  <c r="N1" i="12"/>
  <c r="AH20" i="10"/>
  <c r="J20" i="10"/>
  <c r="AH17" i="10"/>
  <c r="J17" i="10"/>
  <c r="O1" i="12" l="1"/>
  <c r="O2" i="12"/>
  <c r="P2" i="12" l="1"/>
  <c r="P1" i="12"/>
  <c r="Q78" i="1"/>
  <c r="L77" i="1"/>
  <c r="L76" i="1"/>
  <c r="Q1" i="12" l="1"/>
  <c r="Q2" i="12"/>
  <c r="R2" i="12" l="1"/>
  <c r="R1" i="12"/>
  <c r="U123" i="7"/>
  <c r="AH80" i="10"/>
  <c r="AH21" i="10"/>
  <c r="AH23" i="10"/>
  <c r="J23" i="10"/>
  <c r="J21" i="10"/>
  <c r="S1" i="12" l="1"/>
  <c r="S2" i="12"/>
  <c r="AH48" i="10"/>
  <c r="AH109" i="10" l="1"/>
  <c r="AH107" i="10"/>
  <c r="AH103" i="10"/>
  <c r="AH102" i="10"/>
  <c r="AH101" i="10"/>
  <c r="AH90" i="10"/>
  <c r="AH88" i="10"/>
  <c r="AH54" i="10"/>
  <c r="AH35" i="10"/>
  <c r="J35" i="10"/>
  <c r="AH49" i="10"/>
  <c r="J49" i="10"/>
  <c r="AH56" i="10" l="1"/>
  <c r="AH50" i="10"/>
  <c r="AH37" i="10"/>
  <c r="AH29" i="10"/>
  <c r="AH27" i="10"/>
  <c r="U119" i="7"/>
  <c r="U121" i="7"/>
  <c r="U91" i="7"/>
  <c r="U93" i="7"/>
  <c r="J35" i="1" l="1"/>
  <c r="J77" i="1"/>
  <c r="S78" i="1"/>
  <c r="N78" i="1"/>
  <c r="L88" i="1"/>
  <c r="L87" i="1"/>
  <c r="AA67" i="1" l="1"/>
  <c r="AA68" i="1" l="1"/>
  <c r="AB68" i="1" l="1"/>
  <c r="AC68" i="1" s="1"/>
  <c r="J76" i="1" l="1"/>
  <c r="AA76" i="1" l="1"/>
  <c r="AA77" i="1" l="1"/>
  <c r="O78" i="1"/>
  <c r="P78" i="1"/>
  <c r="R78" i="1"/>
  <c r="T78" i="1"/>
  <c r="U78" i="1"/>
  <c r="V78" i="1"/>
  <c r="W78" i="1"/>
  <c r="J83" i="1"/>
  <c r="L78" i="1" l="1"/>
  <c r="AA83" i="1"/>
  <c r="M84" i="1"/>
  <c r="N84" i="1"/>
  <c r="O84" i="1"/>
  <c r="J87" i="1"/>
  <c r="L84" i="1" l="1"/>
  <c r="AA87" i="1"/>
  <c r="J88" i="1"/>
  <c r="AA88" i="1" l="1"/>
  <c r="AA92" i="1" l="1"/>
  <c r="J93" i="1"/>
  <c r="AA93" i="1" l="1"/>
  <c r="D12" i="1" l="1"/>
  <c r="AA46" i="1" l="1"/>
  <c r="AA45" i="1"/>
  <c r="AD12" i="1"/>
  <c r="AK11" i="10"/>
  <c r="AA41" i="1"/>
  <c r="AA35" i="1"/>
  <c r="AA34" i="1"/>
  <c r="AK22" i="10" l="1"/>
  <c r="AK75" i="10"/>
  <c r="AL75" i="10" s="1"/>
  <c r="AK115" i="10"/>
  <c r="AK116" i="10"/>
  <c r="AD70" i="1"/>
  <c r="AE70" i="1" s="1"/>
  <c r="AD69" i="1"/>
  <c r="AE69" i="1" s="1"/>
  <c r="AD61" i="1"/>
  <c r="AE61" i="1" s="1"/>
  <c r="AD71" i="1"/>
  <c r="AE71" i="1" s="1"/>
  <c r="AD60" i="1"/>
  <c r="AE60" i="1" s="1"/>
  <c r="AD62" i="1"/>
  <c r="AE62" i="1" s="1"/>
  <c r="AD16" i="1"/>
  <c r="AD17" i="1"/>
  <c r="AD26" i="1"/>
  <c r="AD27" i="1"/>
  <c r="AD72" i="1"/>
  <c r="AE72" i="1" s="1"/>
  <c r="AD63" i="1"/>
  <c r="AE63" i="1" s="1"/>
  <c r="AD59" i="1"/>
  <c r="AE59" i="1" s="1"/>
  <c r="AD58" i="1"/>
  <c r="AE58" i="1" s="1"/>
  <c r="AD67" i="1"/>
  <c r="AE67" i="1" s="1"/>
  <c r="AD68" i="1"/>
  <c r="AE68" i="1" s="1"/>
  <c r="AD30" i="1"/>
  <c r="AE30" i="1" s="1"/>
  <c r="AD28" i="1"/>
  <c r="AE28" i="1" s="1"/>
  <c r="AD29" i="1"/>
  <c r="AE29" i="1" s="1"/>
  <c r="AD21" i="1"/>
  <c r="AE21" i="1" s="1"/>
  <c r="AD18" i="1"/>
  <c r="AD19" i="1"/>
  <c r="AE19" i="1" s="1"/>
  <c r="AD20" i="1"/>
  <c r="AE20" i="1" s="1"/>
  <c r="AD25" i="1"/>
  <c r="AK31" i="10"/>
  <c r="AK62" i="10"/>
  <c r="AK44" i="10"/>
  <c r="AK97" i="10"/>
  <c r="AK43" i="10"/>
  <c r="AK72" i="10"/>
  <c r="AK71" i="10"/>
  <c r="AK19" i="10"/>
  <c r="AK18" i="10"/>
  <c r="AK83" i="10"/>
  <c r="AL83" i="10" s="1"/>
  <c r="AK84" i="10"/>
  <c r="AL84" i="10" s="1"/>
  <c r="F73" i="10"/>
  <c r="H73" i="10" s="1"/>
  <c r="E73" i="10"/>
  <c r="AI73" i="10"/>
  <c r="AI20" i="10"/>
  <c r="E69" i="10"/>
  <c r="AI69" i="10"/>
  <c r="E70" i="10"/>
  <c r="E16" i="10"/>
  <c r="F69" i="10"/>
  <c r="AI70" i="10"/>
  <c r="AB51" i="1"/>
  <c r="AI17" i="10"/>
  <c r="F70" i="10"/>
  <c r="H70" i="10" s="1"/>
  <c r="AI16" i="10"/>
  <c r="F52" i="1"/>
  <c r="E51" i="1"/>
  <c r="AB94" i="1"/>
  <c r="AC94" i="1" s="1"/>
  <c r="F94" i="1"/>
  <c r="E52" i="1"/>
  <c r="F51" i="1"/>
  <c r="E50" i="1"/>
  <c r="F50" i="1"/>
  <c r="AB93" i="1"/>
  <c r="AC93" i="1" s="1"/>
  <c r="AD94" i="1"/>
  <c r="AE94" i="1" s="1"/>
  <c r="AD92" i="1"/>
  <c r="AE92" i="1" s="1"/>
  <c r="AD93" i="1"/>
  <c r="AE93" i="1" s="1"/>
  <c r="F76" i="10"/>
  <c r="H76" i="10" s="1"/>
  <c r="AI76" i="10"/>
  <c r="E74" i="10"/>
  <c r="F74" i="10"/>
  <c r="H74" i="10" s="1"/>
  <c r="AI74" i="10"/>
  <c r="AI23" i="10"/>
  <c r="AI21" i="10"/>
  <c r="AI30" i="10"/>
  <c r="AI28" i="10"/>
  <c r="F101" i="10"/>
  <c r="H101" i="10" s="1"/>
  <c r="AI82" i="10"/>
  <c r="AI81" i="10"/>
  <c r="F103" i="10"/>
  <c r="H103" i="10" s="1"/>
  <c r="AI108" i="10"/>
  <c r="AJ108" i="10" s="1"/>
  <c r="E90" i="10"/>
  <c r="AI36" i="10"/>
  <c r="F80" i="10"/>
  <c r="H80" i="10" s="1"/>
  <c r="F109" i="10"/>
  <c r="H109" i="10" s="1"/>
  <c r="F89" i="10"/>
  <c r="H89" i="10" s="1"/>
  <c r="E89" i="10"/>
  <c r="AI55" i="10"/>
  <c r="AI89" i="10"/>
  <c r="AJ89" i="10" s="1"/>
  <c r="F90" i="10"/>
  <c r="H90" i="10" s="1"/>
  <c r="E109" i="10"/>
  <c r="E103" i="10"/>
  <c r="F108" i="10"/>
  <c r="H108" i="10" s="1"/>
  <c r="F107" i="10"/>
  <c r="H107" i="10" s="1"/>
  <c r="F81" i="10"/>
  <c r="H81" i="10" s="1"/>
  <c r="F102" i="10"/>
  <c r="H102" i="10" s="1"/>
  <c r="E108" i="10"/>
  <c r="F88" i="10"/>
  <c r="H88" i="10" s="1"/>
  <c r="E107" i="10"/>
  <c r="E102" i="10"/>
  <c r="H82" i="10"/>
  <c r="E101" i="10"/>
  <c r="AI63" i="10"/>
  <c r="E88" i="10"/>
  <c r="AI102" i="10"/>
  <c r="AI103" i="10"/>
  <c r="AJ103" i="10" s="1"/>
  <c r="AI49" i="10"/>
  <c r="AI90" i="10"/>
  <c r="AJ90" i="10" s="1"/>
  <c r="AI109" i="10"/>
  <c r="AJ109" i="10" s="1"/>
  <c r="AI29" i="10"/>
  <c r="AI50" i="10"/>
  <c r="AI37" i="10"/>
  <c r="AI56" i="10"/>
  <c r="AK69" i="10"/>
  <c r="AK70" i="10"/>
  <c r="AK73" i="10"/>
  <c r="AK74" i="10"/>
  <c r="AK76" i="10"/>
  <c r="AK63" i="10"/>
  <c r="AK81" i="10"/>
  <c r="AK55" i="10"/>
  <c r="AK36" i="10"/>
  <c r="AK30" i="10"/>
  <c r="AK108" i="10"/>
  <c r="AL108" i="10" s="1"/>
  <c r="AK82" i="10"/>
  <c r="AK89" i="10"/>
  <c r="AL89" i="10" s="1"/>
  <c r="AK28" i="10"/>
  <c r="AK80" i="10"/>
  <c r="AK48" i="10"/>
  <c r="AK102" i="10"/>
  <c r="AL102" i="10" s="1"/>
  <c r="AK107" i="10"/>
  <c r="AL107" i="10" s="1"/>
  <c r="AK96" i="10"/>
  <c r="AK103" i="10"/>
  <c r="AL103" i="10" s="1"/>
  <c r="AK35" i="10"/>
  <c r="AL35" i="10" s="1"/>
  <c r="AK90" i="10"/>
  <c r="AL90" i="10" s="1"/>
  <c r="AK88" i="10"/>
  <c r="AL88" i="10" s="1"/>
  <c r="AK101" i="10"/>
  <c r="AL101" i="10" s="1"/>
  <c r="AK109" i="10"/>
  <c r="AL109" i="10" s="1"/>
  <c r="AK49" i="10"/>
  <c r="AK54" i="10"/>
  <c r="AL54" i="10" s="1"/>
  <c r="AK29" i="10"/>
  <c r="AK50" i="10"/>
  <c r="AK27" i="10"/>
  <c r="AK37" i="10"/>
  <c r="AK56" i="10"/>
  <c r="AK20" i="10"/>
  <c r="AK17" i="10"/>
  <c r="AK23" i="10"/>
  <c r="AK21" i="10"/>
  <c r="AK16" i="10"/>
  <c r="F63" i="10"/>
  <c r="E63" i="10"/>
  <c r="F116" i="10"/>
  <c r="E116" i="10"/>
  <c r="F59" i="1"/>
  <c r="E58" i="1"/>
  <c r="F58" i="1"/>
  <c r="H58" i="1" s="1"/>
  <c r="E59" i="1"/>
  <c r="E20" i="10"/>
  <c r="F20" i="10"/>
  <c r="H20" i="10" s="1"/>
  <c r="E17" i="10"/>
  <c r="F17" i="10"/>
  <c r="H17" i="10" s="1"/>
  <c r="E36" i="10"/>
  <c r="E30" i="10"/>
  <c r="F55" i="10"/>
  <c r="F36" i="10"/>
  <c r="H36" i="10" s="1"/>
  <c r="F30" i="10"/>
  <c r="H30" i="10" s="1"/>
  <c r="E55" i="10"/>
  <c r="E28" i="10"/>
  <c r="F28" i="10"/>
  <c r="H28" i="10" s="1"/>
  <c r="AI80" i="10"/>
  <c r="E21" i="10"/>
  <c r="F21" i="10"/>
  <c r="F23" i="10"/>
  <c r="F16" i="10"/>
  <c r="H16" i="10" s="1"/>
  <c r="AI48" i="10"/>
  <c r="AI101" i="10"/>
  <c r="F56" i="10"/>
  <c r="F54" i="10"/>
  <c r="F37" i="10"/>
  <c r="F35" i="10"/>
  <c r="H35" i="10" s="1"/>
  <c r="F50" i="10"/>
  <c r="F49" i="10"/>
  <c r="F48" i="10"/>
  <c r="H48" i="10" s="1"/>
  <c r="E56" i="10"/>
  <c r="E54" i="10"/>
  <c r="E37" i="10"/>
  <c r="E35" i="10"/>
  <c r="E50" i="10"/>
  <c r="E49" i="10"/>
  <c r="E48" i="10"/>
  <c r="F29" i="10"/>
  <c r="H29" i="10" s="1"/>
  <c r="E27" i="10"/>
  <c r="F27" i="10"/>
  <c r="H27" i="10" s="1"/>
  <c r="E29" i="10"/>
  <c r="AI88" i="10"/>
  <c r="AJ88" i="10" s="1"/>
  <c r="AI107" i="10"/>
  <c r="AJ107" i="10" s="1"/>
  <c r="AI54" i="10"/>
  <c r="AI96" i="10"/>
  <c r="AI35" i="10"/>
  <c r="AB77" i="1"/>
  <c r="AC77" i="1" s="1"/>
  <c r="AB88" i="1"/>
  <c r="AC88" i="1" s="1"/>
  <c r="AD76" i="1"/>
  <c r="AE76" i="1" s="1"/>
  <c r="AD77" i="1"/>
  <c r="AE77" i="1" s="1"/>
  <c r="AD83" i="1"/>
  <c r="AE83" i="1" s="1"/>
  <c r="AD87" i="1"/>
  <c r="AE87" i="1" s="1"/>
  <c r="AD88" i="1"/>
  <c r="AE88" i="1" s="1"/>
  <c r="AD41" i="1"/>
  <c r="AM11" i="10"/>
  <c r="AB67" i="1"/>
  <c r="AC67" i="1" s="1"/>
  <c r="E76" i="1"/>
  <c r="F76" i="1"/>
  <c r="F77" i="1"/>
  <c r="E77" i="1"/>
  <c r="AB76" i="1"/>
  <c r="AC76" i="1" s="1"/>
  <c r="F83" i="1"/>
  <c r="F87" i="1"/>
  <c r="AB83" i="1"/>
  <c r="AC83" i="1" s="1"/>
  <c r="F88" i="1"/>
  <c r="AB87" i="1"/>
  <c r="AC87" i="1" s="1"/>
  <c r="F92" i="1"/>
  <c r="F93" i="1"/>
  <c r="G93" i="1" s="1"/>
  <c r="AB92" i="1"/>
  <c r="AC92" i="1" s="1"/>
  <c r="E41" i="1"/>
  <c r="E35" i="1"/>
  <c r="E34" i="1"/>
  <c r="E45" i="1"/>
  <c r="F41" i="1"/>
  <c r="H41" i="1" s="1"/>
  <c r="F46" i="1"/>
  <c r="H46" i="1" s="1"/>
  <c r="F35" i="1"/>
  <c r="H35" i="1" s="1"/>
  <c r="E46" i="1"/>
  <c r="F45" i="1"/>
  <c r="H45" i="1" s="1"/>
  <c r="F34" i="1"/>
  <c r="AB50" i="1"/>
  <c r="AF12" i="1"/>
  <c r="AD50" i="1"/>
  <c r="AB45" i="1"/>
  <c r="AD45" i="1"/>
  <c r="AB52" i="1"/>
  <c r="AD52" i="1"/>
  <c r="AB46" i="1"/>
  <c r="AD46" i="1"/>
  <c r="AB41" i="1"/>
  <c r="AB34" i="1"/>
  <c r="AB35" i="1"/>
  <c r="AI27" i="10"/>
  <c r="J56" i="10"/>
  <c r="J37" i="10"/>
  <c r="J29" i="10"/>
  <c r="AM22" i="10" l="1"/>
  <c r="AM75" i="10"/>
  <c r="AN75" i="10" s="1"/>
  <c r="H69" i="10"/>
  <c r="AM115" i="10"/>
  <c r="AM116" i="10"/>
  <c r="AF70" i="1"/>
  <c r="AG70" i="1" s="1"/>
  <c r="AF69" i="1"/>
  <c r="AG69" i="1" s="1"/>
  <c r="AF60" i="1"/>
  <c r="AG60" i="1" s="1"/>
  <c r="AF71" i="1"/>
  <c r="AG71" i="1" s="1"/>
  <c r="AF62" i="1"/>
  <c r="AG62" i="1" s="1"/>
  <c r="AF61" i="1"/>
  <c r="AG61" i="1" s="1"/>
  <c r="AF63" i="1"/>
  <c r="AG63" i="1" s="1"/>
  <c r="AF72" i="1"/>
  <c r="AG72" i="1" s="1"/>
  <c r="AF58" i="1"/>
  <c r="AG58" i="1" s="1"/>
  <c r="AF59" i="1"/>
  <c r="AG59" i="1" s="1"/>
  <c r="AF67" i="1"/>
  <c r="AG67" i="1" s="1"/>
  <c r="AF68" i="1"/>
  <c r="AG68" i="1" s="1"/>
  <c r="AF30" i="1"/>
  <c r="AG30" i="1" s="1"/>
  <c r="AF26" i="1"/>
  <c r="AF27" i="1"/>
  <c r="AF28" i="1"/>
  <c r="AG28" i="1" s="1"/>
  <c r="AF29" i="1"/>
  <c r="AG29" i="1" s="1"/>
  <c r="AF21" i="1"/>
  <c r="AG21" i="1" s="1"/>
  <c r="AF17" i="1"/>
  <c r="AF18" i="1"/>
  <c r="AF19" i="1"/>
  <c r="AG19" i="1" s="1"/>
  <c r="AF20" i="1"/>
  <c r="AG20" i="1" s="1"/>
  <c r="AF25" i="1"/>
  <c r="AF16" i="1"/>
  <c r="AM31" i="10"/>
  <c r="AM62" i="10"/>
  <c r="AM97" i="10"/>
  <c r="AM44" i="10"/>
  <c r="AM43" i="10"/>
  <c r="AM72" i="10"/>
  <c r="AM71" i="10"/>
  <c r="AM19" i="10"/>
  <c r="AM18" i="10"/>
  <c r="AM84" i="10"/>
  <c r="AN84" i="10" s="1"/>
  <c r="AM83" i="10"/>
  <c r="AN83" i="10" s="1"/>
  <c r="G51" i="1"/>
  <c r="H51" i="1"/>
  <c r="H50" i="1"/>
  <c r="G50" i="1"/>
  <c r="G94" i="1"/>
  <c r="H94" i="1"/>
  <c r="K94" i="1" s="1"/>
  <c r="H52" i="1"/>
  <c r="G52" i="1"/>
  <c r="AF94" i="1"/>
  <c r="AG94" i="1" s="1"/>
  <c r="AF92" i="1"/>
  <c r="AG92" i="1" s="1"/>
  <c r="AF93" i="1"/>
  <c r="AG93" i="1" s="1"/>
  <c r="AM63" i="10"/>
  <c r="AN63" i="10" s="1"/>
  <c r="AM82" i="10"/>
  <c r="AM89" i="10"/>
  <c r="AN89" i="10" s="1"/>
  <c r="AM81" i="10"/>
  <c r="AM108" i="10"/>
  <c r="AN108" i="10" s="1"/>
  <c r="AM55" i="10"/>
  <c r="AM36" i="10"/>
  <c r="AM28" i="10"/>
  <c r="AM30" i="10"/>
  <c r="AM80" i="10"/>
  <c r="AM48" i="10"/>
  <c r="AM90" i="10"/>
  <c r="AN90" i="10" s="1"/>
  <c r="AM88" i="10"/>
  <c r="AN88" i="10" s="1"/>
  <c r="AM96" i="10"/>
  <c r="AM54" i="10"/>
  <c r="AN54" i="10" s="1"/>
  <c r="AM102" i="10"/>
  <c r="AN102" i="10" s="1"/>
  <c r="AM107" i="10"/>
  <c r="AN107" i="10" s="1"/>
  <c r="AM101" i="10"/>
  <c r="AN101" i="10" s="1"/>
  <c r="AM103" i="10"/>
  <c r="AN103" i="10" s="1"/>
  <c r="AM109" i="10"/>
  <c r="AN109" i="10" s="1"/>
  <c r="AM49" i="10"/>
  <c r="AM35" i="10"/>
  <c r="AN35" i="10" s="1"/>
  <c r="AM50" i="10"/>
  <c r="AM27" i="10"/>
  <c r="AM56" i="10"/>
  <c r="AM29" i="10"/>
  <c r="AM37" i="10"/>
  <c r="G37" i="10"/>
  <c r="H37" i="10"/>
  <c r="G23" i="10"/>
  <c r="H23" i="10"/>
  <c r="G21" i="10"/>
  <c r="H21" i="10"/>
  <c r="AM73" i="10"/>
  <c r="AM70" i="10"/>
  <c r="AM74" i="10"/>
  <c r="AM76" i="10"/>
  <c r="AM69" i="10"/>
  <c r="AM20" i="10"/>
  <c r="AM17" i="10"/>
  <c r="AM23" i="10"/>
  <c r="AM21" i="10"/>
  <c r="AM16" i="10"/>
  <c r="H116" i="10"/>
  <c r="H63" i="10"/>
  <c r="G63" i="10"/>
  <c r="AE46" i="1"/>
  <c r="AE45" i="1"/>
  <c r="H56" i="10"/>
  <c r="H54" i="10"/>
  <c r="H55" i="10"/>
  <c r="G16" i="10"/>
  <c r="H59" i="1"/>
  <c r="G17" i="10"/>
  <c r="G20" i="10"/>
  <c r="G28" i="10"/>
  <c r="G36" i="10"/>
  <c r="G30" i="10"/>
  <c r="G55" i="10"/>
  <c r="H49" i="10"/>
  <c r="G56" i="10"/>
  <c r="G54" i="10"/>
  <c r="G35" i="10"/>
  <c r="AF76" i="1"/>
  <c r="AG76" i="1" s="1"/>
  <c r="AF77" i="1"/>
  <c r="AG77" i="1" s="1"/>
  <c r="AF83" i="1"/>
  <c r="AG83" i="1" s="1"/>
  <c r="AF87" i="1"/>
  <c r="AG87" i="1" s="1"/>
  <c r="AF88" i="1"/>
  <c r="AG88" i="1" s="1"/>
  <c r="G92" i="1"/>
  <c r="H92" i="1"/>
  <c r="K92" i="1" s="1"/>
  <c r="AF41" i="1"/>
  <c r="AO11" i="10"/>
  <c r="G77" i="1"/>
  <c r="H77" i="1"/>
  <c r="K77" i="1" s="1"/>
  <c r="H76" i="1"/>
  <c r="K76" i="1" s="1"/>
  <c r="G76" i="1"/>
  <c r="H93" i="1"/>
  <c r="K93" i="1" s="1"/>
  <c r="H88" i="1"/>
  <c r="K88" i="1" s="1"/>
  <c r="G88" i="1"/>
  <c r="H87" i="1"/>
  <c r="K87" i="1" s="1"/>
  <c r="G87" i="1"/>
  <c r="G83" i="1"/>
  <c r="G84" i="1" s="1"/>
  <c r="H83" i="1"/>
  <c r="AE52" i="1"/>
  <c r="G35" i="1"/>
  <c r="G41" i="1"/>
  <c r="G42" i="1" s="1"/>
  <c r="G34" i="1"/>
  <c r="H34" i="1"/>
  <c r="AF46" i="1"/>
  <c r="AF52" i="1"/>
  <c r="AF45" i="1"/>
  <c r="AH12" i="1"/>
  <c r="AF50" i="1"/>
  <c r="V2" i="7"/>
  <c r="X29" i="10"/>
  <c r="Z22" i="10"/>
  <c r="X74" i="10"/>
  <c r="T41" i="1"/>
  <c r="W28" i="10"/>
  <c r="O21" i="10"/>
  <c r="O41" i="1"/>
  <c r="O23" i="10"/>
  <c r="O17" i="10"/>
  <c r="V29" i="10"/>
  <c r="R69" i="10"/>
  <c r="U76" i="10"/>
  <c r="M71" i="10"/>
  <c r="T16" i="10"/>
  <c r="R30" i="10"/>
  <c r="P69" i="10"/>
  <c r="S31" i="10"/>
  <c r="T43" i="10"/>
  <c r="Q74" i="10"/>
  <c r="N21" i="10"/>
  <c r="T72" i="10"/>
  <c r="AA73" i="10"/>
  <c r="V31" i="10"/>
  <c r="AA69" i="10"/>
  <c r="Y23" i="10"/>
  <c r="O63" i="10"/>
  <c r="O27" i="10"/>
  <c r="AB72" i="10"/>
  <c r="M22" i="10"/>
  <c r="V76" i="10"/>
  <c r="S41" i="1"/>
  <c r="Y20" i="10"/>
  <c r="N20" i="10"/>
  <c r="O29" i="10"/>
  <c r="S22" i="10"/>
  <c r="AC71" i="10"/>
  <c r="M28" i="10"/>
  <c r="AA75" i="10"/>
  <c r="U44" i="10"/>
  <c r="P73" i="10"/>
  <c r="S29" i="10"/>
  <c r="S28" i="10"/>
  <c r="T18" i="10"/>
  <c r="U71" i="10"/>
  <c r="W21" i="10"/>
  <c r="M27" i="10"/>
  <c r="M74" i="10"/>
  <c r="P72" i="10"/>
  <c r="N73" i="10"/>
  <c r="O30" i="10"/>
  <c r="O73" i="10"/>
  <c r="M29" i="10"/>
  <c r="S44" i="10"/>
  <c r="T30" i="10"/>
  <c r="Y71" i="10"/>
  <c r="P22" i="10"/>
  <c r="V71" i="10"/>
  <c r="Q28" i="10"/>
  <c r="X69" i="10"/>
  <c r="T44" i="10"/>
  <c r="R44" i="10"/>
  <c r="Y19" i="10"/>
  <c r="Y76" i="10"/>
  <c r="R70" i="10"/>
  <c r="S73" i="10"/>
  <c r="T29" i="10"/>
  <c r="M73" i="10"/>
  <c r="V72" i="10"/>
  <c r="P116" i="10"/>
  <c r="AA74" i="10"/>
  <c r="M70" i="10"/>
  <c r="S69" i="10"/>
  <c r="AB73" i="10"/>
  <c r="T74" i="10"/>
  <c r="Q30" i="10"/>
  <c r="P30" i="10"/>
  <c r="AD74" i="10"/>
  <c r="X70" i="10"/>
  <c r="U70" i="10"/>
  <c r="Z76" i="10"/>
  <c r="Q103" i="10"/>
  <c r="R28" i="10"/>
  <c r="AD73" i="10"/>
  <c r="S30" i="10"/>
  <c r="W31" i="10"/>
  <c r="S75" i="10"/>
  <c r="AD22" i="10"/>
  <c r="X71" i="10"/>
  <c r="P31" i="10"/>
  <c r="W23" i="10"/>
  <c r="O18" i="10"/>
  <c r="R41" i="1"/>
  <c r="P70" i="10"/>
  <c r="W18" i="10"/>
  <c r="AA76" i="10"/>
  <c r="O28" i="10"/>
  <c r="T22" i="10"/>
  <c r="S27" i="10"/>
  <c r="AA71" i="10"/>
  <c r="N63" i="10"/>
  <c r="T20" i="10"/>
  <c r="O31" i="10"/>
  <c r="O19" i="10"/>
  <c r="R27" i="10"/>
  <c r="O76" i="10"/>
  <c r="Y18" i="10"/>
  <c r="U31" i="10"/>
  <c r="N16" i="10"/>
  <c r="T23" i="10"/>
  <c r="Q73" i="10"/>
  <c r="AC76" i="10"/>
  <c r="N18" i="10"/>
  <c r="R73" i="10"/>
  <c r="AB74" i="10"/>
  <c r="N19" i="10"/>
  <c r="AD72" i="10"/>
  <c r="R71" i="10"/>
  <c r="U74" i="10"/>
  <c r="P76" i="10"/>
  <c r="Y16" i="10"/>
  <c r="U75" i="10"/>
  <c r="Y69" i="10"/>
  <c r="P71" i="10"/>
  <c r="W30" i="10"/>
  <c r="X76" i="10"/>
  <c r="R22" i="10"/>
  <c r="U69" i="10"/>
  <c r="X73" i="10"/>
  <c r="W20" i="10"/>
  <c r="AC75" i="10"/>
  <c r="AC70" i="10"/>
  <c r="O70" i="10"/>
  <c r="N23" i="10"/>
  <c r="W22" i="10"/>
  <c r="M41" i="1"/>
  <c r="N27" i="10"/>
  <c r="U30" i="10"/>
  <c r="Q22" i="10"/>
  <c r="T17" i="10"/>
  <c r="AA70" i="10"/>
  <c r="O20" i="10"/>
  <c r="P29" i="10"/>
  <c r="O75" i="10"/>
  <c r="P63" i="10"/>
  <c r="O71" i="10"/>
  <c r="Y17" i="10"/>
  <c r="P103" i="10"/>
  <c r="V28" i="10"/>
  <c r="U29" i="10"/>
  <c r="M31" i="10"/>
  <c r="O22" i="10"/>
  <c r="S71" i="10"/>
  <c r="V70" i="10"/>
  <c r="W74" i="10"/>
  <c r="Q44" i="10"/>
  <c r="W19" i="10"/>
  <c r="P28" i="10"/>
  <c r="R31" i="10"/>
  <c r="U43" i="10"/>
  <c r="N17" i="10"/>
  <c r="W16" i="10"/>
  <c r="Y72" i="10"/>
  <c r="AC22" i="10"/>
  <c r="M72" i="10"/>
  <c r="O74" i="10"/>
  <c r="N41" i="1"/>
  <c r="X31" i="10"/>
  <c r="V30" i="10"/>
  <c r="V22" i="10"/>
  <c r="AD76" i="10"/>
  <c r="Y21" i="10"/>
  <c r="N31" i="10"/>
  <c r="R74" i="10"/>
  <c r="N72" i="10"/>
  <c r="Q41" i="1"/>
  <c r="T21" i="10"/>
  <c r="V69" i="10"/>
  <c r="M115" i="10"/>
  <c r="Q29" i="10"/>
  <c r="Q76" i="10"/>
  <c r="N22" i="10"/>
  <c r="N30" i="10"/>
  <c r="U73" i="10"/>
  <c r="X27" i="10"/>
  <c r="T28" i="10"/>
  <c r="T76" i="10"/>
  <c r="O16" i="10"/>
  <c r="O69" i="10"/>
  <c r="AB22" i="10"/>
  <c r="S76" i="10"/>
  <c r="V73" i="10"/>
  <c r="N76" i="10"/>
  <c r="P75" i="10"/>
  <c r="W27" i="10"/>
  <c r="M75" i="10"/>
  <c r="Y70" i="10"/>
  <c r="R76" i="10"/>
  <c r="T31" i="10"/>
  <c r="P62" i="10"/>
  <c r="W72" i="10"/>
  <c r="Y75" i="10"/>
  <c r="P41" i="1"/>
  <c r="AC74" i="10"/>
  <c r="N74" i="10"/>
  <c r="Q72" i="10"/>
  <c r="O62" i="10"/>
  <c r="U28" i="10"/>
  <c r="Q31" i="10"/>
  <c r="X22" i="10"/>
  <c r="Z72" i="10"/>
  <c r="AA22" i="10"/>
  <c r="V75" i="10"/>
  <c r="P44" i="10"/>
  <c r="N62" i="10"/>
  <c r="R75" i="10"/>
  <c r="Q27" i="10"/>
  <c r="X75" i="10"/>
  <c r="S72" i="10"/>
  <c r="X28" i="10"/>
  <c r="N28" i="10"/>
  <c r="AC69" i="10"/>
  <c r="T19" i="10"/>
  <c r="S70" i="10"/>
  <c r="U41" i="1"/>
  <c r="P27" i="10"/>
  <c r="R29" i="10"/>
  <c r="U22" i="10"/>
  <c r="M69" i="10"/>
  <c r="Z74" i="10"/>
  <c r="U27" i="10"/>
  <c r="X30" i="10"/>
  <c r="W17" i="10"/>
  <c r="W29" i="10"/>
  <c r="Y22" i="10"/>
  <c r="AB76" i="10"/>
  <c r="M30" i="10"/>
  <c r="V27" i="10"/>
  <c r="Y73" i="10"/>
  <c r="N29" i="10"/>
  <c r="T27" i="10"/>
  <c r="O116" i="10"/>
  <c r="W76" i="10"/>
  <c r="L72" i="10" l="1"/>
  <c r="G72" i="10" s="1"/>
  <c r="K72" i="10"/>
  <c r="L73" i="10"/>
  <c r="K73" i="10"/>
  <c r="AD77" i="10"/>
  <c r="K75" i="10"/>
  <c r="L75" i="10"/>
  <c r="G75" i="10" s="1"/>
  <c r="L71" i="10"/>
  <c r="K71" i="10"/>
  <c r="L70" i="10"/>
  <c r="K70" i="10"/>
  <c r="L69" i="10"/>
  <c r="G69" i="10" s="1"/>
  <c r="K69" i="10"/>
  <c r="AO22" i="10"/>
  <c r="AP22" i="10" s="1"/>
  <c r="AO75" i="10"/>
  <c r="AP75" i="10" s="1"/>
  <c r="AL22" i="10"/>
  <c r="AJ22" i="10"/>
  <c r="AN22" i="10"/>
  <c r="L116" i="10"/>
  <c r="L115" i="10"/>
  <c r="L76" i="10"/>
  <c r="L74" i="10"/>
  <c r="K76" i="10"/>
  <c r="K31" i="10"/>
  <c r="K30" i="10"/>
  <c r="K29" i="10"/>
  <c r="K28" i="10"/>
  <c r="K27" i="10"/>
  <c r="K22" i="10"/>
  <c r="K74" i="10"/>
  <c r="AC77" i="10"/>
  <c r="AB77" i="10"/>
  <c r="Y24" i="10"/>
  <c r="S32" i="10"/>
  <c r="N32" i="10"/>
  <c r="O32" i="10"/>
  <c r="AJ31" i="10"/>
  <c r="T32" i="10"/>
  <c r="U32" i="10"/>
  <c r="Q32" i="10"/>
  <c r="R32" i="10"/>
  <c r="M32" i="10"/>
  <c r="X32" i="10"/>
  <c r="P32" i="10"/>
  <c r="V32" i="10"/>
  <c r="W32" i="10"/>
  <c r="M42" i="1"/>
  <c r="AJ115" i="10"/>
  <c r="AN116" i="10"/>
  <c r="AN115" i="10"/>
  <c r="U42" i="1"/>
  <c r="T42" i="1"/>
  <c r="S42" i="1"/>
  <c r="R42" i="1"/>
  <c r="Q42" i="1"/>
  <c r="P42" i="1"/>
  <c r="AL97" i="10"/>
  <c r="N64" i="10"/>
  <c r="O64" i="10"/>
  <c r="P64" i="10"/>
  <c r="O117" i="10"/>
  <c r="P117" i="10"/>
  <c r="G95" i="1"/>
  <c r="AL116" i="10"/>
  <c r="AL115" i="10"/>
  <c r="N117" i="10"/>
  <c r="U98" i="10"/>
  <c r="K83" i="1"/>
  <c r="K84" i="1" s="1"/>
  <c r="AO115" i="10"/>
  <c r="AP115" i="10" s="1"/>
  <c r="AO116" i="10"/>
  <c r="AP116" i="10" s="1"/>
  <c r="AH70" i="1"/>
  <c r="AI70" i="1" s="1"/>
  <c r="AH60" i="1"/>
  <c r="AI60" i="1" s="1"/>
  <c r="AH71" i="1"/>
  <c r="AI71" i="1" s="1"/>
  <c r="AH62" i="1"/>
  <c r="AI62" i="1" s="1"/>
  <c r="AH61" i="1"/>
  <c r="AI61" i="1" s="1"/>
  <c r="AH69" i="1"/>
  <c r="AI69" i="1" s="1"/>
  <c r="AH63" i="1"/>
  <c r="AI63" i="1" s="1"/>
  <c r="AH72" i="1"/>
  <c r="AI72" i="1" s="1"/>
  <c r="AH58" i="1"/>
  <c r="AI58" i="1" s="1"/>
  <c r="AH59" i="1"/>
  <c r="AI59" i="1" s="1"/>
  <c r="AH67" i="1"/>
  <c r="AI67" i="1" s="1"/>
  <c r="AH68" i="1"/>
  <c r="AI68" i="1" s="1"/>
  <c r="AH30" i="1"/>
  <c r="AI30" i="1" s="1"/>
  <c r="AH26" i="1"/>
  <c r="AH27" i="1"/>
  <c r="AI27" i="1" s="1"/>
  <c r="AH28" i="1"/>
  <c r="AI28" i="1" s="1"/>
  <c r="AH29" i="1"/>
  <c r="AI29" i="1" s="1"/>
  <c r="AH21" i="1"/>
  <c r="AI21" i="1" s="1"/>
  <c r="AH17" i="1"/>
  <c r="AH18" i="1"/>
  <c r="AH19" i="1"/>
  <c r="AI19" i="1" s="1"/>
  <c r="AH20" i="1"/>
  <c r="AI20" i="1" s="1"/>
  <c r="AJ116" i="10"/>
  <c r="G71" i="1"/>
  <c r="AH25" i="1"/>
  <c r="AI25" i="1" s="1"/>
  <c r="AH16" i="1"/>
  <c r="AI16" i="1" s="1"/>
  <c r="AL72" i="10"/>
  <c r="G24" i="10"/>
  <c r="AO31" i="10"/>
  <c r="AO62" i="10"/>
  <c r="AP62" i="10" s="1"/>
  <c r="AO44" i="10"/>
  <c r="AO97" i="10"/>
  <c r="AP97" i="10" s="1"/>
  <c r="AO43" i="10"/>
  <c r="AO72" i="10"/>
  <c r="AO71" i="10"/>
  <c r="AO19" i="10"/>
  <c r="AO18" i="10"/>
  <c r="AO84" i="10"/>
  <c r="AP84" i="10" s="1"/>
  <c r="AO83" i="10"/>
  <c r="AP83" i="10" s="1"/>
  <c r="G53" i="1"/>
  <c r="K95" i="1"/>
  <c r="AH94" i="1"/>
  <c r="AI94" i="1" s="1"/>
  <c r="AH92" i="1"/>
  <c r="AI92" i="1" s="1"/>
  <c r="AH93" i="1"/>
  <c r="AI93" i="1" s="1"/>
  <c r="AO63" i="10"/>
  <c r="AP63" i="10" s="1"/>
  <c r="AO81" i="10"/>
  <c r="AO108" i="10"/>
  <c r="AP108" i="10" s="1"/>
  <c r="AO55" i="10"/>
  <c r="AO36" i="10"/>
  <c r="AO82" i="10"/>
  <c r="AO89" i="10"/>
  <c r="AP89" i="10" s="1"/>
  <c r="AO28" i="10"/>
  <c r="AO30" i="10"/>
  <c r="AO80" i="10"/>
  <c r="AO48" i="10"/>
  <c r="AO107" i="10"/>
  <c r="AP107" i="10" s="1"/>
  <c r="AO101" i="10"/>
  <c r="AP101" i="10" s="1"/>
  <c r="AO109" i="10"/>
  <c r="AP109" i="10" s="1"/>
  <c r="AO49" i="10"/>
  <c r="AO35" i="10"/>
  <c r="AP35" i="10" s="1"/>
  <c r="AO90" i="10"/>
  <c r="AP90" i="10" s="1"/>
  <c r="AO102" i="10"/>
  <c r="AP102" i="10" s="1"/>
  <c r="AO88" i="10"/>
  <c r="AP88" i="10" s="1"/>
  <c r="AO96" i="10"/>
  <c r="AO103" i="10"/>
  <c r="AP103" i="10" s="1"/>
  <c r="AO54" i="10"/>
  <c r="AP54" i="10" s="1"/>
  <c r="AO29" i="10"/>
  <c r="AO37" i="10"/>
  <c r="AO50" i="10"/>
  <c r="AO27" i="10"/>
  <c r="AO56" i="10"/>
  <c r="AO70" i="10"/>
  <c r="AO73" i="10"/>
  <c r="AO76" i="10"/>
  <c r="AO74" i="10"/>
  <c r="AO69" i="10"/>
  <c r="G57" i="10"/>
  <c r="G64" i="10"/>
  <c r="AO17" i="10"/>
  <c r="AO20" i="10"/>
  <c r="AO21" i="10"/>
  <c r="AO23" i="10"/>
  <c r="AO16" i="10"/>
  <c r="AG45" i="1"/>
  <c r="AG46" i="1"/>
  <c r="G38" i="10"/>
  <c r="G89" i="1"/>
  <c r="AH76" i="1"/>
  <c r="AI76" i="1" s="1"/>
  <c r="AH77" i="1"/>
  <c r="AI77" i="1" s="1"/>
  <c r="AH83" i="1"/>
  <c r="AI83" i="1" s="1"/>
  <c r="AH87" i="1"/>
  <c r="AI87" i="1" s="1"/>
  <c r="AH88" i="1"/>
  <c r="AI88" i="1" s="1"/>
  <c r="G36" i="1"/>
  <c r="G78" i="1"/>
  <c r="AQ11" i="10"/>
  <c r="K78" i="1"/>
  <c r="K89" i="1"/>
  <c r="AG52" i="1"/>
  <c r="AJ12" i="1"/>
  <c r="AH50" i="1"/>
  <c r="AH45" i="1"/>
  <c r="AH41" i="1"/>
  <c r="AH52" i="1"/>
  <c r="AH46" i="1"/>
  <c r="W2" i="7"/>
  <c r="X2" i="7" s="1"/>
  <c r="Y2" i="7" s="1"/>
  <c r="Z2" i="7" s="1"/>
  <c r="AA2" i="7" s="1"/>
  <c r="AB2" i="7" s="1"/>
  <c r="AC2" i="7" s="1"/>
  <c r="AD2" i="7" s="1"/>
  <c r="AE2" i="7" s="1"/>
  <c r="AF2" i="7" s="1"/>
  <c r="AG2" i="7" s="1"/>
  <c r="AH2" i="7" s="1"/>
  <c r="AI2" i="7" s="1"/>
  <c r="AJ2" i="7" s="1"/>
  <c r="AK2" i="7" s="1"/>
  <c r="AL2" i="7" s="1"/>
  <c r="AM2" i="7" s="1"/>
  <c r="AN2" i="7" s="1"/>
  <c r="AO2" i="7" s="1"/>
  <c r="AP2" i="7" s="1"/>
  <c r="AQ2" i="7" s="1"/>
  <c r="AR2" i="7" s="1"/>
  <c r="AS2" i="7" s="1"/>
  <c r="AT2" i="7" s="1"/>
  <c r="AU2" i="7" s="1"/>
  <c r="R8" i="12"/>
  <c r="O10" i="12"/>
  <c r="M10" i="12"/>
  <c r="I10" i="12"/>
  <c r="E10" i="12"/>
  <c r="D10" i="12"/>
  <c r="C10" i="12"/>
  <c r="I8" i="12"/>
  <c r="E8" i="12"/>
  <c r="D8" i="12"/>
  <c r="C8" i="12"/>
  <c r="V29" i="1"/>
  <c r="O50" i="1"/>
  <c r="Z19" i="10"/>
  <c r="AC20" i="10"/>
  <c r="AB19" i="10"/>
  <c r="S18" i="1"/>
  <c r="S16" i="1"/>
  <c r="M52" i="1"/>
  <c r="R26" i="1"/>
  <c r="Q43" i="10"/>
  <c r="U60" i="1"/>
  <c r="P63" i="1"/>
  <c r="O17" i="1"/>
  <c r="T102" i="10"/>
  <c r="P18" i="1"/>
  <c r="U20" i="1"/>
  <c r="N45" i="1"/>
  <c r="U21" i="1"/>
  <c r="S25" i="1"/>
  <c r="O50" i="10"/>
  <c r="W81" i="10"/>
  <c r="U27" i="1"/>
  <c r="O25" i="1"/>
  <c r="P29" i="1"/>
  <c r="T20" i="1"/>
  <c r="AA20" i="10"/>
  <c r="S29" i="1"/>
  <c r="N20" i="1"/>
  <c r="M60" i="1"/>
  <c r="P61" i="1"/>
  <c r="R25" i="1"/>
  <c r="Q17" i="10"/>
  <c r="O26" i="1"/>
  <c r="O18" i="1"/>
  <c r="N51" i="1"/>
  <c r="O30" i="1"/>
  <c r="P21" i="10"/>
  <c r="N18" i="1"/>
  <c r="R21" i="10"/>
  <c r="M23" i="10"/>
  <c r="AC21" i="10"/>
  <c r="V69" i="1"/>
  <c r="R58" i="1"/>
  <c r="P20" i="10"/>
  <c r="M20" i="1"/>
  <c r="T17" i="1"/>
  <c r="W61" i="1"/>
  <c r="M58" i="1"/>
  <c r="S19" i="1"/>
  <c r="T63" i="1"/>
  <c r="N69" i="1"/>
  <c r="N61" i="1"/>
  <c r="T62" i="1"/>
  <c r="M16" i="10"/>
  <c r="V20" i="10"/>
  <c r="AD16" i="10"/>
  <c r="T48" i="10"/>
  <c r="S61" i="1"/>
  <c r="W16" i="1"/>
  <c r="T25" i="1"/>
  <c r="S67" i="1"/>
  <c r="AC23" i="10"/>
  <c r="P50" i="1"/>
  <c r="S18" i="10"/>
  <c r="R28" i="1"/>
  <c r="Q19" i="10"/>
  <c r="AB16" i="10"/>
  <c r="P50" i="10"/>
  <c r="O44" i="10"/>
  <c r="M28" i="1"/>
  <c r="N25" i="1"/>
  <c r="N16" i="1"/>
  <c r="Q71" i="1"/>
  <c r="P62" i="1"/>
  <c r="P26" i="1"/>
  <c r="AA19" i="10"/>
  <c r="Q50" i="1"/>
  <c r="X20" i="10"/>
  <c r="R19" i="10"/>
  <c r="R67" i="1"/>
  <c r="Q16" i="10"/>
  <c r="X18" i="10"/>
  <c r="O71" i="1"/>
  <c r="R19" i="1"/>
  <c r="R50" i="1"/>
  <c r="AA16" i="10"/>
  <c r="M26" i="1"/>
  <c r="W19" i="1"/>
  <c r="R49" i="10"/>
  <c r="X23" i="10"/>
  <c r="N28" i="1"/>
  <c r="P16" i="10"/>
  <c r="T26" i="1"/>
  <c r="M21" i="10"/>
  <c r="M29" i="1"/>
  <c r="M61" i="1"/>
  <c r="V18" i="1"/>
  <c r="N80" i="10"/>
  <c r="M82" i="10"/>
  <c r="Q70" i="1"/>
  <c r="N72" i="1"/>
  <c r="U19" i="1"/>
  <c r="V71" i="1"/>
  <c r="V59" i="1"/>
  <c r="Q18" i="10"/>
  <c r="W59" i="1"/>
  <c r="V17" i="10"/>
  <c r="V63" i="1"/>
  <c r="V20" i="1"/>
  <c r="T16" i="1"/>
  <c r="Z18" i="10"/>
  <c r="V18" i="10"/>
  <c r="Q58" i="1"/>
  <c r="AB23" i="10"/>
  <c r="Q67" i="1"/>
  <c r="Z17" i="10"/>
  <c r="M67" i="1"/>
  <c r="S26" i="1"/>
  <c r="V26" i="1"/>
  <c r="P43" i="10"/>
  <c r="R61" i="1"/>
  <c r="U20" i="10"/>
  <c r="N29" i="1"/>
  <c r="U28" i="1"/>
  <c r="S50" i="1"/>
  <c r="R27" i="1"/>
  <c r="Q72" i="1"/>
  <c r="Q17" i="1"/>
  <c r="S19" i="10"/>
  <c r="P17" i="1"/>
  <c r="AA17" i="10"/>
  <c r="U17" i="10"/>
  <c r="T103" i="10"/>
  <c r="S70" i="1"/>
  <c r="N43" i="10"/>
  <c r="Q18" i="1"/>
  <c r="V17" i="1"/>
  <c r="M21" i="1"/>
  <c r="U18" i="10"/>
  <c r="N17" i="1"/>
  <c r="U21" i="10"/>
  <c r="Q50" i="10"/>
  <c r="Q16" i="1"/>
  <c r="O21" i="1"/>
  <c r="Q26" i="1"/>
  <c r="N60" i="1"/>
  <c r="AB17" i="10"/>
  <c r="U16" i="1"/>
  <c r="R17" i="1"/>
  <c r="W17" i="1"/>
  <c r="V19" i="1"/>
  <c r="R17" i="10"/>
  <c r="P20" i="1"/>
  <c r="N50" i="10"/>
  <c r="R21" i="1"/>
  <c r="U23" i="10"/>
  <c r="U26" i="1"/>
  <c r="M17" i="10"/>
  <c r="U63" i="1"/>
  <c r="M70" i="1"/>
  <c r="M36" i="10"/>
  <c r="M69" i="1"/>
  <c r="S83" i="10"/>
  <c r="P71" i="1"/>
  <c r="Q59" i="1"/>
  <c r="S49" i="10"/>
  <c r="R30" i="1"/>
  <c r="U71" i="1"/>
  <c r="AA18" i="10"/>
  <c r="T29" i="1"/>
  <c r="R63" i="1"/>
  <c r="X16" i="10"/>
  <c r="T19" i="1"/>
  <c r="N58" i="1"/>
  <c r="O58" i="1"/>
  <c r="W83" i="10"/>
  <c r="O62" i="1"/>
  <c r="Q28" i="1"/>
  <c r="S69" i="1"/>
  <c r="Z21" i="10"/>
  <c r="AC19" i="10"/>
  <c r="O72" i="1"/>
  <c r="U81" i="10"/>
  <c r="V16" i="10"/>
  <c r="T71" i="1"/>
  <c r="V21" i="10"/>
  <c r="AC17" i="10"/>
  <c r="X81" i="10"/>
  <c r="O43" i="10"/>
  <c r="O20" i="1"/>
  <c r="AD18" i="10"/>
  <c r="P30" i="1"/>
  <c r="U70" i="1"/>
  <c r="U61" i="1"/>
  <c r="O69" i="1"/>
  <c r="S20" i="1"/>
  <c r="W63" i="1"/>
  <c r="R43" i="10"/>
  <c r="O19" i="1"/>
  <c r="N68" i="1"/>
  <c r="R20" i="1"/>
  <c r="M62" i="10"/>
  <c r="R23" i="10"/>
  <c r="M19" i="10"/>
  <c r="AD21" i="10"/>
  <c r="U19" i="10"/>
  <c r="M80" i="10"/>
  <c r="P67" i="1"/>
  <c r="W62" i="1"/>
  <c r="V68" i="1"/>
  <c r="N63" i="1"/>
  <c r="M44" i="10"/>
  <c r="X17" i="10"/>
  <c r="S21" i="10"/>
  <c r="R29" i="1"/>
  <c r="X19" i="10"/>
  <c r="M20" i="10"/>
  <c r="O68" i="1"/>
  <c r="T70" i="1"/>
  <c r="AD17" i="10"/>
  <c r="U30" i="1"/>
  <c r="P19" i="10"/>
  <c r="M19" i="1"/>
  <c r="M25" i="1"/>
  <c r="S28" i="1"/>
  <c r="Q20" i="10"/>
  <c r="N30" i="1"/>
  <c r="N70" i="1"/>
  <c r="N82" i="10"/>
  <c r="U25" i="1"/>
  <c r="N19" i="1"/>
  <c r="T27" i="1"/>
  <c r="P16" i="1"/>
  <c r="O27" i="1"/>
  <c r="W60" i="1"/>
  <c r="P49" i="10"/>
  <c r="T69" i="1"/>
  <c r="Z16" i="10"/>
  <c r="P70" i="1"/>
  <c r="N21" i="1"/>
  <c r="Q30" i="1"/>
  <c r="U83" i="10"/>
  <c r="M35" i="10"/>
  <c r="P58" i="1"/>
  <c r="T72" i="1"/>
  <c r="S20" i="10"/>
  <c r="O16" i="1"/>
  <c r="R62" i="1"/>
  <c r="Q20" i="1"/>
  <c r="Z20" i="10"/>
  <c r="P28" i="1"/>
  <c r="V72" i="1"/>
  <c r="W18" i="1"/>
  <c r="P21" i="1"/>
  <c r="V81" i="10"/>
  <c r="S58" i="1"/>
  <c r="M43" i="10"/>
  <c r="T81" i="10"/>
  <c r="S63" i="1"/>
  <c r="X21" i="10"/>
  <c r="AD20" i="10"/>
  <c r="R20" i="10"/>
  <c r="Q21" i="10"/>
  <c r="S62" i="1"/>
  <c r="V23" i="10"/>
  <c r="O67" i="1"/>
  <c r="V60" i="1"/>
  <c r="R72" i="1"/>
  <c r="Q21" i="1"/>
  <c r="T28" i="1"/>
  <c r="S103" i="10"/>
  <c r="Q62" i="1"/>
  <c r="M46" i="1"/>
  <c r="O29" i="1"/>
  <c r="S17" i="1"/>
  <c r="P72" i="1"/>
  <c r="R103" i="10"/>
  <c r="AB20" i="10"/>
  <c r="P25" i="1"/>
  <c r="V70" i="1"/>
  <c r="N67" i="1"/>
  <c r="M63" i="10"/>
  <c r="U16" i="10"/>
  <c r="M30" i="1"/>
  <c r="T30" i="1"/>
  <c r="S16" i="10"/>
  <c r="T21" i="1"/>
  <c r="M16" i="1"/>
  <c r="M17" i="1"/>
  <c r="T18" i="1"/>
  <c r="T61" i="1"/>
  <c r="T58" i="1"/>
  <c r="U18" i="1"/>
  <c r="V61" i="1"/>
  <c r="S21" i="1"/>
  <c r="P17" i="10"/>
  <c r="Z23" i="10"/>
  <c r="V30" i="1"/>
  <c r="S71" i="1"/>
  <c r="V62" i="1"/>
  <c r="AC18" i="10"/>
  <c r="S81" i="10"/>
  <c r="P18" i="10"/>
  <c r="T83" i="10"/>
  <c r="M50" i="10"/>
  <c r="S23" i="10"/>
  <c r="M68" i="1"/>
  <c r="N59" i="1"/>
  <c r="S30" i="1"/>
  <c r="W20" i="1"/>
  <c r="AA23" i="10"/>
  <c r="O49" i="10"/>
  <c r="S43" i="10"/>
  <c r="R16" i="10"/>
  <c r="V16" i="1"/>
  <c r="M18" i="1"/>
  <c r="V21" i="1"/>
  <c r="W21" i="1"/>
  <c r="AC16" i="10"/>
  <c r="O59" i="1"/>
  <c r="U62" i="1"/>
  <c r="O63" i="1"/>
  <c r="AB18" i="10"/>
  <c r="AD19" i="10"/>
  <c r="Q61" i="1"/>
  <c r="Q25" i="1"/>
  <c r="V27" i="1"/>
  <c r="V19" i="10"/>
  <c r="Q27" i="1"/>
  <c r="AA21" i="10"/>
  <c r="V28" i="1"/>
  <c r="S27" i="1"/>
  <c r="P27" i="1"/>
  <c r="M27" i="1"/>
  <c r="N44" i="10"/>
  <c r="P19" i="1"/>
  <c r="P59" i="1"/>
  <c r="S72" i="1"/>
  <c r="V83" i="10"/>
  <c r="X83" i="10"/>
  <c r="R71" i="1"/>
  <c r="P23" i="10"/>
  <c r="AB21" i="10"/>
  <c r="R18" i="10"/>
  <c r="N26" i="1"/>
  <c r="R70" i="1"/>
  <c r="U29" i="1"/>
  <c r="R16" i="1"/>
  <c r="R18" i="1"/>
  <c r="Q29" i="1"/>
  <c r="U69" i="1"/>
  <c r="Q49" i="10"/>
  <c r="Q63" i="1"/>
  <c r="P68" i="1"/>
  <c r="V25" i="1"/>
  <c r="O60" i="1"/>
  <c r="M59" i="1"/>
  <c r="S17" i="10"/>
  <c r="Q19" i="1"/>
  <c r="AD23" i="10"/>
  <c r="N27" i="1"/>
  <c r="O28" i="1"/>
  <c r="U72" i="1"/>
  <c r="Q23" i="10"/>
  <c r="M18" i="10"/>
  <c r="U17" i="1"/>
  <c r="AQ22" i="10" l="1"/>
  <c r="AR22" i="10" s="1"/>
  <c r="AQ75" i="10"/>
  <c r="AR75" i="10" s="1"/>
  <c r="K77" i="10"/>
  <c r="L82" i="10"/>
  <c r="L83" i="10"/>
  <c r="L81" i="10"/>
  <c r="L80" i="10"/>
  <c r="L32" i="10"/>
  <c r="K63" i="10"/>
  <c r="K62" i="10"/>
  <c r="K32" i="10"/>
  <c r="K44" i="10"/>
  <c r="K43" i="10"/>
  <c r="K19" i="10"/>
  <c r="K20" i="10"/>
  <c r="K17" i="10"/>
  <c r="K21" i="10"/>
  <c r="K23" i="10"/>
  <c r="K18" i="10"/>
  <c r="K16" i="10"/>
  <c r="AC16" i="1"/>
  <c r="M22" i="1"/>
  <c r="M31" i="1"/>
  <c r="M47" i="1"/>
  <c r="M53" i="1"/>
  <c r="L58" i="1"/>
  <c r="B58" i="1" s="1"/>
  <c r="S98" i="10"/>
  <c r="AN72" i="10"/>
  <c r="AP72" i="10"/>
  <c r="AJ72" i="10"/>
  <c r="AJ96" i="10"/>
  <c r="AL96" i="10"/>
  <c r="AN96" i="10"/>
  <c r="AP96" i="10"/>
  <c r="AN43" i="10"/>
  <c r="AP43" i="10"/>
  <c r="M45" i="10"/>
  <c r="AP44" i="10"/>
  <c r="P98" i="10"/>
  <c r="AL44" i="10"/>
  <c r="AJ97" i="10"/>
  <c r="AN97" i="10"/>
  <c r="AJ44" i="10"/>
  <c r="AN44" i="10"/>
  <c r="N24" i="10"/>
  <c r="AC24" i="10"/>
  <c r="U73" i="1"/>
  <c r="AJ18" i="10"/>
  <c r="L67" i="1"/>
  <c r="G67" i="1"/>
  <c r="K67" i="1"/>
  <c r="M73" i="1"/>
  <c r="O31" i="1"/>
  <c r="K69" i="1"/>
  <c r="L69" i="1"/>
  <c r="G69" i="1"/>
  <c r="K80" i="10"/>
  <c r="M85" i="10"/>
  <c r="X24" i="10"/>
  <c r="V31" i="1"/>
  <c r="AG25" i="1"/>
  <c r="AJ63" i="10"/>
  <c r="O22" i="1"/>
  <c r="AD24" i="10"/>
  <c r="AB24" i="10"/>
  <c r="K46" i="1"/>
  <c r="AE17" i="1"/>
  <c r="U22" i="1"/>
  <c r="AC20" i="1"/>
  <c r="Q31" i="1"/>
  <c r="T64" i="1"/>
  <c r="X85" i="10"/>
  <c r="V24" i="10"/>
  <c r="T22" i="1"/>
  <c r="G115" i="10"/>
  <c r="K115" i="10"/>
  <c r="P24" i="10"/>
  <c r="G17" i="1"/>
  <c r="K17" i="1"/>
  <c r="O73" i="1"/>
  <c r="O24" i="10"/>
  <c r="W24" i="10"/>
  <c r="AG18" i="1"/>
  <c r="K45" i="1"/>
  <c r="AE27" i="1"/>
  <c r="AC26" i="1"/>
  <c r="G44" i="10"/>
  <c r="P73" i="1"/>
  <c r="P31" i="1"/>
  <c r="G27" i="1"/>
  <c r="K27" i="1"/>
  <c r="K72" i="1"/>
  <c r="AC29" i="1"/>
  <c r="K19" i="1"/>
  <c r="G19" i="1"/>
  <c r="G60" i="1"/>
  <c r="L60" i="1"/>
  <c r="K60" i="1"/>
  <c r="L62" i="1"/>
  <c r="G62" i="1"/>
  <c r="K62" i="1"/>
  <c r="Q73" i="1"/>
  <c r="T85" i="10"/>
  <c r="AJ19" i="10"/>
  <c r="K30" i="1"/>
  <c r="G30" i="1"/>
  <c r="AC30" i="1"/>
  <c r="L59" i="1"/>
  <c r="G59" i="1"/>
  <c r="K59" i="1"/>
  <c r="AE25" i="1"/>
  <c r="U31" i="1"/>
  <c r="AL43" i="10"/>
  <c r="K70" i="1"/>
  <c r="L70" i="1"/>
  <c r="G70" i="1"/>
  <c r="AN62" i="10"/>
  <c r="R22" i="1"/>
  <c r="G20" i="1"/>
  <c r="K20" i="1"/>
  <c r="AL29" i="10"/>
  <c r="AC19" i="1"/>
  <c r="AC18" i="1"/>
  <c r="S24" i="10"/>
  <c r="G58" i="1"/>
  <c r="K58" i="1"/>
  <c r="S53" i="1"/>
  <c r="W22" i="1"/>
  <c r="AG16" i="1"/>
  <c r="P22" i="1"/>
  <c r="G25" i="1"/>
  <c r="K25" i="1"/>
  <c r="N73" i="1"/>
  <c r="AN31" i="10"/>
  <c r="R24" i="10"/>
  <c r="S73" i="1"/>
  <c r="K28" i="1"/>
  <c r="G28" i="1"/>
  <c r="O53" i="1"/>
  <c r="AC50" i="1"/>
  <c r="V73" i="1"/>
  <c r="AJ43" i="10"/>
  <c r="Q22" i="1"/>
  <c r="N22" i="1"/>
  <c r="K68" i="1"/>
  <c r="G68" i="1"/>
  <c r="L68" i="1"/>
  <c r="N85" i="10"/>
  <c r="AC21" i="1"/>
  <c r="K21" i="1"/>
  <c r="G21" i="1"/>
  <c r="G43" i="10"/>
  <c r="AL31" i="10"/>
  <c r="K29" i="1"/>
  <c r="G29" i="1"/>
  <c r="Q24" i="10"/>
  <c r="AC25" i="1"/>
  <c r="T31" i="1"/>
  <c r="K83" i="10"/>
  <c r="AL19" i="10"/>
  <c r="Z24" i="10"/>
  <c r="P53" i="1"/>
  <c r="K63" i="1"/>
  <c r="AN19" i="10"/>
  <c r="AL62" i="10"/>
  <c r="K116" i="10"/>
  <c r="AC28" i="1"/>
  <c r="K26" i="1"/>
  <c r="K52" i="1"/>
  <c r="AC52" i="1"/>
  <c r="AE26" i="1"/>
  <c r="G97" i="10"/>
  <c r="K97" i="10"/>
  <c r="T73" i="1"/>
  <c r="R73" i="1"/>
  <c r="Q53" i="1"/>
  <c r="N31" i="1"/>
  <c r="T24" i="10"/>
  <c r="G16" i="1"/>
  <c r="K16" i="1"/>
  <c r="W85" i="10"/>
  <c r="S31" i="1"/>
  <c r="AN18" i="10"/>
  <c r="K81" i="10"/>
  <c r="S85" i="10"/>
  <c r="AE18" i="1"/>
  <c r="V22" i="1"/>
  <c r="AE16" i="1"/>
  <c r="AL18" i="10"/>
  <c r="R31" i="1"/>
  <c r="G18" i="1"/>
  <c r="K18" i="1"/>
  <c r="U24" i="10"/>
  <c r="AA24" i="10"/>
  <c r="S22" i="1"/>
  <c r="AJ62" i="10"/>
  <c r="K71" i="1"/>
  <c r="L71" i="1"/>
  <c r="AC27" i="1"/>
  <c r="K51" i="1"/>
  <c r="AG17" i="1"/>
  <c r="L61" i="1"/>
  <c r="G61" i="1"/>
  <c r="K61" i="1"/>
  <c r="K82" i="10"/>
  <c r="AC17" i="1"/>
  <c r="AG26" i="1"/>
  <c r="AG27" i="1"/>
  <c r="AP18" i="10"/>
  <c r="AP19" i="10"/>
  <c r="AI18" i="1"/>
  <c r="AI17" i="1"/>
  <c r="AP31" i="10"/>
  <c r="AI26" i="1"/>
  <c r="K50" i="1"/>
  <c r="AQ116" i="10"/>
  <c r="AR116" i="10" s="1"/>
  <c r="AQ115" i="10"/>
  <c r="AR115" i="10" s="1"/>
  <c r="AJ71" i="1"/>
  <c r="AK71" i="1" s="1"/>
  <c r="AJ62" i="1"/>
  <c r="AK62" i="1" s="1"/>
  <c r="AJ61" i="1"/>
  <c r="AK61" i="1" s="1"/>
  <c r="AJ60" i="1"/>
  <c r="AK60" i="1" s="1"/>
  <c r="AJ70" i="1"/>
  <c r="AK70" i="1" s="1"/>
  <c r="AJ69" i="1"/>
  <c r="AK69" i="1" s="1"/>
  <c r="AJ63" i="1"/>
  <c r="AK63" i="1" s="1"/>
  <c r="AJ72" i="1"/>
  <c r="AK72" i="1" s="1"/>
  <c r="AJ59" i="1"/>
  <c r="AK59" i="1" s="1"/>
  <c r="AJ58" i="1"/>
  <c r="AK58" i="1" s="1"/>
  <c r="AJ67" i="1"/>
  <c r="AK67" i="1" s="1"/>
  <c r="AJ68" i="1"/>
  <c r="AK68" i="1" s="1"/>
  <c r="AJ30" i="1"/>
  <c r="AK30" i="1" s="1"/>
  <c r="AJ26" i="1"/>
  <c r="AK26" i="1" s="1"/>
  <c r="AJ27" i="1"/>
  <c r="AK27" i="1" s="1"/>
  <c r="AJ28" i="1"/>
  <c r="AK28" i="1" s="1"/>
  <c r="AJ29" i="1"/>
  <c r="AK29" i="1" s="1"/>
  <c r="AJ21" i="1"/>
  <c r="AK21" i="1" s="1"/>
  <c r="AJ17" i="1"/>
  <c r="AK17" i="1" s="1"/>
  <c r="AJ18" i="1"/>
  <c r="AK18" i="1" s="1"/>
  <c r="AJ19" i="1"/>
  <c r="AK19" i="1" s="1"/>
  <c r="AJ20" i="1"/>
  <c r="AK20" i="1" s="1"/>
  <c r="AJ25" i="1"/>
  <c r="AK25" i="1" s="1"/>
  <c r="AJ16" i="1"/>
  <c r="AK16" i="1" s="1"/>
  <c r="M24" i="10"/>
  <c r="AQ31" i="10"/>
  <c r="AR31" i="10" s="1"/>
  <c r="AQ62" i="10"/>
  <c r="AR62" i="10" s="1"/>
  <c r="AQ43" i="10"/>
  <c r="AR43" i="10" s="1"/>
  <c r="AQ97" i="10"/>
  <c r="AR97" i="10" s="1"/>
  <c r="AQ44" i="10"/>
  <c r="AR44" i="10" s="1"/>
  <c r="AQ72" i="10"/>
  <c r="AR72" i="10" s="1"/>
  <c r="AQ71" i="10"/>
  <c r="AQ19" i="10"/>
  <c r="AR19" i="10" s="1"/>
  <c r="AQ18" i="10"/>
  <c r="AR18" i="10" s="1"/>
  <c r="R53" i="1"/>
  <c r="AC51" i="1"/>
  <c r="N53" i="1"/>
  <c r="AQ83" i="10"/>
  <c r="AR83" i="10" s="1"/>
  <c r="AQ84" i="10"/>
  <c r="AR84" i="10" s="1"/>
  <c r="AJ94" i="1"/>
  <c r="AK94" i="1" s="1"/>
  <c r="AJ92" i="1"/>
  <c r="AK92" i="1" s="1"/>
  <c r="AJ93" i="1"/>
  <c r="AK93" i="1" s="1"/>
  <c r="AQ63" i="10"/>
  <c r="AR63" i="10" s="1"/>
  <c r="AQ108" i="10"/>
  <c r="AR108" i="10" s="1"/>
  <c r="AQ82" i="10"/>
  <c r="AQ89" i="10"/>
  <c r="AR89" i="10" s="1"/>
  <c r="AQ55" i="10"/>
  <c r="AQ36" i="10"/>
  <c r="AQ28" i="10"/>
  <c r="AQ30" i="10"/>
  <c r="AQ81" i="10"/>
  <c r="AQ80" i="10"/>
  <c r="AQ48" i="10"/>
  <c r="AQ90" i="10"/>
  <c r="AR90" i="10" s="1"/>
  <c r="AQ102" i="10"/>
  <c r="AR102" i="10" s="1"/>
  <c r="AQ88" i="10"/>
  <c r="AR88" i="10" s="1"/>
  <c r="AQ101" i="10"/>
  <c r="AR101" i="10" s="1"/>
  <c r="AQ103" i="10"/>
  <c r="AR103" i="10" s="1"/>
  <c r="AQ109" i="10"/>
  <c r="AR109" i="10" s="1"/>
  <c r="AQ49" i="10"/>
  <c r="AQ54" i="10"/>
  <c r="AR54" i="10" s="1"/>
  <c r="AQ107" i="10"/>
  <c r="AR107" i="10" s="1"/>
  <c r="AQ96" i="10"/>
  <c r="AR96" i="10" s="1"/>
  <c r="AQ35" i="10"/>
  <c r="AR35" i="10" s="1"/>
  <c r="AQ29" i="10"/>
  <c r="AQ50" i="10"/>
  <c r="AQ37" i="10"/>
  <c r="AQ27" i="10"/>
  <c r="AQ56" i="10"/>
  <c r="AQ70" i="10"/>
  <c r="AQ73" i="10"/>
  <c r="AR73" i="10" s="1"/>
  <c r="AQ76" i="10"/>
  <c r="AQ74" i="10"/>
  <c r="AR74" i="10" s="1"/>
  <c r="AQ69" i="10"/>
  <c r="AQ20" i="10"/>
  <c r="AQ17" i="10"/>
  <c r="AQ23" i="10"/>
  <c r="AQ21" i="10"/>
  <c r="AQ16" i="10"/>
  <c r="AI46" i="1"/>
  <c r="AI45" i="1"/>
  <c r="AJ76" i="1"/>
  <c r="AK76" i="1" s="1"/>
  <c r="AJ77" i="1"/>
  <c r="AK77" i="1" s="1"/>
  <c r="AJ83" i="1"/>
  <c r="AK83" i="1" s="1"/>
  <c r="AJ87" i="1"/>
  <c r="AK87" i="1" s="1"/>
  <c r="AJ88" i="1"/>
  <c r="AK88" i="1" s="1"/>
  <c r="AS11" i="10"/>
  <c r="AI52" i="1"/>
  <c r="AL12" i="1"/>
  <c r="AJ50" i="1"/>
  <c r="AJ52" i="1"/>
  <c r="AJ41" i="1"/>
  <c r="AJ45" i="1"/>
  <c r="AJ46" i="1"/>
  <c r="AD34" i="1"/>
  <c r="AF34" i="1"/>
  <c r="AH34" i="1"/>
  <c r="AJ34" i="1"/>
  <c r="AD35" i="1"/>
  <c r="AF35" i="1"/>
  <c r="AH35" i="1"/>
  <c r="AJ35" i="1"/>
  <c r="AS22" i="10" l="1"/>
  <c r="AT22" i="10" s="1"/>
  <c r="AS75" i="10"/>
  <c r="AT75" i="10" s="1"/>
  <c r="K117" i="10"/>
  <c r="K85" i="10"/>
  <c r="L24" i="10"/>
  <c r="K24" i="10"/>
  <c r="K64" i="10"/>
  <c r="K45" i="10"/>
  <c r="B59" i="1"/>
  <c r="B60" i="1" s="1"/>
  <c r="G45" i="10"/>
  <c r="I28" i="4"/>
  <c r="I29" i="4"/>
  <c r="G31" i="4"/>
  <c r="L22" i="1"/>
  <c r="K22" i="1"/>
  <c r="L73" i="1"/>
  <c r="K31" i="1"/>
  <c r="G22" i="1"/>
  <c r="L31" i="1"/>
  <c r="K53" i="1"/>
  <c r="AS115" i="10"/>
  <c r="AT115" i="10" s="1"/>
  <c r="AS116" i="10"/>
  <c r="AT116" i="10" s="1"/>
  <c r="AL62" i="1"/>
  <c r="AM62" i="1" s="1"/>
  <c r="AL60" i="1"/>
  <c r="AM60" i="1" s="1"/>
  <c r="AL61" i="1"/>
  <c r="AM61" i="1" s="1"/>
  <c r="AL70" i="1"/>
  <c r="AM70" i="1" s="1"/>
  <c r="AL69" i="1"/>
  <c r="AM69" i="1" s="1"/>
  <c r="AL71" i="1"/>
  <c r="AM71" i="1" s="1"/>
  <c r="AL63" i="1"/>
  <c r="AM63" i="1" s="1"/>
  <c r="AL72" i="1"/>
  <c r="AM72" i="1" s="1"/>
  <c r="AL58" i="1"/>
  <c r="AM58" i="1" s="1"/>
  <c r="AL59" i="1"/>
  <c r="AM59" i="1" s="1"/>
  <c r="AL67" i="1"/>
  <c r="AM67" i="1" s="1"/>
  <c r="AL68" i="1"/>
  <c r="AM68" i="1" s="1"/>
  <c r="AL30" i="1"/>
  <c r="AM30" i="1" s="1"/>
  <c r="AL26" i="1"/>
  <c r="AM26" i="1" s="1"/>
  <c r="AL27" i="1"/>
  <c r="AM27" i="1" s="1"/>
  <c r="AL28" i="1"/>
  <c r="AM28" i="1" s="1"/>
  <c r="AL29" i="1"/>
  <c r="AM29" i="1" s="1"/>
  <c r="AL21" i="1"/>
  <c r="AM21" i="1" s="1"/>
  <c r="AL17" i="1"/>
  <c r="AM17" i="1" s="1"/>
  <c r="AL18" i="1"/>
  <c r="AM18" i="1" s="1"/>
  <c r="AL19" i="1"/>
  <c r="AM19" i="1" s="1"/>
  <c r="AL20" i="1"/>
  <c r="AM20" i="1" s="1"/>
  <c r="L53" i="1"/>
  <c r="AL25" i="1"/>
  <c r="AM25" i="1" s="1"/>
  <c r="AL16" i="1"/>
  <c r="AM16" i="1" s="1"/>
  <c r="AS31" i="10"/>
  <c r="AT31" i="10" s="1"/>
  <c r="AS62" i="10"/>
  <c r="AT62" i="10" s="1"/>
  <c r="AS44" i="10"/>
  <c r="AT44" i="10" s="1"/>
  <c r="AS97" i="10"/>
  <c r="AT97" i="10" s="1"/>
  <c r="AS43" i="10"/>
  <c r="AT43" i="10" s="1"/>
  <c r="AS72" i="10"/>
  <c r="AT72" i="10" s="1"/>
  <c r="AS71" i="10"/>
  <c r="AS19" i="10"/>
  <c r="AT19" i="10" s="1"/>
  <c r="AS18" i="10"/>
  <c r="AS84" i="10"/>
  <c r="AT84" i="10" s="1"/>
  <c r="AS83" i="10"/>
  <c r="AT83" i="10" s="1"/>
  <c r="AL94" i="1"/>
  <c r="AM94" i="1" s="1"/>
  <c r="AL92" i="1"/>
  <c r="AM92" i="1" s="1"/>
  <c r="AL93" i="1"/>
  <c r="AM93" i="1" s="1"/>
  <c r="AS63" i="10"/>
  <c r="AT63" i="10" s="1"/>
  <c r="AS81" i="10"/>
  <c r="AS108" i="10"/>
  <c r="AT108" i="10" s="1"/>
  <c r="AS28" i="10"/>
  <c r="AS82" i="10"/>
  <c r="AS89" i="10"/>
  <c r="AT89" i="10" s="1"/>
  <c r="AS55" i="10"/>
  <c r="AS36" i="10"/>
  <c r="AS30" i="10"/>
  <c r="AS80" i="10"/>
  <c r="AS48" i="10"/>
  <c r="AT48" i="10" s="1"/>
  <c r="AS102" i="10"/>
  <c r="AT102" i="10" s="1"/>
  <c r="AS107" i="10"/>
  <c r="AT107" i="10" s="1"/>
  <c r="AS96" i="10"/>
  <c r="AT96" i="10" s="1"/>
  <c r="AS103" i="10"/>
  <c r="AT103" i="10" s="1"/>
  <c r="AS109" i="10"/>
  <c r="AT109" i="10" s="1"/>
  <c r="AS49" i="10"/>
  <c r="AT49" i="10" s="1"/>
  <c r="AS35" i="10"/>
  <c r="AT35" i="10" s="1"/>
  <c r="AS90" i="10"/>
  <c r="AT90" i="10" s="1"/>
  <c r="AS88" i="10"/>
  <c r="AT88" i="10" s="1"/>
  <c r="AS101" i="10"/>
  <c r="AT101" i="10" s="1"/>
  <c r="AS54" i="10"/>
  <c r="AT54" i="10" s="1"/>
  <c r="AS50" i="10"/>
  <c r="AS27" i="10"/>
  <c r="AS56" i="10"/>
  <c r="AS29" i="10"/>
  <c r="AS37" i="10"/>
  <c r="AS70" i="10"/>
  <c r="AS73" i="10"/>
  <c r="AS76" i="10"/>
  <c r="AS74" i="10"/>
  <c r="AT74" i="10" s="1"/>
  <c r="AS69" i="10"/>
  <c r="AS17" i="10"/>
  <c r="AS20" i="10"/>
  <c r="AS21" i="10"/>
  <c r="AT21" i="10" s="1"/>
  <c r="AS23" i="10"/>
  <c r="AS16" i="10"/>
  <c r="AK46" i="1"/>
  <c r="AK45" i="1"/>
  <c r="AL34" i="1"/>
  <c r="AL76" i="1"/>
  <c r="AM76" i="1" s="1"/>
  <c r="AL77" i="1"/>
  <c r="AM77" i="1" s="1"/>
  <c r="AL83" i="1"/>
  <c r="AM83" i="1" s="1"/>
  <c r="AL87" i="1"/>
  <c r="AM87" i="1" s="1"/>
  <c r="AL88" i="1"/>
  <c r="AM88" i="1" s="1"/>
  <c r="AU11" i="10"/>
  <c r="AK52" i="1"/>
  <c r="AL35" i="1"/>
  <c r="AN12" i="1"/>
  <c r="AL50" i="1"/>
  <c r="AL41" i="1"/>
  <c r="AL45" i="1"/>
  <c r="AL46" i="1"/>
  <c r="AL52" i="1"/>
  <c r="P35" i="10"/>
  <c r="S107" i="10"/>
  <c r="T35" i="10"/>
  <c r="R88" i="10"/>
  <c r="T54" i="10"/>
  <c r="S88" i="10"/>
  <c r="S37" i="10"/>
  <c r="Q56" i="10"/>
  <c r="Q55" i="10"/>
  <c r="R36" i="10"/>
  <c r="R50" i="10"/>
  <c r="P35" i="1"/>
  <c r="T89" i="10"/>
  <c r="N36" i="10"/>
  <c r="O88" i="10"/>
  <c r="O34" i="1"/>
  <c r="U49" i="10"/>
  <c r="V35" i="1"/>
  <c r="Q54" i="10"/>
  <c r="N102" i="10"/>
  <c r="V34" i="1"/>
  <c r="M37" i="10"/>
  <c r="W102" i="10"/>
  <c r="N48" i="10"/>
  <c r="O35" i="10"/>
  <c r="M54" i="10"/>
  <c r="X50" i="10"/>
  <c r="P34" i="1"/>
  <c r="P37" i="10"/>
  <c r="W35" i="1"/>
  <c r="N88" i="10"/>
  <c r="T35" i="1"/>
  <c r="O48" i="10"/>
  <c r="X103" i="10"/>
  <c r="T50" i="10"/>
  <c r="R54" i="10"/>
  <c r="O37" i="10"/>
  <c r="N35" i="1"/>
  <c r="S35" i="10"/>
  <c r="M107" i="10"/>
  <c r="P36" i="10"/>
  <c r="T37" i="10"/>
  <c r="M96" i="10"/>
  <c r="M55" i="10"/>
  <c r="M35" i="1"/>
  <c r="P56" i="10"/>
  <c r="S55" i="10"/>
  <c r="N34" i="1"/>
  <c r="N96" i="10"/>
  <c r="X102" i="10"/>
  <c r="V103" i="10"/>
  <c r="V49" i="10"/>
  <c r="U109" i="10"/>
  <c r="O35" i="1"/>
  <c r="Q107" i="10"/>
  <c r="N101" i="10"/>
  <c r="T107" i="10"/>
  <c r="N35" i="10"/>
  <c r="S54" i="10"/>
  <c r="U34" i="1"/>
  <c r="M56" i="10"/>
  <c r="U50" i="10"/>
  <c r="R37" i="10"/>
  <c r="N49" i="10"/>
  <c r="N37" i="10"/>
  <c r="O107" i="10"/>
  <c r="R56" i="10"/>
  <c r="R35" i="1"/>
  <c r="R48" i="10"/>
  <c r="N56" i="10"/>
  <c r="M88" i="10"/>
  <c r="W103" i="10"/>
  <c r="O56" i="10"/>
  <c r="Q101" i="10"/>
  <c r="V48" i="10"/>
  <c r="T34" i="1"/>
  <c r="N107" i="10"/>
  <c r="R35" i="10"/>
  <c r="M48" i="10"/>
  <c r="Q48" i="10"/>
  <c r="T90" i="10"/>
  <c r="X48" i="10"/>
  <c r="Q37" i="10"/>
  <c r="R101" i="10"/>
  <c r="P55" i="10"/>
  <c r="T49" i="10"/>
  <c r="M49" i="10"/>
  <c r="M34" i="1"/>
  <c r="S101" i="10"/>
  <c r="Q35" i="10"/>
  <c r="W34" i="1"/>
  <c r="V50" i="10"/>
  <c r="Q36" i="10"/>
  <c r="Q88" i="10"/>
  <c r="M102" i="10"/>
  <c r="R55" i="10"/>
  <c r="O54" i="10"/>
  <c r="U56" i="10"/>
  <c r="U108" i="10"/>
  <c r="O101" i="10"/>
  <c r="P54" i="10"/>
  <c r="M101" i="10"/>
  <c r="O55" i="10"/>
  <c r="S48" i="10"/>
  <c r="R34" i="1"/>
  <c r="P48" i="10"/>
  <c r="W48" i="10"/>
  <c r="P107" i="10"/>
  <c r="P88" i="10"/>
  <c r="N55" i="10"/>
  <c r="O96" i="10"/>
  <c r="U55" i="10"/>
  <c r="S35" i="1"/>
  <c r="S36" i="10"/>
  <c r="S34" i="1"/>
  <c r="U102" i="10"/>
  <c r="W50" i="10"/>
  <c r="Q35" i="1"/>
  <c r="U48" i="10"/>
  <c r="T55" i="10"/>
  <c r="P101" i="10"/>
  <c r="Q34" i="1"/>
  <c r="U35" i="1"/>
  <c r="U103" i="10"/>
  <c r="S56" i="10"/>
  <c r="R107" i="10"/>
  <c r="W49" i="10"/>
  <c r="U54" i="10"/>
  <c r="N54" i="10"/>
  <c r="X49" i="10"/>
  <c r="O36" i="10"/>
  <c r="V102" i="10"/>
  <c r="T36" i="10"/>
  <c r="S50" i="10"/>
  <c r="T56" i="10"/>
  <c r="AU22" i="10" l="1"/>
  <c r="AV22" i="10" s="1"/>
  <c r="AU75" i="10"/>
  <c r="AV75" i="10" s="1"/>
  <c r="L102" i="10"/>
  <c r="L109" i="10"/>
  <c r="L108" i="10"/>
  <c r="L107" i="10"/>
  <c r="L103" i="10"/>
  <c r="L101" i="10"/>
  <c r="L96" i="10"/>
  <c r="L89" i="10"/>
  <c r="L90" i="10"/>
  <c r="L88" i="10"/>
  <c r="K55" i="10"/>
  <c r="K56" i="10"/>
  <c r="K54" i="10"/>
  <c r="K49" i="10"/>
  <c r="K48" i="10"/>
  <c r="K37" i="10"/>
  <c r="K36" i="10"/>
  <c r="K35" i="10"/>
  <c r="B61" i="1"/>
  <c r="M36" i="1"/>
  <c r="M64" i="10"/>
  <c r="L64" i="10" s="1"/>
  <c r="M117" i="10"/>
  <c r="L117" i="10" s="1"/>
  <c r="O98" i="10"/>
  <c r="N98" i="10"/>
  <c r="M98" i="10"/>
  <c r="K41" i="1"/>
  <c r="K35" i="1"/>
  <c r="K34" i="1"/>
  <c r="K109" i="10"/>
  <c r="K90" i="10"/>
  <c r="K88" i="10"/>
  <c r="K102" i="10"/>
  <c r="K107" i="10"/>
  <c r="K108" i="10"/>
  <c r="K96" i="10"/>
  <c r="K98" i="10" s="1"/>
  <c r="K89" i="10"/>
  <c r="K103" i="10"/>
  <c r="K101" i="10"/>
  <c r="AU115" i="10"/>
  <c r="AV115" i="10" s="1"/>
  <c r="AU116" i="10"/>
  <c r="AV116" i="10" s="1"/>
  <c r="AN71" i="1"/>
  <c r="AO71" i="1" s="1"/>
  <c r="AN60" i="1"/>
  <c r="AO60" i="1" s="1"/>
  <c r="AN70" i="1"/>
  <c r="AO70" i="1" s="1"/>
  <c r="AN62" i="1"/>
  <c r="AO62" i="1" s="1"/>
  <c r="AN69" i="1"/>
  <c r="AO69" i="1" s="1"/>
  <c r="AN61" i="1"/>
  <c r="AO61" i="1" s="1"/>
  <c r="AN72" i="1"/>
  <c r="AO72" i="1" s="1"/>
  <c r="AN63" i="1"/>
  <c r="AO63" i="1" s="1"/>
  <c r="AN59" i="1"/>
  <c r="AO59" i="1" s="1"/>
  <c r="AN58" i="1"/>
  <c r="AO58" i="1" s="1"/>
  <c r="AN67" i="1"/>
  <c r="AO67" i="1" s="1"/>
  <c r="AN68" i="1"/>
  <c r="AO68" i="1" s="1"/>
  <c r="AN30" i="1"/>
  <c r="AO30" i="1" s="1"/>
  <c r="AN26" i="1"/>
  <c r="AO26" i="1" s="1"/>
  <c r="AN27" i="1"/>
  <c r="AO27" i="1" s="1"/>
  <c r="AN28" i="1"/>
  <c r="AO28" i="1" s="1"/>
  <c r="AN29" i="1"/>
  <c r="AO29" i="1" s="1"/>
  <c r="AC35" i="1"/>
  <c r="AC34" i="1"/>
  <c r="AN21" i="1"/>
  <c r="AO21" i="1" s="1"/>
  <c r="AN17" i="1"/>
  <c r="AO17" i="1" s="1"/>
  <c r="AN18" i="1"/>
  <c r="AO18" i="1" s="1"/>
  <c r="AN19" i="1"/>
  <c r="AO19" i="1" s="1"/>
  <c r="AN20" i="1"/>
  <c r="AO20" i="1" s="1"/>
  <c r="AJ56" i="10"/>
  <c r="AJ50" i="10"/>
  <c r="AJ37" i="10"/>
  <c r="N47" i="1"/>
  <c r="AN25" i="1"/>
  <c r="AO25" i="1" s="1"/>
  <c r="AN16" i="1"/>
  <c r="AO16" i="1" s="1"/>
  <c r="AU31" i="10"/>
  <c r="AV31" i="10" s="1"/>
  <c r="AU62" i="10"/>
  <c r="AV62" i="10" s="1"/>
  <c r="U45" i="10"/>
  <c r="N45" i="10"/>
  <c r="R45" i="10"/>
  <c r="Q45" i="10"/>
  <c r="O45" i="10"/>
  <c r="S45" i="10"/>
  <c r="P45" i="10"/>
  <c r="T45" i="10"/>
  <c r="AU44" i="10"/>
  <c r="AV44" i="10" s="1"/>
  <c r="AU43" i="10"/>
  <c r="AV43" i="10" s="1"/>
  <c r="AU97" i="10"/>
  <c r="AV97" i="10" s="1"/>
  <c r="R98" i="10"/>
  <c r="Q98" i="10"/>
  <c r="G96" i="10"/>
  <c r="G98" i="10" s="1"/>
  <c r="AT18" i="10"/>
  <c r="AU72" i="10"/>
  <c r="AV72" i="10" s="1"/>
  <c r="AU71" i="10"/>
  <c r="AV71" i="10" s="1"/>
  <c r="AU19" i="10"/>
  <c r="AV19" i="10" s="1"/>
  <c r="AU18" i="10"/>
  <c r="AV18" i="10" s="1"/>
  <c r="AU83" i="10"/>
  <c r="AV83" i="10" s="1"/>
  <c r="AU84" i="10"/>
  <c r="AV84" i="10" s="1"/>
  <c r="AT17" i="10"/>
  <c r="AT16" i="10"/>
  <c r="AJ102" i="10"/>
  <c r="M110" i="10"/>
  <c r="M104" i="10"/>
  <c r="M91" i="10"/>
  <c r="M57" i="10"/>
  <c r="M51" i="10"/>
  <c r="M38" i="10"/>
  <c r="AN94" i="1"/>
  <c r="AO94" i="1" s="1"/>
  <c r="AN92" i="1"/>
  <c r="AO92" i="1" s="1"/>
  <c r="AN93" i="1"/>
  <c r="AO93" i="1" s="1"/>
  <c r="AP73" i="10"/>
  <c r="AJ74" i="10"/>
  <c r="AP74" i="10"/>
  <c r="AL73" i="10"/>
  <c r="AN76" i="10"/>
  <c r="AL76" i="10"/>
  <c r="AJ76" i="10"/>
  <c r="AP76" i="10"/>
  <c r="AN74" i="10"/>
  <c r="AR76" i="10"/>
  <c r="AL74" i="10"/>
  <c r="AJ73" i="10"/>
  <c r="AN73" i="10"/>
  <c r="AT76" i="10"/>
  <c r="AT73" i="10"/>
  <c r="AJ16" i="10"/>
  <c r="AP23" i="10"/>
  <c r="AP20" i="10"/>
  <c r="AR16" i="10"/>
  <c r="AR23" i="10"/>
  <c r="AR20" i="10"/>
  <c r="AT20" i="10"/>
  <c r="AT23" i="10"/>
  <c r="AJ101" i="10"/>
  <c r="AR48" i="10"/>
  <c r="AE50" i="1"/>
  <c r="AC41" i="1"/>
  <c r="AK41" i="1"/>
  <c r="Q36" i="1"/>
  <c r="P36" i="1"/>
  <c r="N36" i="1"/>
  <c r="AC45" i="1"/>
  <c r="G45" i="1"/>
  <c r="G46" i="1"/>
  <c r="AC46" i="1"/>
  <c r="AK50" i="1"/>
  <c r="N42" i="1"/>
  <c r="AE41" i="1"/>
  <c r="V36" i="1"/>
  <c r="R36" i="1"/>
  <c r="U36" i="1"/>
  <c r="AI50" i="1"/>
  <c r="AJ29" i="10"/>
  <c r="AN28" i="10"/>
  <c r="AR29" i="10"/>
  <c r="AP28" i="10"/>
  <c r="AN27" i="10"/>
  <c r="AP21" i="10"/>
  <c r="AN29" i="10"/>
  <c r="AR27" i="10"/>
  <c r="AL20" i="10"/>
  <c r="AJ23" i="10"/>
  <c r="AL17" i="10"/>
  <c r="AJ21" i="10"/>
  <c r="AJ30" i="10"/>
  <c r="AL30" i="10"/>
  <c r="AN20" i="10"/>
  <c r="AL23" i="10"/>
  <c r="AR21" i="10"/>
  <c r="AG41" i="1"/>
  <c r="O42" i="1"/>
  <c r="O36" i="1"/>
  <c r="W36" i="1"/>
  <c r="AI41" i="1"/>
  <c r="AG50" i="1"/>
  <c r="S36" i="1"/>
  <c r="T36" i="1"/>
  <c r="AR28" i="10"/>
  <c r="AN30" i="10"/>
  <c r="AP30" i="10"/>
  <c r="AN17" i="10"/>
  <c r="AL21" i="10"/>
  <c r="AJ28" i="10"/>
  <c r="AR30" i="10"/>
  <c r="AL27" i="10"/>
  <c r="AP17" i="10"/>
  <c r="AJ20" i="10"/>
  <c r="AP27" i="10"/>
  <c r="AN23" i="10"/>
  <c r="AJ17" i="10"/>
  <c r="AL28" i="10"/>
  <c r="AP29" i="10"/>
  <c r="AJ27" i="10"/>
  <c r="AN21" i="10"/>
  <c r="AR17" i="10"/>
  <c r="AR55" i="10"/>
  <c r="P57" i="10"/>
  <c r="AL50" i="10"/>
  <c r="N51" i="10"/>
  <c r="AR36" i="10"/>
  <c r="R38" i="10"/>
  <c r="S110" i="10"/>
  <c r="U104" i="10"/>
  <c r="AN16" i="10"/>
  <c r="AR56" i="10"/>
  <c r="AL56" i="10"/>
  <c r="O57" i="10"/>
  <c r="AR49" i="10"/>
  <c r="G48" i="10"/>
  <c r="AP37" i="10"/>
  <c r="AN37" i="10"/>
  <c r="Q38" i="10"/>
  <c r="R110" i="10"/>
  <c r="S104" i="10"/>
  <c r="AL63" i="10"/>
  <c r="AL55" i="10"/>
  <c r="AJ55" i="10"/>
  <c r="AJ54" i="10"/>
  <c r="U57" i="10"/>
  <c r="AN50" i="10"/>
  <c r="G50" i="10"/>
  <c r="O51" i="10"/>
  <c r="AL36" i="10"/>
  <c r="AJ36" i="10"/>
  <c r="N38" i="10"/>
  <c r="O110" i="10"/>
  <c r="X104" i="10"/>
  <c r="R104" i="10"/>
  <c r="R57" i="10"/>
  <c r="AJ49" i="10"/>
  <c r="AP50" i="10"/>
  <c r="P51" i="10"/>
  <c r="AJ48" i="10"/>
  <c r="AP56" i="10"/>
  <c r="Q57" i="10"/>
  <c r="AL49" i="10"/>
  <c r="AL48" i="10"/>
  <c r="AR37" i="10"/>
  <c r="S38" i="10"/>
  <c r="U110" i="10"/>
  <c r="T110" i="10"/>
  <c r="N104" i="10"/>
  <c r="AL16" i="10"/>
  <c r="AP55" i="10"/>
  <c r="AN55" i="10"/>
  <c r="N57" i="10"/>
  <c r="AR50" i="10"/>
  <c r="G49" i="10"/>
  <c r="Q51" i="10"/>
  <c r="AP36" i="10"/>
  <c r="AN36" i="10"/>
  <c r="P38" i="10"/>
  <c r="Q110" i="10"/>
  <c r="T104" i="10"/>
  <c r="AN56" i="10"/>
  <c r="T57" i="10"/>
  <c r="AN49" i="10"/>
  <c r="AN48" i="10"/>
  <c r="AL37" i="10"/>
  <c r="O38" i="10"/>
  <c r="P110" i="10"/>
  <c r="Q104" i="10"/>
  <c r="AP16" i="10"/>
  <c r="S57" i="10"/>
  <c r="AP49" i="10"/>
  <c r="AP48" i="10"/>
  <c r="X51" i="10"/>
  <c r="V104" i="10"/>
  <c r="P104" i="10"/>
  <c r="T98" i="10"/>
  <c r="S91" i="10"/>
  <c r="R91" i="10"/>
  <c r="AJ35" i="10"/>
  <c r="T38" i="10"/>
  <c r="N110" i="10"/>
  <c r="W104" i="10"/>
  <c r="O104" i="10"/>
  <c r="N91" i="10"/>
  <c r="T91" i="10"/>
  <c r="Q91" i="10"/>
  <c r="P91" i="10"/>
  <c r="O91" i="10"/>
  <c r="AT56" i="10"/>
  <c r="AT50" i="10"/>
  <c r="AT36" i="10"/>
  <c r="AT28" i="10"/>
  <c r="AT37" i="10"/>
  <c r="AT29" i="10"/>
  <c r="AT27" i="10"/>
  <c r="AT30" i="10"/>
  <c r="AT55" i="10"/>
  <c r="AU63" i="10"/>
  <c r="AV63" i="10" s="1"/>
  <c r="AU82" i="10"/>
  <c r="AU89" i="10"/>
  <c r="AV89" i="10" s="1"/>
  <c r="AU81" i="10"/>
  <c r="AV81" i="10" s="1"/>
  <c r="AU108" i="10"/>
  <c r="AV108" i="10" s="1"/>
  <c r="AU55" i="10"/>
  <c r="AV55" i="10" s="1"/>
  <c r="AU36" i="10"/>
  <c r="AV36" i="10" s="1"/>
  <c r="AU28" i="10"/>
  <c r="AV28" i="10" s="1"/>
  <c r="AU30" i="10"/>
  <c r="AV30" i="10" s="1"/>
  <c r="AU80" i="10"/>
  <c r="AU48" i="10"/>
  <c r="AV48" i="10" s="1"/>
  <c r="AU90" i="10"/>
  <c r="AV90" i="10" s="1"/>
  <c r="AU88" i="10"/>
  <c r="AV88" i="10" s="1"/>
  <c r="AU49" i="10"/>
  <c r="AV49" i="10" s="1"/>
  <c r="AU54" i="10"/>
  <c r="AV54" i="10" s="1"/>
  <c r="AU102" i="10"/>
  <c r="AV102" i="10" s="1"/>
  <c r="AU107" i="10"/>
  <c r="AV107" i="10" s="1"/>
  <c r="AU96" i="10"/>
  <c r="AV96" i="10" s="1"/>
  <c r="AU101" i="10"/>
  <c r="AV101" i="10" s="1"/>
  <c r="AU103" i="10"/>
  <c r="AV103" i="10" s="1"/>
  <c r="AU109" i="10"/>
  <c r="AV109" i="10" s="1"/>
  <c r="AU35" i="10"/>
  <c r="AV35" i="10" s="1"/>
  <c r="AU27" i="10"/>
  <c r="AV27" i="10" s="1"/>
  <c r="AU37" i="10"/>
  <c r="AV37" i="10" s="1"/>
  <c r="AU56" i="10"/>
  <c r="AV56" i="10" s="1"/>
  <c r="AU29" i="10"/>
  <c r="AV29" i="10" s="1"/>
  <c r="AU50" i="10"/>
  <c r="AV50" i="10" s="1"/>
  <c r="AU73" i="10"/>
  <c r="AV73" i="10" s="1"/>
  <c r="AU70" i="10"/>
  <c r="AV70" i="10" s="1"/>
  <c r="AU74" i="10"/>
  <c r="AV74" i="10" s="1"/>
  <c r="AU76" i="10"/>
  <c r="AV76" i="10" s="1"/>
  <c r="AU69" i="10"/>
  <c r="AV69" i="10" s="1"/>
  <c r="AU20" i="10"/>
  <c r="AV20" i="10" s="1"/>
  <c r="AU17" i="10"/>
  <c r="AV17" i="10" s="1"/>
  <c r="AU23" i="10"/>
  <c r="AV23" i="10" s="1"/>
  <c r="AU21" i="10"/>
  <c r="AV21" i="10" s="1"/>
  <c r="AU16" i="10"/>
  <c r="AV16" i="10" s="1"/>
  <c r="AM45" i="1"/>
  <c r="AM41" i="1"/>
  <c r="AM46" i="1"/>
  <c r="AM50" i="1"/>
  <c r="AN76" i="1"/>
  <c r="AO76" i="1" s="1"/>
  <c r="AN77" i="1"/>
  <c r="AO77" i="1" s="1"/>
  <c r="AN83" i="1"/>
  <c r="AO83" i="1" s="1"/>
  <c r="AN87" i="1"/>
  <c r="AO87" i="1" s="1"/>
  <c r="AN88" i="1"/>
  <c r="AO88" i="1" s="1"/>
  <c r="AW11" i="10"/>
  <c r="AM52" i="1"/>
  <c r="AP12" i="1"/>
  <c r="AN50" i="1"/>
  <c r="AN41" i="1"/>
  <c r="AN45" i="1"/>
  <c r="AN52" i="1"/>
  <c r="AN46" i="1"/>
  <c r="AN34" i="1"/>
  <c r="AN35" i="1"/>
  <c r="AW75" i="10" l="1"/>
  <c r="AX75" i="10" s="1"/>
  <c r="AW22" i="10"/>
  <c r="AX22" i="10" s="1"/>
  <c r="K110" i="10"/>
  <c r="K104" i="10"/>
  <c r="K91" i="10"/>
  <c r="L110" i="10"/>
  <c r="L104" i="10"/>
  <c r="L98" i="10"/>
  <c r="L91" i="10"/>
  <c r="L57" i="10"/>
  <c r="L45" i="10"/>
  <c r="L38" i="10"/>
  <c r="K57" i="10"/>
  <c r="K38" i="10"/>
  <c r="B62" i="1"/>
  <c r="K42" i="1"/>
  <c r="G28" i="4"/>
  <c r="G29" i="4"/>
  <c r="AW115" i="10"/>
  <c r="AX115" i="10" s="1"/>
  <c r="AW116" i="10"/>
  <c r="AX116" i="10" s="1"/>
  <c r="AP61" i="1"/>
  <c r="AQ61" i="1" s="1"/>
  <c r="AP71" i="1"/>
  <c r="AQ71" i="1" s="1"/>
  <c r="AP62" i="1"/>
  <c r="AQ62" i="1" s="1"/>
  <c r="AP69" i="1"/>
  <c r="AQ69" i="1" s="1"/>
  <c r="AP70" i="1"/>
  <c r="AQ70" i="1" s="1"/>
  <c r="AP60" i="1"/>
  <c r="AQ60" i="1" s="1"/>
  <c r="AP63" i="1"/>
  <c r="AQ63" i="1" s="1"/>
  <c r="AP72" i="1"/>
  <c r="AQ72" i="1" s="1"/>
  <c r="AP59" i="1"/>
  <c r="AQ59" i="1" s="1"/>
  <c r="AP58" i="1"/>
  <c r="AQ58" i="1" s="1"/>
  <c r="AP67" i="1"/>
  <c r="AQ67" i="1" s="1"/>
  <c r="AP68" i="1"/>
  <c r="AQ68" i="1" s="1"/>
  <c r="AP30" i="1"/>
  <c r="AQ30" i="1" s="1"/>
  <c r="AP26" i="1"/>
  <c r="AQ26" i="1" s="1"/>
  <c r="AP27" i="1"/>
  <c r="AQ27" i="1" s="1"/>
  <c r="AP28" i="1"/>
  <c r="AQ28" i="1" s="1"/>
  <c r="AP29" i="1"/>
  <c r="AQ29" i="1" s="1"/>
  <c r="AP21" i="1"/>
  <c r="AQ21" i="1" s="1"/>
  <c r="AP17" i="1"/>
  <c r="AQ17" i="1" s="1"/>
  <c r="AP18" i="1"/>
  <c r="AQ18" i="1" s="1"/>
  <c r="AP19" i="1"/>
  <c r="AQ19" i="1" s="1"/>
  <c r="AP20" i="1"/>
  <c r="AQ20" i="1" s="1"/>
  <c r="L47" i="1"/>
  <c r="K47" i="1"/>
  <c r="L42" i="1"/>
  <c r="AP25" i="1"/>
  <c r="AQ25" i="1" s="1"/>
  <c r="AP16" i="1"/>
  <c r="AQ16" i="1" s="1"/>
  <c r="AW31" i="10"/>
  <c r="AX31" i="10" s="1"/>
  <c r="AW62" i="10"/>
  <c r="AX62" i="10" s="1"/>
  <c r="AW43" i="10"/>
  <c r="AX43" i="10" s="1"/>
  <c r="AW97" i="10"/>
  <c r="AX97" i="10" s="1"/>
  <c r="AW44" i="10"/>
  <c r="AX44" i="10" s="1"/>
  <c r="AW72" i="10"/>
  <c r="AX72" i="10" s="1"/>
  <c r="AW71" i="10"/>
  <c r="AX71" i="10" s="1"/>
  <c r="AW19" i="10"/>
  <c r="AX19" i="10" s="1"/>
  <c r="AW18" i="10"/>
  <c r="AX18" i="10" s="1"/>
  <c r="AW83" i="10"/>
  <c r="AX83" i="10" s="1"/>
  <c r="AW84" i="10"/>
  <c r="AX84" i="10" s="1"/>
  <c r="G108" i="10"/>
  <c r="G101" i="10"/>
  <c r="G103" i="10"/>
  <c r="G102" i="10"/>
  <c r="G89" i="10"/>
  <c r="G90" i="10"/>
  <c r="G116" i="10"/>
  <c r="G109" i="10"/>
  <c r="G107" i="10"/>
  <c r="L36" i="1"/>
  <c r="I30" i="4" s="1"/>
  <c r="AP94" i="1"/>
  <c r="AQ94" i="1" s="1"/>
  <c r="AP92" i="1"/>
  <c r="AQ92" i="1" s="1"/>
  <c r="AP93" i="1"/>
  <c r="AQ93" i="1" s="1"/>
  <c r="G47" i="1"/>
  <c r="G51" i="10"/>
  <c r="G88" i="10"/>
  <c r="AW63" i="10"/>
  <c r="AX63" i="10" s="1"/>
  <c r="AW81" i="10"/>
  <c r="AX81" i="10" s="1"/>
  <c r="AW28" i="10"/>
  <c r="AX28" i="10" s="1"/>
  <c r="AW30" i="10"/>
  <c r="AX30" i="10" s="1"/>
  <c r="AW108" i="10"/>
  <c r="AX108" i="10" s="1"/>
  <c r="AW82" i="10"/>
  <c r="AW89" i="10"/>
  <c r="AX89" i="10" s="1"/>
  <c r="AW55" i="10"/>
  <c r="AX55" i="10" s="1"/>
  <c r="AW36" i="10"/>
  <c r="AX36" i="10" s="1"/>
  <c r="AW80" i="10"/>
  <c r="AW48" i="10"/>
  <c r="AX48" i="10" s="1"/>
  <c r="AW107" i="10"/>
  <c r="AX107" i="10" s="1"/>
  <c r="AW101" i="10"/>
  <c r="AX101" i="10" s="1"/>
  <c r="AW35" i="10"/>
  <c r="AX35" i="10" s="1"/>
  <c r="AW90" i="10"/>
  <c r="AX90" i="10" s="1"/>
  <c r="AW102" i="10"/>
  <c r="AX102" i="10" s="1"/>
  <c r="AW88" i="10"/>
  <c r="AX88" i="10" s="1"/>
  <c r="AW96" i="10"/>
  <c r="AX96" i="10" s="1"/>
  <c r="AW103" i="10"/>
  <c r="AX103" i="10" s="1"/>
  <c r="AW109" i="10"/>
  <c r="AX109" i="10" s="1"/>
  <c r="AW49" i="10"/>
  <c r="AX49" i="10" s="1"/>
  <c r="AW54" i="10"/>
  <c r="AX54" i="10" s="1"/>
  <c r="AW37" i="10"/>
  <c r="AX37" i="10" s="1"/>
  <c r="AW56" i="10"/>
  <c r="AX56" i="10" s="1"/>
  <c r="AW29" i="10"/>
  <c r="AX29" i="10" s="1"/>
  <c r="AW50" i="10"/>
  <c r="AX50" i="10" s="1"/>
  <c r="AW27" i="10"/>
  <c r="AX27" i="10" s="1"/>
  <c r="AW70" i="10"/>
  <c r="AX70" i="10" s="1"/>
  <c r="AW73" i="10"/>
  <c r="AX73" i="10" s="1"/>
  <c r="AW74" i="10"/>
  <c r="AX74" i="10" s="1"/>
  <c r="AW76" i="10"/>
  <c r="AX76" i="10" s="1"/>
  <c r="AW69" i="10"/>
  <c r="AX69" i="10" s="1"/>
  <c r="AW20" i="10"/>
  <c r="AX20" i="10" s="1"/>
  <c r="AW17" i="10"/>
  <c r="AX17" i="10" s="1"/>
  <c r="AW23" i="10"/>
  <c r="AX23" i="10" s="1"/>
  <c r="AW21" i="10"/>
  <c r="AX21" i="10" s="1"/>
  <c r="AW16" i="10"/>
  <c r="AX16" i="10" s="1"/>
  <c r="AO46" i="1"/>
  <c r="AO41" i="1"/>
  <c r="AO45" i="1"/>
  <c r="AO50" i="1"/>
  <c r="AP76" i="1"/>
  <c r="AQ76" i="1" s="1"/>
  <c r="AP77" i="1"/>
  <c r="AQ77" i="1" s="1"/>
  <c r="AP83" i="1"/>
  <c r="AQ83" i="1" s="1"/>
  <c r="AP87" i="1"/>
  <c r="AQ87" i="1" s="1"/>
  <c r="AP88" i="1"/>
  <c r="AQ88" i="1" s="1"/>
  <c r="AY11" i="10"/>
  <c r="AO52" i="1"/>
  <c r="AR12" i="1"/>
  <c r="AP50" i="1"/>
  <c r="AP41" i="1"/>
  <c r="AP52" i="1"/>
  <c r="AP45" i="1"/>
  <c r="AP46" i="1"/>
  <c r="AP34" i="1"/>
  <c r="AP35" i="1"/>
  <c r="AY75" i="10" l="1"/>
  <c r="AZ75" i="10" s="1"/>
  <c r="AY22" i="10"/>
  <c r="AZ22" i="10" s="1"/>
  <c r="G104" i="10"/>
  <c r="G91" i="10"/>
  <c r="AY115" i="10"/>
  <c r="AZ115" i="10" s="1"/>
  <c r="AY116" i="10"/>
  <c r="AZ116" i="10" s="1"/>
  <c r="AR62" i="1"/>
  <c r="AS62" i="1" s="1"/>
  <c r="AR69" i="1"/>
  <c r="AS69" i="1" s="1"/>
  <c r="AR70" i="1"/>
  <c r="AS70" i="1" s="1"/>
  <c r="AR71" i="1"/>
  <c r="AS71" i="1" s="1"/>
  <c r="AR60" i="1"/>
  <c r="AS60" i="1" s="1"/>
  <c r="AR61" i="1"/>
  <c r="AS61" i="1" s="1"/>
  <c r="AR63" i="1"/>
  <c r="AS63" i="1" s="1"/>
  <c r="AR72" i="1"/>
  <c r="AS72" i="1" s="1"/>
  <c r="AR58" i="1"/>
  <c r="AS58" i="1" s="1"/>
  <c r="AR59" i="1"/>
  <c r="AS59" i="1" s="1"/>
  <c r="AR67" i="1"/>
  <c r="AS67" i="1" s="1"/>
  <c r="AR68" i="1"/>
  <c r="AS68" i="1" s="1"/>
  <c r="AR30" i="1"/>
  <c r="AS30" i="1" s="1"/>
  <c r="AR26" i="1"/>
  <c r="AS26" i="1" s="1"/>
  <c r="AR27" i="1"/>
  <c r="AS27" i="1" s="1"/>
  <c r="AR28" i="1"/>
  <c r="AS28" i="1" s="1"/>
  <c r="AR29" i="1"/>
  <c r="AS29" i="1" s="1"/>
  <c r="AR21" i="1"/>
  <c r="AS21" i="1" s="1"/>
  <c r="AR17" i="1"/>
  <c r="AS17" i="1" s="1"/>
  <c r="AR18" i="1"/>
  <c r="AS18" i="1" s="1"/>
  <c r="AR19" i="1"/>
  <c r="AS19" i="1" s="1"/>
  <c r="AR20" i="1"/>
  <c r="AS20" i="1" s="1"/>
  <c r="AR25" i="1"/>
  <c r="AS25" i="1" s="1"/>
  <c r="AR16" i="1"/>
  <c r="AS16" i="1" s="1"/>
  <c r="AY31" i="10"/>
  <c r="AZ31" i="10" s="1"/>
  <c r="AY62" i="10"/>
  <c r="AZ62" i="10" s="1"/>
  <c r="AY97" i="10"/>
  <c r="AZ97" i="10" s="1"/>
  <c r="AY44" i="10"/>
  <c r="AZ44" i="10" s="1"/>
  <c r="AY43" i="10"/>
  <c r="AZ43" i="10" s="1"/>
  <c r="AY72" i="10"/>
  <c r="AZ72" i="10" s="1"/>
  <c r="AY71" i="10"/>
  <c r="AZ71" i="10" s="1"/>
  <c r="AY19" i="10"/>
  <c r="AZ19" i="10" s="1"/>
  <c r="AY18" i="10"/>
  <c r="AZ18" i="10" s="1"/>
  <c r="G117" i="10"/>
  <c r="AY84" i="10"/>
  <c r="AZ84" i="10" s="1"/>
  <c r="AY83" i="10"/>
  <c r="AZ83" i="10" s="1"/>
  <c r="G110" i="10"/>
  <c r="AR94" i="1"/>
  <c r="AS94" i="1" s="1"/>
  <c r="AR92" i="1"/>
  <c r="AS92" i="1" s="1"/>
  <c r="AR93" i="1"/>
  <c r="AS93" i="1" s="1"/>
  <c r="I21" i="4"/>
  <c r="I22" i="4"/>
  <c r="AY63" i="10"/>
  <c r="AZ63" i="10" s="1"/>
  <c r="AY108" i="10"/>
  <c r="AZ108" i="10" s="1"/>
  <c r="AY82" i="10"/>
  <c r="AZ82" i="10" s="1"/>
  <c r="AY89" i="10"/>
  <c r="AZ89" i="10" s="1"/>
  <c r="AY55" i="10"/>
  <c r="AZ55" i="10" s="1"/>
  <c r="AY36" i="10"/>
  <c r="AZ36" i="10" s="1"/>
  <c r="AY81" i="10"/>
  <c r="AZ81" i="10" s="1"/>
  <c r="AY28" i="10"/>
  <c r="AZ28" i="10" s="1"/>
  <c r="AY30" i="10"/>
  <c r="AZ30" i="10" s="1"/>
  <c r="AY80" i="10"/>
  <c r="AZ80" i="10" s="1"/>
  <c r="AY48" i="10"/>
  <c r="AZ48" i="10" s="1"/>
  <c r="AY90" i="10"/>
  <c r="AZ90" i="10" s="1"/>
  <c r="AY102" i="10"/>
  <c r="AZ102" i="10" s="1"/>
  <c r="AY88" i="10"/>
  <c r="AZ88" i="10" s="1"/>
  <c r="AY96" i="10"/>
  <c r="AZ96" i="10" s="1"/>
  <c r="AY101" i="10"/>
  <c r="AZ101" i="10" s="1"/>
  <c r="AY103" i="10"/>
  <c r="AZ103" i="10" s="1"/>
  <c r="AY109" i="10"/>
  <c r="AZ109" i="10" s="1"/>
  <c r="AY54" i="10"/>
  <c r="AZ54" i="10" s="1"/>
  <c r="AY107" i="10"/>
  <c r="AZ107" i="10" s="1"/>
  <c r="AY49" i="10"/>
  <c r="AZ49" i="10" s="1"/>
  <c r="AY35" i="10"/>
  <c r="AZ35" i="10" s="1"/>
  <c r="AY29" i="10"/>
  <c r="AZ29" i="10" s="1"/>
  <c r="AY50" i="10"/>
  <c r="AZ50" i="10" s="1"/>
  <c r="AY27" i="10"/>
  <c r="AZ27" i="10" s="1"/>
  <c r="AY37" i="10"/>
  <c r="AZ37" i="10" s="1"/>
  <c r="AY56" i="10"/>
  <c r="AZ56" i="10" s="1"/>
  <c r="AY70" i="10"/>
  <c r="AZ70" i="10" s="1"/>
  <c r="AY73" i="10"/>
  <c r="AZ73" i="10" s="1"/>
  <c r="AY74" i="10"/>
  <c r="AZ74" i="10" s="1"/>
  <c r="AY76" i="10"/>
  <c r="AZ76" i="10" s="1"/>
  <c r="AY69" i="10"/>
  <c r="AZ69" i="10" s="1"/>
  <c r="AY20" i="10"/>
  <c r="AZ20" i="10" s="1"/>
  <c r="AY17" i="10"/>
  <c r="AZ17" i="10" s="1"/>
  <c r="AY23" i="10"/>
  <c r="AZ23" i="10" s="1"/>
  <c r="AY21" i="10"/>
  <c r="AZ21" i="10" s="1"/>
  <c r="AY16" i="10"/>
  <c r="AZ16" i="10" s="1"/>
  <c r="AQ45" i="1"/>
  <c r="AQ46" i="1"/>
  <c r="AQ41" i="1"/>
  <c r="AQ50" i="1"/>
  <c r="AR76" i="1"/>
  <c r="AS76" i="1" s="1"/>
  <c r="AR77" i="1"/>
  <c r="AS77" i="1" s="1"/>
  <c r="AR83" i="1"/>
  <c r="AS83" i="1" s="1"/>
  <c r="AR87" i="1"/>
  <c r="AS87" i="1" s="1"/>
  <c r="AR88" i="1"/>
  <c r="AS88" i="1" s="1"/>
  <c r="BA11" i="10"/>
  <c r="AQ52" i="1"/>
  <c r="AT12" i="1"/>
  <c r="AR50" i="1"/>
  <c r="AR52" i="1"/>
  <c r="AR41" i="1"/>
  <c r="AR45" i="1"/>
  <c r="AR46" i="1"/>
  <c r="AR34" i="1"/>
  <c r="AR35" i="1"/>
  <c r="S51" i="10"/>
  <c r="T51" i="10"/>
  <c r="U51" i="10"/>
  <c r="V51" i="10"/>
  <c r="W51" i="10"/>
  <c r="R51" i="10"/>
  <c r="J50" i="10"/>
  <c r="H50" i="10"/>
  <c r="K50" i="10" s="1"/>
  <c r="K51" i="10" s="1"/>
  <c r="J48" i="10"/>
  <c r="G29" i="10"/>
  <c r="D12" i="10"/>
  <c r="M7" i="10"/>
  <c r="M8" i="10"/>
  <c r="M6" i="10"/>
  <c r="J27" i="10"/>
  <c r="G27" i="10"/>
  <c r="M7" i="1"/>
  <c r="M8" i="1"/>
  <c r="M6" i="1"/>
  <c r="BA75" i="10" l="1"/>
  <c r="BB75" i="10" s="1"/>
  <c r="BA22" i="10"/>
  <c r="BB22" i="10" s="1"/>
  <c r="L51" i="10"/>
  <c r="G22" i="4"/>
  <c r="BA116" i="10"/>
  <c r="BB116" i="10" s="1"/>
  <c r="BA115" i="10"/>
  <c r="BB115" i="10" s="1"/>
  <c r="AT71" i="1"/>
  <c r="AU71" i="1" s="1"/>
  <c r="AT60" i="1"/>
  <c r="AU60" i="1" s="1"/>
  <c r="AT62" i="1"/>
  <c r="AU62" i="1" s="1"/>
  <c r="AT69" i="1"/>
  <c r="AU69" i="1" s="1"/>
  <c r="AT70" i="1"/>
  <c r="AU70" i="1" s="1"/>
  <c r="AT61" i="1"/>
  <c r="AU61" i="1" s="1"/>
  <c r="AT63" i="1"/>
  <c r="AU63" i="1" s="1"/>
  <c r="AT72" i="1"/>
  <c r="AU72" i="1" s="1"/>
  <c r="AT58" i="1"/>
  <c r="AU58" i="1" s="1"/>
  <c r="AT59" i="1"/>
  <c r="AU59" i="1" s="1"/>
  <c r="AT67" i="1"/>
  <c r="AU67" i="1" s="1"/>
  <c r="AT68" i="1"/>
  <c r="AU68" i="1" s="1"/>
  <c r="AT30" i="1"/>
  <c r="AU30" i="1" s="1"/>
  <c r="AT26" i="1"/>
  <c r="AU26" i="1" s="1"/>
  <c r="AT27" i="1"/>
  <c r="AU27" i="1" s="1"/>
  <c r="AT28" i="1"/>
  <c r="AU28" i="1" s="1"/>
  <c r="AT29" i="1"/>
  <c r="AU29" i="1" s="1"/>
  <c r="AT21" i="1"/>
  <c r="AU21" i="1" s="1"/>
  <c r="AT17" i="1"/>
  <c r="AU17" i="1" s="1"/>
  <c r="AT18" i="1"/>
  <c r="AU18" i="1" s="1"/>
  <c r="AT19" i="1"/>
  <c r="AU19" i="1" s="1"/>
  <c r="AT20" i="1"/>
  <c r="AU20" i="1" s="1"/>
  <c r="G32" i="10"/>
  <c r="AT25" i="1"/>
  <c r="AU25" i="1" s="1"/>
  <c r="AT16" i="1"/>
  <c r="AU16" i="1" s="1"/>
  <c r="BA31" i="10"/>
  <c r="BB31" i="10" s="1"/>
  <c r="BA62" i="10"/>
  <c r="BB62" i="10" s="1"/>
  <c r="BA97" i="10"/>
  <c r="BB97" i="10" s="1"/>
  <c r="BA44" i="10"/>
  <c r="BB44" i="10" s="1"/>
  <c r="BA43" i="10"/>
  <c r="BB43" i="10" s="1"/>
  <c r="BA72" i="10"/>
  <c r="BB72" i="10" s="1"/>
  <c r="BA71" i="10"/>
  <c r="BB71" i="10" s="1"/>
  <c r="BA19" i="10"/>
  <c r="BB19" i="10" s="1"/>
  <c r="BA18" i="10"/>
  <c r="BB18" i="10" s="1"/>
  <c r="BA83" i="10"/>
  <c r="BB83" i="10" s="1"/>
  <c r="BA84" i="10"/>
  <c r="BB84" i="10" s="1"/>
  <c r="AT94" i="1"/>
  <c r="AU94" i="1" s="1"/>
  <c r="AT92" i="1"/>
  <c r="AU92" i="1" s="1"/>
  <c r="AT93" i="1"/>
  <c r="AU93" i="1" s="1"/>
  <c r="G21" i="4"/>
  <c r="BA63" i="10"/>
  <c r="BB63" i="10" s="1"/>
  <c r="BA81" i="10"/>
  <c r="BB81" i="10" s="1"/>
  <c r="BA36" i="10"/>
  <c r="BB36" i="10" s="1"/>
  <c r="BA28" i="10"/>
  <c r="BB28" i="10" s="1"/>
  <c r="BA30" i="10"/>
  <c r="BB30" i="10" s="1"/>
  <c r="BA108" i="10"/>
  <c r="BB108" i="10" s="1"/>
  <c r="BA82" i="10"/>
  <c r="BB82" i="10" s="1"/>
  <c r="BA89" i="10"/>
  <c r="BB89" i="10" s="1"/>
  <c r="BA55" i="10"/>
  <c r="BB55" i="10" s="1"/>
  <c r="BA80" i="10"/>
  <c r="BB80" i="10" s="1"/>
  <c r="BA48" i="10"/>
  <c r="BB48" i="10" s="1"/>
  <c r="BA102" i="10"/>
  <c r="BB102" i="10" s="1"/>
  <c r="BA107" i="10"/>
  <c r="BB107" i="10" s="1"/>
  <c r="BA96" i="10"/>
  <c r="BB96" i="10" s="1"/>
  <c r="BA103" i="10"/>
  <c r="BB103" i="10" s="1"/>
  <c r="BA49" i="10"/>
  <c r="BB49" i="10" s="1"/>
  <c r="BA35" i="10"/>
  <c r="BB35" i="10" s="1"/>
  <c r="BA90" i="10"/>
  <c r="BB90" i="10" s="1"/>
  <c r="BA88" i="10"/>
  <c r="BB88" i="10" s="1"/>
  <c r="BA101" i="10"/>
  <c r="BB101" i="10" s="1"/>
  <c r="BA109" i="10"/>
  <c r="BB109" i="10" s="1"/>
  <c r="BA54" i="10"/>
  <c r="BB54" i="10" s="1"/>
  <c r="BA50" i="10"/>
  <c r="BB50" i="10" s="1"/>
  <c r="BA27" i="10"/>
  <c r="BB27" i="10" s="1"/>
  <c r="BA37" i="10"/>
  <c r="BB37" i="10" s="1"/>
  <c r="BA56" i="10"/>
  <c r="BB56" i="10" s="1"/>
  <c r="BA29" i="10"/>
  <c r="BB29" i="10" s="1"/>
  <c r="BA70" i="10"/>
  <c r="BB70" i="10" s="1"/>
  <c r="BA73" i="10"/>
  <c r="BB73" i="10" s="1"/>
  <c r="BA74" i="10"/>
  <c r="BB74" i="10" s="1"/>
  <c r="BA76" i="10"/>
  <c r="BB76" i="10" s="1"/>
  <c r="BA69" i="10"/>
  <c r="BB69" i="10" s="1"/>
  <c r="BA17" i="10"/>
  <c r="BB17" i="10" s="1"/>
  <c r="BA20" i="10"/>
  <c r="BB20" i="10" s="1"/>
  <c r="BA21" i="10"/>
  <c r="BB21" i="10" s="1"/>
  <c r="BA23" i="10"/>
  <c r="BB23" i="10" s="1"/>
  <c r="BA16" i="10"/>
  <c r="BB16" i="10" s="1"/>
  <c r="AS46" i="1"/>
  <c r="AS45" i="1"/>
  <c r="AS41" i="1"/>
  <c r="AS50" i="1"/>
  <c r="AT76" i="1"/>
  <c r="AU76" i="1" s="1"/>
  <c r="AT77" i="1"/>
  <c r="AU77" i="1" s="1"/>
  <c r="AT83" i="1"/>
  <c r="AU83" i="1" s="1"/>
  <c r="AT87" i="1"/>
  <c r="AU87" i="1" s="1"/>
  <c r="AT88" i="1"/>
  <c r="AU88" i="1" s="1"/>
  <c r="BC11" i="10"/>
  <c r="AS52" i="1"/>
  <c r="K36" i="1"/>
  <c r="G30" i="4" s="1"/>
  <c r="G32" i="4" s="1"/>
  <c r="AV12" i="1"/>
  <c r="AT50" i="1"/>
  <c r="AT52" i="1"/>
  <c r="AT41" i="1"/>
  <c r="AT45" i="1"/>
  <c r="AT46" i="1"/>
  <c r="AT34" i="1"/>
  <c r="AT35" i="1"/>
  <c r="AS35" i="1"/>
  <c r="AO35" i="1"/>
  <c r="AK35" i="1"/>
  <c r="AG35" i="1"/>
  <c r="AO34" i="1"/>
  <c r="AM34" i="1"/>
  <c r="AG34" i="1"/>
  <c r="BC22" i="10" l="1"/>
  <c r="BD22" i="10" s="1"/>
  <c r="BC75" i="10"/>
  <c r="BD75" i="10" s="1"/>
  <c r="BC115" i="10"/>
  <c r="BD115" i="10" s="1"/>
  <c r="BC116" i="10"/>
  <c r="BD116" i="10" s="1"/>
  <c r="AV71" i="1"/>
  <c r="AW71" i="1" s="1"/>
  <c r="AV70" i="1"/>
  <c r="AW70" i="1" s="1"/>
  <c r="AV62" i="1"/>
  <c r="AW62" i="1" s="1"/>
  <c r="AV69" i="1"/>
  <c r="AW69" i="1" s="1"/>
  <c r="AV60" i="1"/>
  <c r="AW60" i="1" s="1"/>
  <c r="AV61" i="1"/>
  <c r="AW61" i="1" s="1"/>
  <c r="AV63" i="1"/>
  <c r="AW63" i="1" s="1"/>
  <c r="AV72" i="1"/>
  <c r="AW72" i="1" s="1"/>
  <c r="AV58" i="1"/>
  <c r="AW58" i="1" s="1"/>
  <c r="AV59" i="1"/>
  <c r="AW59" i="1" s="1"/>
  <c r="AV67" i="1"/>
  <c r="AW67" i="1" s="1"/>
  <c r="AV68" i="1"/>
  <c r="AW68" i="1" s="1"/>
  <c r="AV30" i="1"/>
  <c r="AW30" i="1" s="1"/>
  <c r="AV26" i="1"/>
  <c r="AW26" i="1" s="1"/>
  <c r="AV27" i="1"/>
  <c r="AW27" i="1" s="1"/>
  <c r="AV28" i="1"/>
  <c r="AW28" i="1" s="1"/>
  <c r="AV29" i="1"/>
  <c r="AW29" i="1" s="1"/>
  <c r="AV21" i="1"/>
  <c r="AW21" i="1" s="1"/>
  <c r="AV17" i="1"/>
  <c r="AW17" i="1" s="1"/>
  <c r="AV18" i="1"/>
  <c r="AW18" i="1" s="1"/>
  <c r="AV19" i="1"/>
  <c r="AW19" i="1" s="1"/>
  <c r="AV20" i="1"/>
  <c r="AW20" i="1" s="1"/>
  <c r="AV25" i="1"/>
  <c r="AW25" i="1" s="1"/>
  <c r="AV16" i="1"/>
  <c r="AW16" i="1" s="1"/>
  <c r="BC31" i="10"/>
  <c r="BD31" i="10" s="1"/>
  <c r="BC62" i="10"/>
  <c r="BD62" i="10" s="1"/>
  <c r="BC97" i="10"/>
  <c r="BD97" i="10" s="1"/>
  <c r="BC43" i="10"/>
  <c r="BD43" i="10" s="1"/>
  <c r="BC44" i="10"/>
  <c r="BD44" i="10" s="1"/>
  <c r="BC72" i="10"/>
  <c r="BD72" i="10" s="1"/>
  <c r="BC71" i="10"/>
  <c r="BD71" i="10" s="1"/>
  <c r="BC19" i="10"/>
  <c r="BD19" i="10" s="1"/>
  <c r="BC18" i="10"/>
  <c r="BD18" i="10" s="1"/>
  <c r="BC83" i="10"/>
  <c r="BD83" i="10" s="1"/>
  <c r="BC84" i="10"/>
  <c r="BD84" i="10" s="1"/>
  <c r="AV94" i="1"/>
  <c r="AW94" i="1" s="1"/>
  <c r="AV92" i="1"/>
  <c r="AW92" i="1" s="1"/>
  <c r="AV93" i="1"/>
  <c r="AW93" i="1" s="1"/>
  <c r="BC63" i="10"/>
  <c r="BD63" i="10" s="1"/>
  <c r="BC82" i="10"/>
  <c r="BD82" i="10" s="1"/>
  <c r="BC89" i="10"/>
  <c r="BD89" i="10" s="1"/>
  <c r="BC55" i="10"/>
  <c r="BD55" i="10" s="1"/>
  <c r="BC81" i="10"/>
  <c r="BD81" i="10" s="1"/>
  <c r="BC108" i="10"/>
  <c r="BD108" i="10" s="1"/>
  <c r="BC36" i="10"/>
  <c r="BD36" i="10" s="1"/>
  <c r="BC28" i="10"/>
  <c r="BD28" i="10" s="1"/>
  <c r="BC30" i="10"/>
  <c r="BD30" i="10" s="1"/>
  <c r="BC80" i="10"/>
  <c r="BD80" i="10" s="1"/>
  <c r="BC48" i="10"/>
  <c r="BD48" i="10" s="1"/>
  <c r="BC90" i="10"/>
  <c r="BD90" i="10" s="1"/>
  <c r="BC88" i="10"/>
  <c r="BD88" i="10" s="1"/>
  <c r="BC96" i="10"/>
  <c r="BD96" i="10" s="1"/>
  <c r="BC54" i="10"/>
  <c r="BD54" i="10" s="1"/>
  <c r="BC102" i="10"/>
  <c r="BD102" i="10" s="1"/>
  <c r="BC107" i="10"/>
  <c r="BD107" i="10" s="1"/>
  <c r="BC101" i="10"/>
  <c r="BD101" i="10" s="1"/>
  <c r="BC103" i="10"/>
  <c r="BD103" i="10" s="1"/>
  <c r="BC109" i="10"/>
  <c r="BD109" i="10" s="1"/>
  <c r="BC49" i="10"/>
  <c r="BD49" i="10" s="1"/>
  <c r="BC35" i="10"/>
  <c r="BD35" i="10" s="1"/>
  <c r="BC29" i="10"/>
  <c r="BD29" i="10" s="1"/>
  <c r="BC50" i="10"/>
  <c r="BD50" i="10" s="1"/>
  <c r="BC27" i="10"/>
  <c r="BD27" i="10" s="1"/>
  <c r="BC37" i="10"/>
  <c r="BD37" i="10" s="1"/>
  <c r="BC56" i="10"/>
  <c r="BD56" i="10" s="1"/>
  <c r="BC73" i="10"/>
  <c r="BD73" i="10" s="1"/>
  <c r="BC70" i="10"/>
  <c r="BD70" i="10" s="1"/>
  <c r="BC76" i="10"/>
  <c r="BD76" i="10" s="1"/>
  <c r="BC74" i="10"/>
  <c r="BD74" i="10" s="1"/>
  <c r="BC69" i="10"/>
  <c r="BD69" i="10" s="1"/>
  <c r="BC20" i="10"/>
  <c r="BD20" i="10" s="1"/>
  <c r="BC17" i="10"/>
  <c r="BD17" i="10" s="1"/>
  <c r="BC23" i="10"/>
  <c r="BD23" i="10" s="1"/>
  <c r="BC21" i="10"/>
  <c r="BD21" i="10" s="1"/>
  <c r="BC16" i="10"/>
  <c r="BD16" i="10" s="1"/>
  <c r="AU45" i="1"/>
  <c r="AU41" i="1"/>
  <c r="AU46" i="1"/>
  <c r="AU50" i="1"/>
  <c r="AV76" i="1"/>
  <c r="AW76" i="1" s="1"/>
  <c r="AV77" i="1"/>
  <c r="AW77" i="1" s="1"/>
  <c r="AV83" i="1"/>
  <c r="AW83" i="1" s="1"/>
  <c r="AV87" i="1"/>
  <c r="AW87" i="1" s="1"/>
  <c r="AV88" i="1"/>
  <c r="AW88" i="1" s="1"/>
  <c r="BE11" i="10"/>
  <c r="AU52" i="1"/>
  <c r="AU34" i="1"/>
  <c r="AV50" i="1"/>
  <c r="AV41" i="1"/>
  <c r="AV45" i="1"/>
  <c r="AV46" i="1"/>
  <c r="AV52" i="1"/>
  <c r="AV34" i="1"/>
  <c r="AV35" i="1"/>
  <c r="AE35" i="1"/>
  <c r="AM35" i="1"/>
  <c r="AU35" i="1"/>
  <c r="AI35" i="1"/>
  <c r="AQ35" i="1"/>
  <c r="AI34" i="1"/>
  <c r="AQ34" i="1"/>
  <c r="AK34" i="1"/>
  <c r="AS34" i="1"/>
  <c r="AE34" i="1"/>
  <c r="BE22" i="10" l="1"/>
  <c r="BF22" i="10" s="1"/>
  <c r="BE75" i="10"/>
  <c r="BF75" i="10" s="1"/>
  <c r="BE115" i="10"/>
  <c r="BF115" i="10" s="1"/>
  <c r="BE116" i="10"/>
  <c r="BF116" i="10" s="1"/>
  <c r="BE31" i="10"/>
  <c r="BF31" i="10" s="1"/>
  <c r="BE62" i="10"/>
  <c r="BF62" i="10" s="1"/>
  <c r="BE97" i="10"/>
  <c r="BF97" i="10" s="1"/>
  <c r="BE44" i="10"/>
  <c r="BF44" i="10" s="1"/>
  <c r="BE43" i="10"/>
  <c r="BF43" i="10" s="1"/>
  <c r="BE72" i="10"/>
  <c r="BF72" i="10" s="1"/>
  <c r="BE71" i="10"/>
  <c r="BF71" i="10" s="1"/>
  <c r="BE19" i="10"/>
  <c r="BF19" i="10" s="1"/>
  <c r="BE18" i="10"/>
  <c r="BF18" i="10" s="1"/>
  <c r="BE83" i="10"/>
  <c r="BF83" i="10" s="1"/>
  <c r="BE84" i="10"/>
  <c r="BF84" i="10" s="1"/>
  <c r="BE63" i="10"/>
  <c r="BF63" i="10" s="1"/>
  <c r="BE81" i="10"/>
  <c r="BF81" i="10" s="1"/>
  <c r="BE108" i="10"/>
  <c r="BF108" i="10" s="1"/>
  <c r="BE28" i="10"/>
  <c r="BF28" i="10" s="1"/>
  <c r="BE30" i="10"/>
  <c r="BF30" i="10" s="1"/>
  <c r="BE82" i="10"/>
  <c r="BF82" i="10" s="1"/>
  <c r="BE89" i="10"/>
  <c r="BF89" i="10" s="1"/>
  <c r="BE55" i="10"/>
  <c r="BF55" i="10" s="1"/>
  <c r="BE36" i="10"/>
  <c r="BF36" i="10" s="1"/>
  <c r="BE80" i="10"/>
  <c r="BF80" i="10" s="1"/>
  <c r="BE48" i="10"/>
  <c r="BF48" i="10" s="1"/>
  <c r="BE107" i="10"/>
  <c r="BF107" i="10" s="1"/>
  <c r="BE101" i="10"/>
  <c r="BF101" i="10" s="1"/>
  <c r="BE109" i="10"/>
  <c r="BF109" i="10" s="1"/>
  <c r="BE35" i="10"/>
  <c r="BF35" i="10" s="1"/>
  <c r="BE90" i="10"/>
  <c r="BF90" i="10" s="1"/>
  <c r="BE102" i="10"/>
  <c r="BF102" i="10" s="1"/>
  <c r="BE88" i="10"/>
  <c r="BF88" i="10" s="1"/>
  <c r="BE96" i="10"/>
  <c r="BF96" i="10" s="1"/>
  <c r="BE103" i="10"/>
  <c r="BF103" i="10" s="1"/>
  <c r="BE49" i="10"/>
  <c r="BF49" i="10" s="1"/>
  <c r="BE54" i="10"/>
  <c r="BF54" i="10" s="1"/>
  <c r="BE27" i="10"/>
  <c r="BF27" i="10" s="1"/>
  <c r="BE37" i="10"/>
  <c r="BF37" i="10" s="1"/>
  <c r="BE56" i="10"/>
  <c r="BF56" i="10" s="1"/>
  <c r="BE29" i="10"/>
  <c r="BF29" i="10" s="1"/>
  <c r="BE50" i="10"/>
  <c r="BF50" i="10" s="1"/>
  <c r="BE70" i="10"/>
  <c r="BF70" i="10" s="1"/>
  <c r="BE73" i="10"/>
  <c r="BF73" i="10" s="1"/>
  <c r="BE74" i="10"/>
  <c r="BF74" i="10" s="1"/>
  <c r="BE76" i="10"/>
  <c r="BF76" i="10" s="1"/>
  <c r="BE69" i="10"/>
  <c r="BF69" i="10" s="1"/>
  <c r="BE20" i="10"/>
  <c r="BF20" i="10" s="1"/>
  <c r="BE17" i="10"/>
  <c r="BF17" i="10" s="1"/>
  <c r="BE23" i="10"/>
  <c r="BF23" i="10" s="1"/>
  <c r="BE21" i="10"/>
  <c r="BF21" i="10" s="1"/>
  <c r="BE16" i="10"/>
  <c r="BF16" i="10" s="1"/>
  <c r="AW45" i="1"/>
  <c r="AW46" i="1"/>
  <c r="AW41" i="1"/>
  <c r="AW50" i="1"/>
  <c r="AW52" i="1"/>
  <c r="AW35" i="1"/>
  <c r="AW34" i="1"/>
  <c r="AV80" i="10" l="1"/>
  <c r="AX80" i="10"/>
  <c r="AT80" i="10"/>
  <c r="AR80" i="10"/>
  <c r="AP80" i="10"/>
  <c r="AN80" i="10"/>
  <c r="AJ80" i="10"/>
  <c r="AL80" i="10"/>
  <c r="AJ81" i="10"/>
  <c r="AT82" i="10" l="1"/>
  <c r="AN81" i="10"/>
  <c r="AL82" i="10"/>
  <c r="AV82" i="10"/>
  <c r="AN82" i="10"/>
  <c r="AP82" i="10"/>
  <c r="AP81" i="10"/>
  <c r="AL81" i="10"/>
  <c r="AJ82" i="10"/>
  <c r="AT81" i="10"/>
  <c r="AX82" i="10"/>
  <c r="AR82" i="10"/>
  <c r="AR81" i="10"/>
  <c r="G82" i="10"/>
  <c r="G84" i="10"/>
  <c r="G80" i="10"/>
  <c r="G83" i="10" l="1"/>
  <c r="G81" i="10" l="1"/>
  <c r="U85" i="10" l="1"/>
  <c r="V85" i="10"/>
  <c r="G85" i="10"/>
  <c r="L85" i="10" l="1"/>
  <c r="I20" i="4" s="1"/>
  <c r="G20" i="4"/>
  <c r="G76" i="10" l="1"/>
  <c r="G73" i="10"/>
  <c r="G74" i="10"/>
  <c r="G26" i="1" l="1"/>
  <c r="G31" i="1" s="1"/>
  <c r="M64" i="1" l="1"/>
  <c r="AC63" i="1"/>
  <c r="K64" i="1"/>
  <c r="G63" i="1"/>
  <c r="G64" i="1" s="1"/>
  <c r="N64" i="1"/>
  <c r="S64" i="1"/>
  <c r="R64" i="1"/>
  <c r="U64" i="1"/>
  <c r="Q64" i="1"/>
  <c r="P64" i="1"/>
  <c r="O64" i="1"/>
  <c r="V64" i="1"/>
  <c r="L63" i="1"/>
  <c r="B63" i="1" s="1"/>
  <c r="W64" i="1"/>
  <c r="B64" i="1" l="1"/>
  <c r="B65" i="1" s="1"/>
  <c r="L64" i="1"/>
  <c r="AC72" i="1"/>
  <c r="K73" i="1"/>
  <c r="L72" i="1"/>
  <c r="G72" i="1"/>
  <c r="G73" i="1" s="1"/>
  <c r="B66" i="1" l="1"/>
  <c r="B67" i="1" s="1"/>
  <c r="B68" i="1" s="1"/>
  <c r="I31" i="4"/>
  <c r="I32" i="4" s="1"/>
  <c r="B69" i="1" l="1"/>
  <c r="B70" i="1" l="1"/>
  <c r="B71" i="1" l="1"/>
  <c r="B72" i="1" s="1"/>
  <c r="B73" i="1" s="1"/>
  <c r="B74" i="1" s="1"/>
  <c r="B75" i="1" s="1"/>
  <c r="B76" i="1" s="1"/>
  <c r="B77" i="1" s="1"/>
  <c r="B78" i="1" s="1"/>
  <c r="B79" i="1" s="1"/>
  <c r="B80" i="1" s="1"/>
  <c r="B81" i="1" s="1"/>
  <c r="B82" i="1" s="1"/>
  <c r="B83" i="1" s="1"/>
  <c r="B84" i="1" s="1"/>
  <c r="B85" i="1" s="1"/>
  <c r="B86" i="1" s="1"/>
  <c r="B87" i="1" s="1"/>
  <c r="B88" i="1" s="1"/>
  <c r="B89" i="1" s="1"/>
  <c r="B90" i="1" s="1"/>
  <c r="B91" i="1" s="1"/>
  <c r="B92" i="1" s="1"/>
  <c r="B93" i="1" s="1"/>
  <c r="B94" i="1" s="1"/>
  <c r="B95" i="1" s="1"/>
  <c r="K135" i="12" s="1"/>
  <c r="E145" i="12" l="1"/>
  <c r="C129" i="12"/>
  <c r="W129" i="12" s="1"/>
  <c r="W130" i="12" s="1"/>
  <c r="J142" i="12"/>
  <c r="M144" i="12"/>
  <c r="I137" i="12"/>
  <c r="L122" i="12"/>
  <c r="J150" i="12"/>
  <c r="R135" i="12"/>
  <c r="F154" i="12"/>
  <c r="S135" i="12"/>
  <c r="E121" i="12"/>
  <c r="L129" i="12"/>
  <c r="I152" i="12"/>
  <c r="G127" i="12"/>
  <c r="G128" i="12"/>
  <c r="I122" i="12"/>
  <c r="I126" i="12"/>
  <c r="M146" i="12"/>
  <c r="M113" i="12"/>
  <c r="I145" i="12"/>
  <c r="K134" i="12"/>
  <c r="S113" i="12"/>
  <c r="M147" i="12"/>
  <c r="J151" i="12"/>
  <c r="G139" i="12"/>
  <c r="C133" i="12"/>
  <c r="W133" i="12" s="1"/>
  <c r="W134" i="12" s="1"/>
  <c r="M135" i="12"/>
  <c r="G117" i="12"/>
  <c r="C135" i="12"/>
  <c r="W135" i="12" s="1"/>
  <c r="W136" i="12" s="1"/>
  <c r="G119" i="12"/>
  <c r="I138" i="12"/>
  <c r="Q141" i="12"/>
  <c r="F130" i="12"/>
  <c r="H134" i="12"/>
  <c r="K151" i="12"/>
  <c r="E137" i="12"/>
  <c r="O136" i="12"/>
  <c r="F144" i="12"/>
  <c r="H148" i="12"/>
  <c r="L120" i="12"/>
  <c r="G129" i="12"/>
  <c r="M132" i="12"/>
  <c r="F150" i="12"/>
  <c r="F112" i="12"/>
  <c r="I114" i="12"/>
  <c r="G121" i="12"/>
  <c r="D141" i="12"/>
  <c r="H117" i="12"/>
  <c r="G152" i="12"/>
  <c r="N135" i="12"/>
  <c r="N133" i="12"/>
  <c r="N141" i="12"/>
  <c r="H124" i="12"/>
  <c r="K120" i="12"/>
  <c r="H138" i="12"/>
  <c r="H131" i="12"/>
  <c r="Q127" i="12"/>
  <c r="J120" i="12"/>
  <c r="E115" i="12"/>
  <c r="Q137" i="12"/>
  <c r="E152" i="12"/>
  <c r="Q131" i="12"/>
  <c r="E143" i="12"/>
  <c r="H125" i="12"/>
  <c r="I124" i="12"/>
  <c r="F145" i="12"/>
  <c r="M117" i="12"/>
  <c r="C121" i="12"/>
  <c r="W121" i="12" s="1"/>
  <c r="W122" i="12" s="1"/>
  <c r="O130" i="12"/>
  <c r="H129" i="12"/>
  <c r="N132" i="12"/>
  <c r="L133" i="12"/>
  <c r="E140" i="12"/>
  <c r="N142" i="12"/>
  <c r="O138" i="12"/>
  <c r="I125" i="12"/>
  <c r="R131" i="12"/>
  <c r="N148" i="12"/>
  <c r="K113" i="12"/>
  <c r="F116" i="12"/>
  <c r="O129" i="12"/>
  <c r="K129" i="12"/>
  <c r="E112" i="12"/>
  <c r="J153" i="12"/>
  <c r="N145" i="12"/>
  <c r="E147" i="12"/>
  <c r="M131" i="12"/>
  <c r="D125" i="12"/>
  <c r="M111" i="12"/>
  <c r="M149" i="12"/>
  <c r="J122" i="12"/>
  <c r="L128" i="12"/>
  <c r="H120" i="12"/>
  <c r="E127" i="12"/>
  <c r="I129" i="12"/>
  <c r="L144" i="12"/>
  <c r="K146" i="12"/>
  <c r="E153" i="12"/>
  <c r="K144" i="12"/>
  <c r="L147" i="12"/>
  <c r="O125" i="12"/>
  <c r="K152" i="12"/>
  <c r="I144" i="12"/>
  <c r="F120" i="12"/>
  <c r="O131" i="12"/>
  <c r="N134" i="12"/>
  <c r="F135" i="12"/>
  <c r="U137" i="12"/>
  <c r="F133" i="12"/>
  <c r="F143" i="12"/>
  <c r="K132" i="12"/>
  <c r="J121" i="12"/>
  <c r="N139" i="12"/>
  <c r="K121" i="12"/>
  <c r="R117" i="12"/>
  <c r="E136" i="12"/>
  <c r="S147" i="12"/>
  <c r="K137" i="12"/>
  <c r="D129" i="12"/>
  <c r="R141" i="12"/>
  <c r="U125" i="12"/>
  <c r="I117" i="12"/>
  <c r="N152" i="12"/>
  <c r="I150" i="12"/>
  <c r="M137" i="12"/>
  <c r="F127" i="12"/>
  <c r="D137" i="12"/>
  <c r="D153" i="12"/>
  <c r="R123" i="12"/>
  <c r="J152" i="12"/>
  <c r="Q111" i="12"/>
  <c r="K112" i="12"/>
  <c r="G137" i="12"/>
  <c r="I118" i="12"/>
  <c r="G143" i="12"/>
  <c r="U147" i="12"/>
  <c r="G130" i="12"/>
  <c r="J135" i="12"/>
  <c r="S143" i="12"/>
  <c r="L126" i="12"/>
  <c r="Q113" i="12"/>
  <c r="H152" i="12"/>
  <c r="L112" i="12"/>
  <c r="E125" i="12"/>
  <c r="F128" i="12"/>
  <c r="R151" i="12"/>
  <c r="K140" i="12"/>
  <c r="J138" i="12"/>
  <c r="S121" i="12"/>
  <c r="J115" i="12"/>
  <c r="C127" i="12"/>
  <c r="W127" i="12" s="1"/>
  <c r="W128" i="12" s="1"/>
  <c r="S123" i="12"/>
  <c r="I148" i="12"/>
  <c r="R129" i="12"/>
  <c r="O153" i="12"/>
  <c r="M136" i="12"/>
  <c r="N119" i="12"/>
  <c r="O133" i="12"/>
  <c r="N126" i="12"/>
  <c r="O112" i="12"/>
  <c r="S151" i="12"/>
  <c r="E114" i="12"/>
  <c r="J145" i="12"/>
  <c r="F153" i="12"/>
  <c r="F122" i="12"/>
  <c r="Q153" i="12"/>
  <c r="U111" i="12"/>
  <c r="J140" i="12"/>
  <c r="S127" i="12"/>
  <c r="U153" i="12"/>
  <c r="N111" i="12"/>
  <c r="G144" i="12"/>
  <c r="Q147" i="12"/>
  <c r="L143" i="12"/>
  <c r="O116" i="12"/>
  <c r="J131" i="12"/>
  <c r="N123" i="12"/>
  <c r="L138" i="12"/>
  <c r="F117" i="12"/>
  <c r="O140" i="12"/>
  <c r="G114" i="12"/>
  <c r="C147" i="12"/>
  <c r="W147" i="12" s="1"/>
  <c r="W148" i="12" s="1"/>
  <c r="N112" i="12"/>
  <c r="I140" i="12"/>
  <c r="G142" i="12"/>
  <c r="K114" i="12"/>
  <c r="L146" i="12"/>
  <c r="J124" i="12"/>
  <c r="K136" i="12"/>
  <c r="H137" i="12"/>
  <c r="G136" i="12"/>
  <c r="E117" i="12"/>
  <c r="U123" i="12"/>
  <c r="L125" i="12"/>
  <c r="I113" i="12"/>
  <c r="Q115" i="12"/>
  <c r="H116" i="12"/>
  <c r="R145" i="12"/>
  <c r="M152" i="12"/>
  <c r="J147" i="12"/>
  <c r="E144" i="12"/>
  <c r="R149" i="12"/>
  <c r="E154" i="12"/>
  <c r="E120" i="12"/>
  <c r="J144" i="12"/>
  <c r="E133" i="12"/>
  <c r="G141" i="12"/>
  <c r="J137" i="12"/>
  <c r="J112" i="12"/>
  <c r="O147" i="12"/>
  <c r="I136" i="12"/>
  <c r="E138" i="12"/>
  <c r="J111" i="12"/>
  <c r="I139" i="12"/>
  <c r="I131" i="12"/>
  <c r="C137" i="12"/>
  <c r="W137" i="12" s="1"/>
  <c r="W138" i="12" s="1"/>
  <c r="L131" i="12"/>
  <c r="K117" i="12"/>
  <c r="F126" i="12"/>
  <c r="G138" i="12"/>
  <c r="F147" i="12"/>
  <c r="L137" i="12"/>
  <c r="O134" i="12"/>
  <c r="U129" i="12"/>
  <c r="M140" i="12"/>
  <c r="H130" i="12"/>
  <c r="G132" i="12"/>
  <c r="H136" i="12"/>
  <c r="U149" i="12"/>
  <c r="K142" i="12"/>
  <c r="H150" i="12"/>
  <c r="L116" i="12"/>
  <c r="E123" i="12"/>
  <c r="F132" i="12"/>
  <c r="E130" i="12"/>
  <c r="C131" i="12"/>
  <c r="W131" i="12" s="1"/>
  <c r="W132" i="12" s="1"/>
  <c r="M124" i="12"/>
  <c r="J134" i="12"/>
  <c r="N140" i="12"/>
  <c r="C143" i="12"/>
  <c r="W143" i="12" s="1"/>
  <c r="W144" i="12" s="1"/>
  <c r="I127" i="12"/>
  <c r="O143" i="12"/>
  <c r="Q125" i="12"/>
  <c r="K128" i="12"/>
  <c r="D143" i="12"/>
  <c r="M139" i="12"/>
  <c r="N143" i="12"/>
  <c r="H112" i="12"/>
  <c r="S141" i="12"/>
  <c r="D139" i="12"/>
  <c r="K148" i="12"/>
  <c r="D117" i="12"/>
  <c r="E150" i="12"/>
  <c r="F141" i="12"/>
  <c r="S117" i="12"/>
  <c r="I116" i="12"/>
  <c r="N153" i="12"/>
  <c r="M143" i="12"/>
  <c r="O120" i="12"/>
  <c r="G148" i="12"/>
  <c r="Q117" i="12"/>
  <c r="U121" i="12"/>
  <c r="E128" i="12"/>
  <c r="U141" i="12"/>
  <c r="S153" i="12"/>
  <c r="I142" i="12"/>
  <c r="L132" i="12"/>
  <c r="L134" i="12"/>
  <c r="H145" i="12"/>
  <c r="N128" i="12"/>
  <c r="Q135" i="12"/>
  <c r="K138" i="12"/>
  <c r="O141" i="12"/>
  <c r="H140" i="12"/>
  <c r="E116" i="12"/>
  <c r="O115" i="12"/>
  <c r="I120" i="12"/>
  <c r="L119" i="12"/>
  <c r="J118" i="12"/>
  <c r="M118" i="12"/>
  <c r="H111" i="12"/>
  <c r="N120" i="12"/>
  <c r="O132" i="12"/>
  <c r="K130" i="12"/>
  <c r="L142" i="12"/>
  <c r="C145" i="12"/>
  <c r="W145" i="12" s="1"/>
  <c r="W146" i="12" s="1"/>
  <c r="N115" i="12"/>
  <c r="E131" i="12"/>
  <c r="E134" i="12"/>
  <c r="M122" i="12"/>
  <c r="J148" i="12"/>
  <c r="O139" i="12"/>
  <c r="M150" i="12"/>
  <c r="G112" i="12"/>
  <c r="N146" i="12"/>
  <c r="S125" i="12"/>
  <c r="H144" i="12"/>
  <c r="I135" i="12"/>
  <c r="U145" i="12"/>
  <c r="J123" i="12"/>
  <c r="J139" i="12"/>
  <c r="M123" i="12"/>
  <c r="Q119" i="12"/>
  <c r="L140" i="12"/>
  <c r="R115" i="12"/>
  <c r="J125" i="12"/>
  <c r="I134" i="12"/>
  <c r="E148" i="12"/>
  <c r="J154" i="12"/>
  <c r="L115" i="12"/>
  <c r="S119" i="12"/>
  <c r="D115" i="12"/>
  <c r="E129" i="12"/>
  <c r="F139" i="12"/>
  <c r="H143" i="12"/>
  <c r="L124" i="12"/>
  <c r="I115" i="12"/>
  <c r="G133" i="12"/>
  <c r="I149" i="12"/>
  <c r="O149" i="12"/>
  <c r="O122" i="12"/>
  <c r="J126" i="12"/>
  <c r="F114" i="12"/>
  <c r="L151" i="12"/>
  <c r="M145" i="12"/>
  <c r="L121" i="12"/>
  <c r="D113" i="12"/>
  <c r="L135" i="12"/>
  <c r="F152" i="12"/>
  <c r="M133" i="12"/>
  <c r="E111" i="12"/>
  <c r="N118" i="12"/>
  <c r="M114" i="12"/>
  <c r="I111" i="12"/>
  <c r="I147" i="12"/>
  <c r="C141" i="12"/>
  <c r="W141" i="12" s="1"/>
  <c r="W142" i="12" s="1"/>
  <c r="L153" i="12"/>
  <c r="I141" i="12"/>
  <c r="S149" i="12"/>
  <c r="D151" i="12"/>
  <c r="L145" i="12"/>
  <c r="N125" i="12"/>
  <c r="F131" i="12"/>
  <c r="F129" i="12"/>
  <c r="N144" i="12"/>
  <c r="H121" i="12"/>
  <c r="I153" i="12"/>
  <c r="K119" i="12"/>
  <c r="U119" i="12"/>
  <c r="O137" i="12"/>
  <c r="O118" i="12"/>
  <c r="N113" i="12"/>
  <c r="G146" i="12"/>
  <c r="G115" i="12"/>
  <c r="K123" i="12"/>
  <c r="J119" i="12"/>
  <c r="E135" i="12"/>
  <c r="M134" i="12"/>
  <c r="Q133" i="12"/>
  <c r="G116" i="12"/>
  <c r="Q145" i="12"/>
  <c r="K150" i="12"/>
  <c r="J114" i="12"/>
  <c r="O119" i="12"/>
  <c r="L152" i="12"/>
  <c r="S139" i="12"/>
  <c r="S111" i="12"/>
  <c r="L141" i="12"/>
  <c r="U117" i="12"/>
  <c r="I146" i="12"/>
  <c r="K116" i="12"/>
  <c r="O126" i="12"/>
  <c r="G150" i="12"/>
  <c r="N116" i="12"/>
  <c r="G154" i="12"/>
  <c r="U143" i="12"/>
  <c r="K125" i="12"/>
  <c r="N149" i="12"/>
  <c r="H115" i="12"/>
  <c r="K127" i="12"/>
  <c r="S131" i="12"/>
  <c r="N121" i="12"/>
  <c r="R147" i="12"/>
  <c r="M125" i="12"/>
  <c r="N137" i="12"/>
  <c r="F151" i="12"/>
  <c r="K126" i="12"/>
  <c r="G124" i="12"/>
  <c r="G149" i="12"/>
  <c r="D131" i="12"/>
  <c r="H126" i="12"/>
  <c r="O152" i="12"/>
  <c r="D133" i="12"/>
  <c r="M153" i="12"/>
  <c r="G125" i="12"/>
  <c r="N117" i="12"/>
  <c r="E119" i="12"/>
  <c r="E141" i="12"/>
  <c r="Q129" i="12"/>
  <c r="K139" i="12"/>
  <c r="L114" i="12"/>
  <c r="F113" i="12"/>
  <c r="H114" i="12"/>
  <c r="J132" i="12"/>
  <c r="C149" i="12"/>
  <c r="W149" i="12" s="1"/>
  <c r="W150" i="12" s="1"/>
  <c r="D121" i="12"/>
  <c r="O127" i="12"/>
  <c r="M129" i="12"/>
  <c r="H128" i="12"/>
  <c r="K118" i="12"/>
  <c r="F119" i="12"/>
  <c r="L130" i="12"/>
  <c r="M126" i="12"/>
  <c r="G120" i="12"/>
  <c r="I151" i="12"/>
  <c r="O154" i="12"/>
  <c r="G147" i="12"/>
  <c r="N130" i="12"/>
  <c r="F115" i="12"/>
  <c r="F118" i="12"/>
  <c r="K131" i="12"/>
  <c r="H119" i="12"/>
  <c r="E113" i="12"/>
  <c r="J117" i="12"/>
  <c r="U113" i="12"/>
  <c r="N122" i="12"/>
  <c r="J143" i="12"/>
  <c r="H135" i="12"/>
  <c r="G145" i="12"/>
  <c r="R127" i="12"/>
  <c r="J130" i="12"/>
  <c r="M154" i="12"/>
  <c r="E149" i="12"/>
  <c r="L118" i="12"/>
  <c r="C123" i="12"/>
  <c r="W123" i="12" s="1"/>
  <c r="W124" i="12" s="1"/>
  <c r="G123" i="12"/>
  <c r="O144" i="12"/>
  <c r="S115" i="12"/>
  <c r="O114" i="12"/>
  <c r="E151" i="12"/>
  <c r="G151" i="12"/>
  <c r="H139" i="12"/>
  <c r="D135" i="12"/>
  <c r="N127" i="12"/>
  <c r="S137" i="12"/>
  <c r="C111" i="12"/>
  <c r="W111" i="12" s="1"/>
  <c r="W112" i="12" s="1"/>
  <c r="K141" i="12"/>
  <c r="K111" i="12"/>
  <c r="R153" i="12"/>
  <c r="N129" i="12"/>
  <c r="Q151" i="12"/>
  <c r="Q143" i="12"/>
  <c r="F149" i="12"/>
  <c r="L111" i="12"/>
  <c r="O111" i="12"/>
  <c r="U135" i="12"/>
  <c r="L149" i="12"/>
  <c r="I154" i="12"/>
  <c r="G126" i="12"/>
  <c r="G135" i="12"/>
  <c r="F123" i="12"/>
  <c r="I130" i="12"/>
  <c r="H141" i="12"/>
  <c r="J113" i="12"/>
  <c r="J133" i="12"/>
  <c r="H153" i="12"/>
  <c r="M116" i="12"/>
  <c r="O151" i="12"/>
  <c r="S129" i="12"/>
  <c r="L123" i="12"/>
  <c r="E126" i="12"/>
  <c r="C117" i="12"/>
  <c r="W117" i="12" s="1"/>
  <c r="W118" i="12" s="1"/>
  <c r="J128" i="12"/>
  <c r="L127" i="12"/>
  <c r="I132" i="12"/>
  <c r="F138" i="12"/>
  <c r="N154" i="12"/>
  <c r="Q123" i="12"/>
  <c r="C115" i="12"/>
  <c r="W115" i="12" s="1"/>
  <c r="W116" i="12" s="1"/>
  <c r="F136" i="12"/>
  <c r="K124" i="12"/>
  <c r="N131" i="12"/>
  <c r="N147" i="12"/>
  <c r="D149" i="12"/>
  <c r="F125" i="12"/>
  <c r="F142" i="12"/>
  <c r="R133" i="12"/>
  <c r="S133" i="12"/>
  <c r="F111" i="12"/>
  <c r="K149" i="12"/>
  <c r="K145" i="12"/>
  <c r="C139" i="12"/>
  <c r="W139" i="12" s="1"/>
  <c r="W140" i="12" s="1"/>
  <c r="C125" i="12"/>
  <c r="W125" i="12" s="1"/>
  <c r="W126" i="12" s="1"/>
  <c r="L139" i="12"/>
  <c r="H147" i="12"/>
  <c r="J116" i="12"/>
  <c r="E139" i="12"/>
  <c r="E142" i="12"/>
  <c r="Q149" i="12"/>
  <c r="C153" i="12"/>
  <c r="W153" i="12" s="1"/>
  <c r="W154" i="12" s="1"/>
  <c r="G118" i="12"/>
  <c r="K153" i="12"/>
  <c r="N124" i="12"/>
  <c r="R119" i="12"/>
  <c r="E124" i="12"/>
  <c r="M141" i="12"/>
  <c r="N150" i="12"/>
  <c r="G131" i="12"/>
  <c r="Q139" i="12"/>
  <c r="K154" i="12"/>
  <c r="I128" i="12"/>
  <c r="O148" i="12"/>
  <c r="R113" i="12"/>
  <c r="J129" i="12"/>
  <c r="N151" i="12"/>
  <c r="M112" i="12"/>
  <c r="G153" i="12"/>
  <c r="H122" i="12"/>
  <c r="R137" i="12"/>
  <c r="I119" i="12"/>
  <c r="R125" i="12"/>
  <c r="U127" i="12"/>
  <c r="F121" i="12"/>
  <c r="L136" i="12"/>
  <c r="L148" i="12"/>
  <c r="M148" i="12"/>
  <c r="E132" i="12"/>
  <c r="I123" i="12"/>
  <c r="F134" i="12"/>
  <c r="D145" i="12"/>
  <c r="Q121" i="12"/>
  <c r="I143" i="12"/>
  <c r="L150" i="12"/>
  <c r="M121" i="12"/>
  <c r="H123" i="12"/>
  <c r="O123" i="12"/>
  <c r="D111" i="12"/>
  <c r="H151" i="12"/>
  <c r="R139" i="12"/>
  <c r="M127" i="12"/>
  <c r="I133" i="12"/>
  <c r="K133" i="12"/>
  <c r="D127" i="12"/>
  <c r="E118" i="12"/>
  <c r="L117" i="12"/>
  <c r="O142" i="12"/>
  <c r="H118" i="12"/>
  <c r="E122" i="12"/>
  <c r="M128" i="12"/>
  <c r="N136" i="12"/>
  <c r="I121" i="12"/>
  <c r="O146" i="12"/>
  <c r="D119" i="12"/>
  <c r="O145" i="12"/>
  <c r="J136" i="12"/>
  <c r="G134" i="12"/>
  <c r="M138" i="12"/>
  <c r="R111" i="12"/>
  <c r="J146" i="12"/>
  <c r="U115" i="12"/>
  <c r="R121" i="12"/>
  <c r="F148" i="12"/>
  <c r="O117" i="12"/>
  <c r="J127" i="12"/>
  <c r="M142" i="12"/>
  <c r="J141" i="12"/>
  <c r="M119" i="12"/>
  <c r="N138" i="12"/>
  <c r="G111" i="12"/>
  <c r="O121" i="12"/>
  <c r="M120" i="12"/>
  <c r="U131" i="12"/>
  <c r="C113" i="12"/>
  <c r="W113" i="12" s="1"/>
  <c r="W114" i="12" s="1"/>
  <c r="O113" i="12"/>
  <c r="U133" i="12"/>
  <c r="U151" i="12"/>
  <c r="O124" i="12"/>
  <c r="H149" i="12"/>
  <c r="F140" i="12"/>
  <c r="D123" i="12"/>
  <c r="L154" i="12"/>
  <c r="K147" i="12"/>
  <c r="C119" i="12"/>
  <c r="W119" i="12" s="1"/>
  <c r="W120" i="12" s="1"/>
  <c r="F137" i="12"/>
  <c r="K143" i="12"/>
  <c r="I112" i="12"/>
  <c r="F124" i="12"/>
  <c r="G113" i="12"/>
  <c r="C151" i="12"/>
  <c r="W151" i="12" s="1"/>
  <c r="W152" i="12" s="1"/>
  <c r="U139" i="12"/>
  <c r="H133" i="12"/>
  <c r="H127" i="12"/>
  <c r="O135" i="12"/>
  <c r="N114" i="12"/>
  <c r="H132" i="12"/>
  <c r="K115" i="12"/>
  <c r="H142" i="12"/>
  <c r="F146" i="12"/>
  <c r="M115" i="12"/>
  <c r="G122" i="12"/>
  <c r="O128" i="12"/>
  <c r="K122" i="12"/>
  <c r="O150" i="12"/>
  <c r="S145" i="12"/>
  <c r="D147" i="12"/>
  <c r="H113" i="12"/>
  <c r="H154" i="12"/>
  <c r="H146" i="12"/>
  <c r="L113" i="12"/>
  <c r="R143" i="12"/>
  <c r="J149" i="12"/>
  <c r="M130" i="12"/>
  <c r="G140" i="12"/>
  <c r="E146" i="12"/>
  <c r="M151" i="12"/>
  <c r="T119" i="12" l="1"/>
  <c r="T143" i="12"/>
  <c r="T151" i="12"/>
  <c r="T113" i="12"/>
  <c r="T125" i="12"/>
  <c r="T129" i="12"/>
  <c r="T147" i="12"/>
  <c r="T133" i="12"/>
  <c r="T137" i="12"/>
  <c r="T149" i="12"/>
  <c r="T115" i="12"/>
  <c r="T117" i="12"/>
  <c r="T135" i="12"/>
  <c r="T111" i="12"/>
  <c r="T153" i="12"/>
  <c r="T131" i="12"/>
  <c r="T127" i="12"/>
  <c r="T141" i="12"/>
  <c r="T145" i="12"/>
  <c r="T139" i="12"/>
  <c r="T123" i="12"/>
  <c r="T121" i="12"/>
  <c r="G19" i="4" l="1"/>
  <c r="G23" i="4" s="1"/>
  <c r="G38" i="4" s="1"/>
  <c r="B69" i="10"/>
  <c r="S77" i="10"/>
  <c r="V77" i="10"/>
  <c r="U77" i="10"/>
  <c r="P77" i="10"/>
  <c r="Y77" i="10"/>
  <c r="AA77" i="10"/>
  <c r="O77" i="10"/>
  <c r="R77" i="10"/>
  <c r="X77" i="10"/>
  <c r="M77" i="10"/>
  <c r="AN71" i="10"/>
  <c r="AT70" i="10"/>
  <c r="AR71" i="10"/>
  <c r="AR70" i="10"/>
  <c r="AP71" i="10"/>
  <c r="AL71" i="10"/>
  <c r="AT69" i="10"/>
  <c r="AN69" i="10"/>
  <c r="T77" i="10"/>
  <c r="AJ71" i="10"/>
  <c r="N77" i="10"/>
  <c r="AN70" i="10"/>
  <c r="AP70" i="10"/>
  <c r="Z77" i="10"/>
  <c r="AR69" i="10"/>
  <c r="AP69" i="10"/>
  <c r="W77" i="10"/>
  <c r="AL70" i="10"/>
  <c r="G70" i="10"/>
  <c r="AJ70" i="10"/>
  <c r="G71" i="10"/>
  <c r="AT71" i="10"/>
  <c r="Q77" i="10"/>
  <c r="AL69" i="10"/>
  <c r="AJ69" i="10"/>
  <c r="B70" i="10" l="1"/>
  <c r="B71" i="10" s="1"/>
  <c r="L77" i="10"/>
  <c r="I19" i="4" s="1"/>
  <c r="I23" i="4" s="1"/>
  <c r="I38" i="4" s="1"/>
  <c r="G77" i="10"/>
  <c r="B72" i="10" l="1"/>
  <c r="B73" i="10" s="1"/>
  <c r="B74" i="10" s="1"/>
  <c r="B75" i="10" s="1"/>
  <c r="B76" i="10" l="1"/>
  <c r="B77" i="10" l="1"/>
  <c r="B78" i="10"/>
  <c r="B79" i="10" l="1"/>
  <c r="B80" i="10" l="1"/>
  <c r="B81" i="10" l="1"/>
  <c r="B82" i="10" l="1"/>
  <c r="B83" i="10" l="1"/>
  <c r="B84" i="10" l="1"/>
  <c r="B85" i="10" l="1"/>
  <c r="B86" i="10" s="1"/>
  <c r="B87" i="10" s="1"/>
  <c r="B88" i="10" s="1"/>
  <c r="B89" i="10" s="1"/>
  <c r="B90" i="10" s="1"/>
  <c r="B91" i="10" s="1"/>
  <c r="B92" i="10" s="1"/>
  <c r="B93" i="10" s="1"/>
  <c r="B94" i="10" s="1"/>
  <c r="B95" i="10" s="1"/>
  <c r="B96" i="10" s="1"/>
  <c r="B97" i="10" s="1"/>
  <c r="B98" i="10" s="1"/>
  <c r="B99" i="10" s="1"/>
  <c r="B100" i="10" s="1"/>
  <c r="B101" i="10" s="1"/>
  <c r="B102" i="10" s="1"/>
  <c r="B103" i="10" s="1"/>
  <c r="B104" i="10" s="1"/>
  <c r="B105" i="10" s="1"/>
  <c r="B106" i="10" s="1"/>
  <c r="B107" i="10" s="1"/>
  <c r="B108" i="10" s="1"/>
  <c r="B109" i="10" s="1"/>
  <c r="B110" i="10" s="1"/>
  <c r="B111" i="10" s="1"/>
  <c r="B112" i="10" s="1"/>
  <c r="B113" i="10" s="1"/>
  <c r="B114" i="10" s="1"/>
  <c r="B115" i="10" s="1"/>
  <c r="B116" i="10" s="1"/>
  <c r="B117" i="10" s="1"/>
  <c r="O33" i="12" s="1"/>
  <c r="E44" i="12" l="1"/>
  <c r="N91" i="12"/>
  <c r="M100" i="12"/>
  <c r="H79" i="12"/>
  <c r="Q66" i="12"/>
  <c r="G91" i="12"/>
  <c r="D54" i="12"/>
  <c r="F76" i="12"/>
  <c r="I61" i="12"/>
  <c r="R38" i="12"/>
  <c r="P42" i="12"/>
  <c r="K77" i="12"/>
  <c r="J71" i="12"/>
  <c r="I52" i="12"/>
  <c r="K98" i="12"/>
  <c r="I19" i="12"/>
  <c r="J31" i="12"/>
  <c r="F35" i="12"/>
  <c r="N35" i="12"/>
  <c r="M36" i="12"/>
  <c r="H56" i="12"/>
  <c r="Q84" i="12"/>
  <c r="G45" i="12"/>
  <c r="H47" i="12"/>
  <c r="G44" i="12"/>
  <c r="M16" i="12"/>
  <c r="F39" i="12"/>
  <c r="N93" i="12"/>
  <c r="O82" i="12"/>
  <c r="E86" i="12"/>
  <c r="N19" i="12"/>
  <c r="E100" i="12"/>
  <c r="U74" i="12"/>
  <c r="E83" i="12"/>
  <c r="C78" i="12"/>
  <c r="W78" i="12" s="1"/>
  <c r="W79" i="12" s="1"/>
  <c r="F68" i="12"/>
  <c r="I94" i="12"/>
  <c r="L74" i="12"/>
  <c r="I25" i="12"/>
  <c r="P70" i="12"/>
  <c r="C68" i="12"/>
  <c r="W68" i="12" s="1"/>
  <c r="W69" i="12" s="1"/>
  <c r="L53" i="12"/>
  <c r="P75" i="12"/>
  <c r="H105" i="12"/>
  <c r="N30" i="12"/>
  <c r="O86" i="12"/>
  <c r="G27" i="12"/>
  <c r="Q46" i="12"/>
  <c r="R64" i="12"/>
  <c r="N44" i="12"/>
  <c r="U22" i="12"/>
  <c r="U100" i="12"/>
  <c r="L91" i="12"/>
  <c r="P53" i="12"/>
  <c r="L51" i="12"/>
  <c r="H40" i="12"/>
  <c r="M61" i="12"/>
  <c r="E26" i="12"/>
  <c r="P33" i="12"/>
  <c r="G21" i="12"/>
  <c r="G92" i="12"/>
  <c r="O73" i="12"/>
  <c r="J70" i="12"/>
  <c r="D40" i="12"/>
  <c r="N38" i="12"/>
  <c r="P83" i="12"/>
  <c r="J90" i="12"/>
  <c r="R82" i="12"/>
  <c r="M86" i="12"/>
  <c r="L33" i="12"/>
  <c r="I81" i="12"/>
  <c r="N20" i="12"/>
  <c r="U46" i="12"/>
  <c r="I62" i="12"/>
  <c r="I30" i="12"/>
  <c r="P39" i="12"/>
  <c r="L40" i="12"/>
  <c r="H54" i="12"/>
  <c r="I40" i="12"/>
  <c r="F31" i="12"/>
  <c r="J73" i="12"/>
  <c r="L95" i="12"/>
  <c r="I77" i="12"/>
  <c r="P98" i="12"/>
  <c r="N87" i="12"/>
  <c r="D44" i="12"/>
  <c r="P81" i="12"/>
  <c r="Q106" i="12"/>
  <c r="O70" i="12"/>
  <c r="O39" i="12"/>
  <c r="L54" i="12"/>
  <c r="J97" i="12"/>
  <c r="Q92" i="12"/>
  <c r="O37" i="12"/>
  <c r="M60" i="12"/>
  <c r="D50" i="12"/>
  <c r="K33" i="12"/>
  <c r="F91" i="12"/>
  <c r="I49" i="12"/>
  <c r="O38" i="12"/>
  <c r="I82" i="12"/>
  <c r="H87" i="12"/>
  <c r="M68" i="12"/>
  <c r="C56" i="12"/>
  <c r="W56" i="12" s="1"/>
  <c r="W57" i="12" s="1"/>
  <c r="H31" i="12"/>
  <c r="H44" i="12"/>
  <c r="E17" i="12"/>
  <c r="P63" i="12"/>
  <c r="K43" i="12"/>
  <c r="Q24" i="12"/>
  <c r="E36" i="12"/>
  <c r="K44" i="12"/>
  <c r="F87" i="12"/>
  <c r="Q78" i="12"/>
  <c r="D96" i="12"/>
  <c r="D98" i="12"/>
  <c r="C26" i="12"/>
  <c r="W26" i="12" s="1"/>
  <c r="W27" i="12" s="1"/>
  <c r="E24" i="12"/>
  <c r="H93" i="12"/>
  <c r="D90" i="12"/>
  <c r="F44" i="12"/>
  <c r="F102" i="12"/>
  <c r="L32" i="12"/>
  <c r="N22" i="12"/>
  <c r="L52" i="12"/>
  <c r="F58" i="12"/>
  <c r="U94" i="12"/>
  <c r="J21" i="12"/>
  <c r="F82" i="12"/>
  <c r="G99" i="12"/>
  <c r="S98" i="12"/>
  <c r="J81" i="12"/>
  <c r="K88" i="12"/>
  <c r="F41" i="12"/>
  <c r="N81" i="12"/>
  <c r="P44" i="12"/>
  <c r="H102" i="12"/>
  <c r="K70" i="12"/>
  <c r="U58" i="12"/>
  <c r="J40" i="12"/>
  <c r="P55" i="12"/>
  <c r="O36" i="12"/>
  <c r="G41" i="12"/>
  <c r="P85" i="12"/>
  <c r="O31" i="12"/>
  <c r="L50" i="12"/>
  <c r="N32" i="12"/>
  <c r="U30" i="12"/>
  <c r="G102" i="12"/>
  <c r="F17" i="12"/>
  <c r="E27" i="12"/>
  <c r="K46" i="12"/>
  <c r="D26" i="12"/>
  <c r="U102" i="12"/>
  <c r="F48" i="12"/>
  <c r="P48" i="12"/>
  <c r="G20" i="12"/>
  <c r="H83" i="12"/>
  <c r="M19" i="12"/>
  <c r="G53" i="12"/>
  <c r="G86" i="12"/>
  <c r="P92" i="12"/>
  <c r="M21" i="12"/>
  <c r="E20" i="12"/>
  <c r="O64" i="12"/>
  <c r="K105" i="12"/>
  <c r="O52" i="12"/>
  <c r="K28" i="12"/>
  <c r="M73" i="12"/>
  <c r="K75" i="12"/>
  <c r="L89" i="12"/>
  <c r="H41" i="12"/>
  <c r="O61" i="12"/>
  <c r="M78" i="12"/>
  <c r="K90" i="12"/>
  <c r="F34" i="12"/>
  <c r="E87" i="12"/>
  <c r="P59" i="12"/>
  <c r="P34" i="12"/>
  <c r="P79" i="12"/>
  <c r="Q94" i="12"/>
  <c r="P52" i="12"/>
  <c r="H73" i="12"/>
  <c r="G36" i="12"/>
  <c r="C72" i="12"/>
  <c r="W72" i="12" s="1"/>
  <c r="W73" i="12" s="1"/>
  <c r="K47" i="12"/>
  <c r="P78" i="12"/>
  <c r="K18" i="12"/>
  <c r="U50" i="12"/>
  <c r="O78" i="12"/>
  <c r="S42" i="12"/>
  <c r="I27" i="12"/>
  <c r="F62" i="12"/>
  <c r="F49" i="12"/>
  <c r="P23" i="12"/>
  <c r="J86" i="12"/>
  <c r="G57" i="12"/>
  <c r="L47" i="12"/>
  <c r="H24" i="12"/>
  <c r="N61" i="12"/>
  <c r="R20" i="12"/>
  <c r="H96" i="12"/>
  <c r="I63" i="12"/>
  <c r="I28" i="12"/>
  <c r="P88" i="12"/>
  <c r="I48" i="12"/>
  <c r="H21" i="12"/>
  <c r="D62" i="12"/>
  <c r="G24" i="12"/>
  <c r="M28" i="12"/>
  <c r="F65" i="12"/>
  <c r="I99" i="12"/>
  <c r="Q86" i="12"/>
  <c r="N43" i="12"/>
  <c r="K27" i="12"/>
  <c r="O76" i="12"/>
  <c r="E16" i="12"/>
  <c r="S94" i="12"/>
  <c r="L100" i="12"/>
  <c r="I75" i="12"/>
  <c r="M52" i="12"/>
  <c r="M96" i="12"/>
  <c r="C94" i="12"/>
  <c r="W94" i="12" s="1"/>
  <c r="W95" i="12" s="1"/>
  <c r="M50" i="12"/>
  <c r="E93" i="12"/>
  <c r="P74" i="12"/>
  <c r="N41" i="12"/>
  <c r="K25" i="12"/>
  <c r="R80" i="12"/>
  <c r="J79" i="12"/>
  <c r="N90" i="12"/>
  <c r="F32" i="12"/>
  <c r="H71" i="12"/>
  <c r="E101" i="12"/>
  <c r="L81" i="12"/>
  <c r="G52" i="12"/>
  <c r="M90" i="12"/>
  <c r="U54" i="12"/>
  <c r="K50" i="12"/>
  <c r="L93" i="12"/>
  <c r="H25" i="12"/>
  <c r="E49" i="12"/>
  <c r="I90" i="12"/>
  <c r="D74" i="12"/>
  <c r="O55" i="12"/>
  <c r="G88" i="12"/>
  <c r="P67" i="12"/>
  <c r="U44" i="12"/>
  <c r="U104" i="12"/>
  <c r="M104" i="12"/>
  <c r="U90" i="12"/>
  <c r="K79" i="12"/>
  <c r="O47" i="12"/>
  <c r="H86" i="12"/>
  <c r="J20" i="12"/>
  <c r="H98" i="12"/>
  <c r="L19" i="12"/>
  <c r="U88" i="12"/>
  <c r="M77" i="12"/>
  <c r="K78" i="12"/>
  <c r="K80" i="12"/>
  <c r="G101" i="12"/>
  <c r="I20" i="12"/>
  <c r="F18" i="12"/>
  <c r="G32" i="12"/>
  <c r="I73" i="12"/>
  <c r="P82" i="12"/>
  <c r="N42" i="12"/>
  <c r="K74" i="12"/>
  <c r="E35" i="12"/>
  <c r="K89" i="12"/>
  <c r="P94" i="12"/>
  <c r="O94" i="12"/>
  <c r="E75" i="12"/>
  <c r="G59" i="12"/>
  <c r="R40" i="12"/>
  <c r="F59" i="12"/>
  <c r="L23" i="12"/>
  <c r="H38" i="12"/>
  <c r="E25" i="12"/>
  <c r="Q26" i="12"/>
  <c r="F90" i="12"/>
  <c r="O84" i="12"/>
  <c r="N51" i="12"/>
  <c r="R18" i="12"/>
  <c r="O62" i="12"/>
  <c r="Q90" i="12"/>
  <c r="Q34" i="12"/>
  <c r="M18" i="12"/>
  <c r="C48" i="12"/>
  <c r="W48" i="12" s="1"/>
  <c r="W49" i="12" s="1"/>
  <c r="G89" i="12"/>
  <c r="J35" i="12"/>
  <c r="Q98" i="12"/>
  <c r="H99" i="12"/>
  <c r="G22" i="12"/>
  <c r="O93" i="12"/>
  <c r="F72" i="12"/>
  <c r="H88" i="12"/>
  <c r="N52" i="12"/>
  <c r="L73" i="12"/>
  <c r="M75" i="12"/>
  <c r="S78" i="12"/>
  <c r="M58" i="12"/>
  <c r="Q76" i="12"/>
  <c r="H28" i="12"/>
  <c r="P76" i="12"/>
  <c r="K30" i="12"/>
  <c r="J103" i="12"/>
  <c r="L79" i="12"/>
  <c r="N100" i="12"/>
  <c r="P46" i="12"/>
  <c r="G73" i="12"/>
  <c r="R28" i="12"/>
  <c r="R106" i="12"/>
  <c r="H46" i="12"/>
  <c r="M54" i="12"/>
  <c r="O22" i="12"/>
  <c r="P32" i="12"/>
  <c r="J87" i="12"/>
  <c r="G40" i="12"/>
  <c r="N99" i="12"/>
  <c r="H17" i="12"/>
  <c r="G48" i="12"/>
  <c r="K32" i="12"/>
  <c r="H37" i="12"/>
  <c r="R78" i="12"/>
  <c r="K95" i="12"/>
  <c r="F21" i="12"/>
  <c r="N62" i="12"/>
  <c r="H16" i="12"/>
  <c r="N107" i="12"/>
  <c r="Q60" i="12"/>
  <c r="J16" i="12"/>
  <c r="H90" i="12"/>
  <c r="M24" i="12"/>
  <c r="Q18" i="12"/>
  <c r="J99" i="12"/>
  <c r="E32" i="12"/>
  <c r="K66" i="12"/>
  <c r="D106" i="12"/>
  <c r="J19" i="12"/>
  <c r="O16" i="12"/>
  <c r="O71" i="12"/>
  <c r="L57" i="12"/>
  <c r="N46" i="12"/>
  <c r="F100" i="12"/>
  <c r="R36" i="12"/>
  <c r="P20" i="12"/>
  <c r="P60" i="12"/>
  <c r="G34" i="12"/>
  <c r="P29" i="12"/>
  <c r="Q50" i="12"/>
  <c r="P61" i="12"/>
  <c r="U68" i="12"/>
  <c r="G60" i="12"/>
  <c r="K101" i="12"/>
  <c r="C54" i="12"/>
  <c r="W54" i="12" s="1"/>
  <c r="W55" i="12" s="1"/>
  <c r="N47" i="12"/>
  <c r="F20" i="12"/>
  <c r="F54" i="12"/>
  <c r="I76" i="12"/>
  <c r="U80" i="12"/>
  <c r="J80" i="12"/>
  <c r="F42" i="12"/>
  <c r="G97" i="12"/>
  <c r="J28" i="12"/>
  <c r="M23" i="12"/>
  <c r="P102" i="12"/>
  <c r="J62" i="12"/>
  <c r="P37" i="12"/>
  <c r="N95" i="12"/>
  <c r="E47" i="12"/>
  <c r="L80" i="12"/>
  <c r="I65" i="12"/>
  <c r="H94" i="12"/>
  <c r="F53" i="12"/>
  <c r="L97" i="12"/>
  <c r="E31" i="12"/>
  <c r="J98" i="12"/>
  <c r="O69" i="12"/>
  <c r="Q58" i="12"/>
  <c r="F66" i="12"/>
  <c r="L71" i="12"/>
  <c r="L83" i="12"/>
  <c r="K67" i="12"/>
  <c r="E38" i="12"/>
  <c r="U78" i="12"/>
  <c r="O63" i="12"/>
  <c r="D20" i="12"/>
  <c r="I45" i="12"/>
  <c r="L37" i="12"/>
  <c r="E41" i="12"/>
  <c r="M26" i="12"/>
  <c r="J17" i="12"/>
  <c r="K31" i="12"/>
  <c r="N54" i="12"/>
  <c r="H67" i="12"/>
  <c r="S32" i="12"/>
  <c r="N96" i="12"/>
  <c r="G107" i="12"/>
  <c r="I98" i="12"/>
  <c r="N39" i="12"/>
  <c r="M83" i="12"/>
  <c r="M91" i="12"/>
  <c r="I100" i="12"/>
  <c r="P89" i="12"/>
  <c r="H29" i="12"/>
  <c r="P57" i="12"/>
  <c r="H77" i="12"/>
  <c r="L84" i="12"/>
  <c r="H95" i="12"/>
  <c r="D16" i="12"/>
  <c r="D48" i="12"/>
  <c r="R24" i="12"/>
  <c r="E74" i="12"/>
  <c r="I23" i="12"/>
  <c r="E85" i="12"/>
  <c r="N56" i="12"/>
  <c r="E73" i="12"/>
  <c r="E94" i="12"/>
  <c r="D104" i="12"/>
  <c r="D24" i="12"/>
  <c r="P28" i="12"/>
  <c r="D82" i="12"/>
  <c r="I86" i="12"/>
  <c r="L39" i="12"/>
  <c r="G50" i="12"/>
  <c r="M107" i="12"/>
  <c r="L22" i="12"/>
  <c r="N98" i="12"/>
  <c r="O91" i="12"/>
  <c r="G35" i="12"/>
  <c r="U86" i="12"/>
  <c r="J105" i="12"/>
  <c r="E45" i="12"/>
  <c r="G85" i="12"/>
  <c r="M57" i="12"/>
  <c r="G98" i="12"/>
  <c r="R86" i="12"/>
  <c r="N76" i="12"/>
  <c r="F104" i="12"/>
  <c r="C98" i="12"/>
  <c r="W98" i="12" s="1"/>
  <c r="W99" i="12" s="1"/>
  <c r="C16" i="12"/>
  <c r="W16" i="12" s="1"/>
  <c r="W17" i="12" s="1"/>
  <c r="L102" i="12"/>
  <c r="C82" i="12"/>
  <c r="W82" i="12" s="1"/>
  <c r="W83" i="12" s="1"/>
  <c r="N45" i="12"/>
  <c r="O58" i="12"/>
  <c r="S44" i="12"/>
  <c r="H69" i="12"/>
  <c r="O56" i="12"/>
  <c r="F93" i="12"/>
  <c r="P16" i="12"/>
  <c r="K81" i="12"/>
  <c r="O83" i="12"/>
  <c r="F74" i="12"/>
  <c r="N48" i="12"/>
  <c r="O26" i="12"/>
  <c r="J106" i="12"/>
  <c r="M88" i="12"/>
  <c r="O34" i="12"/>
  <c r="J24" i="12"/>
  <c r="K40" i="12"/>
  <c r="J94" i="12"/>
  <c r="M48" i="12"/>
  <c r="O48" i="12"/>
  <c r="N49" i="12"/>
  <c r="L43" i="12"/>
  <c r="O68" i="12"/>
  <c r="N50" i="12"/>
  <c r="I57" i="12"/>
  <c r="K71" i="12"/>
  <c r="E67" i="12"/>
  <c r="F25" i="12"/>
  <c r="E79" i="12"/>
  <c r="I24" i="12"/>
  <c r="U24" i="12"/>
  <c r="F85" i="12"/>
  <c r="K53" i="12"/>
  <c r="J76" i="12"/>
  <c r="O24" i="12"/>
  <c r="I68" i="12"/>
  <c r="G70" i="12"/>
  <c r="R102" i="12"/>
  <c r="G77" i="12"/>
  <c r="O43" i="12"/>
  <c r="G42" i="12"/>
  <c r="I93" i="12"/>
  <c r="G93" i="12"/>
  <c r="N73" i="12"/>
  <c r="J77" i="12"/>
  <c r="F46" i="12"/>
  <c r="L92" i="12"/>
  <c r="P27" i="12"/>
  <c r="J45" i="12"/>
  <c r="P86" i="12"/>
  <c r="O98" i="12"/>
  <c r="R30" i="12"/>
  <c r="I58" i="12"/>
  <c r="P43" i="12"/>
  <c r="I16" i="12"/>
  <c r="M27" i="12"/>
  <c r="H43" i="12"/>
  <c r="N27" i="12"/>
  <c r="D72" i="12"/>
  <c r="Q64" i="12"/>
  <c r="S56" i="12"/>
  <c r="E104" i="12"/>
  <c r="D84" i="12"/>
  <c r="K63" i="12"/>
  <c r="G51" i="12"/>
  <c r="I102" i="12"/>
  <c r="E82" i="12"/>
  <c r="N26" i="12"/>
  <c r="I95" i="12"/>
  <c r="P64" i="12"/>
  <c r="C36" i="12"/>
  <c r="W36" i="12" s="1"/>
  <c r="W37" i="12" s="1"/>
  <c r="N84" i="12"/>
  <c r="H104" i="12"/>
  <c r="J93" i="12"/>
  <c r="G63" i="12"/>
  <c r="C76" i="12"/>
  <c r="W76" i="12" s="1"/>
  <c r="W77" i="12" s="1"/>
  <c r="G19" i="12"/>
  <c r="J78" i="12"/>
  <c r="M39" i="12"/>
  <c r="N75" i="12"/>
  <c r="K60" i="12"/>
  <c r="U48" i="12"/>
  <c r="H66" i="12"/>
  <c r="H74" i="12"/>
  <c r="N34" i="12"/>
  <c r="N25" i="12"/>
  <c r="E64" i="12"/>
  <c r="S28" i="12"/>
  <c r="N82" i="12"/>
  <c r="F28" i="12"/>
  <c r="I60" i="12"/>
  <c r="H81" i="12"/>
  <c r="S48" i="12"/>
  <c r="P35" i="12"/>
  <c r="U20" i="12"/>
  <c r="K84" i="12"/>
  <c r="R46" i="12"/>
  <c r="P84" i="12"/>
  <c r="P45" i="12"/>
  <c r="F71" i="12"/>
  <c r="N17" i="12"/>
  <c r="H103" i="12"/>
  <c r="K38" i="12"/>
  <c r="P36" i="12"/>
  <c r="G61" i="12"/>
  <c r="J42" i="12"/>
  <c r="J102" i="12"/>
  <c r="F55" i="12"/>
  <c r="U96" i="12"/>
  <c r="M87" i="12"/>
  <c r="I64" i="12"/>
  <c r="K93" i="12"/>
  <c r="K97" i="12"/>
  <c r="D52" i="12"/>
  <c r="K54" i="12"/>
  <c r="M66" i="12"/>
  <c r="Q62" i="12"/>
  <c r="C58" i="12"/>
  <c r="W58" i="12" s="1"/>
  <c r="W59" i="12" s="1"/>
  <c r="E37" i="12"/>
  <c r="U36" i="12"/>
  <c r="S86" i="12"/>
  <c r="K55" i="12"/>
  <c r="N23" i="12"/>
  <c r="I41" i="12"/>
  <c r="O88" i="12"/>
  <c r="S90" i="12"/>
  <c r="C74" i="12"/>
  <c r="W74" i="12" s="1"/>
  <c r="W75" i="12" s="1"/>
  <c r="C88" i="12"/>
  <c r="W88" i="12" s="1"/>
  <c r="W89" i="12" s="1"/>
  <c r="L31" i="12"/>
  <c r="S92" i="12"/>
  <c r="O103" i="12"/>
  <c r="L16" i="12"/>
  <c r="U60" i="12"/>
  <c r="G84" i="12"/>
  <c r="R16" i="12"/>
  <c r="N101" i="12"/>
  <c r="K58" i="12"/>
  <c r="G74" i="12"/>
  <c r="H35" i="12"/>
  <c r="L99" i="12"/>
  <c r="N70" i="12"/>
  <c r="P58" i="12"/>
  <c r="D38" i="12"/>
  <c r="O35" i="12"/>
  <c r="E46" i="12"/>
  <c r="H59" i="12"/>
  <c r="R104" i="12"/>
  <c r="O74" i="12"/>
  <c r="N58" i="12"/>
  <c r="U92" i="12"/>
  <c r="H61" i="12"/>
  <c r="D36" i="12"/>
  <c r="I17" i="12"/>
  <c r="H27" i="12"/>
  <c r="F95" i="12"/>
  <c r="D86" i="12"/>
  <c r="I53" i="12"/>
  <c r="K86" i="12"/>
  <c r="K68" i="12"/>
  <c r="F40" i="12"/>
  <c r="J95" i="12"/>
  <c r="O18" i="12"/>
  <c r="C60" i="12"/>
  <c r="W60" i="12" s="1"/>
  <c r="W61" i="12" s="1"/>
  <c r="L65" i="12"/>
  <c r="J91" i="12"/>
  <c r="S60" i="12"/>
  <c r="S82" i="12"/>
  <c r="I38" i="12"/>
  <c r="L64" i="12"/>
  <c r="M98" i="12"/>
  <c r="J61" i="12"/>
  <c r="K24" i="12"/>
  <c r="P71" i="12"/>
  <c r="H26" i="12"/>
  <c r="I69" i="12"/>
  <c r="P104" i="12"/>
  <c r="S84" i="12"/>
  <c r="P105" i="12"/>
  <c r="F69" i="12"/>
  <c r="N85" i="12"/>
  <c r="H39" i="12"/>
  <c r="E19" i="12"/>
  <c r="G72" i="12"/>
  <c r="E22" i="12"/>
  <c r="G96" i="12"/>
  <c r="G56" i="12"/>
  <c r="P41" i="12"/>
  <c r="H18" i="12"/>
  <c r="F89" i="12"/>
  <c r="I107" i="12"/>
  <c r="I71" i="12"/>
  <c r="C86" i="12"/>
  <c r="W86" i="12" s="1"/>
  <c r="W87" i="12" s="1"/>
  <c r="D88" i="12"/>
  <c r="J59" i="12"/>
  <c r="C18" i="12"/>
  <c r="W18" i="12" s="1"/>
  <c r="W19" i="12" s="1"/>
  <c r="C32" i="12"/>
  <c r="W32" i="12" s="1"/>
  <c r="W33" i="12" s="1"/>
  <c r="D22" i="12"/>
  <c r="L41" i="12"/>
  <c r="R52" i="12"/>
  <c r="J67" i="12"/>
  <c r="K41" i="12"/>
  <c r="K17" i="12"/>
  <c r="S66" i="12"/>
  <c r="M72" i="12"/>
  <c r="R98" i="12"/>
  <c r="E28" i="12"/>
  <c r="M30" i="12"/>
  <c r="D76" i="12"/>
  <c r="J58" i="12"/>
  <c r="M92" i="12"/>
  <c r="N92" i="12"/>
  <c r="N57" i="12"/>
  <c r="C34" i="12"/>
  <c r="W34" i="12" s="1"/>
  <c r="W35" i="12" s="1"/>
  <c r="H45" i="12"/>
  <c r="S52" i="12"/>
  <c r="G38" i="12"/>
  <c r="H70" i="12"/>
  <c r="L18" i="12"/>
  <c r="L67" i="12"/>
  <c r="J26" i="12"/>
  <c r="K94" i="12"/>
  <c r="J30" i="12"/>
  <c r="O23" i="12"/>
  <c r="R76" i="12"/>
  <c r="U26" i="12"/>
  <c r="K23" i="12"/>
  <c r="M38" i="12"/>
  <c r="E54" i="12"/>
  <c r="R22" i="12"/>
  <c r="O65" i="12"/>
  <c r="C66" i="12"/>
  <c r="W66" i="12" s="1"/>
  <c r="W67" i="12" s="1"/>
  <c r="O51" i="12"/>
  <c r="E34" i="12"/>
  <c r="J85" i="12"/>
  <c r="F38" i="12"/>
  <c r="O60" i="12"/>
  <c r="N80" i="12"/>
  <c r="M42" i="12"/>
  <c r="E80" i="12"/>
  <c r="I91" i="12"/>
  <c r="R56" i="12"/>
  <c r="J75" i="12"/>
  <c r="E88" i="12"/>
  <c r="P72" i="12"/>
  <c r="J49" i="12"/>
  <c r="J101" i="12"/>
  <c r="M20" i="12"/>
  <c r="J41" i="12"/>
  <c r="F107" i="12"/>
  <c r="N78" i="12"/>
  <c r="N72" i="12"/>
  <c r="G80" i="12"/>
  <c r="H23" i="12"/>
  <c r="P77" i="12"/>
  <c r="G100" i="12"/>
  <c r="S62" i="12"/>
  <c r="Q100" i="12"/>
  <c r="N29" i="12"/>
  <c r="K99" i="12"/>
  <c r="G16" i="12"/>
  <c r="N102" i="12"/>
  <c r="I42" i="12"/>
  <c r="R50" i="12"/>
  <c r="U56" i="12"/>
  <c r="H78" i="12"/>
  <c r="K87" i="12"/>
  <c r="D78" i="12"/>
  <c r="L58" i="12"/>
  <c r="O44" i="12"/>
  <c r="M71" i="12"/>
  <c r="L90" i="12"/>
  <c r="K76" i="12"/>
  <c r="G94" i="12"/>
  <c r="H60" i="12"/>
  <c r="I18" i="12"/>
  <c r="K106" i="12"/>
  <c r="R58" i="12"/>
  <c r="H51" i="12"/>
  <c r="M25" i="12"/>
  <c r="D58" i="12"/>
  <c r="L72" i="12"/>
  <c r="I92" i="12"/>
  <c r="I22" i="12"/>
  <c r="L60" i="12"/>
  <c r="N16" i="12"/>
  <c r="H75" i="12"/>
  <c r="G79" i="12"/>
  <c r="R90" i="12"/>
  <c r="I59" i="12"/>
  <c r="S106" i="12"/>
  <c r="O42" i="12"/>
  <c r="U28" i="12"/>
  <c r="J54" i="12"/>
  <c r="F37" i="12"/>
  <c r="H58" i="12"/>
  <c r="Q42" i="12"/>
  <c r="I47" i="12"/>
  <c r="C64" i="12"/>
  <c r="W64" i="12" s="1"/>
  <c r="W65" i="12" s="1"/>
  <c r="M63" i="12"/>
  <c r="S34" i="12"/>
  <c r="P31" i="12"/>
  <c r="Q28" i="12"/>
  <c r="G81" i="12"/>
  <c r="G104" i="12"/>
  <c r="E76" i="12"/>
  <c r="P69" i="12"/>
  <c r="I104" i="12"/>
  <c r="S46" i="12"/>
  <c r="J25" i="12"/>
  <c r="K37" i="12"/>
  <c r="P73" i="12"/>
  <c r="D70" i="12"/>
  <c r="G18" i="12"/>
  <c r="J56" i="12"/>
  <c r="P80" i="12"/>
  <c r="H55" i="12"/>
  <c r="O97" i="12"/>
  <c r="K83" i="12"/>
  <c r="M95" i="12"/>
  <c r="E57" i="12"/>
  <c r="E58" i="12"/>
  <c r="Q56" i="12"/>
  <c r="Q48" i="12"/>
  <c r="M55" i="12"/>
  <c r="E56" i="12"/>
  <c r="S18" i="12"/>
  <c r="Q16" i="12"/>
  <c r="C30" i="12"/>
  <c r="W30" i="12" s="1"/>
  <c r="W31" i="12" s="1"/>
  <c r="F50" i="12"/>
  <c r="E65" i="12"/>
  <c r="I36" i="12"/>
  <c r="K72" i="12"/>
  <c r="R70" i="12"/>
  <c r="N89" i="12"/>
  <c r="G46" i="12"/>
  <c r="M53" i="12"/>
  <c r="P99" i="12"/>
  <c r="L55" i="12"/>
  <c r="S80" i="12"/>
  <c r="I78" i="12"/>
  <c r="E70" i="12"/>
  <c r="N104" i="12"/>
  <c r="O45" i="12"/>
  <c r="C62" i="12"/>
  <c r="W62" i="12" s="1"/>
  <c r="W63" i="12" s="1"/>
  <c r="M101" i="12"/>
  <c r="Q104" i="12"/>
  <c r="C106" i="12"/>
  <c r="W106" i="12" s="1"/>
  <c r="W107" i="12" s="1"/>
  <c r="I21" i="12"/>
  <c r="M29" i="12"/>
  <c r="K19" i="12"/>
  <c r="K16" i="12"/>
  <c r="S96" i="12"/>
  <c r="D64" i="12"/>
  <c r="F73" i="12"/>
  <c r="D42" i="12"/>
  <c r="O20" i="12"/>
  <c r="M56" i="12"/>
  <c r="P103" i="12"/>
  <c r="H30" i="12"/>
  <c r="F36" i="12"/>
  <c r="R96" i="12"/>
  <c r="J47" i="12"/>
  <c r="R74" i="12"/>
  <c r="L96" i="12"/>
  <c r="R42" i="12"/>
  <c r="E40" i="12"/>
  <c r="K64" i="12"/>
  <c r="E59" i="12"/>
  <c r="I97" i="12"/>
  <c r="J39" i="12"/>
  <c r="P17" i="12"/>
  <c r="H106" i="12"/>
  <c r="F29" i="12"/>
  <c r="E103" i="12"/>
  <c r="H107" i="12"/>
  <c r="H48" i="12"/>
  <c r="P21" i="12"/>
  <c r="F103" i="12"/>
  <c r="L98" i="12"/>
  <c r="H22" i="12"/>
  <c r="L28" i="12"/>
  <c r="E96" i="12"/>
  <c r="Q72" i="12"/>
  <c r="I96" i="12"/>
  <c r="S40" i="12"/>
  <c r="N53" i="12"/>
  <c r="O85" i="12"/>
  <c r="F70" i="12"/>
  <c r="I103" i="12"/>
  <c r="F23" i="12"/>
  <c r="M33" i="12"/>
  <c r="Q68" i="12"/>
  <c r="O77" i="12"/>
  <c r="E90" i="12"/>
  <c r="G33" i="12"/>
  <c r="J82" i="12"/>
  <c r="F60" i="12"/>
  <c r="O53" i="12"/>
  <c r="K20" i="12"/>
  <c r="G106" i="12"/>
  <c r="L94" i="12"/>
  <c r="J46" i="12"/>
  <c r="J66" i="12"/>
  <c r="J74" i="12"/>
  <c r="H68" i="12"/>
  <c r="Q80" i="12"/>
  <c r="D92" i="12"/>
  <c r="O54" i="12"/>
  <c r="I84" i="12"/>
  <c r="P93" i="12"/>
  <c r="L21" i="12"/>
  <c r="C92" i="12"/>
  <c r="W92" i="12" s="1"/>
  <c r="W93" i="12" s="1"/>
  <c r="J50" i="12"/>
  <c r="L38" i="12"/>
  <c r="J92" i="12"/>
  <c r="K103" i="12"/>
  <c r="J96" i="12"/>
  <c r="F27" i="12"/>
  <c r="D34" i="12"/>
  <c r="M65" i="12"/>
  <c r="P95" i="12"/>
  <c r="L36" i="12"/>
  <c r="J100" i="12"/>
  <c r="H64" i="12"/>
  <c r="M76" i="12"/>
  <c r="O75" i="12"/>
  <c r="E60" i="12"/>
  <c r="M44" i="12"/>
  <c r="E53" i="12"/>
  <c r="L82" i="12"/>
  <c r="O21" i="12"/>
  <c r="O40" i="12"/>
  <c r="G95" i="12"/>
  <c r="E72" i="12"/>
  <c r="K52" i="12"/>
  <c r="I29" i="12"/>
  <c r="F26" i="12"/>
  <c r="N33" i="12"/>
  <c r="P66" i="12"/>
  <c r="Q82" i="12"/>
  <c r="D28" i="12"/>
  <c r="M81" i="12"/>
  <c r="I83" i="12"/>
  <c r="M67" i="12"/>
  <c r="O107" i="12"/>
  <c r="M59" i="12"/>
  <c r="N83" i="12"/>
  <c r="O89" i="12"/>
  <c r="G68" i="12"/>
  <c r="H65" i="12"/>
  <c r="E51" i="12"/>
  <c r="O72" i="12"/>
  <c r="S20" i="12"/>
  <c r="I106" i="12"/>
  <c r="J89" i="12"/>
  <c r="G64" i="12"/>
  <c r="G75" i="12"/>
  <c r="E68" i="12"/>
  <c r="M79" i="12"/>
  <c r="K100" i="12"/>
  <c r="L45" i="12"/>
  <c r="L24" i="12"/>
  <c r="R66" i="12"/>
  <c r="L106" i="12"/>
  <c r="K42" i="12"/>
  <c r="N77" i="12"/>
  <c r="F78" i="12"/>
  <c r="N86" i="12"/>
  <c r="C70" i="12"/>
  <c r="W70" i="12" s="1"/>
  <c r="W71" i="12" s="1"/>
  <c r="H82" i="12"/>
  <c r="P26" i="12"/>
  <c r="G103" i="12"/>
  <c r="I50" i="12"/>
  <c r="L34" i="12"/>
  <c r="P97" i="12"/>
  <c r="G49" i="12"/>
  <c r="E62" i="12"/>
  <c r="F24" i="12"/>
  <c r="L87" i="12"/>
  <c r="E21" i="12"/>
  <c r="D18" i="12"/>
  <c r="H33" i="12"/>
  <c r="C102" i="12"/>
  <c r="W102" i="12" s="1"/>
  <c r="W103" i="12" s="1"/>
  <c r="I46" i="12"/>
  <c r="E71" i="12"/>
  <c r="H76" i="12"/>
  <c r="O80" i="12"/>
  <c r="E91" i="12"/>
  <c r="O19" i="12"/>
  <c r="F98" i="12"/>
  <c r="F101" i="12"/>
  <c r="O29" i="12"/>
  <c r="E33" i="12"/>
  <c r="U76" i="12"/>
  <c r="L85" i="12"/>
  <c r="G67" i="12"/>
  <c r="P22" i="12"/>
  <c r="E81" i="12"/>
  <c r="S24" i="12"/>
  <c r="F75" i="12"/>
  <c r="E89" i="12"/>
  <c r="J18" i="12"/>
  <c r="K21" i="12"/>
  <c r="D56" i="12"/>
  <c r="O95" i="12"/>
  <c r="L68" i="12"/>
  <c r="K96" i="12"/>
  <c r="D46" i="12"/>
  <c r="O41" i="12"/>
  <c r="I88" i="12"/>
  <c r="Q38" i="12"/>
  <c r="S74" i="12"/>
  <c r="R26" i="12"/>
  <c r="P68" i="12"/>
  <c r="M103" i="12"/>
  <c r="F84" i="12"/>
  <c r="U18" i="12"/>
  <c r="N40" i="12"/>
  <c r="M82" i="12"/>
  <c r="J22" i="12"/>
  <c r="P24" i="12"/>
  <c r="D66" i="12"/>
  <c r="F63" i="12"/>
  <c r="U52" i="12"/>
  <c r="F30" i="12"/>
  <c r="S70" i="12"/>
  <c r="F22" i="12"/>
  <c r="M34" i="12"/>
  <c r="E95" i="12"/>
  <c r="Q40" i="12"/>
  <c r="J64" i="12"/>
  <c r="M94" i="12"/>
  <c r="J88" i="12"/>
  <c r="L42" i="12"/>
  <c r="J68" i="12"/>
  <c r="C46" i="12"/>
  <c r="W46" i="12" s="1"/>
  <c r="W47" i="12" s="1"/>
  <c r="F99" i="12"/>
  <c r="O25" i="12"/>
  <c r="N28" i="12"/>
  <c r="G87" i="12"/>
  <c r="M43" i="12"/>
  <c r="L86" i="12"/>
  <c r="R32" i="12"/>
  <c r="P107" i="12"/>
  <c r="G65" i="12"/>
  <c r="D32" i="12"/>
  <c r="N69" i="12"/>
  <c r="C44" i="12"/>
  <c r="W44" i="12" s="1"/>
  <c r="W45" i="12" s="1"/>
  <c r="C52" i="12"/>
  <c r="W52" i="12" s="1"/>
  <c r="W53" i="12" s="1"/>
  <c r="N106" i="12"/>
  <c r="F61" i="12"/>
  <c r="F43" i="12"/>
  <c r="H80" i="12"/>
  <c r="S76" i="12"/>
  <c r="L63" i="12"/>
  <c r="J44" i="12"/>
  <c r="L26" i="12"/>
  <c r="O81" i="12"/>
  <c r="G25" i="12"/>
  <c r="H63" i="12"/>
  <c r="H36" i="12"/>
  <c r="O46" i="12"/>
  <c r="Q22" i="12"/>
  <c r="C80" i="12"/>
  <c r="W80" i="12" s="1"/>
  <c r="W81" i="12" s="1"/>
  <c r="J72" i="12"/>
  <c r="M46" i="12"/>
  <c r="O28" i="12"/>
  <c r="R68" i="12"/>
  <c r="E55" i="12"/>
  <c r="P101" i="12"/>
  <c r="L61" i="12"/>
  <c r="P30" i="12"/>
  <c r="P96" i="12"/>
  <c r="S100" i="12"/>
  <c r="K61" i="12"/>
  <c r="E102" i="12"/>
  <c r="E52" i="12"/>
  <c r="H85" i="12"/>
  <c r="E77" i="12"/>
  <c r="J23" i="12"/>
  <c r="Q52" i="12"/>
  <c r="N79" i="12"/>
  <c r="M85" i="12"/>
  <c r="S36" i="12"/>
  <c r="F45" i="12"/>
  <c r="E69" i="12"/>
  <c r="J57" i="12"/>
  <c r="P38" i="12"/>
  <c r="F83" i="12"/>
  <c r="O79" i="12"/>
  <c r="F97" i="12"/>
  <c r="O92" i="12"/>
  <c r="K35" i="12"/>
  <c r="F67" i="12"/>
  <c r="H42" i="12"/>
  <c r="S88" i="12"/>
  <c r="K36" i="12"/>
  <c r="R54" i="12"/>
  <c r="G55" i="12"/>
  <c r="J83" i="12"/>
  <c r="J104" i="12"/>
  <c r="C24" i="12"/>
  <c r="W24" i="12" s="1"/>
  <c r="W25" i="12" s="1"/>
  <c r="N88" i="12"/>
  <c r="O100" i="12"/>
  <c r="M62" i="12"/>
  <c r="O96" i="12"/>
  <c r="L49" i="12"/>
  <c r="F51" i="12"/>
  <c r="M106" i="12"/>
  <c r="O17" i="12"/>
  <c r="I80" i="12"/>
  <c r="M45" i="12"/>
  <c r="U82" i="12"/>
  <c r="O101" i="12"/>
  <c r="O99" i="12"/>
  <c r="U32" i="12"/>
  <c r="O105" i="12"/>
  <c r="E97" i="12"/>
  <c r="F56" i="12"/>
  <c r="Q74" i="12"/>
  <c r="J43" i="12"/>
  <c r="M51" i="12"/>
  <c r="N60" i="12"/>
  <c r="G105" i="12"/>
  <c r="F79" i="12"/>
  <c r="C20" i="12"/>
  <c r="W20" i="12" s="1"/>
  <c r="W21" i="12" s="1"/>
  <c r="F96" i="12"/>
  <c r="I51" i="12"/>
  <c r="K62" i="12"/>
  <c r="P100" i="12"/>
  <c r="O59" i="12"/>
  <c r="K57" i="12"/>
  <c r="J37" i="12"/>
  <c r="U106" i="12"/>
  <c r="H84" i="12"/>
  <c r="U64" i="12"/>
  <c r="N24" i="12"/>
  <c r="R100" i="12"/>
  <c r="S54" i="12"/>
  <c r="F86" i="12"/>
  <c r="Q44" i="12"/>
  <c r="S30" i="12"/>
  <c r="I85" i="12"/>
  <c r="J69" i="12"/>
  <c r="L30" i="12"/>
  <c r="L29" i="12"/>
  <c r="H91" i="12"/>
  <c r="I89" i="12"/>
  <c r="D30" i="12"/>
  <c r="N103" i="12"/>
  <c r="C96" i="12"/>
  <c r="W96" i="12" s="1"/>
  <c r="W97" i="12" s="1"/>
  <c r="H57" i="12"/>
  <c r="F92" i="12"/>
  <c r="K49" i="12"/>
  <c r="U38" i="12"/>
  <c r="N31" i="12"/>
  <c r="H101" i="12"/>
  <c r="O49" i="12"/>
  <c r="M84" i="12"/>
  <c r="Q96" i="12"/>
  <c r="L20" i="12"/>
  <c r="S16" i="12"/>
  <c r="P62" i="12"/>
  <c r="N105" i="12"/>
  <c r="N18" i="12"/>
  <c r="J51" i="12"/>
  <c r="L77" i="12"/>
  <c r="M40" i="12"/>
  <c r="G37" i="12"/>
  <c r="I37" i="12"/>
  <c r="Q36" i="12"/>
  <c r="O32" i="12"/>
  <c r="I79" i="12"/>
  <c r="L25" i="12"/>
  <c r="K85" i="12"/>
  <c r="R60" i="12"/>
  <c r="P106" i="12"/>
  <c r="D102" i="12"/>
  <c r="N65" i="12"/>
  <c r="G90" i="12"/>
  <c r="S64" i="12"/>
  <c r="E39" i="12"/>
  <c r="E18" i="12"/>
  <c r="I66" i="12"/>
  <c r="J107" i="12"/>
  <c r="N37" i="12"/>
  <c r="I74" i="12"/>
  <c r="U66" i="12"/>
  <c r="E63" i="12"/>
  <c r="J52" i="12"/>
  <c r="O50" i="12"/>
  <c r="L35" i="12"/>
  <c r="G39" i="12"/>
  <c r="K65" i="12"/>
  <c r="S50" i="12"/>
  <c r="E43" i="12"/>
  <c r="S26" i="12"/>
  <c r="J65" i="12"/>
  <c r="I44" i="12"/>
  <c r="L78" i="12"/>
  <c r="E92" i="12"/>
  <c r="N74" i="12"/>
  <c r="H100" i="12"/>
  <c r="G30" i="12"/>
  <c r="E98" i="12"/>
  <c r="G78" i="12"/>
  <c r="N71" i="12"/>
  <c r="L104" i="12"/>
  <c r="P40" i="12"/>
  <c r="M64" i="12"/>
  <c r="U40" i="12"/>
  <c r="F88" i="12"/>
  <c r="P87" i="12"/>
  <c r="J36" i="12"/>
  <c r="I39" i="12"/>
  <c r="I101" i="12"/>
  <c r="Q20" i="12"/>
  <c r="F19" i="12"/>
  <c r="L17" i="12"/>
  <c r="O30" i="12"/>
  <c r="P18" i="12"/>
  <c r="Q102" i="12"/>
  <c r="E50" i="12"/>
  <c r="L56" i="12"/>
  <c r="I87" i="12"/>
  <c r="H50" i="12"/>
  <c r="I54" i="12"/>
  <c r="U98" i="12"/>
  <c r="I67" i="12"/>
  <c r="M47" i="12"/>
  <c r="F64" i="12"/>
  <c r="G69" i="12"/>
  <c r="I31" i="12"/>
  <c r="G29" i="12"/>
  <c r="G43" i="12"/>
  <c r="N63" i="12"/>
  <c r="P91" i="12"/>
  <c r="K104" i="12"/>
  <c r="F105" i="12"/>
  <c r="P90" i="12"/>
  <c r="O67" i="12"/>
  <c r="S38" i="12"/>
  <c r="I33" i="12"/>
  <c r="J53" i="12"/>
  <c r="Q30" i="12"/>
  <c r="J63" i="12"/>
  <c r="E29" i="12"/>
  <c r="K51" i="12"/>
  <c r="E107" i="12"/>
  <c r="G28" i="12"/>
  <c r="Q32" i="12"/>
  <c r="E61" i="12"/>
  <c r="I55" i="12"/>
  <c r="P49" i="12"/>
  <c r="N59" i="12"/>
  <c r="H32" i="12"/>
  <c r="N36" i="12"/>
  <c r="M99" i="12"/>
  <c r="N21" i="12"/>
  <c r="D60" i="12"/>
  <c r="G47" i="12"/>
  <c r="N64" i="12"/>
  <c r="D80" i="12"/>
  <c r="C42" i="12"/>
  <c r="W42" i="12" s="1"/>
  <c r="W43" i="12" s="1"/>
  <c r="M89" i="12"/>
  <c r="N68" i="12"/>
  <c r="R72" i="12"/>
  <c r="M70" i="12"/>
  <c r="C40" i="12"/>
  <c r="W40" i="12" s="1"/>
  <c r="W41" i="12" s="1"/>
  <c r="L103" i="12"/>
  <c r="P56" i="12"/>
  <c r="O27" i="12"/>
  <c r="H34" i="12"/>
  <c r="K92" i="12"/>
  <c r="I72" i="12"/>
  <c r="E66" i="12"/>
  <c r="L76" i="12"/>
  <c r="G82" i="12"/>
  <c r="J55" i="12"/>
  <c r="P19" i="12"/>
  <c r="H89" i="12"/>
  <c r="F16" i="12"/>
  <c r="M97" i="12"/>
  <c r="G31" i="12"/>
  <c r="E48" i="12"/>
  <c r="C38" i="12"/>
  <c r="W38" i="12" s="1"/>
  <c r="W39" i="12" s="1"/>
  <c r="G58" i="12"/>
  <c r="O90" i="12"/>
  <c r="L59" i="12"/>
  <c r="J34" i="12"/>
  <c r="R62" i="12"/>
  <c r="K73" i="12"/>
  <c r="L46" i="12"/>
  <c r="P54" i="12"/>
  <c r="K48" i="12"/>
  <c r="R88" i="12"/>
  <c r="O104" i="12"/>
  <c r="E23" i="12"/>
  <c r="P47" i="12"/>
  <c r="F47" i="12"/>
  <c r="N97" i="12"/>
  <c r="R92" i="12"/>
  <c r="K26" i="12"/>
  <c r="M102" i="12"/>
  <c r="L48" i="12"/>
  <c r="M80" i="12"/>
  <c r="H92" i="12"/>
  <c r="K102" i="12"/>
  <c r="G62" i="12"/>
  <c r="M35" i="12"/>
  <c r="R48" i="12"/>
  <c r="E84" i="12"/>
  <c r="E99" i="12"/>
  <c r="S58" i="12"/>
  <c r="F52" i="12"/>
  <c r="M22" i="12"/>
  <c r="D100" i="12"/>
  <c r="H72" i="12"/>
  <c r="L44" i="12"/>
  <c r="H62" i="12"/>
  <c r="J27" i="12"/>
  <c r="O106" i="12"/>
  <c r="C104" i="12"/>
  <c r="W104" i="12" s="1"/>
  <c r="W105" i="12" s="1"/>
  <c r="K91" i="12"/>
  <c r="O87" i="12"/>
  <c r="Q88" i="12"/>
  <c r="C100" i="12"/>
  <c r="W100" i="12" s="1"/>
  <c r="W101" i="12" s="1"/>
  <c r="F77" i="12"/>
  <c r="I35" i="12"/>
  <c r="R84" i="12"/>
  <c r="J29" i="12"/>
  <c r="L75" i="12"/>
  <c r="J32" i="12"/>
  <c r="E42" i="12"/>
  <c r="P50" i="12"/>
  <c r="O66" i="12"/>
  <c r="M74" i="12"/>
  <c r="Q54" i="12"/>
  <c r="L107" i="12"/>
  <c r="K39" i="12"/>
  <c r="C50" i="12"/>
  <c r="W50" i="12" s="1"/>
  <c r="W51" i="12" s="1"/>
  <c r="M17" i="12"/>
  <c r="U34" i="12"/>
  <c r="G76" i="12"/>
  <c r="L27" i="12"/>
  <c r="G23" i="12"/>
  <c r="K34" i="12"/>
  <c r="L70" i="12"/>
  <c r="U84" i="12"/>
  <c r="I26" i="12"/>
  <c r="K29" i="12"/>
  <c r="I105" i="12"/>
  <c r="M41" i="12"/>
  <c r="C28" i="12"/>
  <c r="W28" i="12" s="1"/>
  <c r="W29" i="12" s="1"/>
  <c r="K45" i="12"/>
  <c r="L69" i="12"/>
  <c r="I34" i="12"/>
  <c r="I70" i="12"/>
  <c r="U42" i="12"/>
  <c r="M37" i="12"/>
  <c r="M31" i="12"/>
  <c r="N67" i="12"/>
  <c r="L101" i="12"/>
  <c r="P51" i="12"/>
  <c r="F57" i="12"/>
  <c r="U62" i="12"/>
  <c r="J33" i="12"/>
  <c r="M49" i="12"/>
  <c r="K22" i="12"/>
  <c r="G71" i="12"/>
  <c r="I32" i="12"/>
  <c r="F80" i="12"/>
  <c r="H52" i="12"/>
  <c r="R44" i="12"/>
  <c r="M105" i="12"/>
  <c r="P65" i="12"/>
  <c r="Q70" i="12"/>
  <c r="K56" i="12"/>
  <c r="S104" i="12"/>
  <c r="K82" i="12"/>
  <c r="J60" i="12"/>
  <c r="G54" i="12"/>
  <c r="N94" i="12"/>
  <c r="M93" i="12"/>
  <c r="K107" i="12"/>
  <c r="J48" i="12"/>
  <c r="G66" i="12"/>
  <c r="E30" i="12"/>
  <c r="P25" i="12"/>
  <c r="N66" i="12"/>
  <c r="J38" i="12"/>
  <c r="I43" i="12"/>
  <c r="S102" i="12"/>
  <c r="D68" i="12"/>
  <c r="S22" i="12"/>
  <c r="S68" i="12"/>
  <c r="F94" i="12"/>
  <c r="K69" i="12"/>
  <c r="F106" i="12"/>
  <c r="F33" i="12"/>
  <c r="N55" i="12"/>
  <c r="U16" i="12"/>
  <c r="G26" i="12"/>
  <c r="C84" i="12"/>
  <c r="W84" i="12" s="1"/>
  <c r="W85" i="12" s="1"/>
  <c r="G83" i="12"/>
  <c r="L105" i="12"/>
  <c r="E105" i="12"/>
  <c r="U70" i="12"/>
  <c r="K59" i="12"/>
  <c r="O102" i="12"/>
  <c r="E78" i="12"/>
  <c r="G17" i="12"/>
  <c r="R34" i="12"/>
  <c r="H97" i="12"/>
  <c r="J84" i="12"/>
  <c r="H49" i="12"/>
  <c r="L66" i="12"/>
  <c r="L62" i="12"/>
  <c r="H53" i="12"/>
  <c r="M32" i="12"/>
  <c r="C90" i="12"/>
  <c r="W90" i="12" s="1"/>
  <c r="W91" i="12" s="1"/>
  <c r="F81" i="12"/>
  <c r="H19" i="12"/>
  <c r="C22" i="12"/>
  <c r="W22" i="12" s="1"/>
  <c r="W23" i="12" s="1"/>
  <c r="R94" i="12"/>
  <c r="E106" i="12"/>
  <c r="O57" i="12"/>
  <c r="H20" i="12"/>
  <c r="S72" i="12"/>
  <c r="M69" i="12"/>
  <c r="L88" i="12"/>
  <c r="I56" i="12"/>
  <c r="D94" i="12"/>
  <c r="U72" i="12"/>
  <c r="T76" i="12" l="1"/>
  <c r="T82" i="12"/>
  <c r="T94" i="12"/>
  <c r="T66" i="12"/>
  <c r="T24" i="12"/>
  <c r="T102" i="12"/>
  <c r="T18" i="12"/>
  <c r="T44" i="12"/>
  <c r="T32" i="12"/>
  <c r="T48" i="12"/>
  <c r="T42" i="12"/>
  <c r="T20" i="12"/>
  <c r="T36" i="12"/>
  <c r="T46" i="12"/>
  <c r="T38" i="12"/>
  <c r="T68" i="12"/>
  <c r="T72" i="12"/>
  <c r="T16" i="12"/>
  <c r="T74" i="12"/>
  <c r="T60" i="12"/>
  <c r="T90" i="12"/>
  <c r="T58" i="12"/>
  <c r="T56" i="12"/>
  <c r="T84" i="12"/>
  <c r="T92" i="12"/>
  <c r="T86" i="12"/>
  <c r="T52" i="12"/>
  <c r="T50" i="12"/>
  <c r="T40" i="12"/>
  <c r="T28" i="12"/>
  <c r="T88" i="12"/>
  <c r="T104" i="12"/>
  <c r="T22" i="12"/>
  <c r="T96" i="12"/>
  <c r="T80" i="12"/>
  <c r="T64" i="12"/>
  <c r="T26" i="12"/>
  <c r="T98" i="12"/>
  <c r="T106" i="12"/>
  <c r="T62" i="12"/>
  <c r="T54" i="12"/>
  <c r="T70" i="12"/>
  <c r="T78" i="12"/>
  <c r="T30" i="12"/>
  <c r="T34" i="12"/>
  <c r="T100" i="12"/>
</calcChain>
</file>

<file path=xl/comments1.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Tom Lebsack</author>
  </authors>
  <commentList>
    <comment ref="G1" authorId="0" shapeId="10287" xr:uid="{00000000-0006-0000-0100-000001000000}">
      <text>
        <r>
          <rPr>
            <b/>
            <sz val="9"/>
            <color rgb="FF000000"/>
            <rFont val="Tahoma"/>
            <family val="2"/>
          </rPr>
          <t>Tom Lebsack:</t>
        </r>
        <r>
          <rPr>
            <sz val="9"/>
            <color rgb="FF000000"/>
            <rFont val="Tahoma"/>
            <family val="2"/>
          </rPr>
          <t xml:space="preserve">
</t>
        </r>
        <r>
          <rPr>
            <sz val="11"/>
            <color rgb="FF000000"/>
            <rFont val="Tahoma"/>
            <family val="2"/>
          </rPr>
          <t>The first number to the right is the column number for the first ski size on the ALPINE SKI RENTAL CALCULATOR sheet.  Having this makes the formulas below MUCH faster to update… instead of manually going to recode each cell below, just update the column # here and everything updates live below.</t>
        </r>
      </text>
      <mc:AlternateContent xmlns:mc="http://schemas.openxmlformats.org/markup-compatibility/2006">
        <mc:Choice Requires="v"/>
        <mc:Fallback>
          <commentPr defaultSize="0" autoFill="0" autoLine="0">
            <anchor>
              <from>
                <xdr:col>9</xdr:col>
                <xdr:colOff>342900</xdr:colOff>
                <xdr:row>4</xdr:row>
                <xdr:rowOff>25400</xdr:rowOff>
              </from>
              <to>
                <xdr:col>17</xdr:col>
                <xdr:colOff>317500</xdr:colOff>
                <xdr:row>157</xdr:row>
                <xdr:rowOff>12700</xdr:rowOff>
              </to>
            </anchor>
          </commentPr>
        </mc:Fallback>
      </mc:AlternateContent>
    </comment>
    <comment ref="G2" authorId="0" shapeId="10289" xr:uid="{00000000-0006-0000-0100-000002000000}">
      <text>
        <r>
          <rPr>
            <b/>
            <sz val="9"/>
            <color rgb="FF000000"/>
            <rFont val="Tahoma"/>
            <family val="2"/>
          </rPr>
          <t>Tom Lebsack:</t>
        </r>
        <r>
          <rPr>
            <sz val="9"/>
            <color rgb="FF000000"/>
            <rFont val="Tahoma"/>
            <family val="2"/>
          </rPr>
          <t xml:space="preserve">
</t>
        </r>
        <r>
          <rPr>
            <sz val="11"/>
            <color rgb="FF000000"/>
            <rFont val="Tahoma"/>
            <family val="2"/>
          </rPr>
          <t>The first number to the right is the column number for the first ski size's units on the ALPINE SKI RENTAL CALCULATOR sheet.  Having this makes the formulas below MUCH faster to update… instead of manually going to recode each cell below, just update the column # here and everything updates live below.</t>
        </r>
      </text>
      <mc:AlternateContent xmlns:mc="http://schemas.openxmlformats.org/markup-compatibility/2006">
        <mc:Choice Requires="v"/>
        <mc:Fallback>
          <commentPr defaultSize="0" autoFill="0" autoLine="0">
            <anchor>
              <from>
                <xdr:col>9</xdr:col>
                <xdr:colOff>342900</xdr:colOff>
                <xdr:row>5</xdr:row>
                <xdr:rowOff>165100</xdr:rowOff>
              </from>
              <to>
                <xdr:col>17</xdr:col>
                <xdr:colOff>317500</xdr:colOff>
                <xdr:row>157</xdr:row>
                <xdr:rowOff>152400</xdr:rowOff>
              </to>
            </anchor>
          </commentPr>
        </mc:Fallback>
      </mc:AlternateContent>
    </comment>
    <comment ref="G3" authorId="0" shapeId="10290" xr:uid="{00000000-0006-0000-0100-000003000000}">
      <text>
        <r>
          <rPr>
            <b/>
            <sz val="9"/>
            <color rgb="FF000000"/>
            <rFont val="Tahoma"/>
            <family val="2"/>
          </rPr>
          <t>Tom Lebsack:</t>
        </r>
        <r>
          <rPr>
            <sz val="9"/>
            <color rgb="FF000000"/>
            <rFont val="Tahoma"/>
            <family val="2"/>
          </rPr>
          <t xml:space="preserve">
</t>
        </r>
        <r>
          <rPr>
            <sz val="11"/>
            <color rgb="FF000000"/>
            <rFont val="Tahoma"/>
            <family val="2"/>
          </rPr>
          <t>The first number to the right is the column number for the first snowboard size on the SNOWBORD RENTAL CALCULATOR sheet.  Having this makes the formulas below MUCH faster to update… instead of manually going to recode each cell below, just update the column # here and everything updates live below.</t>
        </r>
      </text>
      <mc:AlternateContent xmlns:mc="http://schemas.openxmlformats.org/markup-compatibility/2006">
        <mc:Choice Requires="v"/>
        <mc:Fallback>
          <commentPr defaultSize="0" autoFill="0" autoLine="0">
            <anchor>
              <from>
                <xdr:col>9</xdr:col>
                <xdr:colOff>342900</xdr:colOff>
                <xdr:row>6</xdr:row>
                <xdr:rowOff>152400</xdr:rowOff>
              </from>
              <to>
                <xdr:col>17</xdr:col>
                <xdr:colOff>317500</xdr:colOff>
                <xdr:row>158</xdr:row>
                <xdr:rowOff>152400</xdr:rowOff>
              </to>
            </anchor>
          </commentPr>
        </mc:Fallback>
      </mc:AlternateContent>
    </comment>
    <comment ref="G4" authorId="0" shapeId="10291" xr:uid="{00000000-0006-0000-0100-000004000000}">
      <text>
        <r>
          <rPr>
            <b/>
            <sz val="9"/>
            <color indexed="81"/>
            <rFont val="Tahoma"/>
            <family val="2"/>
          </rPr>
          <t>Tom Lebsack:</t>
        </r>
        <r>
          <rPr>
            <sz val="9"/>
            <color indexed="81"/>
            <rFont val="Tahoma"/>
            <family val="2"/>
          </rPr>
          <t xml:space="preserve">
</t>
        </r>
        <r>
          <rPr>
            <sz val="11"/>
            <color indexed="81"/>
            <rFont val="Tahoma"/>
            <family val="2"/>
          </rPr>
          <t>The first number to the right is the column number for the first snowboard size's units on the SNOWBOARD RENTAL CALCULATOR sheet.  Having this makes the formulas below MUCH faster to update… instead of manually going to recode each cell below, just update the column # here and everything updates live below.</t>
        </r>
      </text>
      <mc:AlternateContent xmlns:mc="http://schemas.openxmlformats.org/markup-compatibility/2006">
        <mc:Choice Requires="v"/>
        <mc:Fallback>
          <commentPr defaultSize="0" autoFill="0" autoLine="0">
            <anchor>
              <from>
                <xdr:col>9</xdr:col>
                <xdr:colOff>342900</xdr:colOff>
                <xdr:row>7</xdr:row>
                <xdr:rowOff>152400</xdr:rowOff>
              </from>
              <to>
                <xdr:col>17</xdr:col>
                <xdr:colOff>317500</xdr:colOff>
                <xdr:row>160</xdr:row>
                <xdr:rowOff>0</xdr:rowOff>
              </to>
            </anchor>
          </commentPr>
        </mc:Fallback>
      </mc:AlternateContent>
    </comment>
    <comment ref="W16" authorId="0" shapeId="10241" xr:uid="{00000000-0006-0000-0100-000005000000}">
      <text>
        <r>
          <rPr>
            <b/>
            <sz val="8"/>
            <color rgb="FF000000"/>
            <rFont val="Tahoma"/>
            <family val="2"/>
          </rPr>
          <t>Tom Lebsack:</t>
        </r>
        <r>
          <rPr>
            <sz val="8"/>
            <color rgb="FF000000"/>
            <rFont val="Tahoma"/>
            <family val="2"/>
          </rPr>
          <t xml:space="preserve">
</t>
        </r>
        <r>
          <rPr>
            <sz val="8"/>
            <color rgb="FF000000"/>
            <rFont val="Tahoma"/>
            <family val="2"/>
          </rPr>
          <t>this column is a yes/no (1 or 0) checker.  If there is data on the lines to the left, then VBA code will make it visible, else hide the lines.</t>
        </r>
      </text>
      <mc:AlternateContent xmlns:mc="http://schemas.openxmlformats.org/markup-compatibility/2006">
        <mc:Choice Requires="v"/>
        <mc:Fallback>
          <commentPr defaultSize="0" autoFill="0" autoLine="0">
            <anchor>
              <from>
                <xdr:col>20</xdr:col>
                <xdr:colOff>558800</xdr:colOff>
                <xdr:row>155</xdr:row>
                <xdr:rowOff>12700</xdr:rowOff>
              </from>
              <to>
                <xdr:col>24</xdr:col>
                <xdr:colOff>622300</xdr:colOff>
                <xdr:row>164</xdr:row>
                <xdr:rowOff>12700</xdr:rowOff>
              </to>
            </anchor>
          </commentPr>
        </mc:Fallback>
      </mc:AlternateContent>
    </comment>
    <comment ref="W111" authorId="0" shapeId="10285" xr:uid="{00000000-0006-0000-0100-000006000000}">
      <text>
        <r>
          <rPr>
            <b/>
            <sz val="8"/>
            <color rgb="FF000000"/>
            <rFont val="Tahoma"/>
            <family val="2"/>
          </rPr>
          <t>Tom Lebsack:</t>
        </r>
        <r>
          <rPr>
            <sz val="8"/>
            <color rgb="FF000000"/>
            <rFont val="Tahoma"/>
            <family val="2"/>
          </rPr>
          <t xml:space="preserve">
</t>
        </r>
        <r>
          <rPr>
            <sz val="8"/>
            <color rgb="FF000000"/>
            <rFont val="Tahoma"/>
            <family val="2"/>
          </rPr>
          <t>this column is a yes/no (1 or 0) checker.  If there is data on the lines to the left, then VBA code will make it visible, else hide the lines.</t>
        </r>
      </text>
      <mc:AlternateContent xmlns:mc="http://schemas.openxmlformats.org/markup-compatibility/2006">
        <mc:Choice Requires="v"/>
        <mc:Fallback>
          <commentPr defaultSize="0" autoFill="0" autoLine="0">
            <anchor>
              <from>
                <xdr:col>20</xdr:col>
                <xdr:colOff>596900</xdr:colOff>
                <xdr:row>257</xdr:row>
                <xdr:rowOff>127000</xdr:rowOff>
              </from>
              <to>
                <xdr:col>24</xdr:col>
                <xdr:colOff>609600</xdr:colOff>
                <xdr:row>265</xdr:row>
                <xdr:rowOff>63500</xdr:rowOff>
              </to>
            </anchor>
          </commentPr>
        </mc:Fallback>
      </mc:AlternateContent>
    </comment>
  </commentList>
</comments>
</file>

<file path=xl/comments2.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Tom Lebsack</author>
  </authors>
  <commentList>
    <comment ref="B2" authorId="0" shapeId="8193" xr:uid="{00000000-0006-0000-0200-000001000000}">
      <text>
        <r>
          <rPr>
            <b/>
            <sz val="8"/>
            <color rgb="FF000000"/>
            <rFont val="Tahoma"/>
            <family val="2"/>
          </rPr>
          <t>Tom Lebsack:</t>
        </r>
        <r>
          <rPr>
            <sz val="8"/>
            <color rgb="FF000000"/>
            <rFont val="Tahoma"/>
            <family val="2"/>
          </rPr>
          <t xml:space="preserve">
</t>
        </r>
        <r>
          <rPr>
            <sz val="8"/>
            <color rgb="FF000000"/>
            <rFont val="Tahoma"/>
            <family val="2"/>
          </rPr>
          <t>DO NOT DELETE OR MOVE THIS CELL - Macro is referencing its exact location</t>
        </r>
      </text>
      <mc:AlternateContent xmlns:mc="http://schemas.openxmlformats.org/markup-compatibility/2006">
        <mc:Choice Requires="v"/>
        <mc:Fallback>
          <commentPr defaultSize="0" autoFill="0" autoLine="0">
            <anchor>
              <from>
                <xdr:col>4</xdr:col>
                <xdr:colOff>469900</xdr:colOff>
                <xdr:row>4</xdr:row>
                <xdr:rowOff>50800</xdr:rowOff>
              </from>
              <to>
                <xdr:col>4</xdr:col>
                <xdr:colOff>2095500</xdr:colOff>
                <xdr:row>8</xdr:row>
                <xdr:rowOff>0</xdr:rowOff>
              </to>
            </anchor>
          </commentPr>
        </mc:Fallback>
      </mc:AlternateContent>
    </comment>
    <comment ref="D2" authorId="0" shapeId="8194" xr:uid="{00000000-0006-0000-0200-000002000000}">
      <text>
        <r>
          <rPr>
            <b/>
            <sz val="8"/>
            <color rgb="FF000000"/>
            <rFont val="Tahoma"/>
            <family val="2"/>
          </rPr>
          <t>Tom Lebsack:</t>
        </r>
        <r>
          <rPr>
            <sz val="8"/>
            <color rgb="FF000000"/>
            <rFont val="Tahoma"/>
            <family val="2"/>
          </rPr>
          <t xml:space="preserve">
</t>
        </r>
        <r>
          <rPr>
            <sz val="8"/>
            <color rgb="FF000000"/>
            <rFont val="Tahoma"/>
            <family val="2"/>
          </rPr>
          <t xml:space="preserve">DO NOT DELETE THIS CELL. Macro referencing this to determine which type of Discount Method to display.
</t>
        </r>
        <r>
          <rPr>
            <sz val="8"/>
            <color rgb="FF000000"/>
            <rFont val="Tahoma"/>
            <family val="2"/>
          </rPr>
          <t>Macro Name: "SNOWBOARD_DISCOUNT_METHOD"</t>
        </r>
      </text>
      <mc:AlternateContent xmlns:mc="http://schemas.openxmlformats.org/markup-compatibility/2006">
        <mc:Choice Requires="v"/>
        <mc:Fallback>
          <commentPr defaultSize="0" autoFill="0" autoLine="0">
            <anchor>
              <from>
                <xdr:col>7</xdr:col>
                <xdr:colOff>520700</xdr:colOff>
                <xdr:row>4</xdr:row>
                <xdr:rowOff>50800</xdr:rowOff>
              </from>
              <to>
                <xdr:col>10</xdr:col>
                <xdr:colOff>520700</xdr:colOff>
                <xdr:row>11</xdr:row>
                <xdr:rowOff>190500</xdr:rowOff>
              </to>
            </anchor>
          </commentPr>
        </mc:Fallback>
      </mc:AlternateContent>
    </comment>
  </commentList>
</comments>
</file>

<file path=xl/comments3.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Tom Lebsack</author>
  </authors>
  <commentList>
    <comment ref="B2" authorId="0" shapeId="2049" xr:uid="{00000000-0006-0000-0300-000001000000}">
      <text>
        <r>
          <rPr>
            <b/>
            <sz val="8"/>
            <color rgb="FF000000"/>
            <rFont val="Tahoma"/>
            <family val="2"/>
          </rPr>
          <t>Tom Lebsack:</t>
        </r>
        <r>
          <rPr>
            <sz val="8"/>
            <color rgb="FF000000"/>
            <rFont val="Tahoma"/>
            <family val="2"/>
          </rPr>
          <t xml:space="preserve">
</t>
        </r>
        <r>
          <rPr>
            <sz val="8"/>
            <color rgb="FF000000"/>
            <rFont val="Tahoma"/>
            <family val="2"/>
          </rPr>
          <t>DO NOT DELETE OR MOVE THIS CELL - Macro is referencing its exact location</t>
        </r>
      </text>
      <mc:AlternateContent xmlns:mc="http://schemas.openxmlformats.org/markup-compatibility/2006">
        <mc:Choice Requires="v"/>
        <mc:Fallback>
          <commentPr defaultSize="0" autoFill="0" autoLine="0">
            <anchor>
              <from>
                <xdr:col>3</xdr:col>
                <xdr:colOff>558800</xdr:colOff>
                <xdr:row>3</xdr:row>
                <xdr:rowOff>88900</xdr:rowOff>
              </from>
              <to>
                <xdr:col>4</xdr:col>
                <xdr:colOff>1295400</xdr:colOff>
                <xdr:row>7</xdr:row>
                <xdr:rowOff>114300</xdr:rowOff>
              </to>
            </anchor>
          </commentPr>
        </mc:Fallback>
      </mc:AlternateContent>
    </comment>
    <comment ref="D2" authorId="0" shapeId="2050" xr:uid="{00000000-0006-0000-0300-000002000000}">
      <text>
        <r>
          <rPr>
            <b/>
            <sz val="8"/>
            <color rgb="FF000000"/>
            <rFont val="Tahoma"/>
            <family val="2"/>
          </rPr>
          <t>Tom Lebsack:</t>
        </r>
        <r>
          <rPr>
            <sz val="8"/>
            <color rgb="FF000000"/>
            <rFont val="Tahoma"/>
            <family val="2"/>
          </rPr>
          <t xml:space="preserve">
</t>
        </r>
        <r>
          <rPr>
            <sz val="8"/>
            <color rgb="FF000000"/>
            <rFont val="Tahoma"/>
            <family val="2"/>
          </rPr>
          <t xml:space="preserve">DO NOT DELETE THIS CELL. Macro referencing this to determine which type of Discount Method to display.
</t>
        </r>
        <r>
          <rPr>
            <sz val="8"/>
            <color rgb="FF000000"/>
            <rFont val="Tahoma"/>
            <family val="2"/>
          </rPr>
          <t>Macro Name: "SNOWBOARD_DISCOUNT_METHOD"</t>
        </r>
      </text>
      <mc:AlternateContent xmlns:mc="http://schemas.openxmlformats.org/markup-compatibility/2006">
        <mc:Choice Requires="v"/>
        <mc:Fallback>
          <commentPr defaultSize="0" autoFill="0" autoLine="0">
            <anchor>
              <from>
                <xdr:col>4</xdr:col>
                <xdr:colOff>1193800</xdr:colOff>
                <xdr:row>3</xdr:row>
                <xdr:rowOff>88900</xdr:rowOff>
              </from>
              <to>
                <xdr:col>4</xdr:col>
                <xdr:colOff>2641600</xdr:colOff>
                <xdr:row>11</xdr:row>
                <xdr:rowOff>127000</xdr:rowOff>
              </to>
            </anchor>
          </commentPr>
        </mc:Fallback>
      </mc:AlternateContent>
    </comment>
    <comment ref="Z16" authorId="0" shapeId="2077" xr:uid="{00000000-0006-0000-0300-000003000000}">
      <text>
        <r>
          <rPr>
            <b/>
            <sz val="9"/>
            <color rgb="FF000000"/>
            <rFont val="Tahoma"/>
            <family val="2"/>
          </rPr>
          <t>Tom Lebsack:</t>
        </r>
        <r>
          <rPr>
            <sz val="9"/>
            <color rgb="FF000000"/>
            <rFont val="Tahoma"/>
            <family val="2"/>
          </rPr>
          <t xml:space="preserve">
</t>
        </r>
        <r>
          <rPr>
            <sz val="9"/>
            <color rgb="FF000000"/>
            <rFont val="Tahoma"/>
            <family val="2"/>
          </rPr>
          <t>number used to right to put units per size into correct box</t>
        </r>
      </text>
      <mc:AlternateContent xmlns:mc="http://schemas.openxmlformats.org/markup-compatibility/2006">
        <mc:Choice Requires="v"/>
        <mc:Fallback>
          <commentPr defaultSize="0" autoFill="0" autoLine="0">
            <anchor>
              <from>
                <xdr:col>52</xdr:col>
                <xdr:colOff>241300</xdr:colOff>
                <xdr:row>16</xdr:row>
                <xdr:rowOff>50800</xdr:rowOff>
              </from>
              <to>
                <xdr:col>55</xdr:col>
                <xdr:colOff>241300</xdr:colOff>
                <xdr:row>23</xdr:row>
                <xdr:rowOff>114300</xdr:rowOff>
              </to>
            </anchor>
          </commentPr>
        </mc:Fallback>
      </mc:AlternateContent>
    </comment>
    <comment ref="Z25" authorId="0" shapeId="2053" xr:uid="{00000000-0006-0000-0300-000004000000}">
      <text>
        <r>
          <rPr>
            <b/>
            <sz val="9"/>
            <color rgb="FF000000"/>
            <rFont val="Tahoma"/>
            <family val="2"/>
          </rPr>
          <t>Tom Lebsack:</t>
        </r>
        <r>
          <rPr>
            <sz val="9"/>
            <color rgb="FF000000"/>
            <rFont val="Tahoma"/>
            <family val="2"/>
          </rPr>
          <t xml:space="preserve">
</t>
        </r>
        <r>
          <rPr>
            <sz val="9"/>
            <color rgb="FF000000"/>
            <rFont val="Tahoma"/>
            <family val="2"/>
          </rPr>
          <t>number used to right to put units per size into correct box</t>
        </r>
      </text>
      <mc:AlternateContent xmlns:mc="http://schemas.openxmlformats.org/markup-compatibility/2006">
        <mc:Choice Requires="v"/>
        <mc:Fallback>
          <commentPr defaultSize="0" autoFill="0" autoLine="0">
            <anchor>
              <from>
                <xdr:col>55</xdr:col>
                <xdr:colOff>520700</xdr:colOff>
                <xdr:row>25</xdr:row>
                <xdr:rowOff>50800</xdr:rowOff>
              </from>
              <to>
                <xdr:col>58</xdr:col>
                <xdr:colOff>330200</xdr:colOff>
                <xdr:row>32</xdr:row>
                <xdr:rowOff>101600</xdr:rowOff>
              </to>
            </anchor>
          </commentPr>
        </mc:Fallback>
      </mc:AlternateContent>
    </comment>
    <comment ref="Z34" authorId="0" shapeId="2121" xr:uid="{EABFEC90-0161-E444-B264-E7B1F9541732}">
      <text>
        <r>
          <rPr>
            <b/>
            <sz val="9"/>
            <color rgb="FF000000"/>
            <rFont val="Tahoma"/>
            <family val="2"/>
          </rPr>
          <t>Tom Lebsack:</t>
        </r>
        <r>
          <rPr>
            <sz val="9"/>
            <color rgb="FF000000"/>
            <rFont val="Tahoma"/>
            <family val="2"/>
          </rPr>
          <t xml:space="preserve">
</t>
        </r>
        <r>
          <rPr>
            <sz val="9"/>
            <color rgb="FF000000"/>
            <rFont val="Tahoma"/>
            <family val="2"/>
          </rPr>
          <t>number used to right to put units per size into correct box</t>
        </r>
      </text>
      <mc:AlternateContent xmlns:mc="http://schemas.openxmlformats.org/markup-compatibility/2006">
        <mc:Choice Requires="v"/>
        <mc:Fallback>
          <commentPr defaultSize="0" autoFill="0" autoLine="0">
            <anchor>
              <from>
                <xdr:col>51</xdr:col>
                <xdr:colOff>304800</xdr:colOff>
                <xdr:row>33</xdr:row>
                <xdr:rowOff>63500</xdr:rowOff>
              </from>
              <to>
                <xdr:col>53</xdr:col>
                <xdr:colOff>88900</xdr:colOff>
                <xdr:row>40</xdr:row>
                <xdr:rowOff>63500</xdr:rowOff>
              </to>
            </anchor>
          </commentPr>
        </mc:Fallback>
      </mc:AlternateContent>
    </comment>
    <comment ref="Z41" authorId="0" shapeId="2122" xr:uid="{FC46E274-FFC9-834A-8955-B5D0FC68EA3D}">
      <text>
        <r>
          <rPr>
            <b/>
            <sz val="9"/>
            <color rgb="FF000000"/>
            <rFont val="Tahoma"/>
            <family val="2"/>
          </rPr>
          <t>Tom Lebsack:</t>
        </r>
        <r>
          <rPr>
            <sz val="9"/>
            <color rgb="FF000000"/>
            <rFont val="Tahoma"/>
            <family val="2"/>
          </rPr>
          <t xml:space="preserve">
</t>
        </r>
        <r>
          <rPr>
            <sz val="9"/>
            <color rgb="FF000000"/>
            <rFont val="Tahoma"/>
            <family val="2"/>
          </rPr>
          <t>number used to right to put units per size into correct box</t>
        </r>
      </text>
      <mc:AlternateContent xmlns:mc="http://schemas.openxmlformats.org/markup-compatibility/2006">
        <mc:Choice Requires="v"/>
        <mc:Fallback>
          <commentPr defaultSize="0" autoFill="0" autoLine="0">
            <anchor>
              <from>
                <xdr:col>51</xdr:col>
                <xdr:colOff>304800</xdr:colOff>
                <xdr:row>40</xdr:row>
                <xdr:rowOff>63500</xdr:rowOff>
              </from>
              <to>
                <xdr:col>53</xdr:col>
                <xdr:colOff>88900</xdr:colOff>
                <xdr:row>47</xdr:row>
                <xdr:rowOff>101600</xdr:rowOff>
              </to>
            </anchor>
          </commentPr>
        </mc:Fallback>
      </mc:AlternateContent>
    </comment>
    <comment ref="Z45" authorId="0" shapeId="2123" xr:uid="{641F030A-62B3-EB45-A029-A8758F24D236}">
      <text>
        <r>
          <rPr>
            <b/>
            <sz val="9"/>
            <color rgb="FF000000"/>
            <rFont val="Tahoma"/>
            <family val="2"/>
          </rPr>
          <t>Tom Lebsack:</t>
        </r>
        <r>
          <rPr>
            <sz val="9"/>
            <color rgb="FF000000"/>
            <rFont val="Tahoma"/>
            <family val="2"/>
          </rPr>
          <t xml:space="preserve">
</t>
        </r>
        <r>
          <rPr>
            <sz val="9"/>
            <color rgb="FF000000"/>
            <rFont val="Tahoma"/>
            <family val="2"/>
          </rPr>
          <t>number used to right to put units per size into correct box</t>
        </r>
      </text>
      <mc:AlternateContent xmlns:mc="http://schemas.openxmlformats.org/markup-compatibility/2006">
        <mc:Choice Requires="v"/>
        <mc:Fallback>
          <commentPr defaultSize="0" autoFill="0" autoLine="0">
            <anchor>
              <from>
                <xdr:col>51</xdr:col>
                <xdr:colOff>304800</xdr:colOff>
                <xdr:row>44</xdr:row>
                <xdr:rowOff>63500</xdr:rowOff>
              </from>
              <to>
                <xdr:col>53</xdr:col>
                <xdr:colOff>88900</xdr:colOff>
                <xdr:row>51</xdr:row>
                <xdr:rowOff>101600</xdr:rowOff>
              </to>
            </anchor>
          </commentPr>
        </mc:Fallback>
      </mc:AlternateContent>
    </comment>
    <comment ref="Z50" authorId="0" shapeId="2124" xr:uid="{A1D5D05A-6C42-D947-9F86-40FBC33199B5}">
      <text>
        <r>
          <rPr>
            <b/>
            <sz val="9"/>
            <color rgb="FF000000"/>
            <rFont val="Tahoma"/>
            <family val="2"/>
          </rPr>
          <t>Tom Lebsack:</t>
        </r>
        <r>
          <rPr>
            <sz val="9"/>
            <color rgb="FF000000"/>
            <rFont val="Tahoma"/>
            <family val="2"/>
          </rPr>
          <t xml:space="preserve">
</t>
        </r>
        <r>
          <rPr>
            <sz val="9"/>
            <color rgb="FF000000"/>
            <rFont val="Tahoma"/>
            <family val="2"/>
          </rPr>
          <t>number used to right to put units per size into correct box</t>
        </r>
      </text>
      <mc:AlternateContent xmlns:mc="http://schemas.openxmlformats.org/markup-compatibility/2006">
        <mc:Choice Requires="v"/>
        <mc:Fallback>
          <commentPr defaultSize="0" autoFill="0" autoLine="0">
            <anchor>
              <from>
                <xdr:col>51</xdr:col>
                <xdr:colOff>304800</xdr:colOff>
                <xdr:row>49</xdr:row>
                <xdr:rowOff>63500</xdr:rowOff>
              </from>
              <to>
                <xdr:col>53</xdr:col>
                <xdr:colOff>88900</xdr:colOff>
                <xdr:row>99</xdr:row>
                <xdr:rowOff>50800</xdr:rowOff>
              </to>
            </anchor>
          </commentPr>
        </mc:Fallback>
      </mc:AlternateContent>
    </comment>
    <comment ref="Z58" authorId="0" shapeId="2078" xr:uid="{00000000-0006-0000-0300-000005000000}">
      <text>
        <r>
          <rPr>
            <b/>
            <sz val="9"/>
            <color rgb="FF000000"/>
            <rFont val="Tahoma"/>
            <family val="2"/>
          </rPr>
          <t>Tom Lebsack:</t>
        </r>
        <r>
          <rPr>
            <sz val="9"/>
            <color rgb="FF000000"/>
            <rFont val="Tahoma"/>
            <family val="2"/>
          </rPr>
          <t xml:space="preserve">
</t>
        </r>
        <r>
          <rPr>
            <sz val="9"/>
            <color rgb="FF000000"/>
            <rFont val="Tahoma"/>
            <family val="2"/>
          </rPr>
          <t>number used to right to put units per size into correct box</t>
        </r>
      </text>
      <mc:AlternateContent xmlns:mc="http://schemas.openxmlformats.org/markup-compatibility/2006">
        <mc:Choice Requires="v"/>
        <mc:Fallback>
          <commentPr defaultSize="0" autoFill="0" autoLine="0">
            <anchor>
              <from>
                <xdr:col>52</xdr:col>
                <xdr:colOff>241300</xdr:colOff>
                <xdr:row>101</xdr:row>
                <xdr:rowOff>114300</xdr:rowOff>
              </from>
              <to>
                <xdr:col>55</xdr:col>
                <xdr:colOff>241300</xdr:colOff>
                <xdr:row>108</xdr:row>
                <xdr:rowOff>114300</xdr:rowOff>
              </to>
            </anchor>
          </commentPr>
        </mc:Fallback>
      </mc:AlternateContent>
    </comment>
    <comment ref="Z67" authorId="0" shapeId="2076" xr:uid="{00000000-0006-0000-0300-000006000000}">
      <text>
        <r>
          <rPr>
            <b/>
            <sz val="9"/>
            <color indexed="81"/>
            <rFont val="Tahoma"/>
            <family val="2"/>
          </rPr>
          <t>Tom Lebsack:</t>
        </r>
        <r>
          <rPr>
            <sz val="9"/>
            <color indexed="81"/>
            <rFont val="Tahoma"/>
            <family val="2"/>
          </rPr>
          <t xml:space="preserve">
number used to right to put units per size into correct box</t>
        </r>
      </text>
      <mc:AlternateContent xmlns:mc="http://schemas.openxmlformats.org/markup-compatibility/2006">
        <mc:Choice Requires="v"/>
        <mc:Fallback>
          <commentPr defaultSize="0" autoFill="0" autoLine="0">
            <anchor>
              <from>
                <xdr:col>54</xdr:col>
                <xdr:colOff>88900</xdr:colOff>
                <xdr:row>109</xdr:row>
                <xdr:rowOff>76200</xdr:rowOff>
              </from>
              <to>
                <xdr:col>56</xdr:col>
                <xdr:colOff>482600</xdr:colOff>
                <xdr:row>117</xdr:row>
                <xdr:rowOff>76200</xdr:rowOff>
              </to>
            </anchor>
          </commentPr>
        </mc:Fallback>
      </mc:AlternateContent>
    </comment>
    <comment ref="Z76" authorId="0" shapeId="2125" xr:uid="{E20F945D-7ACD-774C-BAFE-D1E4B8E2512D}">
      <text>
        <r>
          <rPr>
            <b/>
            <sz val="9"/>
            <color rgb="FF000000"/>
            <rFont val="Tahoma"/>
            <family val="2"/>
          </rPr>
          <t>Tom Lebsack:</t>
        </r>
        <r>
          <rPr>
            <sz val="9"/>
            <color rgb="FF000000"/>
            <rFont val="Tahoma"/>
            <family val="2"/>
          </rPr>
          <t xml:space="preserve">
</t>
        </r>
        <r>
          <rPr>
            <sz val="9"/>
            <color rgb="FF000000"/>
            <rFont val="Tahoma"/>
            <family val="2"/>
          </rPr>
          <t>number used to right to put units per size into correct box</t>
        </r>
      </text>
      <mc:AlternateContent xmlns:mc="http://schemas.openxmlformats.org/markup-compatibility/2006">
        <mc:Choice Requires="v"/>
        <mc:Fallback>
          <commentPr defaultSize="0" autoFill="0" autoLine="0">
            <anchor>
              <from>
                <xdr:col>51</xdr:col>
                <xdr:colOff>304800</xdr:colOff>
                <xdr:row>116</xdr:row>
                <xdr:rowOff>127000</xdr:rowOff>
              </from>
              <to>
                <xdr:col>53</xdr:col>
                <xdr:colOff>88900</xdr:colOff>
                <xdr:row>123</xdr:row>
                <xdr:rowOff>101600</xdr:rowOff>
              </to>
            </anchor>
          </commentPr>
        </mc:Fallback>
      </mc:AlternateContent>
    </comment>
    <comment ref="Z83" authorId="0" shapeId="2126" xr:uid="{D04ACCE1-F261-124E-ADC9-72C8B12D07AA}">
      <text>
        <r>
          <rPr>
            <b/>
            <sz val="9"/>
            <color rgb="FF000000"/>
            <rFont val="Tahoma"/>
            <family val="2"/>
          </rPr>
          <t>Tom Lebsack:</t>
        </r>
        <r>
          <rPr>
            <sz val="9"/>
            <color rgb="FF000000"/>
            <rFont val="Tahoma"/>
            <family val="2"/>
          </rPr>
          <t xml:space="preserve">
</t>
        </r>
        <r>
          <rPr>
            <sz val="9"/>
            <color rgb="FF000000"/>
            <rFont val="Tahoma"/>
            <family val="2"/>
          </rPr>
          <t>number used to right to put units per size into correct box</t>
        </r>
      </text>
      <mc:AlternateContent xmlns:mc="http://schemas.openxmlformats.org/markup-compatibility/2006">
        <mc:Choice Requires="v"/>
        <mc:Fallback>
          <commentPr defaultSize="0" autoFill="0" autoLine="0">
            <anchor>
              <from>
                <xdr:col>51</xdr:col>
                <xdr:colOff>304800</xdr:colOff>
                <xdr:row>123</xdr:row>
                <xdr:rowOff>101600</xdr:rowOff>
              </from>
              <to>
                <xdr:col>53</xdr:col>
                <xdr:colOff>88900</xdr:colOff>
                <xdr:row>130</xdr:row>
                <xdr:rowOff>76200</xdr:rowOff>
              </to>
            </anchor>
          </commentPr>
        </mc:Fallback>
      </mc:AlternateContent>
    </comment>
    <comment ref="Z87" authorId="0" shapeId="2127" xr:uid="{870F9D48-BB13-A646-B277-60B4A4D53F26}">
      <text>
        <r>
          <rPr>
            <b/>
            <sz val="9"/>
            <color rgb="FF000000"/>
            <rFont val="Tahoma"/>
            <family val="2"/>
          </rPr>
          <t>Tom Lebsack:</t>
        </r>
        <r>
          <rPr>
            <sz val="9"/>
            <color rgb="FF000000"/>
            <rFont val="Tahoma"/>
            <family val="2"/>
          </rPr>
          <t xml:space="preserve">
</t>
        </r>
        <r>
          <rPr>
            <sz val="9"/>
            <color rgb="FF000000"/>
            <rFont val="Tahoma"/>
            <family val="2"/>
          </rPr>
          <t>number used to right to put units per size into correct box</t>
        </r>
      </text>
      <mc:AlternateContent xmlns:mc="http://schemas.openxmlformats.org/markup-compatibility/2006">
        <mc:Choice Requires="v"/>
        <mc:Fallback>
          <commentPr defaultSize="0" autoFill="0" autoLine="0">
            <anchor>
              <from>
                <xdr:col>51</xdr:col>
                <xdr:colOff>304800</xdr:colOff>
                <xdr:row>127</xdr:row>
                <xdr:rowOff>76200</xdr:rowOff>
              </from>
              <to>
                <xdr:col>53</xdr:col>
                <xdr:colOff>88900</xdr:colOff>
                <xdr:row>134</xdr:row>
                <xdr:rowOff>50800</xdr:rowOff>
              </to>
            </anchor>
          </commentPr>
        </mc:Fallback>
      </mc:AlternateContent>
    </comment>
    <comment ref="Z92" authorId="0" shapeId="2128" xr:uid="{ED8A085E-A7C8-814F-860E-51C091DF70BA}">
      <text>
        <r>
          <rPr>
            <b/>
            <sz val="9"/>
            <color rgb="FF000000"/>
            <rFont val="Tahoma"/>
            <family val="2"/>
          </rPr>
          <t>Tom Lebsack:</t>
        </r>
        <r>
          <rPr>
            <sz val="9"/>
            <color rgb="FF000000"/>
            <rFont val="Tahoma"/>
            <family val="2"/>
          </rPr>
          <t xml:space="preserve">
</t>
        </r>
        <r>
          <rPr>
            <sz val="9"/>
            <color rgb="FF000000"/>
            <rFont val="Tahoma"/>
            <family val="2"/>
          </rPr>
          <t>number used to right to put units per size into correct box</t>
        </r>
      </text>
      <mc:AlternateContent xmlns:mc="http://schemas.openxmlformats.org/markup-compatibility/2006">
        <mc:Choice Requires="v"/>
        <mc:Fallback>
          <commentPr defaultSize="0" autoFill="0" autoLine="0">
            <anchor>
              <from>
                <xdr:col>51</xdr:col>
                <xdr:colOff>304800</xdr:colOff>
                <xdr:row>132</xdr:row>
                <xdr:rowOff>38100</xdr:rowOff>
              </from>
              <to>
                <xdr:col>53</xdr:col>
                <xdr:colOff>88900</xdr:colOff>
                <xdr:row>139</xdr:row>
                <xdr:rowOff>12700</xdr:rowOff>
              </to>
            </anchor>
          </commentPr>
        </mc:Fallback>
      </mc:AlternateContent>
    </comment>
  </commentList>
</comments>
</file>

<file path=xl/sharedStrings.xml><?xml version="1.0" encoding="utf-8"?>
<sst xmlns="http://purl.oclc.org/ooxml/spreadsheetml/main" count="1060" uniqueCount="321">
  <si>
    <t>Code</t>
  </si>
  <si>
    <t>Description</t>
  </si>
  <si>
    <t>M/L</t>
  </si>
  <si>
    <t>S/M</t>
  </si>
  <si>
    <t>Boots</t>
  </si>
  <si>
    <t>Qty</t>
  </si>
  <si>
    <t>Total Cost</t>
  </si>
  <si>
    <t>Units</t>
  </si>
  <si>
    <t>S</t>
  </si>
  <si>
    <t>DIRECTIONS</t>
  </si>
  <si>
    <t>Park City, UT 84098</t>
  </si>
  <si>
    <t>435-252-3300</t>
  </si>
  <si>
    <t>1413 Center Drive - PO Box 981060</t>
  </si>
  <si>
    <t>Account Name</t>
  </si>
  <si>
    <t>Date</t>
  </si>
  <si>
    <t>City</t>
  </si>
  <si>
    <t>State</t>
  </si>
  <si>
    <t>ZIP</t>
  </si>
  <si>
    <t>Contact Name</t>
  </si>
  <si>
    <t>Total Original Cost</t>
  </si>
  <si>
    <t>Terms:</t>
  </si>
  <si>
    <t>Discount</t>
  </si>
  <si>
    <t>Additional Notes</t>
  </si>
  <si>
    <t>1) Use this sheet to size out RENTAL snowboard fleet.</t>
  </si>
  <si>
    <t>ADULT</t>
  </si>
  <si>
    <t>JUNIOR</t>
  </si>
  <si>
    <t>Account Number</t>
  </si>
  <si>
    <t>4) Grand total quantities &amp; cost will automatically update below.</t>
  </si>
  <si>
    <t>3) Size run &amp; cost will automatically generate for each item.</t>
  </si>
  <si>
    <t>Account Information</t>
  </si>
  <si>
    <t>Street Address</t>
  </si>
  <si>
    <t>Snowboard Equipment Details</t>
  </si>
  <si>
    <t>DIRECTIONS - BY TOTAL UNITS</t>
  </si>
  <si>
    <t>DIRECTIONS - BY INDIVIDUAL SIZE OF UNIT</t>
  </si>
  <si>
    <t>Email</t>
  </si>
  <si>
    <t>Phone</t>
  </si>
  <si>
    <t>SNOWBOARD TAB DIRECTIONS</t>
  </si>
  <si>
    <t>ALPINE SKI TAB DIRECTIONS</t>
  </si>
  <si>
    <t>1) Use this sheet to size out RENTAL alpine ski fleet.</t>
  </si>
  <si>
    <t>3) Total quanity &amp; cost per item will automatically generate.</t>
  </si>
  <si>
    <t>Alpine Ski Equipment Details</t>
  </si>
  <si>
    <t>Grand Total - Alpine Ski &amp; Snowboard Details</t>
  </si>
  <si>
    <t>HIDE</t>
  </si>
  <si>
    <t>Wholesale</t>
  </si>
  <si>
    <t>2) Enter units needed per item &amp; discounts (yellow cells).</t>
  </si>
  <si>
    <t>2) Enter quantity by size per item &amp; discounts (yellow cells).</t>
  </si>
  <si>
    <t>Grand Total Cost:</t>
  </si>
  <si>
    <t>discount</t>
  </si>
  <si>
    <t>CODE</t>
  </si>
  <si>
    <t>NAME</t>
  </si>
  <si>
    <t>SKUS_TO_SIZES</t>
  </si>
  <si>
    <t>UNITS TO ODER BY SIZE</t>
  </si>
  <si>
    <t>Total Units</t>
  </si>
  <si>
    <t>RN</t>
  </si>
  <si>
    <t>ALPINE PRODUCT</t>
  </si>
  <si>
    <t>SNOWBOARD PRODUCT</t>
  </si>
  <si>
    <t>PRESEASON ORDERS</t>
  </si>
  <si>
    <t>Order Requirements</t>
  </si>
  <si>
    <t>$5,000 - $25,000</t>
  </si>
  <si>
    <t>$25,001 - $45,000</t>
  </si>
  <si>
    <t>$45,001 - $80,000</t>
  </si>
  <si>
    <t>$80,001 - $125,000</t>
  </si>
  <si>
    <t>$125,001+</t>
  </si>
  <si>
    <t>Fleet Rental Early Writing Discount</t>
  </si>
  <si>
    <t>Reorders</t>
  </si>
  <si>
    <t>Discount: Earned preseason discount</t>
  </si>
  <si>
    <t>WRITING DEADLINE</t>
  </si>
  <si>
    <t>FLEET RENTAL &amp; DEMO PRODUCT TERMS, DISCOUNTS &amp; CONDITIONS</t>
  </si>
  <si>
    <t>Account #</t>
  </si>
  <si>
    <t>Purchase Order</t>
  </si>
  <si>
    <t>D</t>
  </si>
  <si>
    <t>E</t>
  </si>
  <si>
    <t>F</t>
  </si>
  <si>
    <t>G</t>
  </si>
  <si>
    <t>H</t>
  </si>
  <si>
    <t>I</t>
  </si>
  <si>
    <t>J</t>
  </si>
  <si>
    <t>K</t>
  </si>
  <si>
    <t>L</t>
  </si>
  <si>
    <t>M</t>
  </si>
  <si>
    <t>N</t>
  </si>
  <si>
    <t>O</t>
  </si>
  <si>
    <t>P</t>
  </si>
  <si>
    <t>Q</t>
  </si>
  <si>
    <t>R</t>
  </si>
  <si>
    <t>T</t>
  </si>
  <si>
    <t>U</t>
  </si>
  <si>
    <t>V</t>
  </si>
  <si>
    <t>W</t>
  </si>
  <si>
    <t>X</t>
  </si>
  <si>
    <t>Y</t>
  </si>
  <si>
    <t>Z</t>
  </si>
  <si>
    <t>NUMBER_TO_LETTER</t>
  </si>
  <si>
    <t>AA</t>
  </si>
  <si>
    <t>AB</t>
  </si>
  <si>
    <t>AC</t>
  </si>
  <si>
    <t>Password used in VBA</t>
  </si>
  <si>
    <t>r0ssignol</t>
  </si>
  <si>
    <t>name</t>
  </si>
  <si>
    <t>wholesale</t>
  </si>
  <si>
    <t>this is the number of columns to the right this info is in Hidden Data</t>
  </si>
  <si>
    <t>XS</t>
  </si>
  <si>
    <t>Net Price</t>
  </si>
  <si>
    <t>JUNIOR RENTAL PRODUCT</t>
  </si>
  <si>
    <t>ADULT RENTAL PRODUCT</t>
  </si>
  <si>
    <t>SKI</t>
  </si>
  <si>
    <t>Jr. Boot</t>
  </si>
  <si>
    <t>Alpine Skis</t>
  </si>
  <si>
    <t>Alpine Boots</t>
  </si>
  <si>
    <t>Alpine Poles</t>
  </si>
  <si>
    <t>Jr. Alpine Skis</t>
  </si>
  <si>
    <t>Jr. Alpine Boots</t>
  </si>
  <si>
    <t>Jr. Alpine Poles</t>
  </si>
  <si>
    <t>Jr. Snowboards</t>
  </si>
  <si>
    <t>Jr. Bindings</t>
  </si>
  <si>
    <t>Jr. Boots</t>
  </si>
  <si>
    <t>Skis:</t>
  </si>
  <si>
    <t>Boots:</t>
  </si>
  <si>
    <t>Poles:</t>
  </si>
  <si>
    <t>Total:</t>
  </si>
  <si>
    <t>Bindings:</t>
  </si>
  <si>
    <t>Net Dollars</t>
  </si>
  <si>
    <t>Wholesale Order Value</t>
  </si>
  <si>
    <t>A minimum order of $3,000 per rental location is required for all 
Rossignol Authorized Dealers.</t>
  </si>
  <si>
    <t>Total Net Cost</t>
  </si>
  <si>
    <t>Adjust.</t>
  </si>
  <si>
    <t>RBH4430</t>
  </si>
  <si>
    <t>COMP J4 BLACK</t>
  </si>
  <si>
    <t>COMP J3 BLACK</t>
  </si>
  <si>
    <t>COMP J1 BLACK</t>
  </si>
  <si>
    <t>RENTAL TELESCOPIC SR</t>
  </si>
  <si>
    <t>RENTAL SR</t>
  </si>
  <si>
    <t>RENTAL TELESCOPIC JR</t>
  </si>
  <si>
    <t>RENTAL JR</t>
  </si>
  <si>
    <t>EXP WIDE</t>
  </si>
  <si>
    <t>EXP REGULAR</t>
  </si>
  <si>
    <t>EXP NARROW</t>
  </si>
  <si>
    <t>EXP JUNIOR</t>
  </si>
  <si>
    <t>EXP3 RAIL WIDE</t>
  </si>
  <si>
    <t>EXP3 RAIL REGULAR</t>
  </si>
  <si>
    <t>EXP3 RAIL NARROW</t>
  </si>
  <si>
    <t>EXP7 RAIL WIDE</t>
  </si>
  <si>
    <t>EXP7 RAIL</t>
  </si>
  <si>
    <t>REPLY RAIL M/L (sizes 8-15)</t>
  </si>
  <si>
    <t>REPLY RAIL S/M (sizes 5-8)</t>
  </si>
  <si>
    <t>REPLY 4x4 M/L (sizes 8-15)</t>
  </si>
  <si>
    <t>REPLY 4x4 S/M (sizes 5-8)</t>
  </si>
  <si>
    <t>ROOKIE S (sizes 2-4)</t>
  </si>
  <si>
    <t>CRUMB</t>
  </si>
  <si>
    <t>Jr. Pole</t>
  </si>
  <si>
    <t>BOOT</t>
  </si>
  <si>
    <t>pole</t>
  </si>
  <si>
    <t>RENTAL HELMETS</t>
  </si>
  <si>
    <t>HELMET</t>
  </si>
  <si>
    <t>Helmets (Adult &amp; Jr.)</t>
  </si>
  <si>
    <t>SKI SIZES</t>
  </si>
  <si>
    <t>SKI UNITS</t>
  </si>
  <si>
    <t>BOARD SIZES</t>
  </si>
  <si>
    <t>BOARD UNITS</t>
  </si>
  <si>
    <t>Helmets:</t>
  </si>
  <si>
    <t>Volume Discount Table</t>
  </si>
  <si>
    <t>Volume discount can be achieved on all Fleet Rental &amp; Demo equipment; alpine and snowboard</t>
  </si>
  <si>
    <t>GENERAL TERMS &amp; CONDITIONS</t>
  </si>
  <si>
    <t>Freight FOB Ogden, UT</t>
  </si>
  <si>
    <t>TRACK W RENTAL PINK</t>
  </si>
  <si>
    <t>RBI2400</t>
  </si>
  <si>
    <t>RBI4410</t>
  </si>
  <si>
    <t>TRACK RENTAL BLACK KHAKI</t>
  </si>
  <si>
    <t>RBI3410</t>
  </si>
  <si>
    <t>RBI3420</t>
  </si>
  <si>
    <t>RRI05QN</t>
  </si>
  <si>
    <t>SOUL 7 HD KONECT/NX 12 GW</t>
  </si>
  <si>
    <t>RRI06QP</t>
  </si>
  <si>
    <t>SKY 7 HD KONECT/NX 12 GW</t>
  </si>
  <si>
    <t>RRI08QP</t>
  </si>
  <si>
    <t>SKY 7 HD W KONEXT RENT/NX 12 GW</t>
  </si>
  <si>
    <t>RRI02FK</t>
  </si>
  <si>
    <t>RRI01FJ</t>
  </si>
  <si>
    <t>EXPERIENCE 88 Ti KONECT/SPX 12 GW</t>
  </si>
  <si>
    <t>EXPERIENCE 94 Ti KONECT RENT/SPX 12 GW</t>
  </si>
  <si>
    <t>RRH06FJ</t>
  </si>
  <si>
    <t>EXPERIENCE 88 Ti W KONEXT/NX 12</t>
  </si>
  <si>
    <t>JR SKI</t>
  </si>
  <si>
    <t>add units to get a quick size curve percentage breakdown</t>
  </si>
  <si>
    <t>Terms (1 Year Payment Opt.)</t>
  </si>
  <si>
    <t>Terms (2 Year Payment Opt.)</t>
  </si>
  <si>
    <t>UCC Filing Required (8% interest on year 2)</t>
  </si>
  <si>
    <t>Year 1:</t>
  </si>
  <si>
    <t>Year 2:</t>
  </si>
  <si>
    <t>RRJ05LI</t>
  </si>
  <si>
    <t>NOVA 2 XPRESSw/XPRESS 10w GW</t>
  </si>
  <si>
    <t>RRJ01MU</t>
  </si>
  <si>
    <t>Free'ZB_XPRESS² RTL/XPRESS 10 GW</t>
  </si>
  <si>
    <t>ROOKIE XS (fits 9, 10, 11, 12, 13, 1)</t>
  </si>
  <si>
    <t>RGJ0083</t>
  </si>
  <si>
    <t>RGJ0082</t>
  </si>
  <si>
    <t>RGJ0081</t>
  </si>
  <si>
    <t>RGJ0080</t>
  </si>
  <si>
    <t>REJWC27</t>
  </si>
  <si>
    <t>REJWC25</t>
  </si>
  <si>
    <t>RBJ2430</t>
  </si>
  <si>
    <t>PURE PRO RENTAL - GRAPHITE</t>
  </si>
  <si>
    <t>ALLTRACK RENTAL - KHAKI GREEN</t>
  </si>
  <si>
    <t>ALLTRACK RENTAL W - KHAKI</t>
  </si>
  <si>
    <t>RBJ2410</t>
  </si>
  <si>
    <t>ALLSPEED RENTAL - STONE GREY</t>
  </si>
  <si>
    <t>RBJ2420</t>
  </si>
  <si>
    <t>PURE RENTAL - STONE GREY</t>
  </si>
  <si>
    <t>WHOOPEE IMPACTS RENTAL</t>
  </si>
  <si>
    <t>ALLSPEED PRO RENTAL - ANTHRACITE</t>
  </si>
  <si>
    <t>11-13</t>
  </si>
  <si>
    <t>9-11</t>
  </si>
  <si>
    <t xml:space="preserve"> </t>
  </si>
  <si>
    <t>$50,001 or greater</t>
  </si>
  <si>
    <t>&lt; NOT USING THIS ITEM FOR 2324, BUT KEEPING IN HERE TO MAKE IT EASIER TO ADD ITEMS LATER IF NECESSARY (LESS FILE BUILDING TO DO)</t>
  </si>
  <si>
    <t>RENTAL FIBER SR</t>
  </si>
  <si>
    <t>RENTAL FIBER JR</t>
  </si>
  <si>
    <t>RGMRK01</t>
  </si>
  <si>
    <t>RGMRK02</t>
  </si>
  <si>
    <t>RFM0043</t>
  </si>
  <si>
    <t>EXP BOA H4 RTL SHIELD</t>
  </si>
  <si>
    <t>RFM0042</t>
  </si>
  <si>
    <t>EXP LACE</t>
  </si>
  <si>
    <t>RFM0033</t>
  </si>
  <si>
    <t>RFM0032</t>
  </si>
  <si>
    <t>RFM0031</t>
  </si>
  <si>
    <t>CRUMB TODDLER (inc. extra footbeds 9/10/11)</t>
  </si>
  <si>
    <t>CRUMB KIDS (inc. extra footbeds (11/12/13)</t>
  </si>
  <si>
    <t>RRMSP02</t>
  </si>
  <si>
    <t>TRIXIE XPRESS 10 GW</t>
  </si>
  <si>
    <t>RRMSP01</t>
  </si>
  <si>
    <t>SPRAYER XPRESS 10 GW</t>
  </si>
  <si>
    <t>RRLQE03</t>
  </si>
  <si>
    <t>RALLYBIRD 90 PRO XPRESS 10 GW</t>
  </si>
  <si>
    <t>RRLQE04</t>
  </si>
  <si>
    <t>SENDER 90 PRO XPRESS 10 GW</t>
  </si>
  <si>
    <t>RRMJC02</t>
  </si>
  <si>
    <t>RRMBK02</t>
  </si>
  <si>
    <t>REACT RT XPRESS 10 GW</t>
  </si>
  <si>
    <t>RKKH600</t>
  </si>
  <si>
    <t>FIT IMPACTS RENTAL</t>
  </si>
  <si>
    <t>RVFN001</t>
  </si>
  <si>
    <t>OTHER</t>
  </si>
  <si>
    <t>PACK</t>
  </si>
  <si>
    <t>RNTL INV. BAR CODES (100 PAIR/PACK)</t>
  </si>
  <si>
    <t>RAIL System Snowboards and Bindings</t>
  </si>
  <si>
    <t>4x4 Snowboards and Bindings</t>
  </si>
  <si>
    <t>RVEW415</t>
  </si>
  <si>
    <t>PAIR</t>
  </si>
  <si>
    <t>REPLY POWER HANDLE RED (PAIR)</t>
  </si>
  <si>
    <t>5) File must be saved as Macro-Enabled (.xlsm) file type!</t>
  </si>
  <si>
    <t>Snowboards:</t>
  </si>
  <si>
    <t>Other</t>
  </si>
  <si>
    <t>EXPERIENCE PRO XPRESS JR 7 GW</t>
  </si>
  <si>
    <t>RAMWE02</t>
  </si>
  <si>
    <t>EXPERIENCE PRO TEAM 4 GW</t>
  </si>
  <si>
    <t>SM</t>
  </si>
  <si>
    <t>ML</t>
  </si>
  <si>
    <t>LXL</t>
  </si>
  <si>
    <t>XSS</t>
  </si>
  <si>
    <t>2/25/2027 (50%)</t>
  </si>
  <si>
    <t>Snowboard: Orders placed BY FEBRUARY 21, 2025 will receive an ADDITIONAL 3% discount.
Alpine: Orders placed BY MARCH 14, 2025 will receive an ADDITIONAL 3% discount.</t>
  </si>
  <si>
    <t>RROFZ09</t>
  </si>
  <si>
    <t>RROJP01</t>
  </si>
  <si>
    <t>RBO8420</t>
  </si>
  <si>
    <t>RBN8440</t>
  </si>
  <si>
    <t>RBO8460</t>
  </si>
  <si>
    <t>RBO8490</t>
  </si>
  <si>
    <t>RBO8450</t>
  </si>
  <si>
    <t>KELIA RENTAL GW - BLACK</t>
  </si>
  <si>
    <t>EVO RENTAL GW - BLACK</t>
  </si>
  <si>
    <t>PURE COMFORT RENTAL GW - BLACK</t>
  </si>
  <si>
    <t>SPEED RENTAL HV+ GW - BLACK</t>
  </si>
  <si>
    <t>RDO7010</t>
  </si>
  <si>
    <t>RDO7000</t>
  </si>
  <si>
    <t>RDO7020</t>
  </si>
  <si>
    <t>RROJC05W</t>
  </si>
  <si>
    <t>RROWE03</t>
  </si>
  <si>
    <t>RDO7050</t>
  </si>
  <si>
    <t>RDO7040</t>
  </si>
  <si>
    <t>RDO7030</t>
  </si>
  <si>
    <t>REOTP02</t>
  </si>
  <si>
    <t>REOTP01</t>
  </si>
  <si>
    <t>REOT501</t>
  </si>
  <si>
    <t>RENNA01</t>
  </si>
  <si>
    <t>RENN901</t>
  </si>
  <si>
    <t>RENN802</t>
  </si>
  <si>
    <t>RENN701</t>
  </si>
  <si>
    <t>stopper</t>
  </si>
  <si>
    <t>Updated: 250225 by Tom Lebsack</t>
  </si>
  <si>
    <t>Net 60</t>
  </si>
  <si>
    <t>&lt; NOT USING THIS ITEM FOR 2627, BUT KEEPING IN HERE TO MAKE IT EASIER TO ADD ITEMS LATER IF NECESSARY (LESS FILE BUILDING TO DO)</t>
  </si>
  <si>
    <t>RRPFZ05</t>
  </si>
  <si>
    <t>EXPERIENCE 80 XPRESS 10 GW B83 RTL 2.0</t>
  </si>
  <si>
    <t>RRPFZ04</t>
  </si>
  <si>
    <t>EXPERIENCE 78 XPRESS 10 GW B83 RTL 2.0</t>
  </si>
  <si>
    <t>EXPERIENCE 78 FLASH NX 9 GW FLASH B83</t>
  </si>
  <si>
    <t>REACT RT XPRESS XPRESS 10 GW B83</t>
  </si>
  <si>
    <t>EXPERIENCE JR KID-X KID 4 GW B76</t>
  </si>
  <si>
    <t>EXPERIENCE KID KID-X KID 4 GW B76</t>
  </si>
  <si>
    <t>RBP5070</t>
  </si>
  <si>
    <t>RBP5120</t>
  </si>
  <si>
    <t>RBP6020</t>
  </si>
  <si>
    <t>FLASH RENTAL GW - BLACK</t>
  </si>
  <si>
    <t>RKPHI05</t>
  </si>
  <si>
    <t>ARCADE RENTAL</t>
  </si>
  <si>
    <t>RKPHT06</t>
  </si>
  <si>
    <t>RROPV01</t>
  </si>
  <si>
    <t>FORZA 20° FG XPRESS XPRESS 10 GW B83 BLACK</t>
  </si>
  <si>
    <t>RRPPV02</t>
  </si>
  <si>
    <t>NOVA 2 XPRESS XPRESS W 10 GW B83 GRANIT WHITE</t>
  </si>
  <si>
    <t>RAOFZ09</t>
  </si>
  <si>
    <t>EXPERIENCE 78 OPEN</t>
  </si>
  <si>
    <t>Updated: 251120 - by Tom Lebsack</t>
  </si>
  <si>
    <t>26/27 SNOWBOARD RENTAL CALCULATOR - total units per product</t>
  </si>
  <si>
    <t>26/27 SNOWBOARD RENTAL CALCULATOR - by size/product</t>
  </si>
  <si>
    <t>26/27 ALPINE SKI RENTAL CALCULATOR - total units per product</t>
  </si>
  <si>
    <t>26/27 ALPINE SKI RENTAL CALCULATOR - by size/product</t>
  </si>
  <si>
    <t>2026/2027 ROSSIGNOL RENTAL PROPOSAL</t>
  </si>
  <si>
    <t>2/25/2028 (50%)</t>
  </si>
  <si>
    <t>100% due 2/25/2027</t>
  </si>
</sst>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_(&quot;$&quot;* \(#,##0.00\);_(&quot;$&quot;* &quot;-&quot;??_);_(@_)"/>
    <numFmt numFmtId="43" formatCode="_(* #,##0.00_);_(* \(#,##0.00\);_(* &quot;-&quot;??_);_(@_)"/>
    <numFmt numFmtId="164" formatCode="_(* #,##0_);_(* \(#,##0\);_(* &quot;-&quot;??_);_(@_)"/>
    <numFmt numFmtId="165" formatCode="_(&quot;$&quot;* #,##0_);_(&quot;$&quot;* \(#,##0\);_(&quot;$&quot;* &quot;-&quot;??_);_(@_)"/>
    <numFmt numFmtId="166" formatCode="00000"/>
    <numFmt numFmtId="167" formatCode="0.0"/>
  </numFmts>
  <fonts count="38">
    <font>
      <sz val="10"/>
      <name val="Arial"/>
    </font>
    <font>
      <sz val="10"/>
      <name val="Arial"/>
      <family val="2"/>
    </font>
    <font>
      <b/>
      <sz val="12"/>
      <name val="Arial"/>
      <family val="2"/>
    </font>
    <font>
      <sz val="12"/>
      <name val="Arial"/>
      <family val="2"/>
    </font>
    <font>
      <b/>
      <sz val="10"/>
      <name val="Arial"/>
      <family val="2"/>
    </font>
    <font>
      <b/>
      <sz val="16"/>
      <name val="Arial"/>
      <family val="2"/>
    </font>
    <font>
      <sz val="16"/>
      <name val="Arial"/>
      <family val="2"/>
    </font>
    <font>
      <sz val="18"/>
      <name val="Arial"/>
      <family val="2"/>
    </font>
    <font>
      <b/>
      <sz val="14"/>
      <name val="Arial"/>
      <family val="2"/>
    </font>
    <font>
      <b/>
      <sz val="10"/>
      <color indexed="10"/>
      <name val="Arial"/>
      <family val="2"/>
    </font>
    <font>
      <sz val="8"/>
      <name val="Arial"/>
      <family val="2"/>
    </font>
    <font>
      <b/>
      <sz val="10"/>
      <color indexed="30"/>
      <name val="Arial"/>
      <family val="2"/>
    </font>
    <font>
      <sz val="8"/>
      <name val="Arial"/>
      <family val="2"/>
    </font>
    <font>
      <b/>
      <sz val="22"/>
      <name val="Arial"/>
      <family val="2"/>
    </font>
    <font>
      <sz val="14"/>
      <color theme="0"/>
      <name val="Arial"/>
      <family val="2"/>
    </font>
    <font>
      <sz val="20"/>
      <name val="Arial"/>
      <family val="2"/>
    </font>
    <font>
      <sz val="10"/>
      <color theme="0" tint="-0.249977111117893"/>
      <name val="Arial"/>
      <family val="2"/>
    </font>
    <font>
      <sz val="12"/>
      <color theme="0" tint="-0.249977111117893"/>
      <name val="Arial"/>
      <family val="2"/>
    </font>
    <font>
      <sz val="9"/>
      <color indexed="81"/>
      <name val="Tahoma"/>
      <family val="2"/>
    </font>
    <font>
      <b/>
      <sz val="9"/>
      <color indexed="81"/>
      <name val="Tahoma"/>
      <family val="2"/>
    </font>
    <font>
      <sz val="9"/>
      <name val="Arial"/>
      <family val="2"/>
    </font>
    <font>
      <b/>
      <sz val="9"/>
      <name val="Arial"/>
      <family val="2"/>
    </font>
    <font>
      <b/>
      <sz val="11"/>
      <name val="Arial"/>
      <family val="2"/>
    </font>
    <font>
      <sz val="22"/>
      <name val="Arial"/>
      <family val="2"/>
    </font>
    <font>
      <i/>
      <sz val="10"/>
      <color indexed="30"/>
      <name val="Arial"/>
      <family val="2"/>
    </font>
    <font>
      <i/>
      <sz val="10"/>
      <name val="Arial"/>
      <family val="2"/>
    </font>
    <font>
      <sz val="11"/>
      <color indexed="81"/>
      <name val="Tahoma"/>
      <family val="2"/>
    </font>
    <font>
      <b/>
      <sz val="9"/>
      <color rgb="FF000000"/>
      <name val="Tahoma"/>
      <family val="2"/>
    </font>
    <font>
      <sz val="9"/>
      <color rgb="FF000000"/>
      <name val="Tahoma"/>
      <family val="2"/>
    </font>
    <font>
      <b/>
      <sz val="8"/>
      <color rgb="FF000000"/>
      <name val="Tahoma"/>
      <family val="2"/>
    </font>
    <font>
      <sz val="8"/>
      <color rgb="FF000000"/>
      <name val="Tahoma"/>
      <family val="2"/>
    </font>
    <font>
      <sz val="11"/>
      <color rgb="FF000000"/>
      <name val="Tahoma"/>
      <family val="2"/>
    </font>
    <font>
      <u/>
      <sz val="10"/>
      <color theme="10"/>
      <name val="Arial"/>
      <family val="2"/>
    </font>
    <font>
      <b/>
      <i/>
      <sz val="10"/>
      <color theme="5" tint="0.39997558519241921"/>
      <name val="Arial"/>
      <family val="2"/>
    </font>
    <font>
      <sz val="11"/>
      <color theme="1"/>
      <name val="Calibri"/>
      <family val="2"/>
      <scheme val="minor"/>
    </font>
    <font>
      <sz val="10"/>
      <name val="MS Sans Serif"/>
      <family val="2"/>
    </font>
    <font>
      <sz val="10"/>
      <color theme="1"/>
      <name val="Arial"/>
      <family val="2"/>
    </font>
    <font>
      <b/>
      <sz val="10"/>
      <color theme="1"/>
      <name val="Arial"/>
      <family val="2"/>
    </font>
  </fonts>
  <fills count="19">
    <fill>
      <patternFill patternType="none"/>
    </fill>
    <fill>
      <patternFill patternType="gray125"/>
    </fill>
    <fill>
      <patternFill patternType="solid">
        <fgColor indexed="8"/>
        <bgColor indexed="64"/>
      </patternFill>
    </fill>
    <fill>
      <patternFill patternType="solid">
        <fgColor rgb="FFFFFF99"/>
        <bgColor indexed="64"/>
      </patternFill>
    </fill>
    <fill>
      <patternFill patternType="solid">
        <fgColor theme="5" tint="0.39997558519241921"/>
        <bgColor indexed="64"/>
      </patternFill>
    </fill>
    <fill>
      <patternFill patternType="solid">
        <fgColor theme="4" tint="0.39997558519241921"/>
        <bgColor indexed="64"/>
      </patternFill>
    </fill>
    <fill>
      <patternFill patternType="solid">
        <fgColor theme="0" tint="-0.249977111117893"/>
        <bgColor indexed="64"/>
      </patternFill>
    </fill>
    <fill>
      <patternFill patternType="solid">
        <fgColor theme="4" tint="0.79998168889431442"/>
        <bgColor indexed="64"/>
      </patternFill>
    </fill>
    <fill>
      <patternFill patternType="solid">
        <fgColor theme="0"/>
        <bgColor indexed="64"/>
      </patternFill>
    </fill>
    <fill>
      <patternFill patternType="solid">
        <fgColor rgb="FFFF0000"/>
        <bgColor indexed="64"/>
      </patternFill>
    </fill>
    <fill>
      <patternFill patternType="solid">
        <fgColor theme="0" tint="-0.14999847407452621"/>
        <bgColor indexed="64"/>
      </patternFill>
    </fill>
    <fill>
      <patternFill patternType="solid">
        <fgColor theme="1"/>
        <bgColor indexed="64"/>
      </patternFill>
    </fill>
    <fill>
      <patternFill patternType="solid">
        <fgColor theme="1" tint="0.34998626667073579"/>
        <bgColor indexed="64"/>
      </patternFill>
    </fill>
    <fill>
      <patternFill patternType="solid">
        <fgColor theme="5" tint="0.79998168889431442"/>
        <bgColor indexed="64"/>
      </patternFill>
    </fill>
    <fill>
      <patternFill patternType="solid">
        <fgColor theme="0" tint="-0.499984740745262"/>
        <bgColor indexed="64"/>
      </patternFill>
    </fill>
    <fill>
      <patternFill patternType="solid">
        <fgColor theme="0" tint="-4.9989318521683403E-2"/>
        <bgColor indexed="64"/>
      </patternFill>
    </fill>
    <fill>
      <patternFill patternType="solid">
        <fgColor theme="1" tint="0.499984740745262"/>
        <bgColor indexed="64"/>
      </patternFill>
    </fill>
    <fill>
      <patternFill patternType="solid">
        <fgColor theme="6" tint="0.79998168889431442"/>
        <bgColor indexed="64"/>
      </patternFill>
    </fill>
    <fill>
      <patternFill patternType="solid">
        <fgColor rgb="FFFFFF00"/>
        <bgColor indexed="64"/>
      </patternFill>
    </fill>
  </fills>
  <borders count="429">
    <border>
      <start/>
      <end/>
      <top/>
      <bottom/>
      <diagonal/>
    </border>
    <border>
      <start/>
      <end style="medium">
        <color indexed="64"/>
      </end>
      <top/>
      <bottom/>
      <diagonal/>
    </border>
    <border>
      <start style="medium">
        <color indexed="64"/>
      </start>
      <end/>
      <top/>
      <bottom/>
      <diagonal/>
    </border>
    <border>
      <start style="medium">
        <color indexed="64"/>
      </start>
      <end/>
      <top/>
      <bottom style="medium">
        <color indexed="64"/>
      </bottom>
      <diagonal/>
    </border>
    <border>
      <start/>
      <end/>
      <top/>
      <bottom style="medium">
        <color indexed="64"/>
      </bottom>
      <diagonal/>
    </border>
    <border>
      <start style="thin">
        <color indexed="23"/>
      </start>
      <end style="medium">
        <color indexed="64"/>
      </end>
      <top style="thin">
        <color indexed="23"/>
      </top>
      <bottom style="medium">
        <color indexed="64"/>
      </bottom>
      <diagonal/>
    </border>
    <border>
      <start style="medium">
        <color indexed="64"/>
      </start>
      <end style="thin">
        <color indexed="23"/>
      </end>
      <top style="thin">
        <color indexed="23"/>
      </top>
      <bottom style="medium">
        <color indexed="64"/>
      </bottom>
      <diagonal/>
    </border>
    <border>
      <start style="thin">
        <color indexed="23"/>
      </start>
      <end style="thin">
        <color indexed="23"/>
      </end>
      <top style="thin">
        <color indexed="23"/>
      </top>
      <bottom style="medium">
        <color indexed="64"/>
      </bottom>
      <diagonal/>
    </border>
    <border>
      <start style="medium">
        <color indexed="64"/>
      </start>
      <end style="medium">
        <color indexed="64"/>
      </end>
      <top style="medium">
        <color indexed="64"/>
      </top>
      <bottom/>
      <diagonal/>
    </border>
    <border>
      <start style="thin">
        <color indexed="23"/>
      </start>
      <end/>
      <top style="thin">
        <color indexed="23"/>
      </top>
      <bottom style="thin">
        <color indexed="23"/>
      </bottom>
      <diagonal/>
    </border>
    <border>
      <start/>
      <end/>
      <top style="thin">
        <color indexed="23"/>
      </top>
      <bottom style="thin">
        <color indexed="23"/>
      </bottom>
      <diagonal/>
    </border>
    <border>
      <start/>
      <end style="thin">
        <color indexed="23"/>
      </end>
      <top style="thin">
        <color indexed="23"/>
      </top>
      <bottom style="thin">
        <color indexed="23"/>
      </bottom>
      <diagonal/>
    </border>
    <border>
      <start style="medium">
        <color indexed="64"/>
      </start>
      <end/>
      <top style="medium">
        <color indexed="64"/>
      </top>
      <bottom style="thin">
        <color indexed="23"/>
      </bottom>
      <diagonal/>
    </border>
    <border>
      <start/>
      <end/>
      <top style="medium">
        <color indexed="64"/>
      </top>
      <bottom style="thin">
        <color indexed="23"/>
      </bottom>
      <diagonal/>
    </border>
    <border>
      <start/>
      <end style="medium">
        <color indexed="64"/>
      </end>
      <top style="medium">
        <color indexed="64"/>
      </top>
      <bottom style="thin">
        <color indexed="23"/>
      </bottom>
      <diagonal/>
    </border>
    <border>
      <start style="medium">
        <color indexed="64"/>
      </start>
      <end/>
      <top style="thin">
        <color indexed="23"/>
      </top>
      <bottom style="thin">
        <color indexed="23"/>
      </bottom>
      <diagonal/>
    </border>
    <border>
      <start style="medium">
        <color indexed="64"/>
      </start>
      <end/>
      <top/>
      <bottom style="thin">
        <color indexed="23"/>
      </bottom>
      <diagonal/>
    </border>
    <border>
      <start/>
      <end/>
      <top/>
      <bottom style="thin">
        <color indexed="23"/>
      </bottom>
      <diagonal/>
    </border>
    <border>
      <start style="thin">
        <color indexed="23"/>
      </start>
      <end/>
      <top/>
      <bottom/>
      <diagonal/>
    </border>
    <border>
      <start style="thin">
        <color indexed="23"/>
      </start>
      <end/>
      <top/>
      <bottom style="thin">
        <color indexed="23"/>
      </bottom>
      <diagonal/>
    </border>
    <border>
      <start/>
      <end style="thin">
        <color indexed="23"/>
      </end>
      <top/>
      <bottom style="thin">
        <color indexed="23"/>
      </bottom>
      <diagonal/>
    </border>
    <border>
      <start/>
      <end style="medium">
        <color indexed="64"/>
      </end>
      <top style="thin">
        <color indexed="23"/>
      </top>
      <bottom/>
      <diagonal/>
    </border>
    <border>
      <start style="thin">
        <color indexed="23"/>
      </start>
      <end/>
      <top/>
      <bottom style="medium">
        <color indexed="64"/>
      </bottom>
      <diagonal/>
    </border>
    <border>
      <start style="medium">
        <color indexed="64"/>
      </start>
      <end/>
      <top style="thin">
        <color indexed="23"/>
      </top>
      <bottom style="medium">
        <color indexed="64"/>
      </bottom>
      <diagonal/>
    </border>
    <border>
      <start/>
      <end style="medium">
        <color indexed="64"/>
      </end>
      <top/>
      <bottom style="medium">
        <color indexed="64"/>
      </bottom>
      <diagonal/>
    </border>
    <border>
      <start/>
      <end style="medium">
        <color indexed="64"/>
      </end>
      <top style="thin">
        <color indexed="23"/>
      </top>
      <bottom style="medium">
        <color indexed="64"/>
      </bottom>
      <diagonal/>
    </border>
    <border>
      <start/>
      <end/>
      <top style="thin">
        <color indexed="23"/>
      </top>
      <bottom style="medium">
        <color indexed="64"/>
      </bottom>
      <diagonal/>
    </border>
    <border>
      <start style="medium">
        <color indexed="64"/>
      </start>
      <end/>
      <top style="medium">
        <color indexed="64"/>
      </top>
      <bottom style="medium">
        <color indexed="64"/>
      </bottom>
      <diagonal/>
    </border>
    <border>
      <start/>
      <end/>
      <top style="medium">
        <color indexed="64"/>
      </top>
      <bottom style="medium">
        <color indexed="64"/>
      </bottom>
      <diagonal/>
    </border>
    <border>
      <start/>
      <end style="medium">
        <color indexed="64"/>
      </end>
      <top style="medium">
        <color indexed="64"/>
      </top>
      <bottom style="medium">
        <color indexed="64"/>
      </bottom>
      <diagonal/>
    </border>
    <border>
      <start style="medium">
        <color indexed="64"/>
      </start>
      <end/>
      <top style="medium">
        <color indexed="64"/>
      </top>
      <bottom/>
      <diagonal/>
    </border>
    <border>
      <start/>
      <end/>
      <top style="medium">
        <color indexed="64"/>
      </top>
      <bottom/>
      <diagonal/>
    </border>
    <border>
      <start/>
      <end style="medium">
        <color indexed="64"/>
      </end>
      <top style="medium">
        <color indexed="64"/>
      </top>
      <bottom/>
      <diagonal/>
    </border>
    <border>
      <start style="thin">
        <color indexed="23"/>
      </start>
      <end style="thin">
        <color indexed="23"/>
      </end>
      <top/>
      <bottom style="thin">
        <color indexed="23"/>
      </bottom>
      <diagonal/>
    </border>
    <border>
      <start style="thin">
        <color indexed="55"/>
      </start>
      <end style="thin">
        <color indexed="55"/>
      </end>
      <top/>
      <bottom style="double">
        <color indexed="64"/>
      </bottom>
      <diagonal/>
    </border>
    <border>
      <start style="thin">
        <color indexed="55"/>
      </start>
      <end/>
      <top/>
      <bottom style="double">
        <color indexed="64"/>
      </bottom>
      <diagonal/>
    </border>
    <border>
      <start style="medium">
        <color indexed="64"/>
      </start>
      <end style="medium">
        <color indexed="64"/>
      </end>
      <top/>
      <bottom style="medium">
        <color indexed="64"/>
      </bottom>
      <diagonal/>
    </border>
    <border>
      <start style="medium">
        <color indexed="64"/>
      </start>
      <end style="medium">
        <color indexed="64"/>
      </end>
      <top style="thin">
        <color indexed="23"/>
      </top>
      <bottom style="thin">
        <color indexed="23"/>
      </bottom>
      <diagonal/>
    </border>
    <border>
      <start style="medium">
        <color indexed="64"/>
      </start>
      <end style="medium">
        <color indexed="64"/>
      </end>
      <top style="thin">
        <color indexed="23"/>
      </top>
      <bottom style="medium">
        <color indexed="64"/>
      </bottom>
      <diagonal/>
    </border>
    <border>
      <start/>
      <end/>
      <top style="medium">
        <color indexed="64"/>
      </top>
      <bottom style="double">
        <color indexed="64"/>
      </bottom>
      <diagonal/>
    </border>
    <border>
      <start style="medium">
        <color indexed="64"/>
      </start>
      <end style="medium">
        <color indexed="64"/>
      </end>
      <top style="medium">
        <color indexed="64"/>
      </top>
      <bottom style="thin">
        <color indexed="23"/>
      </bottom>
      <diagonal/>
    </border>
    <border>
      <start style="medium">
        <color indexed="64"/>
      </start>
      <end/>
      <top style="thin">
        <color theme="0" tint="-0.499984740745262"/>
      </top>
      <bottom style="medium">
        <color indexed="64"/>
      </bottom>
      <diagonal/>
    </border>
    <border>
      <start/>
      <end/>
      <top style="thin">
        <color theme="0" tint="-0.499984740745262"/>
      </top>
      <bottom style="medium">
        <color indexed="64"/>
      </bottom>
      <diagonal/>
    </border>
    <border>
      <start/>
      <end style="medium">
        <color indexed="64"/>
      </end>
      <top style="thin">
        <color theme="0" tint="-0.499984740745262"/>
      </top>
      <bottom style="medium">
        <color indexed="64"/>
      </bottom>
      <diagonal/>
    </border>
    <border>
      <start style="medium">
        <color indexed="64"/>
      </start>
      <end/>
      <top style="medium">
        <color indexed="64"/>
      </top>
      <bottom style="thin">
        <color theme="0" tint="-0.499984740745262"/>
      </bottom>
      <diagonal/>
    </border>
    <border>
      <start/>
      <end style="medium">
        <color indexed="64"/>
      </end>
      <top style="medium">
        <color indexed="64"/>
      </top>
      <bottom style="thin">
        <color theme="0" tint="-0.499984740745262"/>
      </bottom>
      <diagonal/>
    </border>
    <border>
      <start/>
      <end/>
      <top/>
      <bottom style="thin">
        <color indexed="55"/>
      </bottom>
      <diagonal/>
    </border>
    <border>
      <start style="medium">
        <color indexed="64"/>
      </start>
      <end/>
      <top style="medium">
        <color indexed="64"/>
      </top>
      <bottom style="double">
        <color indexed="64"/>
      </bottom>
      <diagonal/>
    </border>
    <border>
      <start/>
      <end style="medium">
        <color indexed="64"/>
      </end>
      <top style="medium">
        <color indexed="64"/>
      </top>
      <bottom style="double">
        <color indexed="64"/>
      </bottom>
      <diagonal/>
    </border>
    <border>
      <start/>
      <end/>
      <top style="thin">
        <color indexed="55"/>
      </top>
      <bottom/>
      <diagonal/>
    </border>
    <border>
      <start style="medium">
        <color indexed="64"/>
      </start>
      <end style="medium">
        <color indexed="64"/>
      </end>
      <top/>
      <bottom style="thin">
        <color indexed="23"/>
      </bottom>
      <diagonal/>
    </border>
    <border>
      <start style="thin">
        <color indexed="55"/>
      </start>
      <end style="thin">
        <color theme="0" tint="-0.499984740745262"/>
      </end>
      <top style="double">
        <color indexed="64"/>
      </top>
      <bottom/>
      <diagonal/>
    </border>
    <border>
      <start style="thin">
        <color theme="0" tint="-0.249977111117893"/>
      </start>
      <end style="thin">
        <color theme="0" tint="-0.249977111117893"/>
      </end>
      <top style="thin">
        <color theme="0" tint="-0.249977111117893"/>
      </top>
      <bottom style="thin">
        <color theme="0" tint="-0.249977111117893"/>
      </bottom>
      <diagonal/>
    </border>
    <border>
      <start style="thin">
        <color theme="0" tint="-0.249977111117893"/>
      </start>
      <end style="thin">
        <color theme="0" tint="-0.249977111117893"/>
      </end>
      <top/>
      <bottom style="thin">
        <color theme="0" tint="-0.249977111117893"/>
      </bottom>
      <diagonal/>
    </border>
    <border>
      <start style="thin">
        <color indexed="64"/>
      </start>
      <end style="thin">
        <color theme="0" tint="-0.249977111117893"/>
      </end>
      <top style="thin">
        <color indexed="64"/>
      </top>
      <bottom style="thin">
        <color indexed="64"/>
      </bottom>
      <diagonal/>
    </border>
    <border>
      <start style="thin">
        <color theme="0" tint="-0.249977111117893"/>
      </start>
      <end style="thin">
        <color theme="0" tint="-0.249977111117893"/>
      </end>
      <top style="thin">
        <color indexed="64"/>
      </top>
      <bottom style="thin">
        <color indexed="64"/>
      </bottom>
      <diagonal/>
    </border>
    <border>
      <start style="thin">
        <color theme="0" tint="-0.249977111117893"/>
      </start>
      <end style="thin">
        <color indexed="64"/>
      </end>
      <top style="thin">
        <color indexed="64"/>
      </top>
      <bottom style="thin">
        <color indexed="64"/>
      </bottom>
      <diagonal/>
    </border>
    <border>
      <start/>
      <end/>
      <top/>
      <bottom style="thin">
        <color theme="0" tint="-0.249977111117893"/>
      </bottom>
      <diagonal/>
    </border>
    <border>
      <start style="thin">
        <color theme="0" tint="-0.249977111117893"/>
      </start>
      <end style="thin">
        <color theme="0" tint="-0.249977111117893"/>
      </end>
      <top style="medium">
        <color indexed="64"/>
      </top>
      <bottom style="medium">
        <color indexed="64"/>
      </bottom>
      <diagonal/>
    </border>
    <border>
      <start style="thin">
        <color theme="0" tint="-0.249977111117893"/>
      </start>
      <end style="medium">
        <color indexed="64"/>
      </end>
      <top style="medium">
        <color indexed="64"/>
      </top>
      <bottom style="medium">
        <color indexed="64"/>
      </bottom>
      <diagonal/>
    </border>
    <border>
      <start style="thin">
        <color theme="0" tint="-0.249977111117893"/>
      </start>
      <end/>
      <top style="medium">
        <color indexed="64"/>
      </top>
      <bottom style="medium">
        <color indexed="64"/>
      </bottom>
      <diagonal/>
    </border>
    <border>
      <start style="thin">
        <color theme="0" tint="-0.249977111117893"/>
      </start>
      <end style="thin">
        <color indexed="64"/>
      </end>
      <top style="medium">
        <color indexed="64"/>
      </top>
      <bottom style="medium">
        <color indexed="64"/>
      </bottom>
      <diagonal/>
    </border>
    <border>
      <start/>
      <end style="medium">
        <color indexed="64"/>
      </end>
      <top style="medium">
        <color indexed="64"/>
      </top>
      <bottom style="thin">
        <color indexed="64"/>
      </bottom>
      <diagonal/>
    </border>
    <border>
      <start style="thin">
        <color theme="0" tint="-0.249977111117893"/>
      </start>
      <end style="thin">
        <color theme="0" tint="-0.249977111117893"/>
      </end>
      <top/>
      <bottom style="medium">
        <color indexed="64"/>
      </bottom>
      <diagonal/>
    </border>
    <border>
      <start style="thin">
        <color theme="0" tint="-0.249977111117893"/>
      </start>
      <end style="thin">
        <color indexed="64"/>
      </end>
      <top/>
      <bottom style="medium">
        <color indexed="64"/>
      </bottom>
      <diagonal/>
    </border>
    <border>
      <start/>
      <end/>
      <top style="medium">
        <color indexed="64"/>
      </top>
      <bottom style="thin">
        <color indexed="64"/>
      </bottom>
      <diagonal/>
    </border>
    <border>
      <start/>
      <end style="thin">
        <color theme="0" tint="-0.249977111117893"/>
      </end>
      <top style="medium">
        <color indexed="64"/>
      </top>
      <bottom style="medium">
        <color indexed="64"/>
      </bottom>
      <diagonal/>
    </border>
    <border>
      <start style="thin">
        <color indexed="64"/>
      </start>
      <end/>
      <top/>
      <bottom/>
      <diagonal/>
    </border>
    <border>
      <start/>
      <end style="thin">
        <color indexed="64"/>
      </end>
      <top/>
      <bottom style="thin">
        <color theme="0" tint="-0.249977111117893"/>
      </bottom>
      <diagonal/>
    </border>
    <border>
      <start style="medium">
        <color indexed="64"/>
      </start>
      <end style="thin">
        <color theme="0" tint="-0.249977111117893"/>
      </end>
      <top style="thin">
        <color theme="0" tint="-0.249977111117893"/>
      </top>
      <bottom style="medium">
        <color indexed="64"/>
      </bottom>
      <diagonal/>
    </border>
    <border>
      <start style="thin">
        <color indexed="64"/>
      </start>
      <end style="thin">
        <color theme="0" tint="-0.249977111117893"/>
      </end>
      <top/>
      <bottom style="thin">
        <color theme="0" tint="-0.249977111117893"/>
      </bottom>
      <diagonal/>
    </border>
    <border>
      <start style="thin">
        <color theme="0" tint="-0.249977111117893"/>
      </start>
      <end style="thin">
        <color theme="0" tint="-0.249977111117893"/>
      </end>
      <top style="medium">
        <color indexed="64"/>
      </top>
      <bottom style="thin">
        <color theme="0" tint="-0.249977111117893"/>
      </bottom>
      <diagonal/>
    </border>
    <border>
      <start style="thin">
        <color theme="0" tint="-0.249977111117893"/>
      </start>
      <end style="thin">
        <color theme="0" tint="-0.249977111117893"/>
      </end>
      <top style="thin">
        <color theme="0" tint="-0.249977111117893"/>
      </top>
      <bottom style="medium">
        <color indexed="64"/>
      </bottom>
      <diagonal/>
    </border>
    <border>
      <start/>
      <end style="thin">
        <color theme="0" tint="-0.249977111117893"/>
      </end>
      <top style="medium">
        <color indexed="64"/>
      </top>
      <bottom style="thin">
        <color theme="0" tint="-0.249977111117893"/>
      </bottom>
      <diagonal/>
    </border>
    <border>
      <start/>
      <end style="thin">
        <color theme="0" tint="-0.249977111117893"/>
      </end>
      <top style="thin">
        <color theme="0" tint="-0.249977111117893"/>
      </top>
      <bottom style="medium">
        <color indexed="64"/>
      </bottom>
      <diagonal/>
    </border>
    <border>
      <start/>
      <end style="thin">
        <color theme="0" tint="-0.249977111117893"/>
      </end>
      <top/>
      <bottom style="thin">
        <color theme="0" tint="-0.249977111117893"/>
      </bottom>
      <diagonal/>
    </border>
    <border>
      <start/>
      <end/>
      <top style="thin">
        <color theme="0" tint="-0.249977111117893"/>
      </top>
      <bottom style="medium">
        <color indexed="64"/>
      </bottom>
      <diagonal/>
    </border>
    <border>
      <start style="thin">
        <color theme="0" tint="-0.249977111117893"/>
      </start>
      <end style="thin">
        <color theme="0" tint="-0.249977111117893"/>
      </end>
      <top style="thin">
        <color indexed="64"/>
      </top>
      <bottom/>
      <diagonal/>
    </border>
    <border>
      <start style="thin">
        <color theme="0" tint="-0.249977111117893"/>
      </start>
      <end style="thin">
        <color indexed="64"/>
      </end>
      <top/>
      <bottom style="thin">
        <color theme="0" tint="-0.249977111117893"/>
      </bottom>
      <diagonal/>
    </border>
    <border>
      <start style="thin">
        <color theme="0" tint="-0.249977111117893"/>
      </start>
      <end style="thin">
        <color theme="0" tint="-0.249977111117893"/>
      </end>
      <top style="thin">
        <color theme="0" tint="-0.249977111117893"/>
      </top>
      <bottom style="thin">
        <color indexed="64"/>
      </bottom>
      <diagonal/>
    </border>
    <border>
      <start/>
      <end/>
      <top style="thin">
        <color theme="0" tint="-0.249977111117893"/>
      </top>
      <bottom/>
      <diagonal/>
    </border>
    <border>
      <start/>
      <end style="thin">
        <color theme="0" tint="-0.249977111117893"/>
      </end>
      <top/>
      <bottom style="medium">
        <color indexed="64"/>
      </bottom>
      <diagonal/>
    </border>
    <border>
      <start style="thin">
        <color theme="0" tint="-0.249977111117893"/>
      </start>
      <end style="medium">
        <color indexed="64"/>
      </end>
      <top/>
      <bottom style="medium">
        <color indexed="64"/>
      </bottom>
      <diagonal/>
    </border>
    <border>
      <start style="medium">
        <color indexed="64"/>
      </start>
      <end/>
      <top/>
      <bottom style="double">
        <color indexed="64"/>
      </bottom>
      <diagonal/>
    </border>
    <border>
      <start/>
      <end/>
      <top/>
      <bottom style="double">
        <color indexed="64"/>
      </bottom>
      <diagonal/>
    </border>
    <border>
      <start/>
      <end style="medium">
        <color indexed="64"/>
      </end>
      <top/>
      <bottom style="double">
        <color indexed="64"/>
      </bottom>
      <diagonal/>
    </border>
    <border>
      <start/>
      <end/>
      <top style="medium">
        <color indexed="64"/>
      </top>
      <bottom style="thin">
        <color theme="0" tint="-0.499984740745262"/>
      </bottom>
      <diagonal/>
    </border>
    <border>
      <start style="medium">
        <color indexed="64"/>
      </start>
      <end style="medium">
        <color indexed="64"/>
      </end>
      <top style="thin">
        <color theme="0" tint="-0.499984740745262"/>
      </top>
      <bottom style="medium">
        <color indexed="64"/>
      </bottom>
      <diagonal/>
    </border>
    <border>
      <start style="thin">
        <color indexed="64"/>
      </start>
      <end style="thin">
        <color indexed="64"/>
      </end>
      <top style="thin">
        <color indexed="64"/>
      </top>
      <bottom style="thin">
        <color indexed="64"/>
      </bottom>
      <diagonal/>
    </border>
    <border>
      <start style="thin">
        <color indexed="64"/>
      </start>
      <end/>
      <top style="thin">
        <color indexed="64"/>
      </top>
      <bottom style="thin">
        <color indexed="64"/>
      </bottom>
      <diagonal/>
    </border>
    <border>
      <start/>
      <end/>
      <top style="thin">
        <color indexed="64"/>
      </top>
      <bottom style="thin">
        <color indexed="64"/>
      </bottom>
      <diagonal/>
    </border>
    <border>
      <start/>
      <end style="thin">
        <color indexed="64"/>
      </end>
      <top style="thin">
        <color indexed="64"/>
      </top>
      <bottom style="thin">
        <color indexed="64"/>
      </bottom>
      <diagonal/>
    </border>
    <border>
      <start style="thin">
        <color indexed="64"/>
      </start>
      <end style="thin">
        <color theme="0" tint="-0.249977111117893"/>
      </end>
      <top style="thin">
        <color theme="0" tint="-0.249977111117893"/>
      </top>
      <bottom style="thin">
        <color theme="0" tint="-0.249977111117893"/>
      </bottom>
      <diagonal/>
    </border>
    <border>
      <start style="thin">
        <color theme="0" tint="-0.249977111117893"/>
      </start>
      <end style="thin">
        <color indexed="64"/>
      </end>
      <top style="thin">
        <color theme="0" tint="-0.249977111117893"/>
      </top>
      <bottom style="thin">
        <color theme="0" tint="-0.249977111117893"/>
      </bottom>
      <diagonal/>
    </border>
    <border>
      <start style="thin">
        <color indexed="64"/>
      </start>
      <end style="thin">
        <color theme="0" tint="-0.249977111117893"/>
      </end>
      <top style="thin">
        <color theme="0" tint="-0.249977111117893"/>
      </top>
      <bottom style="thin">
        <color indexed="64"/>
      </bottom>
      <diagonal/>
    </border>
    <border>
      <start style="thin">
        <color theme="0" tint="-0.249977111117893"/>
      </start>
      <end style="thin">
        <color indexed="64"/>
      </end>
      <top style="thin">
        <color theme="0" tint="-0.249977111117893"/>
      </top>
      <bottom style="thin">
        <color indexed="64"/>
      </bottom>
      <diagonal/>
    </border>
    <border>
      <start style="thin">
        <color theme="0" tint="-0.24994659260841701"/>
      </start>
      <end style="thin">
        <color theme="0" tint="-0.24994659260841701"/>
      </end>
      <top style="thin">
        <color indexed="64"/>
      </top>
      <bottom style="thin">
        <color theme="0" tint="-0.24994659260841701"/>
      </bottom>
      <diagonal/>
    </border>
    <border>
      <start style="thin">
        <color theme="0" tint="-0.24994659260841701"/>
      </start>
      <end style="thin">
        <color theme="0" tint="-0.24994659260841701"/>
      </end>
      <top style="thin">
        <color theme="0" tint="-0.24994659260841701"/>
      </top>
      <bottom style="thin">
        <color theme="0" tint="-0.24994659260841701"/>
      </bottom>
      <diagonal/>
    </border>
    <border>
      <start style="thin">
        <color theme="0" tint="-0.24994659260841701"/>
      </start>
      <end style="thin">
        <color theme="0" tint="-0.24994659260841701"/>
      </end>
      <top style="thin">
        <color theme="0" tint="-0.24994659260841701"/>
      </top>
      <bottom style="thin">
        <color theme="0" tint="-0.249977111117893"/>
      </bottom>
      <diagonal/>
    </border>
    <border>
      <start/>
      <end/>
      <top style="thin">
        <color indexed="64"/>
      </top>
      <bottom/>
      <diagonal/>
    </border>
    <border>
      <start/>
      <end style="thin">
        <color indexed="64"/>
      </end>
      <top/>
      <bottom style="thin">
        <color indexed="64"/>
      </bottom>
      <diagonal/>
    </border>
    <border>
      <start style="medium">
        <color indexed="64"/>
      </start>
      <end/>
      <top style="thin">
        <color indexed="64"/>
      </top>
      <bottom style="thin">
        <color indexed="64"/>
      </bottom>
      <diagonal/>
    </border>
    <border>
      <start style="medium">
        <color indexed="64"/>
      </start>
      <end style="thin">
        <color indexed="64"/>
      </end>
      <top style="thin">
        <color indexed="64"/>
      </top>
      <bottom style="thin">
        <color indexed="64"/>
      </bottom>
      <diagonal/>
    </border>
    <border>
      <start style="thin">
        <color indexed="64"/>
      </start>
      <end style="medium">
        <color indexed="64"/>
      </end>
      <top style="thin">
        <color indexed="64"/>
      </top>
      <bottom style="thin">
        <color indexed="64"/>
      </bottom>
      <diagonal/>
    </border>
    <border>
      <start style="medium">
        <color indexed="64"/>
      </start>
      <end style="thin">
        <color theme="0" tint="-0.24994659260841701"/>
      </end>
      <top style="thin">
        <color indexed="64"/>
      </top>
      <bottom style="thin">
        <color theme="0" tint="-0.24994659260841701"/>
      </bottom>
      <diagonal/>
    </border>
    <border>
      <start style="thin">
        <color theme="0" tint="-0.24994659260841701"/>
      </start>
      <end style="medium">
        <color indexed="64"/>
      </end>
      <top style="thin">
        <color indexed="64"/>
      </top>
      <bottom style="thin">
        <color theme="0" tint="-0.24994659260841701"/>
      </bottom>
      <diagonal/>
    </border>
    <border>
      <start style="medium">
        <color indexed="64"/>
      </start>
      <end style="thin">
        <color theme="0" tint="-0.24994659260841701"/>
      </end>
      <top style="thin">
        <color theme="0" tint="-0.24994659260841701"/>
      </top>
      <bottom style="thin">
        <color theme="0" tint="-0.24994659260841701"/>
      </bottom>
      <diagonal/>
    </border>
    <border>
      <start style="thin">
        <color theme="0" tint="-0.24994659260841701"/>
      </start>
      <end style="medium">
        <color indexed="64"/>
      </end>
      <top style="thin">
        <color theme="0" tint="-0.24994659260841701"/>
      </top>
      <bottom style="thin">
        <color theme="0" tint="-0.24994659260841701"/>
      </bottom>
      <diagonal/>
    </border>
    <border>
      <start style="medium">
        <color indexed="64"/>
      </start>
      <end style="thin">
        <color theme="0" tint="-0.24994659260841701"/>
      </end>
      <top style="thin">
        <color theme="0" tint="-0.24994659260841701"/>
      </top>
      <bottom style="thin">
        <color theme="0" tint="-0.249977111117893"/>
      </bottom>
      <diagonal/>
    </border>
    <border>
      <start style="medium">
        <color indexed="64"/>
      </start>
      <end/>
      <top style="thin">
        <color theme="0" tint="-0.249977111117893"/>
      </top>
      <bottom/>
      <diagonal/>
    </border>
    <border>
      <start/>
      <end style="medium">
        <color indexed="64"/>
      </end>
      <top style="thin">
        <color theme="0" tint="-0.249977111117893"/>
      </top>
      <bottom/>
      <diagonal/>
    </border>
    <border>
      <start style="thin">
        <color indexed="64"/>
      </start>
      <end style="thin">
        <color indexed="64"/>
      </end>
      <top/>
      <bottom style="thin">
        <color indexed="64"/>
      </bottom>
      <diagonal/>
    </border>
    <border>
      <start style="medium">
        <color indexed="64"/>
      </start>
      <end style="thin">
        <color indexed="64"/>
      </end>
      <top style="thin">
        <color indexed="64"/>
      </top>
      <bottom style="thin">
        <color theme="0" tint="-0.249977111117893"/>
      </bottom>
      <diagonal/>
    </border>
    <border>
      <start/>
      <end style="medium">
        <color indexed="64"/>
      </end>
      <top style="thin">
        <color indexed="64"/>
      </top>
      <bottom style="thin">
        <color theme="0" tint="-0.249977111117893"/>
      </bottom>
      <diagonal/>
    </border>
    <border>
      <start style="thin">
        <color indexed="64"/>
      </start>
      <end/>
      <top style="thin">
        <color theme="0" tint="-0.249977111117893"/>
      </top>
      <bottom style="medium">
        <color indexed="64"/>
      </bottom>
      <diagonal/>
    </border>
    <border>
      <start style="medium">
        <color indexed="64"/>
      </start>
      <end/>
      <top style="thin">
        <color theme="0" tint="-0.249977111117893"/>
      </top>
      <bottom style="medium">
        <color indexed="64"/>
      </bottom>
      <diagonal/>
    </border>
    <border>
      <start/>
      <end style="thin">
        <color indexed="64"/>
      </end>
      <top style="thin">
        <color theme="0" tint="-0.249977111117893"/>
      </top>
      <bottom style="medium">
        <color indexed="64"/>
      </bottom>
      <diagonal/>
    </border>
    <border>
      <start style="thin">
        <color theme="0" tint="-0.249977111117893"/>
      </start>
      <end/>
      <top style="thin">
        <color theme="0" tint="-0.249977111117893"/>
      </top>
      <bottom style="medium">
        <color indexed="64"/>
      </bottom>
      <diagonal/>
    </border>
    <border>
      <start/>
      <end style="medium">
        <color indexed="64"/>
      </end>
      <top style="thin">
        <color theme="0" tint="-0.249977111117893"/>
      </top>
      <bottom style="medium">
        <color indexed="64"/>
      </bottom>
      <diagonal/>
    </border>
    <border>
      <start style="medium">
        <color indexed="64"/>
      </start>
      <end style="thin">
        <color indexed="64"/>
      </end>
      <top style="medium">
        <color indexed="64"/>
      </top>
      <bottom/>
      <diagonal/>
    </border>
    <border>
      <start style="thin">
        <color indexed="64"/>
      </start>
      <end style="thin">
        <color indexed="64"/>
      </end>
      <top style="medium">
        <color indexed="64"/>
      </top>
      <bottom/>
      <diagonal/>
    </border>
    <border>
      <start style="thin">
        <color indexed="64"/>
      </start>
      <end style="medium">
        <color indexed="64"/>
      </end>
      <top style="medium">
        <color indexed="64"/>
      </top>
      <bottom/>
      <diagonal/>
    </border>
    <border>
      <start style="thin">
        <color indexed="64"/>
      </start>
      <end style="medium">
        <color indexed="64"/>
      </end>
      <top/>
      <bottom/>
      <diagonal/>
    </border>
    <border>
      <start style="thin">
        <color indexed="64"/>
      </start>
      <end style="thin">
        <color indexed="64"/>
      </end>
      <top/>
      <bottom/>
      <diagonal/>
    </border>
    <border>
      <start style="medium">
        <color indexed="64"/>
      </start>
      <end style="thin">
        <color indexed="64"/>
      </end>
      <top/>
      <bottom/>
      <diagonal/>
    </border>
    <border>
      <start style="medium">
        <color indexed="64"/>
      </start>
      <end style="thin">
        <color theme="0" tint="-0.24994659260841701"/>
      </end>
      <top/>
      <bottom/>
      <diagonal/>
    </border>
    <border>
      <start style="thin">
        <color theme="0" tint="-0.24994659260841701"/>
      </start>
      <end style="thin">
        <color theme="0" tint="-0.24994659260841701"/>
      </end>
      <top/>
      <bottom/>
      <diagonal/>
    </border>
    <border>
      <start style="thin">
        <color theme="0" tint="-0.24994659260841701"/>
      </start>
      <end style="medium">
        <color indexed="64"/>
      </end>
      <top style="thin">
        <color theme="0" tint="-0.24994659260841701"/>
      </top>
      <bottom style="thin">
        <color theme="0" tint="-0.249977111117893"/>
      </bottom>
      <diagonal/>
    </border>
    <border>
      <start style="thin">
        <color indexed="64"/>
      </start>
      <end style="thin">
        <color theme="0" tint="-0.249977111117893"/>
      </end>
      <top style="thin">
        <color indexed="64"/>
      </top>
      <bottom/>
      <diagonal/>
    </border>
    <border>
      <start style="thin">
        <color indexed="55"/>
      </start>
      <end style="thin">
        <color theme="0" tint="-0.499984740745262"/>
      </end>
      <top style="thin">
        <color theme="0" tint="-0.34998626667073579"/>
      </top>
      <bottom/>
      <diagonal/>
    </border>
    <border>
      <start style="thin">
        <color indexed="55"/>
      </start>
      <end style="thin">
        <color indexed="64"/>
      </end>
      <top style="thin">
        <color indexed="64"/>
      </top>
      <bottom style="double">
        <color indexed="64"/>
      </bottom>
      <diagonal/>
    </border>
    <border>
      <start style="thin">
        <color indexed="55"/>
      </start>
      <end style="thin">
        <color indexed="64"/>
      </end>
      <top/>
      <bottom style="thin">
        <color indexed="64"/>
      </bottom>
      <diagonal/>
    </border>
    <border>
      <start style="thin">
        <color indexed="55"/>
      </start>
      <end style="thin">
        <color theme="0" tint="-0.499984740745262"/>
      </end>
      <top style="thin">
        <color theme="0" tint="-0.34998626667073579"/>
      </top>
      <bottom style="thin">
        <color indexed="64"/>
      </bottom>
      <diagonal/>
    </border>
    <border>
      <start/>
      <end/>
      <top style="thin">
        <color indexed="55"/>
      </top>
      <bottom style="thin">
        <color indexed="64"/>
      </bottom>
      <diagonal/>
    </border>
    <border>
      <start style="thin">
        <color indexed="23"/>
      </start>
      <end style="thin">
        <color indexed="23"/>
      </end>
      <top style="thin">
        <color indexed="23"/>
      </top>
      <bottom style="thin">
        <color indexed="64"/>
      </bottom>
      <diagonal/>
    </border>
    <border>
      <start style="thin">
        <color indexed="23"/>
      </start>
      <end style="thin">
        <color indexed="64"/>
      </end>
      <top style="thin">
        <color indexed="23"/>
      </top>
      <bottom style="thin">
        <color indexed="64"/>
      </bottom>
      <diagonal/>
    </border>
    <border>
      <start style="thin">
        <color indexed="55"/>
      </start>
      <end style="thin">
        <color indexed="64"/>
      </end>
      <top style="double">
        <color indexed="64"/>
      </top>
      <bottom style="thin">
        <color indexed="64"/>
      </bottom>
      <diagonal/>
    </border>
    <border>
      <start/>
      <end style="thin">
        <color indexed="55"/>
      </end>
      <top/>
      <bottom style="thin">
        <color indexed="55"/>
      </bottom>
      <diagonal/>
    </border>
    <border>
      <start/>
      <end style="thin">
        <color indexed="55"/>
      </end>
      <top style="thin">
        <color indexed="55"/>
      </top>
      <bottom/>
      <diagonal/>
    </border>
    <border>
      <start/>
      <end style="thin">
        <color indexed="55"/>
      </end>
      <top style="thin">
        <color indexed="55"/>
      </top>
      <bottom style="thin">
        <color indexed="64"/>
      </bottom>
      <diagonal/>
    </border>
    <border>
      <start style="thin">
        <color indexed="55"/>
      </start>
      <end style="thin">
        <color indexed="64"/>
      </end>
      <top style="double">
        <color indexed="64"/>
      </top>
      <bottom style="thin">
        <color indexed="55"/>
      </bottom>
      <diagonal/>
    </border>
    <border>
      <start style="thin">
        <color indexed="55"/>
      </start>
      <end style="thin">
        <color indexed="64"/>
      </end>
      <top style="thin">
        <color indexed="55"/>
      </top>
      <bottom style="thin">
        <color indexed="64"/>
      </bottom>
      <diagonal/>
    </border>
    <border>
      <start/>
      <end style="thin">
        <color indexed="55"/>
      </end>
      <top/>
      <bottom style="double">
        <color indexed="64"/>
      </bottom>
      <diagonal/>
    </border>
    <border>
      <start/>
      <end style="thin">
        <color indexed="23"/>
      </end>
      <top style="thin">
        <color indexed="23"/>
      </top>
      <bottom style="thin">
        <color indexed="64"/>
      </bottom>
      <diagonal/>
    </border>
    <border>
      <start style="thin">
        <color indexed="23"/>
      </start>
      <end style="thin">
        <color indexed="64"/>
      </end>
      <top/>
      <bottom style="thin">
        <color indexed="23"/>
      </bottom>
      <diagonal/>
    </border>
    <border>
      <start style="thin">
        <color indexed="64"/>
      </start>
      <end/>
      <top/>
      <bottom style="thin">
        <color indexed="64"/>
      </bottom>
      <diagonal/>
    </border>
    <border>
      <start/>
      <end/>
      <top/>
      <bottom style="thin">
        <color indexed="64"/>
      </bottom>
      <diagonal/>
    </border>
    <border>
      <start style="thin">
        <color indexed="55"/>
      </start>
      <end style="thin">
        <color indexed="55"/>
      </end>
      <top/>
      <bottom style="thin">
        <color indexed="64"/>
      </bottom>
      <diagonal/>
    </border>
    <border>
      <start/>
      <end style="thin">
        <color indexed="55"/>
      </end>
      <top/>
      <bottom style="thin">
        <color indexed="64"/>
      </bottom>
      <diagonal/>
    </border>
    <border>
      <start/>
      <end style="thin">
        <color indexed="64"/>
      </end>
      <top/>
      <bottom/>
      <diagonal/>
    </border>
    <border>
      <start style="thin">
        <color indexed="64"/>
      </start>
      <end style="thin">
        <color indexed="55"/>
      </end>
      <top/>
      <bottom style="thin">
        <color indexed="64"/>
      </bottom>
      <diagonal/>
    </border>
    <border>
      <start style="thin">
        <color indexed="64"/>
      </start>
      <end style="thin">
        <color indexed="55"/>
      </end>
      <top style="thin">
        <color indexed="64"/>
      </top>
      <bottom style="thin">
        <color indexed="64"/>
      </bottom>
      <diagonal/>
    </border>
    <border>
      <start style="thin">
        <color indexed="55"/>
      </start>
      <end style="thin">
        <color theme="0" tint="-0.499984740745262"/>
      </end>
      <top style="thin">
        <color indexed="64"/>
      </top>
      <bottom style="thin">
        <color indexed="64"/>
      </bottom>
      <diagonal/>
    </border>
    <border>
      <start/>
      <end style="thin">
        <color indexed="64"/>
      </end>
      <top style="double">
        <color indexed="64"/>
      </top>
      <bottom style="thin">
        <color indexed="55"/>
      </bottom>
      <diagonal/>
    </border>
    <border>
      <start/>
      <end style="thin">
        <color indexed="64"/>
      </end>
      <top style="thin">
        <color indexed="55"/>
      </top>
      <bottom/>
      <diagonal/>
    </border>
    <border>
      <start/>
      <end style="thin">
        <color indexed="64"/>
      </end>
      <top style="thin">
        <color indexed="55"/>
      </top>
      <bottom style="thin">
        <color indexed="64"/>
      </bottom>
      <diagonal/>
    </border>
    <border>
      <start style="thin">
        <color indexed="64"/>
      </start>
      <end style="thin">
        <color indexed="55"/>
      </end>
      <top style="thin">
        <color indexed="64"/>
      </top>
      <bottom style="double">
        <color indexed="64"/>
      </bottom>
      <diagonal/>
    </border>
    <border>
      <start style="thin">
        <color indexed="55"/>
      </start>
      <end/>
      <top style="thin">
        <color indexed="64"/>
      </top>
      <bottom style="double">
        <color indexed="64"/>
      </bottom>
      <diagonal/>
    </border>
    <border>
      <start style="thin">
        <color indexed="64"/>
      </start>
      <end style="thin">
        <color indexed="55"/>
      </end>
      <top style="thin">
        <color indexed="55"/>
      </top>
      <bottom style="thin">
        <color indexed="64"/>
      </bottom>
      <diagonal/>
    </border>
    <border>
      <start style="thin">
        <color indexed="55"/>
      </start>
      <end/>
      <top/>
      <bottom style="thin">
        <color indexed="64"/>
      </bottom>
      <diagonal/>
    </border>
    <border>
      <start style="thin">
        <color indexed="64"/>
      </start>
      <end style="thin">
        <color indexed="23"/>
      </end>
      <top style="thin">
        <color indexed="23"/>
      </top>
      <bottom style="thin">
        <color indexed="64"/>
      </bottom>
      <diagonal/>
    </border>
    <border>
      <start style="thin">
        <color indexed="64"/>
      </start>
      <end style="thin">
        <color indexed="55"/>
      </end>
      <top style="thin">
        <color indexed="64"/>
      </top>
      <bottom style="thin">
        <color theme="0" tint="-0.34998626667073579"/>
      </bottom>
      <diagonal/>
    </border>
    <border>
      <start style="thin">
        <color indexed="55"/>
      </start>
      <end style="thin">
        <color theme="0" tint="-0.499984740745262"/>
      </end>
      <top style="thin">
        <color indexed="64"/>
      </top>
      <bottom style="thin">
        <color theme="0" tint="-0.34998626667073579"/>
      </bottom>
      <diagonal/>
    </border>
    <border>
      <start/>
      <end/>
      <top style="thin">
        <color indexed="64"/>
      </top>
      <bottom style="thin">
        <color theme="0" tint="-0.34998626667073579"/>
      </bottom>
      <diagonal/>
    </border>
    <border>
      <start style="thin">
        <color indexed="64"/>
      </start>
      <end style="thin">
        <color indexed="64"/>
      </end>
      <top style="thin">
        <color indexed="64"/>
      </top>
      <bottom style="double">
        <color indexed="64"/>
      </bottom>
      <diagonal/>
    </border>
    <border>
      <start/>
      <end style="thin">
        <color indexed="55"/>
      </end>
      <top style="thin">
        <color indexed="64"/>
      </top>
      <bottom style="double">
        <color indexed="64"/>
      </bottom>
      <diagonal/>
    </border>
    <border>
      <start style="thin">
        <color indexed="55"/>
      </start>
      <end style="thin">
        <color indexed="55"/>
      </end>
      <top style="thin">
        <color indexed="64"/>
      </top>
      <bottom style="double">
        <color indexed="64"/>
      </bottom>
      <diagonal/>
    </border>
    <border>
      <start style="thin">
        <color indexed="64"/>
      </start>
      <end style="thin">
        <color indexed="64"/>
      </end>
      <top style="double">
        <color indexed="64"/>
      </top>
      <bottom style="thin">
        <color indexed="55"/>
      </bottom>
      <diagonal/>
    </border>
    <border>
      <start/>
      <end style="thin">
        <color indexed="64"/>
      </end>
      <top style="double">
        <color indexed="64"/>
      </top>
      <bottom style="thin">
        <color theme="0" tint="-0.34998626667073579"/>
      </bottom>
      <diagonal/>
    </border>
    <border>
      <start style="thin">
        <color indexed="64"/>
      </start>
      <end style="thin">
        <color indexed="64"/>
      </end>
      <top style="thin">
        <color indexed="55"/>
      </top>
      <bottom style="thin">
        <color indexed="64"/>
      </bottom>
      <diagonal/>
    </border>
    <border>
      <start style="thin">
        <color indexed="55"/>
      </start>
      <end style="thin">
        <color theme="0" tint="-0.499984740745262"/>
      </end>
      <top/>
      <bottom style="thin">
        <color indexed="64"/>
      </bottom>
      <diagonal/>
    </border>
    <border>
      <start style="thin">
        <color theme="0" tint="-0.499984740745262"/>
      </start>
      <end/>
      <top/>
      <bottom style="thin">
        <color indexed="64"/>
      </bottom>
      <diagonal/>
    </border>
    <border>
      <start style="thin">
        <color indexed="64"/>
      </start>
      <end/>
      <top style="thin">
        <color indexed="64"/>
      </top>
      <bottom style="thin">
        <color indexed="55"/>
      </bottom>
      <diagonal/>
    </border>
    <border>
      <start style="thin">
        <color indexed="64"/>
      </start>
      <end/>
      <top style="thin">
        <color indexed="55"/>
      </top>
      <bottom style="thin">
        <color indexed="64"/>
      </bottom>
      <diagonal/>
    </border>
    <border>
      <start/>
      <end style="thin">
        <color indexed="55"/>
      </end>
      <top style="thin">
        <color indexed="64"/>
      </top>
      <bottom style="thin">
        <color indexed="55"/>
      </bottom>
      <diagonal/>
    </border>
    <border>
      <start style="thin">
        <color indexed="55"/>
      </start>
      <end style="thin">
        <color indexed="55"/>
      </end>
      <top style="thin">
        <color indexed="64"/>
      </top>
      <bottom style="thin">
        <color indexed="64"/>
      </bottom>
      <diagonal/>
    </border>
    <border>
      <start style="thin">
        <color indexed="55"/>
      </start>
      <end style="thin">
        <color indexed="64"/>
      </end>
      <top style="thin">
        <color indexed="64"/>
      </top>
      <bottom style="thin">
        <color indexed="64"/>
      </bottom>
      <diagonal/>
    </border>
    <border>
      <start style="thin">
        <color indexed="55"/>
      </start>
      <end/>
      <top style="thin">
        <color indexed="64"/>
      </top>
      <bottom/>
      <diagonal/>
    </border>
    <border>
      <start style="thin">
        <color indexed="55"/>
      </start>
      <end/>
      <top style="thin">
        <color indexed="64"/>
      </top>
      <bottom style="thin">
        <color indexed="64"/>
      </bottom>
      <diagonal/>
    </border>
    <border>
      <start style="thin">
        <color indexed="64"/>
      </start>
      <end style="thin">
        <color indexed="55"/>
      </end>
      <top/>
      <bottom style="thin">
        <color indexed="55"/>
      </bottom>
      <diagonal/>
    </border>
    <border>
      <start style="thin">
        <color indexed="55"/>
      </start>
      <end style="thin">
        <color indexed="64"/>
      </end>
      <top/>
      <bottom style="thin">
        <color indexed="55"/>
      </bottom>
      <diagonal/>
    </border>
    <border>
      <start style="thin">
        <color indexed="64"/>
      </start>
      <end/>
      <top style="thin">
        <color indexed="64"/>
      </top>
      <bottom/>
      <diagonal/>
    </border>
    <border>
      <start/>
      <end style="thin">
        <color indexed="64"/>
      </end>
      <top style="thin">
        <color indexed="64"/>
      </top>
      <bottom/>
      <diagonal/>
    </border>
    <border>
      <start style="thin">
        <color indexed="64"/>
      </start>
      <end style="thin">
        <color indexed="23"/>
      </end>
      <top/>
      <bottom style="thin">
        <color indexed="23"/>
      </bottom>
      <diagonal/>
    </border>
    <border>
      <start/>
      <end style="thin">
        <color indexed="55"/>
      </end>
      <top style="thin">
        <color indexed="64"/>
      </top>
      <bottom style="thin">
        <color indexed="64"/>
      </bottom>
      <diagonal/>
    </border>
    <border>
      <start style="thin">
        <color indexed="23"/>
      </start>
      <end style="thin">
        <color indexed="64"/>
      </end>
      <top/>
      <bottom/>
      <diagonal/>
    </border>
    <border>
      <start/>
      <end style="thin">
        <color indexed="64"/>
      </end>
      <top style="double">
        <color indexed="64"/>
      </top>
      <bottom style="thin">
        <color theme="0" tint="-0.499984740745262"/>
      </bottom>
      <diagonal/>
    </border>
    <border>
      <start/>
      <end/>
      <top/>
      <bottom style="thin">
        <color theme="0" tint="-0.34998626667073579"/>
      </bottom>
      <diagonal/>
    </border>
    <border>
      <start style="thin">
        <color indexed="64"/>
      </start>
      <end style="thin">
        <color indexed="55"/>
      </end>
      <top/>
      <bottom style="double">
        <color indexed="64"/>
      </bottom>
      <diagonal/>
    </border>
    <border>
      <start style="thin">
        <color indexed="23"/>
      </start>
      <end style="thin">
        <color indexed="64"/>
      </end>
      <top style="thin">
        <color indexed="64"/>
      </top>
      <bottom/>
      <diagonal/>
    </border>
    <border>
      <start style="thin">
        <color indexed="64"/>
      </start>
      <end style="thin">
        <color indexed="23"/>
      </end>
      <top/>
      <bottom style="thin">
        <color indexed="64"/>
      </bottom>
      <diagonal/>
    </border>
    <border>
      <start style="thin">
        <color indexed="23"/>
      </start>
      <end style="thin">
        <color indexed="23"/>
      </end>
      <top/>
      <bottom style="thin">
        <color indexed="64"/>
      </bottom>
      <diagonal/>
    </border>
    <border>
      <start style="thin">
        <color indexed="23"/>
      </start>
      <end style="thin">
        <color indexed="64"/>
      </end>
      <top style="double">
        <color indexed="64"/>
      </top>
      <bottom style="thin">
        <color indexed="64"/>
      </bottom>
      <diagonal/>
    </border>
    <border>
      <start style="thin">
        <color indexed="64"/>
      </start>
      <end style="thin">
        <color indexed="64"/>
      </end>
      <top/>
      <bottom style="thin">
        <color indexed="55"/>
      </bottom>
      <diagonal/>
    </border>
    <border>
      <start style="thin">
        <color indexed="55"/>
      </start>
      <end style="thin">
        <color theme="0" tint="-0.499984740745262"/>
      </end>
      <top/>
      <bottom style="thin">
        <color theme="0" tint="-0.34998626667073579"/>
      </bottom>
      <diagonal/>
    </border>
    <border>
      <start style="thin">
        <color indexed="64"/>
      </start>
      <end style="thin">
        <color indexed="55"/>
      </end>
      <top/>
      <bottom style="thin">
        <color theme="0" tint="-0.34998626667073579"/>
      </bottom>
      <diagonal/>
    </border>
    <border>
      <start style="thin">
        <color indexed="64"/>
      </start>
      <end/>
      <top style="thin">
        <color indexed="64"/>
      </top>
      <bottom style="double">
        <color indexed="64"/>
      </bottom>
      <diagonal/>
    </border>
    <border>
      <start style="thin">
        <color indexed="23"/>
      </start>
      <end style="thin">
        <color indexed="64"/>
      </end>
      <top/>
      <bottom style="thin">
        <color indexed="64"/>
      </bottom>
      <diagonal/>
    </border>
    <border>
      <start style="thin">
        <color indexed="64"/>
      </start>
      <end style="thin">
        <color indexed="55"/>
      </end>
      <top style="double">
        <color indexed="64"/>
      </top>
      <bottom style="thin">
        <color indexed="64"/>
      </bottom>
      <diagonal/>
    </border>
    <border>
      <start/>
      <end style="thin">
        <color indexed="64"/>
      </end>
      <top style="thin">
        <color theme="0" tint="-0.499984740745262"/>
      </top>
      <bottom style="thin">
        <color theme="0" tint="-0.499984740745262"/>
      </bottom>
      <diagonal/>
    </border>
    <border>
      <start/>
      <end style="thin">
        <color indexed="64"/>
      </end>
      <top style="thin">
        <color theme="0" tint="-0.499984740745262"/>
      </top>
      <bottom style="thin">
        <color indexed="64"/>
      </bottom>
      <diagonal/>
    </border>
    <border>
      <start/>
      <end/>
      <top style="thin">
        <color indexed="64"/>
      </top>
      <bottom style="double">
        <color indexed="64"/>
      </bottom>
      <diagonal/>
    </border>
    <border>
      <start style="medium">
        <color indexed="64"/>
      </start>
      <end/>
      <top/>
      <bottom style="thin">
        <color indexed="64"/>
      </bottom>
      <diagonal/>
    </border>
    <border>
      <start style="thin">
        <color indexed="64"/>
      </start>
      <end style="thin">
        <color indexed="23"/>
      </end>
      <top style="thin">
        <color indexed="23"/>
      </top>
      <bottom style="thin">
        <color indexed="23"/>
      </bottom>
      <diagonal/>
    </border>
    <border>
      <start style="thin">
        <color indexed="55"/>
      </start>
      <end style="thin">
        <color indexed="64"/>
      </end>
      <top style="thin">
        <color indexed="55"/>
      </top>
      <bottom/>
      <diagonal/>
    </border>
    <border>
      <start style="thin">
        <color theme="0" tint="-0.499984740745262"/>
      </start>
      <end style="thin">
        <color indexed="64"/>
      </end>
      <top style="thin">
        <color indexed="64"/>
      </top>
      <bottom style="double">
        <color indexed="64"/>
      </bottom>
      <diagonal/>
    </border>
    <border>
      <start style="thin">
        <color indexed="64"/>
      </start>
      <end style="thin">
        <color indexed="64"/>
      </end>
      <top style="thin">
        <color indexed="55"/>
      </top>
      <bottom/>
      <diagonal/>
    </border>
    <border>
      <start style="thin">
        <color indexed="64"/>
      </start>
      <end/>
      <top/>
      <bottom style="thin">
        <color indexed="55"/>
      </bottom>
      <diagonal/>
    </border>
    <border>
      <start/>
      <end style="thin">
        <color indexed="64"/>
      </end>
      <top style="double">
        <color indexed="64"/>
      </top>
      <bottom/>
      <diagonal/>
    </border>
    <border>
      <start style="thin">
        <color indexed="64"/>
      </start>
      <end/>
      <top/>
      <bottom style="thin">
        <color indexed="23"/>
      </bottom>
      <diagonal/>
    </border>
    <border>
      <start style="thin">
        <color indexed="64"/>
      </start>
      <end/>
      <top style="thin">
        <color indexed="23"/>
      </top>
      <bottom style="thin">
        <color theme="0" tint="-0.34998626667073579"/>
      </bottom>
      <diagonal/>
    </border>
    <border>
      <start/>
      <end style="thin">
        <color theme="0" tint="-0.34998626667073579"/>
      </end>
      <top style="thin">
        <color theme="0" tint="-0.499984740745262"/>
      </top>
      <bottom style="thin">
        <color theme="0" tint="-0.499984740745262"/>
      </bottom>
      <diagonal/>
    </border>
    <border>
      <start/>
      <end style="thin">
        <color theme="0" tint="-0.34998626667073579"/>
      </end>
      <top/>
      <bottom style="thin">
        <color indexed="64"/>
      </bottom>
      <diagonal/>
    </border>
    <border>
      <start/>
      <end style="thin">
        <color indexed="64"/>
      </end>
      <top style="thin">
        <color indexed="64"/>
      </top>
      <bottom style="double">
        <color indexed="64"/>
      </bottom>
      <diagonal/>
    </border>
    <border>
      <start style="thin">
        <color indexed="64"/>
      </start>
      <end style="thin">
        <color theme="0" tint="-0.499984740745262"/>
      </end>
      <top style="thin">
        <color indexed="64"/>
      </top>
      <bottom style="double">
        <color indexed="64"/>
      </bottom>
      <diagonal/>
    </border>
    <border>
      <start style="thin">
        <color theme="0" tint="-0.499984740745262"/>
      </start>
      <end style="thin">
        <color indexed="55"/>
      </end>
      <top style="thin">
        <color indexed="64"/>
      </top>
      <bottom style="double">
        <color indexed="64"/>
      </bottom>
      <diagonal/>
    </border>
    <border>
      <start style="thin">
        <color indexed="64"/>
      </start>
      <end style="thin">
        <color indexed="64"/>
      </end>
      <top/>
      <bottom style="thin">
        <color theme="0" tint="-0.34998626667073579"/>
      </bottom>
      <diagonal/>
    </border>
    <border>
      <start/>
      <end style="thin">
        <color theme="0" tint="-0.499984740745262"/>
      </end>
      <top style="thin">
        <color indexed="64"/>
      </top>
      <bottom style="double">
        <color indexed="64"/>
      </bottom>
      <diagonal/>
    </border>
    <border>
      <start/>
      <end style="thin">
        <color theme="0" tint="-0.34998626667073579"/>
      </end>
      <top style="double">
        <color indexed="64"/>
      </top>
      <bottom style="thin">
        <color theme="0" tint="-0.499984740745262"/>
      </bottom>
      <diagonal/>
    </border>
    <border>
      <start style="thin">
        <color indexed="64"/>
      </start>
      <end style="thin">
        <color indexed="64"/>
      </end>
      <top style="thin">
        <color indexed="64"/>
      </top>
      <bottom style="thin">
        <color theme="0" tint="-0.34998626667073579"/>
      </bottom>
      <diagonal/>
    </border>
    <border>
      <start style="thin">
        <color indexed="64"/>
      </start>
      <end style="thin">
        <color indexed="64"/>
      </end>
      <top style="double">
        <color indexed="64"/>
      </top>
      <bottom style="thin">
        <color theme="0" tint="-0.499984740745262"/>
      </bottom>
      <diagonal/>
    </border>
    <border>
      <start style="thin">
        <color indexed="64"/>
      </start>
      <end style="thin">
        <color indexed="64"/>
      </end>
      <top style="thin">
        <color theme="0" tint="-0.499984740745262"/>
      </top>
      <bottom style="thin">
        <color theme="0" tint="-0.499984740745262"/>
      </bottom>
      <diagonal/>
    </border>
    <border>
      <start style="thin">
        <color indexed="64"/>
      </start>
      <end style="thin">
        <color indexed="64"/>
      </end>
      <top style="thin">
        <color theme="0" tint="-0.499984740745262"/>
      </top>
      <bottom style="thin">
        <color indexed="64"/>
      </bottom>
      <diagonal/>
    </border>
    <border>
      <start style="thin">
        <color indexed="55"/>
      </start>
      <end style="thin">
        <color indexed="64"/>
      </end>
      <top/>
      <bottom style="thin">
        <color theme="0" tint="-0.34998626667073579"/>
      </bottom>
      <diagonal/>
    </border>
    <border>
      <start style="thin">
        <color indexed="55"/>
      </start>
      <end style="thin">
        <color indexed="64"/>
      </end>
      <top style="thin">
        <color indexed="64"/>
      </top>
      <bottom style="thin">
        <color theme="0" tint="-0.34998626667073579"/>
      </bottom>
      <diagonal/>
    </border>
    <border>
      <start style="thin">
        <color indexed="64"/>
      </start>
      <end style="thin">
        <color indexed="55"/>
      </end>
      <top style="thin">
        <color indexed="64"/>
      </top>
      <bottom style="thin">
        <color indexed="55"/>
      </bottom>
      <diagonal/>
    </border>
    <border>
      <start/>
      <end/>
      <top style="thin">
        <color indexed="23"/>
      </top>
      <bottom style="thin">
        <color indexed="64"/>
      </bottom>
      <diagonal/>
    </border>
    <border>
      <start style="medium">
        <color indexed="64"/>
      </start>
      <end style="thin">
        <color theme="0" tint="-0.249977111117893"/>
      </end>
      <top style="double">
        <color indexed="64"/>
      </top>
      <bottom style="medium">
        <color indexed="64"/>
      </bottom>
      <diagonal/>
    </border>
    <border>
      <start/>
      <end style="thin">
        <color theme="0" tint="-0.249977111117893"/>
      </end>
      <top style="thin">
        <color indexed="64"/>
      </top>
      <bottom style="medium">
        <color indexed="64"/>
      </bottom>
      <diagonal/>
    </border>
    <border>
      <start style="thin">
        <color indexed="64"/>
      </start>
      <end/>
      <top style="medium">
        <color indexed="64"/>
      </top>
      <bottom style="thin">
        <color indexed="64"/>
      </bottom>
      <diagonal/>
    </border>
    <border>
      <start style="thin">
        <color indexed="23"/>
      </start>
      <end style="thin">
        <color indexed="64"/>
      </end>
      <top style="double">
        <color indexed="64"/>
      </top>
      <bottom/>
      <diagonal/>
    </border>
    <border>
      <start/>
      <end style="thin">
        <color indexed="55"/>
      </end>
      <top/>
      <bottom style="thin">
        <color theme="0" tint="-0.34998626667073579"/>
      </bottom>
      <diagonal/>
    </border>
    <border>
      <start/>
      <end style="thin">
        <color theme="0" tint="-0.249977111117893"/>
      </end>
      <top/>
      <bottom style="thin">
        <color theme="0" tint="-0.34998626667073579"/>
      </bottom>
      <diagonal/>
    </border>
    <border>
      <start/>
      <end style="thin">
        <color indexed="64"/>
      </end>
      <top/>
      <bottom style="thin">
        <color theme="0" tint="-0.34998626667073579"/>
      </bottom>
      <diagonal/>
    </border>
    <border>
      <start/>
      <end style="thin">
        <color theme="0" tint="-0.34998626667073579"/>
      </end>
      <top/>
      <bottom style="thin">
        <color theme="0" tint="-0.499984740745262"/>
      </bottom>
      <diagonal/>
    </border>
    <border>
      <start/>
      <end style="thin">
        <color indexed="64"/>
      </end>
      <top/>
      <bottom style="thin">
        <color theme="0" tint="-0.499984740745262"/>
      </bottom>
      <diagonal/>
    </border>
    <border>
      <start style="medium">
        <color indexed="64"/>
      </start>
      <end style="medium">
        <color indexed="64"/>
      </end>
      <top/>
      <bottom/>
      <diagonal/>
    </border>
    <border>
      <start style="medium">
        <color indexed="64"/>
      </start>
      <end style="thin">
        <color indexed="64"/>
      </end>
      <top style="medium">
        <color indexed="64"/>
      </top>
      <bottom style="thin">
        <color indexed="64"/>
      </bottom>
      <diagonal/>
    </border>
    <border>
      <start style="thin">
        <color indexed="64"/>
      </start>
      <end style="thin">
        <color indexed="64"/>
      </end>
      <top style="medium">
        <color indexed="64"/>
      </top>
      <bottom style="thin">
        <color indexed="64"/>
      </bottom>
      <diagonal/>
    </border>
    <border>
      <start style="thin">
        <color indexed="64"/>
      </start>
      <end style="medium">
        <color indexed="64"/>
      </end>
      <top style="medium">
        <color indexed="64"/>
      </top>
      <bottom style="thin">
        <color indexed="64"/>
      </bottom>
      <diagonal/>
    </border>
    <border>
      <start style="medium">
        <color indexed="64"/>
      </start>
      <end style="thin">
        <color indexed="64"/>
      </end>
      <top style="thin">
        <color theme="0" tint="-0.249977111117893"/>
      </top>
      <bottom style="medium">
        <color indexed="64"/>
      </bottom>
      <diagonal/>
    </border>
    <border>
      <start style="thin">
        <color theme="0" tint="-0.24994659260841701"/>
      </start>
      <end style="medium">
        <color indexed="64"/>
      </end>
      <top/>
      <bottom/>
      <diagonal/>
    </border>
    <border>
      <start style="thin">
        <color indexed="64"/>
      </start>
      <end style="thin">
        <color theme="0" tint="-0.24994659260841701"/>
      </end>
      <top style="double">
        <color indexed="64"/>
      </top>
      <bottom style="thin">
        <color theme="0" tint="-0.24994659260841701"/>
      </bottom>
      <diagonal/>
    </border>
    <border>
      <start style="thin">
        <color theme="0" tint="-0.24994659260841701"/>
      </start>
      <end style="thin">
        <color theme="0" tint="-0.24994659260841701"/>
      </end>
      <top style="double">
        <color indexed="64"/>
      </top>
      <bottom style="thin">
        <color theme="0" tint="-0.24994659260841701"/>
      </bottom>
      <diagonal/>
    </border>
    <border>
      <start style="thin">
        <color theme="0" tint="-0.24994659260841701"/>
      </start>
      <end style="thin">
        <color indexed="64"/>
      </end>
      <top style="double">
        <color indexed="64"/>
      </top>
      <bottom style="thin">
        <color theme="0" tint="-0.24994659260841701"/>
      </bottom>
      <diagonal/>
    </border>
    <border>
      <start style="thin">
        <color indexed="64"/>
      </start>
      <end style="thin">
        <color theme="0" tint="-0.24994659260841701"/>
      </end>
      <top style="thin">
        <color theme="0" tint="-0.24994659260841701"/>
      </top>
      <bottom style="thin">
        <color theme="0" tint="-0.24994659260841701"/>
      </bottom>
      <diagonal/>
    </border>
    <border>
      <start style="thin">
        <color theme="0" tint="-0.24994659260841701"/>
      </start>
      <end style="thin">
        <color indexed="64"/>
      </end>
      <top style="thin">
        <color theme="0" tint="-0.24994659260841701"/>
      </top>
      <bottom style="thin">
        <color theme="0" tint="-0.24994659260841701"/>
      </bottom>
      <diagonal/>
    </border>
    <border>
      <start style="thin">
        <color indexed="64"/>
      </start>
      <end style="thin">
        <color theme="0" tint="-0.24994659260841701"/>
      </end>
      <top style="thin">
        <color theme="0" tint="-0.24994659260841701"/>
      </top>
      <bottom style="thin">
        <color indexed="64"/>
      </bottom>
      <diagonal/>
    </border>
    <border>
      <start style="thin">
        <color theme="0" tint="-0.24994659260841701"/>
      </start>
      <end style="thin">
        <color theme="0" tint="-0.24994659260841701"/>
      </end>
      <top style="thin">
        <color theme="0" tint="-0.24994659260841701"/>
      </top>
      <bottom style="thin">
        <color indexed="64"/>
      </bottom>
      <diagonal/>
    </border>
    <border>
      <start style="thin">
        <color theme="0" tint="-0.24994659260841701"/>
      </start>
      <end style="thin">
        <color indexed="64"/>
      </end>
      <top style="thin">
        <color theme="0" tint="-0.24994659260841701"/>
      </top>
      <bottom style="thin">
        <color indexed="64"/>
      </bottom>
      <diagonal/>
    </border>
    <border>
      <start/>
      <end style="thin">
        <color indexed="23"/>
      </end>
      <top/>
      <bottom style="medium">
        <color indexed="64"/>
      </bottom>
      <diagonal/>
    </border>
    <border>
      <start style="thin">
        <color indexed="23"/>
      </start>
      <end style="thin">
        <color indexed="23"/>
      </end>
      <top style="medium">
        <color indexed="64"/>
      </top>
      <bottom/>
      <diagonal/>
    </border>
    <border>
      <start style="thin">
        <color indexed="23"/>
      </start>
      <end/>
      <top style="medium">
        <color indexed="64"/>
      </top>
      <bottom/>
      <diagonal/>
    </border>
    <border>
      <start/>
      <end style="thin">
        <color indexed="23"/>
      </end>
      <top style="medium">
        <color indexed="64"/>
      </top>
      <bottom/>
      <diagonal/>
    </border>
    <border>
      <start style="medium">
        <color indexed="64"/>
      </start>
      <end/>
      <top style="thin">
        <color indexed="23"/>
      </top>
      <bottom style="thin">
        <color indexed="64"/>
      </bottom>
      <diagonal/>
    </border>
    <border>
      <start style="thin">
        <color theme="1"/>
      </start>
      <end style="thin">
        <color theme="0" tint="-0.249977111117893"/>
      </end>
      <top/>
      <bottom style="thin">
        <color theme="0" tint="-0.249977111117893"/>
      </bottom>
      <diagonal/>
    </border>
    <border>
      <start style="thin">
        <color theme="0" tint="-0.249977111117893"/>
      </start>
      <end style="thin">
        <color theme="1"/>
      </end>
      <top style="thin">
        <color theme="0" tint="-0.249977111117893"/>
      </top>
      <bottom style="thin">
        <color theme="0" tint="-0.249977111117893"/>
      </bottom>
      <diagonal/>
    </border>
    <border>
      <start style="thin">
        <color theme="1"/>
      </start>
      <end style="thin">
        <color theme="0" tint="-0.249977111117893"/>
      </end>
      <top style="thin">
        <color theme="0" tint="-0.249977111117893"/>
      </top>
      <bottom style="thin">
        <color theme="0" tint="-0.249977111117893"/>
      </bottom>
      <diagonal/>
    </border>
    <border>
      <start style="thin">
        <color theme="1"/>
      </start>
      <end style="thin">
        <color theme="0" tint="-0.249977111117893"/>
      </end>
      <top style="thin">
        <color theme="0" tint="-0.249977111117893"/>
      </top>
      <bottom style="thin">
        <color theme="1"/>
      </bottom>
      <diagonal/>
    </border>
    <border>
      <start style="thin">
        <color theme="0" tint="-0.249977111117893"/>
      </start>
      <end style="thin">
        <color theme="0" tint="-0.249977111117893"/>
      </end>
      <top style="thin">
        <color theme="0" tint="-0.249977111117893"/>
      </top>
      <bottom style="thin">
        <color theme="1"/>
      </bottom>
      <diagonal/>
    </border>
    <border>
      <start style="thin">
        <color theme="0" tint="-0.249977111117893"/>
      </start>
      <end style="thin">
        <color theme="1"/>
      </end>
      <top style="thin">
        <color theme="0" tint="-0.249977111117893"/>
      </top>
      <bottom style="thin">
        <color theme="1"/>
      </bottom>
      <diagonal/>
    </border>
    <border>
      <start style="thin">
        <color theme="1"/>
      </start>
      <end style="thin">
        <color indexed="55"/>
      </end>
      <top style="thin">
        <color theme="1"/>
      </top>
      <bottom style="thin">
        <color theme="1"/>
      </bottom>
      <diagonal/>
    </border>
    <border>
      <start/>
      <end style="thin">
        <color indexed="55"/>
      </end>
      <top style="thin">
        <color theme="1"/>
      </top>
      <bottom style="thin">
        <color theme="1"/>
      </bottom>
      <diagonal/>
    </border>
    <border>
      <start/>
      <end style="thin">
        <color theme="1"/>
      </end>
      <top style="thin">
        <color theme="1"/>
      </top>
      <bottom style="thin">
        <color theme="1"/>
      </bottom>
      <diagonal/>
    </border>
    <border>
      <start/>
      <end style="thin">
        <color theme="0" tint="-0.24994659260841701"/>
      </end>
      <top style="thin">
        <color theme="0" tint="-0.24994659260841701"/>
      </top>
      <bottom style="thin">
        <color theme="0" tint="-0.24994659260841701"/>
      </bottom>
      <diagonal/>
    </border>
    <border>
      <start style="thin">
        <color theme="0" tint="-0.24994659260841701"/>
      </start>
      <end style="thin">
        <color theme="1"/>
      </end>
      <top style="double">
        <color indexed="64"/>
      </top>
      <bottom style="thin">
        <color theme="0" tint="-0.24994659260841701"/>
      </bottom>
      <diagonal/>
    </border>
    <border>
      <start style="thin">
        <color theme="0" tint="-0.24994659260841701"/>
      </start>
      <end style="thin">
        <color theme="1"/>
      </end>
      <top style="thin">
        <color theme="0" tint="-0.24994659260841701"/>
      </top>
      <bottom style="thin">
        <color theme="0" tint="-0.24994659260841701"/>
      </bottom>
      <diagonal/>
    </border>
    <border>
      <start style="thin">
        <color indexed="64"/>
      </start>
      <end style="thin">
        <color theme="1"/>
      </end>
      <top style="thin">
        <color indexed="64"/>
      </top>
      <bottom style="thin">
        <color indexed="64"/>
      </bottom>
      <diagonal/>
    </border>
    <border>
      <start style="thin">
        <color indexed="64"/>
      </start>
      <end style="thin">
        <color indexed="64"/>
      </end>
      <top style="thin">
        <color indexed="55"/>
      </top>
      <bottom style="thin">
        <color theme="1"/>
      </bottom>
      <diagonal/>
    </border>
    <border>
      <start style="thin">
        <color indexed="64"/>
      </start>
      <end style="thin">
        <color indexed="64"/>
      </end>
      <top style="thin">
        <color indexed="23"/>
      </top>
      <bottom style="thin">
        <color theme="1"/>
      </bottom>
      <diagonal/>
    </border>
    <border>
      <start style="thin">
        <color theme="0" tint="-0.24994659260841701"/>
      </start>
      <end style="thin">
        <color theme="0" tint="-0.24994659260841701"/>
      </end>
      <top style="thin">
        <color theme="0" tint="-0.24994659260841701"/>
      </top>
      <bottom/>
      <diagonal/>
    </border>
    <border>
      <start style="thin">
        <color theme="0" tint="-0.24994659260841701"/>
      </start>
      <end style="thin">
        <color theme="0" tint="-0.24994659260841701"/>
      </end>
      <top/>
      <bottom style="thin">
        <color theme="0" tint="-0.24994659260841701"/>
      </bottom>
      <diagonal/>
    </border>
    <border>
      <start/>
      <end/>
      <top/>
      <bottom style="thin">
        <color theme="1"/>
      </bottom>
      <diagonal/>
    </border>
    <border>
      <start style="thin">
        <color theme="0" tint="-0.24994659260841701"/>
      </start>
      <end style="thin">
        <color theme="0" tint="-0.24994659260841701"/>
      </end>
      <top style="medium">
        <color theme="1"/>
      </top>
      <bottom style="thin">
        <color theme="0" tint="-0.24994659260841701"/>
      </bottom>
      <diagonal/>
    </border>
    <border>
      <start style="medium">
        <color theme="1"/>
      </start>
      <end style="thin">
        <color theme="0" tint="-0.24994659260841701"/>
      </end>
      <top style="thin">
        <color theme="0" tint="-0.24994659260841701"/>
      </top>
      <bottom style="thin">
        <color theme="0" tint="-0.24994659260841701"/>
      </bottom>
      <diagonal/>
    </border>
    <border>
      <start/>
      <end style="medium">
        <color theme="1"/>
      </end>
      <top style="thin">
        <color theme="0" tint="-0.24994659260841701"/>
      </top>
      <bottom style="thin">
        <color theme="0" tint="-0.24994659260841701"/>
      </bottom>
      <diagonal/>
    </border>
    <border>
      <start style="thin">
        <color theme="0" tint="-0.24994659260841701"/>
      </start>
      <end style="thin">
        <color theme="0" tint="-0.24994659260841701"/>
      </end>
      <top/>
      <bottom style="medium">
        <color theme="1"/>
      </bottom>
      <diagonal/>
    </border>
    <border>
      <start style="thin">
        <color theme="0" tint="-0.24994659260841701"/>
      </start>
      <end style="thin">
        <color theme="0" tint="-0.24994659260841701"/>
      </end>
      <top style="thin">
        <color theme="0" tint="-0.24994659260841701"/>
      </top>
      <bottom style="medium">
        <color theme="1"/>
      </bottom>
      <diagonal/>
    </border>
    <border>
      <start/>
      <end style="medium">
        <color theme="1"/>
      </end>
      <top/>
      <bottom style="medium">
        <color theme="1"/>
      </bottom>
      <diagonal/>
    </border>
    <border>
      <start/>
      <end style="thin">
        <color indexed="55"/>
      </end>
      <top style="thin">
        <color indexed="55"/>
      </top>
      <bottom style="thin">
        <color theme="1"/>
      </bottom>
      <diagonal/>
    </border>
    <border>
      <start/>
      <end/>
      <top style="thin">
        <color indexed="55"/>
      </top>
      <bottom style="thin">
        <color theme="1"/>
      </bottom>
      <diagonal/>
    </border>
    <border>
      <start style="thin">
        <color indexed="55"/>
      </start>
      <end style="thin">
        <color indexed="64"/>
      </end>
      <top style="thin">
        <color indexed="55"/>
      </top>
      <bottom style="thin">
        <color theme="1"/>
      </bottom>
      <diagonal/>
    </border>
    <border>
      <start/>
      <end style="thin">
        <color theme="1"/>
      </end>
      <top/>
      <bottom style="thin">
        <color indexed="64"/>
      </bottom>
      <diagonal/>
    </border>
    <border>
      <start style="thin">
        <color theme="0" tint="-0.249977111117893"/>
      </start>
      <end style="thin">
        <color theme="0" tint="-0.249977111117893"/>
      </end>
      <top style="thin">
        <color theme="1"/>
      </top>
      <bottom style="thin">
        <color theme="0" tint="-0.249977111117893"/>
      </bottom>
      <diagonal/>
    </border>
    <border>
      <start style="thin">
        <color theme="1"/>
      </start>
      <end style="thin">
        <color theme="0" tint="-0.24994659260841701"/>
      </end>
      <top style="thin">
        <color theme="0" tint="-0.24994659260841701"/>
      </top>
      <bottom style="thin">
        <color theme="0" tint="-0.24994659260841701"/>
      </bottom>
      <diagonal/>
    </border>
    <border>
      <start style="thin">
        <color theme="0" tint="-0.24994659260841701"/>
      </start>
      <end style="thin">
        <color theme="0" tint="-0.24994659260841701"/>
      </end>
      <top style="thin">
        <color theme="0" tint="-0.24994659260841701"/>
      </top>
      <bottom style="thin">
        <color theme="1"/>
      </bottom>
      <diagonal/>
    </border>
    <border>
      <start style="thin">
        <color indexed="64"/>
      </start>
      <end/>
      <top style="double">
        <color indexed="64"/>
      </top>
      <bottom style="thin">
        <color indexed="55"/>
      </bottom>
      <diagonal/>
    </border>
    <border>
      <start style="thin">
        <color indexed="55"/>
      </start>
      <end style="thin">
        <color theme="0" tint="-0.499984740745262"/>
      </end>
      <top style="thin">
        <color theme="0" tint="-0.34998626667073579"/>
      </top>
      <bottom style="thin">
        <color theme="1"/>
      </bottom>
      <diagonal/>
    </border>
    <border>
      <start style="thin">
        <color indexed="64"/>
      </start>
      <end style="thin">
        <color theme="0" tint="-0.24994659260841701"/>
      </end>
      <top style="thin">
        <color theme="0" tint="-0.24994659260841701"/>
      </top>
      <bottom style="thin">
        <color theme="1"/>
      </bottom>
      <diagonal/>
    </border>
    <border>
      <start style="thin">
        <color theme="0" tint="-0.24994659260841701"/>
      </start>
      <end style="thin">
        <color indexed="64"/>
      </end>
      <top style="thin">
        <color theme="0" tint="-0.24994659260841701"/>
      </top>
      <bottom style="thin">
        <color theme="1"/>
      </bottom>
      <diagonal/>
    </border>
    <border>
      <start style="medium">
        <color theme="1"/>
      </start>
      <end/>
      <top style="thin">
        <color theme="0" tint="-0.24994659260841701"/>
      </top>
      <bottom style="thin">
        <color theme="0" tint="-0.24994659260841701"/>
      </bottom>
      <diagonal/>
    </border>
    <border>
      <start style="medium">
        <color theme="1"/>
      </start>
      <end/>
      <top/>
      <bottom/>
      <diagonal/>
    </border>
    <border>
      <start/>
      <end style="medium">
        <color theme="1"/>
      </end>
      <top/>
      <bottom/>
      <diagonal/>
    </border>
    <border>
      <start style="medium">
        <color theme="1"/>
      </start>
      <end/>
      <top style="thin">
        <color theme="0" tint="-0.24994659260841701"/>
      </top>
      <bottom style="medium">
        <color theme="1"/>
      </bottom>
      <diagonal/>
    </border>
    <border>
      <start style="medium">
        <color theme="1"/>
      </start>
      <end style="thin">
        <color theme="0" tint="-0.24994659260841701"/>
      </end>
      <top/>
      <bottom style="thin">
        <color theme="0" tint="-0.24994659260841701"/>
      </bottom>
      <diagonal/>
    </border>
    <border>
      <start style="thin">
        <color theme="0" tint="-0.24994659260841701"/>
      </start>
      <end style="thin">
        <color theme="0" tint="-0.24994659260841701"/>
      </end>
      <top style="thin">
        <color theme="0" tint="-0.24994659260841701"/>
      </top>
      <bottom style="medium">
        <color indexed="64"/>
      </bottom>
      <diagonal/>
    </border>
    <border>
      <start style="thin">
        <color indexed="55"/>
      </start>
      <end style="thin">
        <color indexed="64"/>
      </end>
      <top/>
      <bottom/>
      <diagonal/>
    </border>
    <border>
      <start style="thin">
        <color theme="0" tint="-0.24994659260841701"/>
      </start>
      <end style="thin">
        <color indexed="64"/>
      </end>
      <top style="thin">
        <color theme="0" tint="-0.249977111117893"/>
      </top>
      <bottom style="thin">
        <color theme="0" tint="-0.24994659260841701"/>
      </bottom>
      <diagonal/>
    </border>
    <border>
      <start/>
      <end style="thin">
        <color indexed="55"/>
      </end>
      <top/>
      <bottom/>
      <diagonal/>
    </border>
    <border>
      <start/>
      <end style="thin">
        <color theme="0" tint="-0.24994659260841701"/>
      </end>
      <top style="thin">
        <color theme="0" tint="-0.24994659260841701"/>
      </top>
      <bottom style="thin">
        <color indexed="64"/>
      </bottom>
      <diagonal/>
    </border>
    <border>
      <start style="thin">
        <color indexed="55"/>
      </start>
      <end style="thin">
        <color theme="1"/>
      </end>
      <top/>
      <bottom/>
      <diagonal/>
    </border>
    <border>
      <start style="thin">
        <color theme="0" tint="-0.24994659260841701"/>
      </start>
      <end style="thin">
        <color theme="1"/>
      </end>
      <top/>
      <bottom style="thin">
        <color theme="0" tint="-0.24994659260841701"/>
      </bottom>
      <diagonal/>
    </border>
    <border>
      <start style="thin">
        <color indexed="55"/>
      </start>
      <end style="thin">
        <color theme="1"/>
      </end>
      <top/>
      <bottom style="thin">
        <color theme="1"/>
      </bottom>
      <diagonal/>
    </border>
    <border>
      <start style="thin">
        <color theme="0" tint="-0.24994659260841701"/>
      </start>
      <end style="thin">
        <color theme="1"/>
      </end>
      <top style="thin">
        <color theme="0" tint="-0.24994659260841701"/>
      </top>
      <bottom style="thin">
        <color theme="1"/>
      </bottom>
      <diagonal/>
    </border>
    <border>
      <start/>
      <end style="thin">
        <color indexed="64"/>
      </end>
      <top/>
      <bottom style="thin">
        <color indexed="55"/>
      </bottom>
      <diagonal/>
    </border>
    <border>
      <start style="thin">
        <color indexed="64"/>
      </start>
      <end style="thin">
        <color theme="0" tint="-0.34998626667073579"/>
      </end>
      <top style="double">
        <color indexed="64"/>
      </top>
      <bottom style="thin">
        <color theme="0" tint="-0.34998626667073579"/>
      </bottom>
      <diagonal/>
    </border>
    <border>
      <start style="thin">
        <color theme="0" tint="-0.34998626667073579"/>
      </start>
      <end style="thin">
        <color theme="0" tint="-0.34998626667073579"/>
      </end>
      <top style="double">
        <color indexed="64"/>
      </top>
      <bottom style="thin">
        <color theme="0" tint="-0.34998626667073579"/>
      </bottom>
      <diagonal/>
    </border>
    <border>
      <start style="thin">
        <color theme="0" tint="-0.34998626667073579"/>
      </start>
      <end style="thin">
        <color indexed="64"/>
      </end>
      <top style="double">
        <color indexed="64"/>
      </top>
      <bottom style="thin">
        <color theme="0" tint="-0.34998626667073579"/>
      </bottom>
      <diagonal/>
    </border>
    <border>
      <start style="thin">
        <color indexed="64"/>
      </start>
      <end style="thin">
        <color theme="0" tint="-0.34998626667073579"/>
      </end>
      <top style="thin">
        <color theme="0" tint="-0.34998626667073579"/>
      </top>
      <bottom style="thin">
        <color theme="0" tint="-0.34998626667073579"/>
      </bottom>
      <diagonal/>
    </border>
    <border>
      <start style="thin">
        <color theme="0" tint="-0.34998626667073579"/>
      </start>
      <end style="thin">
        <color theme="0" tint="-0.34998626667073579"/>
      </end>
      <top style="thin">
        <color theme="0" tint="-0.34998626667073579"/>
      </top>
      <bottom style="thin">
        <color theme="0" tint="-0.34998626667073579"/>
      </bottom>
      <diagonal/>
    </border>
    <border>
      <start style="thin">
        <color theme="0" tint="-0.34998626667073579"/>
      </start>
      <end style="thin">
        <color indexed="64"/>
      </end>
      <top style="thin">
        <color theme="0" tint="-0.34998626667073579"/>
      </top>
      <bottom style="thin">
        <color theme="0" tint="-0.34998626667073579"/>
      </bottom>
      <diagonal/>
    </border>
    <border>
      <start style="thin">
        <color indexed="64"/>
      </start>
      <end style="thin">
        <color theme="0" tint="-0.34998626667073579"/>
      </end>
      <top style="thin">
        <color theme="0" tint="-0.34998626667073579"/>
      </top>
      <bottom style="thin">
        <color theme="1"/>
      </bottom>
      <diagonal/>
    </border>
    <border>
      <start style="thin">
        <color theme="0" tint="-0.34998626667073579"/>
      </start>
      <end style="thin">
        <color theme="0" tint="-0.34998626667073579"/>
      </end>
      <top style="thin">
        <color theme="0" tint="-0.34998626667073579"/>
      </top>
      <bottom style="thin">
        <color indexed="64"/>
      </bottom>
      <diagonal/>
    </border>
    <border>
      <start style="thin">
        <color theme="0" tint="-0.34998626667073579"/>
      </start>
      <end/>
      <top style="double">
        <color indexed="64"/>
      </top>
      <bottom style="thin">
        <color theme="0" tint="-0.34998626667073579"/>
      </bottom>
      <diagonal/>
    </border>
    <border>
      <start style="thin">
        <color theme="0" tint="-0.34998626667073579"/>
      </start>
      <end/>
      <top style="thin">
        <color theme="0" tint="-0.34998626667073579"/>
      </top>
      <bottom style="thin">
        <color theme="0" tint="-0.34998626667073579"/>
      </bottom>
      <diagonal/>
    </border>
    <border>
      <start style="thin">
        <color indexed="64"/>
      </start>
      <end style="thin">
        <color theme="0" tint="-0.34998626667073579"/>
      </end>
      <top style="thin">
        <color theme="0" tint="-0.34998626667073579"/>
      </top>
      <bottom style="thin">
        <color indexed="64"/>
      </bottom>
      <diagonal/>
    </border>
    <border>
      <start style="thin">
        <color theme="0" tint="-0.34998626667073579"/>
      </start>
      <end style="thin">
        <color indexed="64"/>
      </end>
      <top style="thin">
        <color theme="0" tint="-0.34998626667073579"/>
      </top>
      <bottom style="thin">
        <color indexed="64"/>
      </bottom>
      <diagonal/>
    </border>
    <border>
      <start style="thin">
        <color theme="0" tint="-0.34998626667073579"/>
      </start>
      <end style="thin">
        <color indexed="55"/>
      </end>
      <top style="double">
        <color indexed="64"/>
      </top>
      <bottom style="thin">
        <color theme="0" tint="-0.34998626667073579"/>
      </bottom>
      <diagonal/>
    </border>
    <border>
      <start style="thin">
        <color theme="0" tint="-0.34998626667073579"/>
      </start>
      <end style="thin">
        <color indexed="23"/>
      </end>
      <top style="thin">
        <color theme="0" tint="-0.34998626667073579"/>
      </top>
      <bottom style="thin">
        <color indexed="64"/>
      </bottom>
      <diagonal/>
    </border>
    <border>
      <start style="thin">
        <color theme="0" tint="-0.34998626667073579"/>
      </start>
      <end style="thin">
        <color indexed="23"/>
      </end>
      <top style="thin">
        <color theme="0" tint="-0.34998626667073579"/>
      </top>
      <bottom style="thin">
        <color theme="0" tint="-0.34998626667073579"/>
      </bottom>
      <diagonal/>
    </border>
    <border>
      <start style="thin">
        <color theme="0" tint="-0.34998626667073579"/>
      </start>
      <end style="thin">
        <color theme="0" tint="-0.34998626667073579"/>
      </end>
      <top style="thin">
        <color theme="0" tint="-0.34998626667073579"/>
      </top>
      <bottom style="thin">
        <color theme="1"/>
      </bottom>
      <diagonal/>
    </border>
    <border>
      <start style="thin">
        <color theme="0" tint="-0.34998626667073579"/>
      </start>
      <end style="thin">
        <color theme="1"/>
      </end>
      <top style="double">
        <color indexed="64"/>
      </top>
      <bottom style="thin">
        <color theme="0" tint="-0.34998626667073579"/>
      </bottom>
      <diagonal/>
    </border>
    <border>
      <start style="thin">
        <color theme="0" tint="-0.34998626667073579"/>
      </start>
      <end style="thin">
        <color theme="1"/>
      </end>
      <top style="thin">
        <color theme="0" tint="-0.34998626667073579"/>
      </top>
      <bottom style="thin">
        <color theme="0" tint="-0.34998626667073579"/>
      </bottom>
      <diagonal/>
    </border>
    <border>
      <start style="thin">
        <color theme="0" tint="-0.34998626667073579"/>
      </start>
      <end style="thin">
        <color theme="1"/>
      </end>
      <top style="thin">
        <color theme="0" tint="-0.34998626667073579"/>
      </top>
      <bottom style="thin">
        <color theme="1"/>
      </bottom>
      <diagonal/>
    </border>
    <border>
      <start/>
      <end style="thin">
        <color theme="0" tint="-0.249977111117893"/>
      </end>
      <top style="thin">
        <color theme="1"/>
      </top>
      <bottom style="thin">
        <color theme="0" tint="-0.249977111117893"/>
      </bottom>
      <diagonal/>
    </border>
    <border>
      <start/>
      <end style="thin">
        <color theme="0" tint="-0.249977111117893"/>
      </end>
      <top style="thin">
        <color theme="0" tint="-0.249977111117893"/>
      </top>
      <bottom style="thin">
        <color theme="0" tint="-0.249977111117893"/>
      </bottom>
      <diagonal/>
    </border>
    <border>
      <start style="thin">
        <color theme="1"/>
      </start>
      <end style="thin">
        <color theme="0" tint="-0.24994659260841701"/>
      </end>
      <top style="double">
        <color indexed="64"/>
      </top>
      <bottom style="thin">
        <color theme="0" tint="-0.24994659260841701"/>
      </bottom>
      <diagonal/>
    </border>
    <border>
      <start style="thin">
        <color indexed="55"/>
      </start>
      <end style="thin">
        <color indexed="64"/>
      </end>
      <top style="thin">
        <color theme="0" tint="-0.34998626667073579"/>
      </top>
      <bottom/>
      <diagonal/>
    </border>
    <border>
      <start style="thin">
        <color indexed="23"/>
      </start>
      <end/>
      <top style="double">
        <color indexed="64"/>
      </top>
      <bottom/>
      <diagonal/>
    </border>
    <border>
      <start style="thin">
        <color theme="1"/>
      </start>
      <end style="thin">
        <color theme="0" tint="-0.24994659260841701"/>
      </end>
      <top style="thin">
        <color theme="0" tint="-0.24994659260841701"/>
      </top>
      <bottom style="thin">
        <color theme="1"/>
      </bottom>
      <diagonal/>
    </border>
    <border>
      <start style="thin">
        <color indexed="64"/>
      </start>
      <end style="thin">
        <color indexed="55"/>
      </end>
      <top style="thin">
        <color theme="1"/>
      </top>
      <bottom style="double">
        <color indexed="64"/>
      </bottom>
      <diagonal/>
    </border>
    <border>
      <start style="thin">
        <color indexed="55"/>
      </start>
      <end style="thin">
        <color indexed="55"/>
      </end>
      <top style="thin">
        <color theme="1"/>
      </top>
      <bottom style="double">
        <color indexed="64"/>
      </bottom>
      <diagonal/>
    </border>
    <border>
      <start/>
      <end style="thin">
        <color indexed="55"/>
      </end>
      <top style="thin">
        <color theme="1"/>
      </top>
      <bottom style="double">
        <color indexed="64"/>
      </bottom>
      <diagonal/>
    </border>
    <border>
      <start style="thin">
        <color indexed="55"/>
      </start>
      <end style="thin">
        <color theme="1"/>
      </end>
      <top style="thin">
        <color theme="1"/>
      </top>
      <bottom style="double">
        <color indexed="64"/>
      </bottom>
      <diagonal/>
    </border>
    <border>
      <start/>
      <end style="thin">
        <color indexed="64"/>
      </end>
      <top/>
      <bottom style="thin">
        <color theme="1"/>
      </bottom>
      <diagonal/>
    </border>
    <border>
      <start/>
      <end style="thin">
        <color indexed="64"/>
      </end>
      <top style="thin">
        <color indexed="55"/>
      </top>
      <bottom style="thin">
        <color theme="1"/>
      </bottom>
      <diagonal/>
    </border>
    <border>
      <start/>
      <end style="thin">
        <color theme="0" tint="-0.34998626667073579"/>
      </end>
      <top style="thin">
        <color theme="0" tint="-0.499984740745262"/>
      </top>
      <bottom style="thin">
        <color theme="1"/>
      </bottom>
      <diagonal/>
    </border>
    <border>
      <start style="thin">
        <color indexed="64"/>
      </start>
      <end style="thin">
        <color theme="1"/>
      </end>
      <top style="thin">
        <color theme="1"/>
      </top>
      <bottom style="thin">
        <color indexed="64"/>
      </bottom>
      <diagonal/>
    </border>
    <border>
      <start style="thin">
        <color indexed="64"/>
      </start>
      <end style="thin">
        <color indexed="55"/>
      </end>
      <top style="thin">
        <color indexed="55"/>
      </top>
      <bottom style="thin">
        <color theme="1"/>
      </bottom>
      <diagonal/>
    </border>
    <border>
      <start style="thin">
        <color theme="1"/>
      </start>
      <end style="thin">
        <color theme="0" tint="-0.24994659260841701"/>
      </end>
      <top/>
      <bottom style="thin">
        <color theme="0" tint="-0.24994659260841701"/>
      </bottom>
      <diagonal/>
    </border>
    <border>
      <start style="thin">
        <color indexed="23"/>
      </start>
      <end/>
      <top/>
      <bottom style="thin">
        <color theme="1"/>
      </bottom>
      <diagonal/>
    </border>
    <border>
      <start style="thin">
        <color indexed="55"/>
      </start>
      <end style="thin">
        <color theme="0" tint="-0.499984740745262"/>
      </end>
      <top/>
      <bottom/>
      <diagonal/>
    </border>
    <border>
      <start/>
      <end style="thin">
        <color indexed="64"/>
      </end>
      <top style="thin">
        <color theme="0" tint="-0.499984740745262"/>
      </top>
      <bottom style="thin">
        <color theme="1"/>
      </bottom>
      <diagonal/>
    </border>
    <border>
      <start style="thin">
        <color indexed="64"/>
      </start>
      <end style="thin">
        <color indexed="23"/>
      </end>
      <top style="thin">
        <color indexed="23"/>
      </top>
      <bottom style="thin">
        <color theme="1"/>
      </bottom>
      <diagonal/>
    </border>
    <border>
      <start style="thin">
        <color indexed="64"/>
      </start>
      <end style="thin">
        <color theme="0" tint="-0.24994659260841701"/>
      </end>
      <top/>
      <bottom style="thin">
        <color theme="0" tint="-0.24994659260841701"/>
      </bottom>
      <diagonal/>
    </border>
    <border>
      <start style="thin">
        <color theme="0" tint="-0.24994659260841701"/>
      </start>
      <end style="thin">
        <color indexed="64"/>
      </end>
      <top/>
      <bottom style="thin">
        <color theme="0" tint="-0.24994659260841701"/>
      </bottom>
      <diagonal/>
    </border>
    <border>
      <start style="thin">
        <color indexed="55"/>
      </start>
      <end style="thin">
        <color theme="1"/>
      </end>
      <top style="thin">
        <color indexed="64"/>
      </top>
      <bottom style="thin">
        <color indexed="64"/>
      </bottom>
      <diagonal/>
    </border>
    <border>
      <start style="thin">
        <color indexed="23"/>
      </start>
      <end style="thin">
        <color indexed="64"/>
      </end>
      <top/>
      <bottom style="thin">
        <color theme="1"/>
      </bottom>
      <diagonal/>
    </border>
    <border>
      <start style="thin">
        <color indexed="64"/>
      </start>
      <end style="thin">
        <color indexed="64"/>
      </end>
      <top/>
      <bottom style="thin">
        <color theme="1"/>
      </bottom>
      <diagonal/>
    </border>
    <border>
      <start style="thin">
        <color indexed="23"/>
      </start>
      <end style="thin">
        <color theme="1"/>
      </end>
      <top style="thin">
        <color theme="1"/>
      </top>
      <bottom style="thin">
        <color theme="1"/>
      </bottom>
      <diagonal/>
    </border>
    <border>
      <start style="thin">
        <color theme="0" tint="-0.24994659260841701"/>
      </start>
      <end style="thin">
        <color theme="1"/>
      </end>
      <top style="thin">
        <color theme="1"/>
      </top>
      <bottom style="thin">
        <color theme="1"/>
      </bottom>
      <diagonal/>
    </border>
    <border>
      <start style="thin">
        <color theme="0" tint="-0.24994659260841701"/>
      </start>
      <end style="thin">
        <color theme="1"/>
      </end>
      <top style="thin">
        <color indexed="64"/>
      </top>
      <bottom style="thin">
        <color indexed="64"/>
      </bottom>
      <diagonal/>
    </border>
    <border>
      <start style="thin">
        <color theme="0" tint="-0.249977111117893"/>
      </start>
      <end/>
      <top style="thin">
        <color indexed="64"/>
      </top>
      <bottom/>
      <diagonal/>
    </border>
    <border>
      <start style="thin">
        <color theme="0" tint="-0.249977111117893"/>
      </start>
      <end/>
      <top style="thin">
        <color theme="0" tint="-0.249977111117893"/>
      </top>
      <bottom style="thin">
        <color theme="0" tint="-0.249977111117893"/>
      </bottom>
      <diagonal/>
    </border>
    <border>
      <start style="medium">
        <color theme="1"/>
      </start>
      <end/>
      <top style="medium">
        <color theme="1"/>
      </top>
      <bottom style="medium">
        <color indexed="64"/>
      </bottom>
      <diagonal/>
    </border>
    <border>
      <start/>
      <end style="medium">
        <color theme="1"/>
      </end>
      <top style="medium">
        <color theme="1"/>
      </top>
      <bottom style="medium">
        <color indexed="64"/>
      </bottom>
      <diagonal/>
    </border>
    <border>
      <start style="medium">
        <color theme="1"/>
      </start>
      <end/>
      <top style="medium">
        <color indexed="64"/>
      </top>
      <bottom style="medium">
        <color theme="1"/>
      </bottom>
      <diagonal/>
    </border>
    <border>
      <start/>
      <end style="medium">
        <color theme="1"/>
      </end>
      <top style="medium">
        <color indexed="64"/>
      </top>
      <bottom style="medium">
        <color theme="1"/>
      </bottom>
      <diagonal/>
    </border>
    <border>
      <start style="medium">
        <color indexed="64"/>
      </start>
      <end/>
      <top style="medium">
        <color indexed="64"/>
      </top>
      <bottom style="thin">
        <color theme="1"/>
      </bottom>
      <diagonal/>
    </border>
    <border>
      <start/>
      <end/>
      <top style="medium">
        <color indexed="64"/>
      </top>
      <bottom style="thin">
        <color theme="1"/>
      </bottom>
      <diagonal/>
    </border>
    <border>
      <start/>
      <end style="medium">
        <color indexed="64"/>
      </end>
      <top style="medium">
        <color indexed="64"/>
      </top>
      <bottom style="thin">
        <color theme="1"/>
      </bottom>
      <diagonal/>
    </border>
    <border>
      <start style="medium">
        <color indexed="64"/>
      </start>
      <end/>
      <top/>
      <bottom style="thin">
        <color theme="1"/>
      </bottom>
      <diagonal/>
    </border>
    <border>
      <start/>
      <end style="medium">
        <color indexed="64"/>
      </end>
      <top/>
      <bottom style="thin">
        <color theme="1"/>
      </bottom>
      <diagonal/>
    </border>
    <border>
      <start style="medium">
        <color indexed="64"/>
      </start>
      <end/>
      <top style="thin">
        <color theme="1"/>
      </top>
      <bottom style="medium">
        <color theme="1"/>
      </bottom>
      <diagonal/>
    </border>
    <border>
      <start/>
      <end/>
      <top style="thin">
        <color theme="1"/>
      </top>
      <bottom style="medium">
        <color theme="1"/>
      </bottom>
      <diagonal/>
    </border>
    <border>
      <start/>
      <end style="medium">
        <color indexed="64"/>
      </end>
      <top style="thin">
        <color theme="1"/>
      </top>
      <bottom style="medium">
        <color theme="1"/>
      </bottom>
      <diagonal/>
    </border>
    <border>
      <start style="medium">
        <color indexed="64"/>
      </start>
      <end/>
      <top/>
      <bottom style="medium">
        <color theme="1"/>
      </bottom>
      <diagonal/>
    </border>
    <border>
      <start style="medium">
        <color indexed="64"/>
      </start>
      <end/>
      <top style="double">
        <color indexed="23"/>
      </top>
      <bottom style="medium">
        <color theme="1"/>
      </bottom>
      <diagonal/>
    </border>
    <border>
      <start/>
      <end/>
      <top style="double">
        <color indexed="23"/>
      </top>
      <bottom style="medium">
        <color theme="1"/>
      </bottom>
      <diagonal/>
    </border>
    <border>
      <start/>
      <end style="thin">
        <color indexed="23"/>
      </end>
      <top style="double">
        <color indexed="23"/>
      </top>
      <bottom style="medium">
        <color theme="1"/>
      </bottom>
      <diagonal/>
    </border>
    <border>
      <start style="thin">
        <color indexed="23"/>
      </start>
      <end/>
      <top/>
      <bottom style="medium">
        <color theme="1"/>
      </bottom>
      <diagonal/>
    </border>
    <border>
      <start/>
      <end/>
      <top/>
      <bottom style="medium">
        <color theme="1"/>
      </bottom>
      <diagonal/>
    </border>
    <border>
      <start/>
      <end style="thin">
        <color indexed="23"/>
      </end>
      <top/>
      <bottom style="medium">
        <color theme="1"/>
      </bottom>
      <diagonal/>
    </border>
    <border>
      <start style="thin">
        <color indexed="23"/>
      </start>
      <end style="medium">
        <color indexed="64"/>
      </end>
      <top style="thin">
        <color indexed="23"/>
      </top>
      <bottom style="thin">
        <color indexed="23"/>
      </bottom>
      <diagonal/>
    </border>
    <border>
      <start style="thin">
        <color indexed="23"/>
      </start>
      <end style="medium">
        <color indexed="64"/>
      </end>
      <top style="thin">
        <color indexed="23"/>
      </top>
      <bottom style="thin">
        <color indexed="64"/>
      </bottom>
      <diagonal/>
    </border>
    <border>
      <start style="thin">
        <color indexed="23"/>
      </start>
      <end style="medium">
        <color indexed="64"/>
      </end>
      <top style="thin">
        <color indexed="64"/>
      </top>
      <bottom style="medium">
        <color theme="1"/>
      </bottom>
      <diagonal/>
    </border>
    <border>
      <start style="thin">
        <color indexed="23"/>
      </start>
      <end style="medium">
        <color indexed="64"/>
      </end>
      <top style="thin">
        <color indexed="23"/>
      </top>
      <bottom style="medium">
        <color theme="1"/>
      </bottom>
      <diagonal/>
    </border>
    <border>
      <start/>
      <end style="thin">
        <color theme="0" tint="-0.24994659260841701"/>
      </end>
      <top style="double">
        <color indexed="64"/>
      </top>
      <bottom/>
      <diagonal/>
    </border>
    <border>
      <start style="thin">
        <color theme="0" tint="-0.24994659260841701"/>
      </start>
      <end style="thin">
        <color theme="0" tint="-0.24994659260841701"/>
      </end>
      <top style="double">
        <color indexed="64"/>
      </top>
      <bottom/>
      <diagonal/>
    </border>
    <border>
      <start style="thin">
        <color theme="0" tint="-0.24994659260841701"/>
      </start>
      <end style="thin">
        <color theme="1"/>
      </end>
      <top style="double">
        <color indexed="64"/>
      </top>
      <bottom/>
      <diagonal/>
    </border>
    <border>
      <start style="thin">
        <color theme="0" tint="-0.24994659260841701"/>
      </start>
      <end style="thin">
        <color theme="1"/>
      </end>
      <top style="thin">
        <color indexed="64"/>
      </top>
      <bottom style="thin">
        <color theme="0" tint="-0.24994659260841701"/>
      </bottom>
      <diagonal/>
    </border>
    <border>
      <start style="thin">
        <color theme="0" tint="-0.34998626667073579"/>
      </start>
      <end/>
      <top style="thin">
        <color theme="0" tint="-0.34998626667073579"/>
      </top>
      <bottom style="thin">
        <color theme="1"/>
      </bottom>
      <diagonal/>
    </border>
    <border>
      <start style="medium">
        <color indexed="64"/>
      </start>
      <end/>
      <top style="thin">
        <color indexed="64"/>
      </top>
      <bottom/>
      <diagonal/>
    </border>
    <border>
      <start/>
      <end style="medium">
        <color indexed="64"/>
      </end>
      <top style="thin">
        <color indexed="64"/>
      </top>
      <bottom/>
      <diagonal/>
    </border>
    <border>
      <start style="thin">
        <color indexed="64"/>
      </start>
      <end/>
      <top style="thin">
        <color indexed="64"/>
      </top>
      <bottom style="thin">
        <color theme="0" tint="-0.249977111117893"/>
      </bottom>
      <diagonal/>
    </border>
    <border>
      <start/>
      <end/>
      <top style="thin">
        <color theme="0" tint="-0.24994659260841701"/>
      </top>
      <bottom style="thin">
        <color theme="0" tint="-0.24994659260841701"/>
      </bottom>
      <diagonal/>
    </border>
    <border>
      <start/>
      <end/>
      <top/>
      <bottom style="thin">
        <color theme="0" tint="-0.24994659260841701"/>
      </bottom>
      <diagonal/>
    </border>
    <border>
      <start style="thin">
        <color theme="0" tint="-0.24994659260841701"/>
      </start>
      <end style="medium">
        <color indexed="64"/>
      </end>
      <top style="medium">
        <color indexed="64"/>
      </top>
      <bottom style="thin">
        <color theme="0" tint="-0.24994659260841701"/>
      </bottom>
      <diagonal/>
    </border>
    <border>
      <start style="thin">
        <color theme="0" tint="-0.24994659260841701"/>
      </start>
      <end style="medium">
        <color indexed="64"/>
      </end>
      <top/>
      <bottom style="thin">
        <color theme="0" tint="-0.24994659260841701"/>
      </bottom>
      <diagonal/>
    </border>
    <border>
      <start style="medium">
        <color theme="1"/>
      </start>
      <end style="thin">
        <color theme="0" tint="-0.24994659260841701"/>
      </end>
      <top style="medium">
        <color theme="1"/>
      </top>
      <bottom style="thin">
        <color theme="0" tint="-0.24994659260841701"/>
      </bottom>
      <diagonal/>
    </border>
    <border>
      <start style="thin">
        <color theme="0" tint="-0.24994659260841701"/>
      </start>
      <end style="medium">
        <color theme="1"/>
      </end>
      <top style="medium">
        <color theme="1"/>
      </top>
      <bottom style="thin">
        <color theme="0" tint="-0.24994659260841701"/>
      </bottom>
      <diagonal/>
    </border>
    <border>
      <start style="thin">
        <color theme="0" tint="-0.24994659260841701"/>
      </start>
      <end style="medium">
        <color theme="1"/>
      </end>
      <top style="thin">
        <color theme="0" tint="-0.24994659260841701"/>
      </top>
      <bottom style="thin">
        <color theme="0" tint="-0.24994659260841701"/>
      </bottom>
      <diagonal/>
    </border>
    <border>
      <start style="medium">
        <color theme="1"/>
      </start>
      <end style="thin">
        <color theme="0" tint="-0.24994659260841701"/>
      </end>
      <top style="thin">
        <color theme="0" tint="-0.24994659260841701"/>
      </top>
      <bottom style="medium">
        <color theme="1"/>
      </bottom>
      <diagonal/>
    </border>
    <border>
      <start style="thin">
        <color theme="0" tint="-0.24994659260841701"/>
      </start>
      <end style="medium">
        <color theme="1"/>
      </end>
      <top style="thin">
        <color theme="0" tint="-0.24994659260841701"/>
      </top>
      <bottom style="medium">
        <color theme="1"/>
      </bottom>
      <diagonal/>
    </border>
    <border>
      <start style="thin">
        <color theme="0" tint="-0.24994659260841701"/>
      </start>
      <end style="medium">
        <color theme="1"/>
      </end>
      <top/>
      <bottom style="thin">
        <color theme="0" tint="-0.24994659260841701"/>
      </bottom>
      <diagonal/>
    </border>
    <border>
      <start style="medium">
        <color theme="1"/>
      </start>
      <end style="thin">
        <color theme="0" tint="-0.24994659260841701"/>
      </end>
      <top style="thin">
        <color theme="0" tint="-0.24994659260841701"/>
      </top>
      <bottom style="medium">
        <color indexed="64"/>
      </bottom>
      <diagonal/>
    </border>
    <border>
      <start style="thin">
        <color theme="0" tint="-0.24994659260841701"/>
      </start>
      <end style="medium">
        <color theme="1"/>
      </end>
      <top style="thin">
        <color theme="0" tint="-0.24994659260841701"/>
      </top>
      <bottom style="medium">
        <color indexed="64"/>
      </bottom>
      <diagonal/>
    </border>
    <border>
      <start style="medium">
        <color indexed="64"/>
      </start>
      <end style="thin">
        <color theme="0" tint="-0.24994659260841701"/>
      </end>
      <top/>
      <bottom style="thin">
        <color theme="0" tint="-0.24994659260841701"/>
      </bottom>
      <diagonal/>
    </border>
    <border>
      <start style="medium">
        <color theme="1"/>
      </start>
      <end style="medium">
        <color indexed="64"/>
      </end>
      <top style="medium">
        <color indexed="64"/>
      </top>
      <bottom/>
      <diagonal/>
    </border>
    <border>
      <start style="medium">
        <color theme="1"/>
      </start>
      <end style="medium">
        <color indexed="64"/>
      </end>
      <top/>
      <bottom/>
      <diagonal/>
    </border>
    <border>
      <start style="medium">
        <color theme="1"/>
      </start>
      <end style="medium">
        <color indexed="64"/>
      </end>
      <top/>
      <bottom style="medium">
        <color indexed="64"/>
      </bottom>
      <diagonal/>
    </border>
    <border>
      <start style="medium">
        <color indexed="64"/>
      </start>
      <end style="thin">
        <color theme="0" tint="-0.24994659260841701"/>
      </end>
      <top style="thin">
        <color theme="0" tint="-0.24994659260841701"/>
      </top>
      <bottom style="medium">
        <color indexed="64"/>
      </bottom>
      <diagonal/>
    </border>
    <border>
      <start style="thin">
        <color theme="0" tint="-0.24994659260841701"/>
      </start>
      <end style="medium">
        <color indexed="64"/>
      </end>
      <top style="thin">
        <color theme="0" tint="-0.24994659260841701"/>
      </top>
      <bottom style="medium">
        <color indexed="64"/>
      </bottom>
      <diagonal/>
    </border>
    <border>
      <start style="medium">
        <color theme="1"/>
      </start>
      <end style="thin">
        <color theme="0" tint="-0.24994659260841701"/>
      </end>
      <top style="thin">
        <color theme="0" tint="-0.24994659260841701"/>
      </top>
      <bottom/>
      <diagonal/>
    </border>
    <border>
      <start style="thin">
        <color theme="0" tint="-0.24994659260841701"/>
      </start>
      <end style="medium">
        <color theme="1"/>
      </end>
      <top style="thin">
        <color theme="0" tint="-0.24994659260841701"/>
      </top>
      <bottom/>
      <diagonal/>
    </border>
    <border>
      <start style="medium">
        <color theme="1"/>
      </start>
      <end style="thin">
        <color theme="0" tint="-0.24994659260841701"/>
      </end>
      <top style="medium">
        <color indexed="64"/>
      </top>
      <bottom style="thin">
        <color theme="0" tint="-0.24994659260841701"/>
      </bottom>
      <diagonal/>
    </border>
    <border>
      <start style="thin">
        <color theme="0" tint="-0.24994659260841701"/>
      </start>
      <end style="thin">
        <color theme="0" tint="-0.24994659260841701"/>
      </end>
      <top style="medium">
        <color indexed="64"/>
      </top>
      <bottom style="thin">
        <color theme="0" tint="-0.24994659260841701"/>
      </bottom>
      <diagonal/>
    </border>
    <border>
      <start/>
      <end style="thin">
        <color theme="0" tint="-0.24994659260841701"/>
      </end>
      <top/>
      <bottom style="thin">
        <color theme="0" tint="-0.24994659260841701"/>
      </bottom>
      <diagonal/>
    </border>
    <border>
      <start/>
      <end style="thin">
        <color theme="0" tint="-0.24994659260841701"/>
      </end>
      <top style="thin">
        <color theme="0" tint="-0.24994659260841701"/>
      </top>
      <bottom style="medium">
        <color indexed="64"/>
      </bottom>
      <diagonal/>
    </border>
    <border>
      <start style="medium">
        <color indexed="64"/>
      </start>
      <end style="thin">
        <color theme="0" tint="-0.24994659260841701"/>
      </end>
      <top style="medium">
        <color indexed="64"/>
      </top>
      <bottom style="thin">
        <color theme="0" tint="-0.24994659260841701"/>
      </bottom>
      <diagonal/>
    </border>
    <border>
      <start/>
      <end style="thin">
        <color theme="0" tint="-0.24994659260841701"/>
      </end>
      <top style="medium">
        <color indexed="64"/>
      </top>
      <bottom style="thin">
        <color theme="0" tint="-0.24994659260841701"/>
      </bottom>
      <diagonal/>
    </border>
    <border>
      <start style="thin">
        <color indexed="55"/>
      </start>
      <end style="thin">
        <color theme="1"/>
      </end>
      <top style="thin">
        <color indexed="64"/>
      </top>
      <bottom style="double">
        <color indexed="64"/>
      </bottom>
      <diagonal/>
    </border>
    <border>
      <start style="thin">
        <color theme="1"/>
      </start>
      <end style="thin">
        <color theme="1"/>
      </end>
      <top style="thin">
        <color theme="1"/>
      </top>
      <bottom style="thin">
        <color theme="1"/>
      </bottom>
      <diagonal/>
    </border>
    <border>
      <start style="thin">
        <color indexed="55"/>
      </start>
      <end style="thin">
        <color indexed="55"/>
      </end>
      <top style="thin">
        <color theme="1"/>
      </top>
      <bottom style="thin">
        <color theme="1"/>
      </bottom>
      <diagonal/>
    </border>
    <border>
      <start style="thin">
        <color indexed="55"/>
      </start>
      <end style="thin">
        <color theme="1"/>
      </end>
      <top style="thin">
        <color theme="1"/>
      </top>
      <bottom style="thin">
        <color theme="1"/>
      </bottom>
      <diagonal/>
    </border>
    <border>
      <start style="thin">
        <color theme="1"/>
      </start>
      <end style="thin">
        <color theme="0" tint="-0.24994659260841701"/>
      </end>
      <top style="thin">
        <color theme="1"/>
      </top>
      <bottom style="thin">
        <color theme="0" tint="-0.24994659260841701"/>
      </bottom>
      <diagonal/>
    </border>
    <border>
      <start style="thin">
        <color theme="0" tint="-0.24994659260841701"/>
      </start>
      <end style="thin">
        <color theme="0" tint="-0.24994659260841701"/>
      </end>
      <top style="thin">
        <color theme="1"/>
      </top>
      <bottom style="thin">
        <color theme="0" tint="-0.24994659260841701"/>
      </bottom>
      <diagonal/>
    </border>
    <border>
      <start style="thin">
        <color theme="0" tint="-0.24994659260841701"/>
      </start>
      <end style="thin">
        <color theme="1"/>
      </end>
      <top style="thin">
        <color theme="1"/>
      </top>
      <bottom style="thin">
        <color theme="0" tint="-0.24994659260841701"/>
      </bottom>
      <diagonal/>
    </border>
    <border>
      <start/>
      <end style="thin">
        <color theme="0" tint="-0.24994659260841701"/>
      </end>
      <top style="thin">
        <color indexed="64"/>
      </top>
      <bottom style="thin">
        <color theme="0" tint="-0.24994659260841701"/>
      </bottom>
      <diagonal/>
    </border>
    <border>
      <start style="thin">
        <color theme="1"/>
      </start>
      <end style="thin">
        <color theme="1"/>
      </end>
      <top style="thin">
        <color theme="1"/>
      </top>
      <bottom/>
      <diagonal/>
    </border>
    <border>
      <start style="thin">
        <color theme="1"/>
      </start>
      <end style="thin">
        <color theme="1"/>
      </end>
      <top/>
      <bottom style="thin">
        <color theme="1"/>
      </bottom>
      <diagonal/>
    </border>
    <border>
      <start style="thin">
        <color theme="0" tint="-0.34998626667073579"/>
      </start>
      <end/>
      <top style="thin">
        <color theme="0" tint="-0.34998626667073579"/>
      </top>
      <bottom/>
      <diagonal/>
    </border>
    <border>
      <start style="thin">
        <color theme="0" tint="-0.34998626667073579"/>
      </start>
      <end style="thin">
        <color theme="0" tint="-0.34998626667073579"/>
      </end>
      <top style="thin">
        <color theme="0" tint="-0.34998626667073579"/>
      </top>
      <bottom/>
      <diagonal/>
    </border>
    <border>
      <start style="thin">
        <color theme="0" tint="-0.34998626667073579"/>
      </start>
      <end style="thin">
        <color theme="1"/>
      </end>
      <top style="thin">
        <color theme="0" tint="-0.34998626667073579"/>
      </top>
      <bottom/>
      <diagonal/>
    </border>
    <border>
      <start style="thin">
        <color theme="0" tint="-0.34998626667073579"/>
      </start>
      <end style="thin">
        <color indexed="64"/>
      </end>
      <top style="thin">
        <color theme="0" tint="-0.34998626667073579"/>
      </top>
      <bottom/>
      <diagonal/>
    </border>
    <border>
      <start style="medium">
        <color theme="1"/>
      </start>
      <end/>
      <top style="medium">
        <color theme="1"/>
      </top>
      <bottom style="medium">
        <color theme="1"/>
      </bottom>
      <diagonal/>
    </border>
    <border>
      <start/>
      <end/>
      <top style="medium">
        <color theme="1"/>
      </top>
      <bottom style="medium">
        <color theme="1"/>
      </bottom>
      <diagonal/>
    </border>
    <border>
      <start/>
      <end style="medium">
        <color theme="1"/>
      </end>
      <top style="medium">
        <color theme="1"/>
      </top>
      <bottom style="medium">
        <color theme="1"/>
      </bottom>
      <diagonal/>
    </border>
    <border>
      <start/>
      <end/>
      <top style="medium">
        <color theme="1"/>
      </top>
      <bottom/>
      <diagonal/>
    </border>
  </borders>
  <cellStyleXfs count="16">
    <xf numFmtId="0" fontId="0" fillId="0" borderId="0"/>
    <xf numFmtId="43" fontId="1" fillId="0" borderId="0" applyFont="0" applyFill="0" applyBorder="0" applyAlignment="0" applyProtection="0"/>
    <xf numFmtId="44"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32" fillId="0" borderId="0" applyNumberFormat="0" applyFill="0" applyBorder="0" applyAlignment="0" applyProtection="0"/>
    <xf numFmtId="0" fontId="1" fillId="0" borderId="0"/>
    <xf numFmtId="0" fontId="34" fillId="0" borderId="0"/>
    <xf numFmtId="44" fontId="1" fillId="0" borderId="0" applyFont="0" applyFill="0" applyBorder="0" applyAlignment="0" applyProtection="0"/>
    <xf numFmtId="9" fontId="34" fillId="0" borderId="0" applyFont="0" applyFill="0" applyBorder="0" applyAlignment="0" applyProtection="0"/>
    <xf numFmtId="44" fontId="1" fillId="0" borderId="0" applyFont="0" applyFill="0" applyBorder="0" applyAlignment="0" applyProtection="0"/>
    <xf numFmtId="44" fontId="34" fillId="0" borderId="0" applyFont="0" applyFill="0" applyBorder="0" applyAlignment="0" applyProtection="0"/>
    <xf numFmtId="43" fontId="34" fillId="0" borderId="0" applyFont="0" applyFill="0" applyBorder="0" applyAlignment="0" applyProtection="0"/>
    <xf numFmtId="0" fontId="35" fillId="0" borderId="0"/>
  </cellStyleXfs>
  <cellXfs count="1011">
    <xf numFmtId="0" fontId="0" fillId="0" borderId="0" xfId="0"/>
    <xf numFmtId="0" fontId="0" fillId="0" borderId="0" xfId="0" applyAlignment="1">
      <alignment vertical="center"/>
    </xf>
    <xf numFmtId="0" fontId="0" fillId="0" borderId="0" xfId="0" applyAlignment="1">
      <alignment horizontal="center" vertical="center"/>
    </xf>
    <xf numFmtId="0" fontId="0" fillId="0" borderId="0" xfId="0" applyAlignment="1">
      <alignment horizontal="left" vertical="center"/>
    </xf>
    <xf numFmtId="165" fontId="0" fillId="0" borderId="0" xfId="0" applyNumberFormat="1" applyAlignment="1">
      <alignment horizontal="center" vertical="center"/>
    </xf>
    <xf numFmtId="4" fontId="0" fillId="0" borderId="0" xfId="0" applyNumberFormat="1" applyAlignment="1">
      <alignment horizontal="center" vertical="center"/>
    </xf>
    <xf numFmtId="0" fontId="3" fillId="0" borderId="0" xfId="0" applyFont="1" applyAlignment="1">
      <alignment vertical="center"/>
    </xf>
    <xf numFmtId="0" fontId="3" fillId="0" borderId="0" xfId="0" applyFont="1" applyAlignment="1">
      <alignment horizontal="center" vertical="center"/>
    </xf>
    <xf numFmtId="0" fontId="1" fillId="0" borderId="0" xfId="0" applyFont="1" applyAlignment="1">
      <alignment vertical="center"/>
    </xf>
    <xf numFmtId="0" fontId="1" fillId="0" borderId="0" xfId="0" applyFont="1" applyAlignment="1">
      <alignment horizontal="center" vertical="center"/>
    </xf>
    <xf numFmtId="0" fontId="0" fillId="2" borderId="0" xfId="0" applyFill="1" applyAlignment="1">
      <alignment vertical="center"/>
    </xf>
    <xf numFmtId="0" fontId="0" fillId="2" borderId="0" xfId="0" applyFill="1"/>
    <xf numFmtId="0" fontId="1" fillId="2" borderId="0" xfId="0" applyFont="1" applyFill="1" applyAlignment="1">
      <alignment vertical="center"/>
    </xf>
    <xf numFmtId="0" fontId="3" fillId="2" borderId="0" xfId="0" applyFont="1" applyFill="1" applyAlignment="1">
      <alignment vertical="center"/>
    </xf>
    <xf numFmtId="0" fontId="0" fillId="2" borderId="0" xfId="0" applyFill="1" applyAlignment="1">
      <alignment horizontal="center" vertical="center"/>
    </xf>
    <xf numFmtId="0" fontId="0" fillId="0" borderId="0" xfId="0" applyAlignment="1">
      <alignment horizontal="center"/>
    </xf>
    <xf numFmtId="0" fontId="1" fillId="0" borderId="8" xfId="0" applyFont="1" applyBorder="1" applyAlignment="1">
      <alignment horizontal="center"/>
    </xf>
    <xf numFmtId="3" fontId="1" fillId="8" borderId="0" xfId="0" applyNumberFormat="1" applyFont="1" applyFill="1" applyAlignment="1">
      <alignment horizontal="center" vertical="center"/>
    </xf>
    <xf numFmtId="0" fontId="1" fillId="9" borderId="0" xfId="0" applyFont="1" applyFill="1" applyAlignment="1">
      <alignment horizontal="left" vertical="center"/>
    </xf>
    <xf numFmtId="0" fontId="4" fillId="0" borderId="0" xfId="0" applyFont="1" applyAlignment="1">
      <alignment vertical="center" shrinkToFit="1"/>
    </xf>
    <xf numFmtId="0" fontId="0" fillId="2" borderId="0" xfId="0" applyFill="1" applyAlignment="1">
      <alignment horizontal="left" vertical="center"/>
    </xf>
    <xf numFmtId="165" fontId="0" fillId="2" borderId="0" xfId="0" applyNumberFormat="1" applyFill="1" applyAlignment="1">
      <alignment horizontal="center" vertical="center"/>
    </xf>
    <xf numFmtId="4" fontId="0" fillId="2" borderId="0" xfId="0" applyNumberFormat="1" applyFill="1" applyAlignment="1">
      <alignment horizontal="center" vertical="center"/>
    </xf>
    <xf numFmtId="0" fontId="0" fillId="11" borderId="0" xfId="0" applyFill="1" applyAlignment="1">
      <alignment vertical="center"/>
    </xf>
    <xf numFmtId="0" fontId="13" fillId="0" borderId="0" xfId="0" applyFont="1" applyAlignment="1">
      <alignment vertical="center"/>
    </xf>
    <xf numFmtId="0" fontId="1" fillId="11" borderId="0" xfId="0" applyFont="1" applyFill="1" applyAlignment="1">
      <alignment vertical="center"/>
    </xf>
    <xf numFmtId="0" fontId="1" fillId="11" borderId="0" xfId="0" applyFont="1" applyFill="1" applyAlignment="1">
      <alignment horizontal="center" vertical="center"/>
    </xf>
    <xf numFmtId="4" fontId="4" fillId="11" borderId="0" xfId="0" applyNumberFormat="1" applyFont="1" applyFill="1" applyAlignment="1">
      <alignment horizontal="center" vertical="center"/>
    </xf>
    <xf numFmtId="165" fontId="1" fillId="11" borderId="0" xfId="0" applyNumberFormat="1" applyFont="1" applyFill="1" applyAlignment="1">
      <alignment horizontal="center" vertical="center"/>
    </xf>
    <xf numFmtId="3" fontId="1" fillId="11" borderId="0" xfId="0" applyNumberFormat="1" applyFont="1" applyFill="1" applyAlignment="1">
      <alignment horizontal="center" vertical="center"/>
    </xf>
    <xf numFmtId="1" fontId="1" fillId="11" borderId="0" xfId="0" applyNumberFormat="1" applyFont="1" applyFill="1" applyAlignment="1">
      <alignment horizontal="center" vertical="center"/>
    </xf>
    <xf numFmtId="0" fontId="0" fillId="11" borderId="0" xfId="0" applyFill="1" applyAlignment="1">
      <alignment horizontal="center" vertical="center"/>
    </xf>
    <xf numFmtId="0" fontId="1" fillId="0" borderId="50" xfId="0" applyFont="1" applyBorder="1" applyAlignment="1">
      <alignment horizontal="center" vertical="center"/>
    </xf>
    <xf numFmtId="0" fontId="1" fillId="11" borderId="4" xfId="0" applyFont="1" applyFill="1" applyBorder="1" applyAlignment="1">
      <alignment vertical="center"/>
    </xf>
    <xf numFmtId="0" fontId="1" fillId="9" borderId="0" xfId="0" applyFont="1" applyFill="1" applyAlignment="1">
      <alignment horizontal="center" vertical="center"/>
    </xf>
    <xf numFmtId="0" fontId="1" fillId="0" borderId="57" xfId="0" applyFont="1" applyBorder="1" applyAlignment="1">
      <alignment vertical="center"/>
    </xf>
    <xf numFmtId="0" fontId="0" fillId="0" borderId="57" xfId="0" applyBorder="1" applyAlignment="1">
      <alignment vertical="center"/>
    </xf>
    <xf numFmtId="1" fontId="0" fillId="0" borderId="0" xfId="0" applyNumberFormat="1" applyAlignment="1">
      <alignment horizontal="center" vertical="center"/>
    </xf>
    <xf numFmtId="1" fontId="0" fillId="0" borderId="0" xfId="0" applyNumberFormat="1" applyAlignment="1">
      <alignment horizontal="center"/>
    </xf>
    <xf numFmtId="1" fontId="1" fillId="0" borderId="0" xfId="0" applyNumberFormat="1" applyFont="1" applyAlignment="1">
      <alignment horizontal="center" vertical="center"/>
    </xf>
    <xf numFmtId="1" fontId="1" fillId="0" borderId="77" xfId="0" applyNumberFormat="1" applyFont="1" applyBorder="1" applyAlignment="1">
      <alignment horizontal="center" vertical="center"/>
    </xf>
    <xf numFmtId="1" fontId="0" fillId="0" borderId="0" xfId="0" applyNumberFormat="1" applyAlignment="1">
      <alignment vertical="center"/>
    </xf>
    <xf numFmtId="1" fontId="0" fillId="0" borderId="0" xfId="0" applyNumberFormat="1"/>
    <xf numFmtId="1" fontId="1" fillId="0" borderId="0" xfId="0" applyNumberFormat="1" applyFont="1" applyAlignment="1">
      <alignment vertical="center"/>
    </xf>
    <xf numFmtId="1" fontId="1" fillId="0" borderId="55" xfId="0" applyNumberFormat="1" applyFont="1" applyBorder="1" applyAlignment="1">
      <alignment horizontal="center" vertical="center"/>
    </xf>
    <xf numFmtId="1" fontId="3" fillId="0" borderId="0" xfId="0" applyNumberFormat="1" applyFont="1" applyAlignment="1">
      <alignment vertical="center"/>
    </xf>
    <xf numFmtId="1" fontId="1" fillId="0" borderId="56" xfId="0" applyNumberFormat="1" applyFont="1" applyBorder="1" applyAlignment="1">
      <alignment horizontal="center" vertical="center"/>
    </xf>
    <xf numFmtId="1" fontId="1" fillId="0" borderId="57" xfId="0" applyNumberFormat="1" applyFont="1" applyBorder="1" applyAlignment="1">
      <alignment vertical="center"/>
    </xf>
    <xf numFmtId="1" fontId="0" fillId="0" borderId="57" xfId="0" applyNumberFormat="1" applyBorder="1" applyAlignment="1">
      <alignment vertical="center"/>
    </xf>
    <xf numFmtId="0" fontId="1" fillId="3" borderId="21" xfId="3" applyFill="1" applyBorder="1" applyAlignment="1" applyProtection="1">
      <alignment horizontal="left" vertical="center"/>
      <protection locked="0"/>
    </xf>
    <xf numFmtId="0" fontId="7" fillId="2" borderId="0" xfId="3" applyFont="1" applyFill="1" applyAlignment="1">
      <alignment vertical="center"/>
    </xf>
    <xf numFmtId="9" fontId="7" fillId="2" borderId="0" xfId="4" applyFont="1" applyFill="1" applyAlignment="1" applyProtection="1">
      <alignment vertical="center"/>
    </xf>
    <xf numFmtId="164" fontId="7" fillId="2" borderId="0" xfId="1" applyNumberFormat="1" applyFont="1" applyFill="1" applyAlignment="1" applyProtection="1">
      <alignment vertical="center"/>
    </xf>
    <xf numFmtId="44" fontId="7" fillId="2" borderId="0" xfId="2" applyFont="1" applyFill="1" applyAlignment="1" applyProtection="1">
      <alignment vertical="center"/>
    </xf>
    <xf numFmtId="0" fontId="7" fillId="0" borderId="0" xfId="3" applyFont="1" applyAlignment="1">
      <alignment vertical="center"/>
    </xf>
    <xf numFmtId="0" fontId="1" fillId="2" borderId="0" xfId="3" applyFill="1" applyAlignment="1">
      <alignment vertical="center"/>
    </xf>
    <xf numFmtId="0" fontId="1" fillId="0" borderId="0" xfId="3" applyAlignment="1">
      <alignment vertical="center"/>
    </xf>
    <xf numFmtId="9" fontId="1" fillId="0" borderId="0" xfId="4" applyFill="1" applyAlignment="1" applyProtection="1">
      <alignment vertical="center"/>
    </xf>
    <xf numFmtId="164" fontId="1" fillId="0" borderId="0" xfId="1" applyNumberFormat="1" applyFill="1" applyAlignment="1" applyProtection="1">
      <alignment vertical="center"/>
    </xf>
    <xf numFmtId="44" fontId="1" fillId="0" borderId="0" xfId="2" applyFill="1" applyAlignment="1" applyProtection="1">
      <alignment vertical="center"/>
    </xf>
    <xf numFmtId="9" fontId="1" fillId="0" borderId="0" xfId="4" applyFill="1" applyBorder="1" applyAlignment="1" applyProtection="1">
      <alignment vertical="center"/>
    </xf>
    <xf numFmtId="9" fontId="1" fillId="0" borderId="0" xfId="4" applyFont="1" applyFill="1" applyBorder="1" applyAlignment="1" applyProtection="1">
      <alignment vertical="center"/>
    </xf>
    <xf numFmtId="164" fontId="1" fillId="0" borderId="0" xfId="1" applyNumberFormat="1" applyFont="1" applyFill="1" applyBorder="1" applyAlignment="1" applyProtection="1">
      <alignment vertical="center"/>
    </xf>
    <xf numFmtId="44" fontId="1" fillId="0" borderId="0" xfId="2" applyFont="1" applyFill="1" applyBorder="1" applyAlignment="1" applyProtection="1">
      <alignment vertical="center"/>
    </xf>
    <xf numFmtId="0" fontId="4" fillId="0" borderId="0" xfId="3" applyFont="1" applyAlignment="1">
      <alignment vertical="center"/>
    </xf>
    <xf numFmtId="9" fontId="4" fillId="0" borderId="40" xfId="4" applyFont="1" applyFill="1" applyBorder="1" applyAlignment="1" applyProtection="1">
      <alignment horizontal="center" vertical="center"/>
    </xf>
    <xf numFmtId="0" fontId="4" fillId="2" borderId="0" xfId="3" applyFont="1" applyFill="1" applyAlignment="1">
      <alignment vertical="center"/>
    </xf>
    <xf numFmtId="0" fontId="10" fillId="0" borderId="0" xfId="3" applyFont="1" applyAlignment="1">
      <alignment vertical="center"/>
    </xf>
    <xf numFmtId="0" fontId="10" fillId="2" borderId="0" xfId="3" applyFont="1" applyFill="1" applyAlignment="1">
      <alignment vertical="center"/>
    </xf>
    <xf numFmtId="0" fontId="1" fillId="6" borderId="16" xfId="3" applyFill="1" applyBorder="1" applyAlignment="1">
      <alignment vertical="center"/>
    </xf>
    <xf numFmtId="0" fontId="1" fillId="6" borderId="17" xfId="3" applyFill="1" applyBorder="1" applyAlignment="1">
      <alignment vertical="center"/>
    </xf>
    <xf numFmtId="0" fontId="1" fillId="6" borderId="20" xfId="3" applyFill="1" applyBorder="1" applyAlignment="1">
      <alignment vertical="center"/>
    </xf>
    <xf numFmtId="0" fontId="4" fillId="0" borderId="19" xfId="3" applyFont="1" applyBorder="1" applyAlignment="1">
      <alignment horizontal="center" vertical="center"/>
    </xf>
    <xf numFmtId="44" fontId="1" fillId="0" borderId="9" xfId="2" applyFont="1" applyFill="1" applyBorder="1" applyAlignment="1" applyProtection="1">
      <alignment vertical="center"/>
    </xf>
    <xf numFmtId="0" fontId="1" fillId="6" borderId="18" xfId="3" applyFill="1" applyBorder="1" applyAlignment="1">
      <alignment vertical="center"/>
    </xf>
    <xf numFmtId="49" fontId="1" fillId="0" borderId="103" xfId="0" applyNumberFormat="1" applyFont="1" applyBorder="1" applyAlignment="1">
      <alignment horizontal="center"/>
    </xf>
    <xf numFmtId="0" fontId="1" fillId="0" borderId="114" xfId="3" applyBorder="1" applyAlignment="1">
      <alignment horizontal="right" vertical="center"/>
    </xf>
    <xf numFmtId="0" fontId="1" fillId="0" borderId="117" xfId="3" applyBorder="1" applyAlignment="1">
      <alignment horizontal="center" vertical="center"/>
    </xf>
    <xf numFmtId="0" fontId="1" fillId="0" borderId="118" xfId="3" applyBorder="1" applyAlignment="1">
      <alignment vertical="center"/>
    </xf>
    <xf numFmtId="9" fontId="1" fillId="2" borderId="0" xfId="4" applyFill="1" applyAlignment="1" applyProtection="1">
      <alignment vertical="center"/>
    </xf>
    <xf numFmtId="164" fontId="1" fillId="2" borderId="0" xfId="1" applyNumberFormat="1" applyFill="1" applyAlignment="1" applyProtection="1">
      <alignment vertical="center"/>
    </xf>
    <xf numFmtId="44" fontId="1" fillId="2" borderId="0" xfId="2" applyFill="1" applyAlignment="1" applyProtection="1">
      <alignment vertical="center"/>
    </xf>
    <xf numFmtId="49" fontId="8" fillId="2" borderId="0" xfId="3" applyNumberFormat="1" applyFont="1" applyFill="1" applyAlignment="1">
      <alignment horizontal="left" vertical="center"/>
    </xf>
    <xf numFmtId="1" fontId="1" fillId="0" borderId="0" xfId="4" applyNumberFormat="1" applyFill="1" applyAlignment="1" applyProtection="1">
      <alignment vertical="center"/>
    </xf>
    <xf numFmtId="0" fontId="1" fillId="0" borderId="0" xfId="4" applyNumberFormat="1" applyFill="1" applyAlignment="1" applyProtection="1">
      <alignment vertical="center"/>
    </xf>
    <xf numFmtId="0" fontId="1" fillId="0" borderId="0" xfId="1" applyNumberFormat="1" applyFill="1" applyAlignment="1" applyProtection="1">
      <alignment vertical="center"/>
    </xf>
    <xf numFmtId="0" fontId="1" fillId="0" borderId="0" xfId="2" applyNumberFormat="1" applyFill="1" applyAlignment="1" applyProtection="1">
      <alignment vertical="center"/>
    </xf>
    <xf numFmtId="0" fontId="1" fillId="11" borderId="0" xfId="0" applyFont="1" applyFill="1"/>
    <xf numFmtId="0" fontId="1" fillId="11" borderId="0" xfId="0" applyFont="1" applyFill="1" applyAlignment="1">
      <alignment horizontal="center"/>
    </xf>
    <xf numFmtId="0" fontId="1" fillId="0" borderId="0" xfId="0" applyFont="1"/>
    <xf numFmtId="0" fontId="1" fillId="0" borderId="0" xfId="0" applyFont="1" applyAlignment="1">
      <alignment horizontal="center"/>
    </xf>
    <xf numFmtId="9" fontId="4" fillId="0" borderId="12" xfId="4" applyFont="1" applyFill="1" applyBorder="1" applyAlignment="1" applyProtection="1">
      <alignment horizontal="center" vertical="center"/>
    </xf>
    <xf numFmtId="1" fontId="4" fillId="0" borderId="0" xfId="3" applyNumberFormat="1" applyFont="1" applyAlignment="1">
      <alignment vertical="center"/>
    </xf>
    <xf numFmtId="0" fontId="4" fillId="11" borderId="0" xfId="3" applyFont="1" applyFill="1" applyAlignment="1">
      <alignment vertical="center"/>
    </xf>
    <xf numFmtId="1" fontId="1" fillId="0" borderId="0" xfId="0" applyNumberFormat="1" applyFont="1" applyAlignment="1">
      <alignment shrinkToFit="1"/>
    </xf>
    <xf numFmtId="0" fontId="1" fillId="0" borderId="0" xfId="0" applyFont="1" applyAlignment="1">
      <alignment shrinkToFit="1"/>
    </xf>
    <xf numFmtId="0" fontId="1" fillId="11" borderId="0" xfId="0" applyFont="1" applyFill="1" applyAlignment="1">
      <alignment shrinkToFit="1"/>
    </xf>
    <xf numFmtId="0" fontId="4" fillId="0" borderId="30" xfId="3" applyFont="1" applyBorder="1" applyAlignment="1">
      <alignment horizontal="center" vertical="center"/>
    </xf>
    <xf numFmtId="0" fontId="0" fillId="11" borderId="0" xfId="0" applyFill="1"/>
    <xf numFmtId="9" fontId="4" fillId="11" borderId="0" xfId="4" applyFont="1" applyFill="1" applyBorder="1" applyAlignment="1" applyProtection="1">
      <alignment vertical="center"/>
    </xf>
    <xf numFmtId="0" fontId="0" fillId="11" borderId="0" xfId="0" applyFill="1" applyAlignment="1">
      <alignment horizontal="center"/>
    </xf>
    <xf numFmtId="1" fontId="0" fillId="11" borderId="0" xfId="0" applyNumberFormat="1" applyFill="1" applyAlignment="1">
      <alignment horizontal="center" vertical="center"/>
    </xf>
    <xf numFmtId="164" fontId="1" fillId="0" borderId="63" xfId="1" applyNumberFormat="1" applyFill="1" applyBorder="1" applyAlignment="1" applyProtection="1">
      <alignment horizontal="center" vertical="center"/>
    </xf>
    <xf numFmtId="44" fontId="1" fillId="0" borderId="63" xfId="2" applyFill="1" applyBorder="1" applyAlignment="1" applyProtection="1">
      <alignment horizontal="center" vertical="center"/>
    </xf>
    <xf numFmtId="0" fontId="1" fillId="0" borderId="63" xfId="3" applyBorder="1" applyAlignment="1">
      <alignment horizontal="center" vertical="center"/>
    </xf>
    <xf numFmtId="1" fontId="1" fillId="0" borderId="63" xfId="2" applyNumberFormat="1" applyFill="1" applyBorder="1" applyAlignment="1" applyProtection="1">
      <alignment horizontal="center" vertical="center"/>
    </xf>
    <xf numFmtId="0" fontId="1" fillId="0" borderId="82" xfId="3" applyBorder="1" applyAlignment="1">
      <alignment horizontal="center" vertical="center"/>
    </xf>
    <xf numFmtId="0" fontId="1" fillId="0" borderId="66" xfId="4" applyNumberFormat="1" applyFill="1" applyBorder="1" applyAlignment="1" applyProtection="1">
      <alignment vertical="center"/>
    </xf>
    <xf numFmtId="0" fontId="1" fillId="0" borderId="58" xfId="4" applyNumberFormat="1" applyFill="1" applyBorder="1" applyAlignment="1" applyProtection="1">
      <alignment vertical="center"/>
    </xf>
    <xf numFmtId="44" fontId="1" fillId="0" borderId="58" xfId="2" applyFill="1" applyBorder="1" applyAlignment="1" applyProtection="1">
      <alignment vertical="center"/>
    </xf>
    <xf numFmtId="9" fontId="1" fillId="0" borderId="58" xfId="4" applyFill="1" applyBorder="1" applyAlignment="1" applyProtection="1">
      <alignment horizontal="center" vertical="center"/>
    </xf>
    <xf numFmtId="44" fontId="1" fillId="0" borderId="61" xfId="2" applyFill="1" applyBorder="1" applyAlignment="1" applyProtection="1">
      <alignment vertical="center"/>
    </xf>
    <xf numFmtId="0" fontId="1" fillId="0" borderId="71" xfId="4" applyNumberFormat="1" applyFill="1" applyBorder="1" applyAlignment="1" applyProtection="1">
      <alignment horizontal="center" vertical="center"/>
    </xf>
    <xf numFmtId="0" fontId="1" fillId="0" borderId="73" xfId="4" applyNumberFormat="1" applyFill="1" applyBorder="1" applyAlignment="1" applyProtection="1">
      <alignment horizontal="center" vertical="center"/>
    </xf>
    <xf numFmtId="0" fontId="1" fillId="0" borderId="68" xfId="4" applyNumberFormat="1" applyFill="1" applyBorder="1" applyAlignment="1" applyProtection="1">
      <alignment horizontal="center" vertical="center"/>
    </xf>
    <xf numFmtId="1" fontId="1" fillId="0" borderId="60" xfId="2" applyNumberFormat="1" applyFill="1" applyBorder="1" applyAlignment="1" applyProtection="1">
      <alignment horizontal="center" vertical="center"/>
    </xf>
    <xf numFmtId="44" fontId="1" fillId="0" borderId="59" xfId="2" applyFill="1" applyBorder="1" applyAlignment="1" applyProtection="1">
      <alignment vertical="center"/>
    </xf>
    <xf numFmtId="0" fontId="1" fillId="0" borderId="63" xfId="4" applyNumberFormat="1" applyFill="1" applyBorder="1" applyAlignment="1" applyProtection="1">
      <alignment vertical="center"/>
    </xf>
    <xf numFmtId="44" fontId="1" fillId="0" borderId="63" xfId="2" applyFill="1" applyBorder="1" applyAlignment="1" applyProtection="1">
      <alignment vertical="center"/>
    </xf>
    <xf numFmtId="9" fontId="1" fillId="0" borderId="63" xfId="4" applyFill="1" applyBorder="1" applyAlignment="1" applyProtection="1">
      <alignment horizontal="center" vertical="center"/>
    </xf>
    <xf numFmtId="44" fontId="1" fillId="0" borderId="64" xfId="2" applyFill="1" applyBorder="1" applyAlignment="1" applyProtection="1">
      <alignment vertical="center"/>
    </xf>
    <xf numFmtId="0" fontId="1" fillId="0" borderId="70" xfId="4" applyNumberFormat="1" applyFill="1" applyBorder="1" applyAlignment="1" applyProtection="1">
      <alignment horizontal="center" vertical="center"/>
    </xf>
    <xf numFmtId="0" fontId="1" fillId="0" borderId="53" xfId="4" applyNumberFormat="1" applyFill="1" applyBorder="1" applyAlignment="1" applyProtection="1">
      <alignment horizontal="center" vertical="center"/>
    </xf>
    <xf numFmtId="0" fontId="1" fillId="0" borderId="75" xfId="4" applyNumberFormat="1" applyFill="1" applyBorder="1" applyAlignment="1" applyProtection="1">
      <alignment horizontal="center" vertical="center"/>
    </xf>
    <xf numFmtId="0" fontId="1" fillId="0" borderId="81" xfId="4" applyNumberFormat="1" applyFill="1" applyBorder="1" applyAlignment="1" applyProtection="1">
      <alignment vertical="center"/>
    </xf>
    <xf numFmtId="0" fontId="1" fillId="0" borderId="78" xfId="4" applyNumberFormat="1" applyFill="1" applyBorder="1" applyAlignment="1" applyProtection="1">
      <alignment horizontal="center" vertical="center"/>
    </xf>
    <xf numFmtId="9" fontId="1" fillId="10" borderId="38" xfId="4" applyFont="1" applyFill="1" applyBorder="1" applyAlignment="1" applyProtection="1">
      <alignment horizontal="center" vertical="center"/>
    </xf>
    <xf numFmtId="0" fontId="0" fillId="0" borderId="53" xfId="0" applyBorder="1" applyAlignment="1">
      <alignment horizontal="center"/>
    </xf>
    <xf numFmtId="1" fontId="0" fillId="0" borderId="53" xfId="0" applyNumberFormat="1" applyBorder="1" applyAlignment="1">
      <alignment horizontal="center"/>
    </xf>
    <xf numFmtId="1" fontId="0" fillId="0" borderId="52" xfId="0" applyNumberFormat="1" applyBorder="1" applyAlignment="1">
      <alignment horizontal="center"/>
    </xf>
    <xf numFmtId="0" fontId="0" fillId="0" borderId="52" xfId="0" applyBorder="1" applyAlignment="1">
      <alignment horizontal="center"/>
    </xf>
    <xf numFmtId="0" fontId="1" fillId="14" borderId="0" xfId="3" applyFill="1" applyAlignment="1">
      <alignment vertical="center"/>
    </xf>
    <xf numFmtId="0" fontId="4" fillId="14" borderId="0" xfId="3" applyFont="1" applyFill="1" applyAlignment="1">
      <alignment vertical="center"/>
    </xf>
    <xf numFmtId="9" fontId="0" fillId="14" borderId="0" xfId="4" applyFont="1" applyFill="1" applyAlignment="1" applyProtection="1"/>
    <xf numFmtId="0" fontId="1" fillId="14" borderId="0" xfId="3" applyFill="1" applyAlignment="1">
      <alignment horizontal="left" vertical="center"/>
    </xf>
    <xf numFmtId="9" fontId="1" fillId="14" borderId="0" xfId="4" applyFill="1" applyAlignment="1" applyProtection="1">
      <alignment vertical="center"/>
    </xf>
    <xf numFmtId="164" fontId="1" fillId="14" borderId="0" xfId="1" applyNumberFormat="1" applyFill="1" applyAlignment="1" applyProtection="1">
      <alignment vertical="center"/>
    </xf>
    <xf numFmtId="44" fontId="1" fillId="14" borderId="0" xfId="2" applyFill="1" applyAlignment="1" applyProtection="1">
      <alignment vertical="center"/>
    </xf>
    <xf numFmtId="0" fontId="10" fillId="14" borderId="0" xfId="3" applyFont="1" applyFill="1" applyAlignment="1">
      <alignment vertical="center"/>
    </xf>
    <xf numFmtId="0" fontId="4" fillId="14" borderId="0" xfId="3" applyFont="1" applyFill="1" applyAlignment="1">
      <alignment horizontal="center" vertical="center"/>
    </xf>
    <xf numFmtId="164" fontId="4" fillId="14" borderId="0" xfId="1" applyNumberFormat="1" applyFont="1" applyFill="1" applyBorder="1" applyAlignment="1" applyProtection="1">
      <alignment horizontal="center" vertical="center"/>
    </xf>
    <xf numFmtId="164" fontId="4" fillId="14" borderId="0" xfId="1" applyNumberFormat="1" applyFont="1" applyFill="1" applyBorder="1" applyAlignment="1" applyProtection="1">
      <alignment vertical="center"/>
    </xf>
    <xf numFmtId="164" fontId="1" fillId="14" borderId="0" xfId="1" applyNumberFormat="1" applyFill="1" applyBorder="1" applyAlignment="1" applyProtection="1">
      <alignment vertical="center"/>
    </xf>
    <xf numFmtId="164" fontId="9" fillId="14" borderId="0" xfId="1" applyNumberFormat="1" applyFont="1" applyFill="1" applyBorder="1" applyAlignment="1" applyProtection="1">
      <alignment vertical="center"/>
    </xf>
    <xf numFmtId="9" fontId="1" fillId="14" borderId="0" xfId="4" applyFont="1" applyFill="1" applyAlignment="1" applyProtection="1">
      <alignment vertical="center"/>
    </xf>
    <xf numFmtId="164" fontId="1" fillId="14" borderId="0" xfId="1" applyNumberFormat="1" applyFont="1" applyFill="1" applyAlignment="1" applyProtection="1">
      <alignment vertical="center"/>
    </xf>
    <xf numFmtId="44" fontId="1" fillId="14" borderId="0" xfId="2" applyFont="1" applyFill="1" applyAlignment="1" applyProtection="1">
      <alignment vertical="center"/>
    </xf>
    <xf numFmtId="0" fontId="1" fillId="3" borderId="54" xfId="0" applyFont="1" applyFill="1" applyBorder="1" applyAlignment="1">
      <alignment horizontal="center" vertical="center"/>
    </xf>
    <xf numFmtId="0" fontId="1" fillId="0" borderId="55" xfId="0" applyFont="1" applyBorder="1" applyAlignment="1">
      <alignment horizontal="center" vertical="center"/>
    </xf>
    <xf numFmtId="0" fontId="16" fillId="0" borderId="0" xfId="0" applyFont="1" applyAlignment="1">
      <alignment horizontal="left"/>
    </xf>
    <xf numFmtId="0" fontId="17" fillId="0" borderId="0" xfId="0" applyFont="1" applyAlignment="1">
      <alignment vertical="center"/>
    </xf>
    <xf numFmtId="0" fontId="16" fillId="0" borderId="0" xfId="0" applyFont="1" applyAlignment="1">
      <alignment vertical="center"/>
    </xf>
    <xf numFmtId="0" fontId="1" fillId="3" borderId="128" xfId="0" applyFont="1" applyFill="1" applyBorder="1" applyAlignment="1">
      <alignment horizontal="center" vertical="center"/>
    </xf>
    <xf numFmtId="0" fontId="16" fillId="0" borderId="77" xfId="0" applyFont="1" applyBorder="1" applyAlignment="1">
      <alignment horizontal="center" vertical="center"/>
    </xf>
    <xf numFmtId="1" fontId="16" fillId="0" borderId="77" xfId="0" applyNumberFormat="1" applyFont="1" applyBorder="1" applyAlignment="1">
      <alignment horizontal="center" vertical="center"/>
    </xf>
    <xf numFmtId="0" fontId="2" fillId="0" borderId="0" xfId="0" applyFont="1" applyAlignment="1">
      <alignment vertical="center"/>
    </xf>
    <xf numFmtId="0" fontId="2" fillId="0" borderId="0" xfId="0" applyFont="1" applyAlignment="1">
      <alignment horizontal="center" vertical="center"/>
    </xf>
    <xf numFmtId="3" fontId="3" fillId="0" borderId="0" xfId="0" applyNumberFormat="1" applyFont="1" applyAlignment="1">
      <alignment horizontal="center" vertical="center"/>
    </xf>
    <xf numFmtId="0" fontId="1" fillId="2" borderId="149" xfId="0" applyFont="1" applyFill="1" applyBorder="1" applyAlignment="1">
      <alignment vertical="center"/>
    </xf>
    <xf numFmtId="0" fontId="20" fillId="0" borderId="161" xfId="0" applyFont="1" applyBorder="1" applyAlignment="1">
      <alignment vertical="center"/>
    </xf>
    <xf numFmtId="44" fontId="20" fillId="0" borderId="162" xfId="2" applyFont="1" applyFill="1" applyBorder="1" applyAlignment="1" applyProtection="1">
      <alignment horizontal="center" vertical="center"/>
    </xf>
    <xf numFmtId="44" fontId="20" fillId="0" borderId="163" xfId="2" applyFont="1" applyFill="1" applyBorder="1" applyAlignment="1" applyProtection="1">
      <alignment horizontal="center" vertical="center"/>
    </xf>
    <xf numFmtId="1" fontId="20" fillId="0" borderId="183" xfId="0" applyNumberFormat="1" applyFont="1" applyBorder="1" applyAlignment="1">
      <alignment horizontal="center" vertical="center"/>
    </xf>
    <xf numFmtId="1" fontId="20" fillId="0" borderId="33" xfId="0" applyNumberFormat="1" applyFont="1" applyBorder="1" applyAlignment="1">
      <alignment horizontal="center" vertical="center"/>
    </xf>
    <xf numFmtId="0" fontId="20" fillId="0" borderId="169" xfId="0" applyFont="1" applyBorder="1" applyAlignment="1">
      <alignment horizontal="left" vertical="center"/>
    </xf>
    <xf numFmtId="0" fontId="20" fillId="0" borderId="150" xfId="0" applyFont="1" applyBorder="1" applyAlignment="1">
      <alignment vertical="center"/>
    </xf>
    <xf numFmtId="44" fontId="20" fillId="0" borderId="132" xfId="2" applyFont="1" applyFill="1" applyBorder="1" applyAlignment="1" applyProtection="1">
      <alignment horizontal="center" vertical="center"/>
    </xf>
    <xf numFmtId="44" fontId="20" fillId="0" borderId="171" xfId="2" applyFont="1" applyFill="1" applyBorder="1" applyAlignment="1" applyProtection="1">
      <alignment horizontal="center" vertical="center"/>
    </xf>
    <xf numFmtId="44" fontId="20" fillId="0" borderId="170" xfId="2" applyFont="1" applyFill="1" applyBorder="1" applyAlignment="1" applyProtection="1">
      <alignment horizontal="center" vertical="center"/>
    </xf>
    <xf numFmtId="9" fontId="20" fillId="0" borderId="100" xfId="4" applyFont="1" applyFill="1" applyBorder="1" applyAlignment="1" applyProtection="1">
      <alignment horizontal="center" vertical="center"/>
    </xf>
    <xf numFmtId="165" fontId="20" fillId="0" borderId="160" xfId="2" applyNumberFormat="1" applyFont="1" applyFill="1" applyBorder="1" applyAlignment="1" applyProtection="1">
      <alignment horizontal="center" vertical="center"/>
    </xf>
    <xf numFmtId="1" fontId="20" fillId="3" borderId="135" xfId="0" applyNumberFormat="1" applyFont="1" applyFill="1" applyBorder="1" applyAlignment="1" applyProtection="1">
      <alignment horizontal="center" vertical="center"/>
      <protection locked="0"/>
    </xf>
    <xf numFmtId="1" fontId="20" fillId="0" borderId="134" xfId="0" applyNumberFormat="1" applyFont="1" applyBorder="1" applyAlignment="1">
      <alignment horizontal="center" vertical="center"/>
    </xf>
    <xf numFmtId="0" fontId="21" fillId="0" borderId="0" xfId="0" applyFont="1" applyAlignment="1">
      <alignment vertical="center"/>
    </xf>
    <xf numFmtId="0" fontId="21" fillId="7" borderId="156" xfId="0" applyFont="1" applyFill="1" applyBorder="1" applyAlignment="1">
      <alignment horizontal="center" vertical="center"/>
    </xf>
    <xf numFmtId="0" fontId="21" fillId="7" borderId="166" xfId="0" applyFont="1" applyFill="1" applyBorder="1" applyAlignment="1">
      <alignment horizontal="center" vertical="center"/>
    </xf>
    <xf numFmtId="0" fontId="21" fillId="7" borderId="157" xfId="0" applyFont="1" applyFill="1" applyBorder="1" applyAlignment="1">
      <alignment horizontal="center" vertical="center"/>
    </xf>
    <xf numFmtId="0" fontId="21" fillId="0" borderId="0" xfId="0" applyFont="1" applyAlignment="1">
      <alignment horizontal="center" vertical="center"/>
    </xf>
    <xf numFmtId="0" fontId="20" fillId="0" borderId="0" xfId="0" applyFont="1" applyAlignment="1">
      <alignment horizontal="center" vertical="center"/>
    </xf>
    <xf numFmtId="1" fontId="20" fillId="0" borderId="0" xfId="0" applyNumberFormat="1" applyFont="1" applyAlignment="1">
      <alignment horizontal="center" vertical="center"/>
    </xf>
    <xf numFmtId="0" fontId="20" fillId="0" borderId="99" xfId="0" applyFont="1" applyBorder="1" applyAlignment="1">
      <alignment vertical="center"/>
    </xf>
    <xf numFmtId="165" fontId="20" fillId="15" borderId="150" xfId="2" applyNumberFormat="1" applyFont="1" applyFill="1" applyBorder="1" applyAlignment="1" applyProtection="1">
      <alignment horizontal="center" vertical="center"/>
    </xf>
    <xf numFmtId="1" fontId="20" fillId="15" borderId="131" xfId="0" applyNumberFormat="1" applyFont="1" applyFill="1" applyBorder="1" applyAlignment="1">
      <alignment horizontal="center" vertical="center"/>
    </xf>
    <xf numFmtId="1" fontId="20" fillId="15" borderId="148" xfId="0" applyNumberFormat="1" applyFont="1" applyFill="1" applyBorder="1" applyAlignment="1">
      <alignment horizontal="center" vertical="center"/>
    </xf>
    <xf numFmtId="1" fontId="20" fillId="15" borderId="147" xfId="0" applyNumberFormat="1" applyFont="1" applyFill="1" applyBorder="1" applyAlignment="1">
      <alignment horizontal="center" vertical="center"/>
    </xf>
    <xf numFmtId="0" fontId="20" fillId="0" borderId="146" xfId="0" applyFont="1" applyBorder="1" applyAlignment="1">
      <alignment vertical="center"/>
    </xf>
    <xf numFmtId="44" fontId="20" fillId="0" borderId="0" xfId="2" applyFont="1" applyFill="1" applyBorder="1" applyAlignment="1" applyProtection="1">
      <alignment horizontal="center" vertical="center"/>
    </xf>
    <xf numFmtId="9" fontId="20" fillId="0" borderId="0" xfId="4" applyFont="1" applyFill="1" applyBorder="1" applyAlignment="1" applyProtection="1">
      <alignment horizontal="center" vertical="center"/>
    </xf>
    <xf numFmtId="165" fontId="20" fillId="0" borderId="0" xfId="2" applyNumberFormat="1" applyFont="1" applyFill="1" applyBorder="1" applyAlignment="1" applyProtection="1">
      <alignment horizontal="center" vertical="center"/>
    </xf>
    <xf numFmtId="0" fontId="21" fillId="0" borderId="146" xfId="0" applyFont="1" applyBorder="1" applyAlignment="1">
      <alignment vertical="center"/>
    </xf>
    <xf numFmtId="0" fontId="21" fillId="7" borderId="35" xfId="0" applyFont="1" applyFill="1" applyBorder="1" applyAlignment="1">
      <alignment horizontal="center" vertical="center"/>
    </xf>
    <xf numFmtId="0" fontId="21" fillId="7" borderId="188" xfId="0" applyFont="1" applyFill="1" applyBorder="1" applyAlignment="1">
      <alignment vertical="center"/>
    </xf>
    <xf numFmtId="4" fontId="21" fillId="7" borderId="34" xfId="0" applyNumberFormat="1" applyFont="1" applyFill="1" applyBorder="1" applyAlignment="1">
      <alignment horizontal="center" vertical="center"/>
    </xf>
    <xf numFmtId="4" fontId="21" fillId="7" borderId="164" xfId="0" applyNumberFormat="1" applyFont="1" applyFill="1" applyBorder="1" applyAlignment="1">
      <alignment horizontal="center" vertical="center"/>
    </xf>
    <xf numFmtId="165" fontId="21" fillId="7" borderId="142" xfId="0" applyNumberFormat="1" applyFont="1" applyFill="1" applyBorder="1" applyAlignment="1">
      <alignment horizontal="center" vertical="center"/>
    </xf>
    <xf numFmtId="0" fontId="21" fillId="7" borderId="130" xfId="0" applyFont="1" applyFill="1" applyBorder="1" applyAlignment="1">
      <alignment horizontal="center" vertical="center"/>
    </xf>
    <xf numFmtId="0" fontId="20" fillId="0" borderId="137" xfId="0" applyFont="1" applyBorder="1" applyAlignment="1">
      <alignment vertical="center"/>
    </xf>
    <xf numFmtId="44" fontId="20" fillId="0" borderId="51" xfId="2" applyFont="1" applyFill="1" applyBorder="1" applyAlignment="1" applyProtection="1">
      <alignment horizontal="center" vertical="center"/>
    </xf>
    <xf numFmtId="44" fontId="20" fillId="0" borderId="46" xfId="2" applyFont="1" applyFill="1" applyBorder="1" applyAlignment="1" applyProtection="1">
      <alignment horizontal="center" vertical="center"/>
    </xf>
    <xf numFmtId="165" fontId="20" fillId="0" borderId="20" xfId="2" applyNumberFormat="1" applyFont="1" applyFill="1" applyBorder="1" applyAlignment="1" applyProtection="1">
      <alignment horizontal="center" vertical="center"/>
    </xf>
    <xf numFmtId="1" fontId="20" fillId="3" borderId="144" xfId="0" applyNumberFormat="1" applyFont="1" applyFill="1" applyBorder="1" applyAlignment="1" applyProtection="1">
      <alignment horizontal="center" vertical="center"/>
      <protection locked="0"/>
    </xf>
    <xf numFmtId="0" fontId="20" fillId="0" borderId="138" xfId="0" applyFont="1" applyBorder="1" applyAlignment="1">
      <alignment vertical="center"/>
    </xf>
    <xf numFmtId="44" fontId="20" fillId="0" borderId="129" xfId="2" applyFont="1" applyFill="1" applyBorder="1" applyAlignment="1" applyProtection="1">
      <alignment horizontal="center" vertical="center"/>
    </xf>
    <xf numFmtId="44" fontId="20" fillId="0" borderId="49" xfId="2" applyFont="1" applyFill="1" applyBorder="1" applyAlignment="1" applyProtection="1">
      <alignment horizontal="center" vertical="center"/>
    </xf>
    <xf numFmtId="165" fontId="20" fillId="0" borderId="11" xfId="2" applyNumberFormat="1" applyFont="1" applyFill="1" applyBorder="1" applyAlignment="1" applyProtection="1">
      <alignment horizontal="center" vertical="center"/>
    </xf>
    <xf numFmtId="0" fontId="20" fillId="0" borderId="139" xfId="0" applyFont="1" applyBorder="1" applyAlignment="1">
      <alignment vertical="center"/>
    </xf>
    <xf numFmtId="44" fontId="20" fillId="0" borderId="133" xfId="2" applyFont="1" applyFill="1" applyBorder="1" applyAlignment="1" applyProtection="1">
      <alignment horizontal="center" vertical="center"/>
    </xf>
    <xf numFmtId="165" fontId="20" fillId="0" borderId="143" xfId="2" applyNumberFormat="1" applyFont="1" applyFill="1" applyBorder="1" applyAlignment="1" applyProtection="1">
      <alignment horizontal="center" vertical="center"/>
    </xf>
    <xf numFmtId="0" fontId="20" fillId="0" borderId="0" xfId="0" applyFont="1" applyAlignment="1">
      <alignment horizontal="left" vertical="center"/>
    </xf>
    <xf numFmtId="0" fontId="20" fillId="0" borderId="0" xfId="0" applyFont="1" applyAlignment="1">
      <alignment vertical="center"/>
    </xf>
    <xf numFmtId="4" fontId="21" fillId="0" borderId="0" xfId="0" applyNumberFormat="1" applyFont="1" applyAlignment="1">
      <alignment horizontal="center" vertical="center"/>
    </xf>
    <xf numFmtId="0" fontId="20" fillId="0" borderId="151" xfId="0" applyFont="1" applyBorder="1" applyAlignment="1">
      <alignment vertical="center"/>
    </xf>
    <xf numFmtId="44" fontId="20" fillId="0" borderId="152" xfId="2" applyFont="1" applyFill="1" applyBorder="1" applyAlignment="1" applyProtection="1">
      <alignment horizontal="center" vertical="center"/>
    </xf>
    <xf numFmtId="44" fontId="20" fillId="0" borderId="90" xfId="2" applyFont="1" applyFill="1" applyBorder="1" applyAlignment="1" applyProtection="1">
      <alignment horizontal="center" vertical="center"/>
    </xf>
    <xf numFmtId="3" fontId="20" fillId="0" borderId="0" xfId="0" applyNumberFormat="1" applyFont="1" applyAlignment="1">
      <alignment horizontal="center" vertical="center"/>
    </xf>
    <xf numFmtId="3" fontId="20" fillId="0" borderId="149" xfId="0" applyNumberFormat="1" applyFont="1" applyBorder="1" applyAlignment="1">
      <alignment horizontal="center" vertical="center"/>
    </xf>
    <xf numFmtId="0" fontId="20" fillId="0" borderId="67" xfId="0" applyFont="1" applyBorder="1" applyAlignment="1">
      <alignment horizontal="center" vertical="center"/>
    </xf>
    <xf numFmtId="4" fontId="21" fillId="7" borderId="166" xfId="0" applyNumberFormat="1" applyFont="1" applyFill="1" applyBorder="1" applyAlignment="1">
      <alignment horizontal="center" vertical="center"/>
    </xf>
    <xf numFmtId="165" fontId="21" fillId="7" borderId="156" xfId="0" applyNumberFormat="1" applyFont="1" applyFill="1" applyBorder="1" applyAlignment="1">
      <alignment horizontal="center" vertical="center"/>
    </xf>
    <xf numFmtId="0" fontId="20" fillId="0" borderId="148" xfId="0" applyFont="1" applyBorder="1" applyAlignment="1">
      <alignment vertical="center"/>
    </xf>
    <xf numFmtId="165" fontId="20" fillId="0" borderId="158" xfId="2" applyNumberFormat="1" applyFont="1" applyFill="1" applyBorder="1" applyAlignment="1" applyProtection="1">
      <alignment horizontal="center" vertical="center"/>
    </xf>
    <xf numFmtId="1" fontId="20" fillId="0" borderId="160" xfId="0" applyNumberFormat="1" applyFont="1" applyBorder="1" applyAlignment="1">
      <alignment horizontal="center" vertical="center"/>
    </xf>
    <xf numFmtId="1" fontId="20" fillId="15" borderId="141" xfId="0" applyNumberFormat="1" applyFont="1" applyFill="1" applyBorder="1" applyAlignment="1">
      <alignment horizontal="center" vertical="center"/>
    </xf>
    <xf numFmtId="165" fontId="20" fillId="0" borderId="174" xfId="2" applyNumberFormat="1" applyFont="1" applyFill="1" applyBorder="1" applyAlignment="1" applyProtection="1">
      <alignment horizontal="center" vertical="center"/>
    </xf>
    <xf numFmtId="1" fontId="20" fillId="15" borderId="179" xfId="0" applyNumberFormat="1" applyFont="1" applyFill="1" applyBorder="1" applyAlignment="1">
      <alignment horizontal="center" vertical="center"/>
    </xf>
    <xf numFmtId="1" fontId="20" fillId="0" borderId="180" xfId="0" applyNumberFormat="1" applyFont="1" applyBorder="1" applyAlignment="1">
      <alignment horizontal="center" vertical="center"/>
    </xf>
    <xf numFmtId="0" fontId="20" fillId="0" borderId="173" xfId="0" applyFont="1" applyBorder="1" applyAlignment="1">
      <alignment horizontal="left" vertical="center"/>
    </xf>
    <xf numFmtId="165" fontId="20" fillId="15" borderId="151" xfId="0" applyNumberFormat="1" applyFont="1" applyFill="1" applyBorder="1" applyAlignment="1">
      <alignment horizontal="center" vertical="center"/>
    </xf>
    <xf numFmtId="3" fontId="20" fillId="15" borderId="178" xfId="0" applyNumberFormat="1" applyFont="1" applyFill="1" applyBorder="1" applyAlignment="1">
      <alignment horizontal="center" vertical="center"/>
    </xf>
    <xf numFmtId="1" fontId="20" fillId="15" borderId="151" xfId="0" applyNumberFormat="1" applyFont="1" applyFill="1" applyBorder="1" applyAlignment="1">
      <alignment horizontal="center" vertical="center"/>
    </xf>
    <xf numFmtId="1" fontId="20" fillId="15" borderId="176" xfId="0" applyNumberFormat="1" applyFont="1" applyFill="1" applyBorder="1" applyAlignment="1">
      <alignment horizontal="center" vertical="center"/>
    </xf>
    <xf numFmtId="1" fontId="20" fillId="0" borderId="144" xfId="0" applyNumberFormat="1" applyFont="1" applyBorder="1" applyAlignment="1">
      <alignment horizontal="center" vertical="center"/>
    </xf>
    <xf numFmtId="1" fontId="20" fillId="0" borderId="135" xfId="0" applyNumberFormat="1" applyFont="1" applyBorder="1" applyAlignment="1">
      <alignment horizontal="center" vertical="center"/>
    </xf>
    <xf numFmtId="3" fontId="20" fillId="15" borderId="176" xfId="0" applyNumberFormat="1" applyFont="1" applyFill="1" applyBorder="1" applyAlignment="1">
      <alignment horizontal="center" vertical="center"/>
    </xf>
    <xf numFmtId="1" fontId="20" fillId="15" borderId="184" xfId="0" applyNumberFormat="1" applyFont="1" applyFill="1" applyBorder="1" applyAlignment="1">
      <alignment horizontal="center" vertical="center"/>
    </xf>
    <xf numFmtId="1" fontId="20" fillId="15" borderId="175" xfId="0" applyNumberFormat="1" applyFont="1" applyFill="1" applyBorder="1" applyAlignment="1">
      <alignment horizontal="center" vertical="center"/>
    </xf>
    <xf numFmtId="0" fontId="20" fillId="11" borderId="0" xfId="0" applyFont="1" applyFill="1" applyAlignment="1">
      <alignment horizontal="center" vertical="center"/>
    </xf>
    <xf numFmtId="0" fontId="20" fillId="11" borderId="0" xfId="0" applyFont="1" applyFill="1" applyAlignment="1">
      <alignment vertical="center"/>
    </xf>
    <xf numFmtId="4" fontId="21" fillId="11" borderId="0" xfId="0" applyNumberFormat="1" applyFont="1" applyFill="1" applyAlignment="1">
      <alignment horizontal="center" vertical="center"/>
    </xf>
    <xf numFmtId="165" fontId="20" fillId="11" borderId="0" xfId="0" applyNumberFormat="1" applyFont="1" applyFill="1" applyAlignment="1">
      <alignment horizontal="center" vertical="center"/>
    </xf>
    <xf numFmtId="3" fontId="20" fillId="11" borderId="0" xfId="0" applyNumberFormat="1" applyFont="1" applyFill="1" applyAlignment="1">
      <alignment horizontal="center" vertical="center"/>
    </xf>
    <xf numFmtId="1" fontId="20" fillId="11" borderId="0" xfId="0" applyNumberFormat="1" applyFont="1" applyFill="1" applyAlignment="1">
      <alignment horizontal="center" vertical="center"/>
    </xf>
    <xf numFmtId="0" fontId="21" fillId="7" borderId="156" xfId="0" applyFont="1" applyFill="1" applyBorder="1" applyAlignment="1">
      <alignment vertical="center"/>
    </xf>
    <xf numFmtId="0" fontId="20" fillId="0" borderId="193" xfId="0" applyFont="1" applyBorder="1" applyAlignment="1">
      <alignment horizontal="left" vertical="center"/>
    </xf>
    <xf numFmtId="165" fontId="20" fillId="0" borderId="183" xfId="2" applyNumberFormat="1" applyFont="1" applyFill="1" applyBorder="1" applyAlignment="1" applyProtection="1">
      <alignment horizontal="center" vertical="center"/>
    </xf>
    <xf numFmtId="1" fontId="20" fillId="3" borderId="183" xfId="0" applyNumberFormat="1" applyFont="1" applyFill="1" applyBorder="1" applyAlignment="1" applyProtection="1">
      <alignment horizontal="center" vertical="center"/>
      <protection locked="0"/>
    </xf>
    <xf numFmtId="1" fontId="20" fillId="3" borderId="134" xfId="0" applyNumberFormat="1" applyFont="1" applyFill="1" applyBorder="1" applyAlignment="1" applyProtection="1">
      <alignment horizontal="center" vertical="center"/>
      <protection locked="0"/>
    </xf>
    <xf numFmtId="1" fontId="20" fillId="3" borderId="33" xfId="0" applyNumberFormat="1" applyFont="1" applyFill="1" applyBorder="1" applyAlignment="1" applyProtection="1">
      <alignment horizontal="center" vertical="center"/>
      <protection locked="0"/>
    </xf>
    <xf numFmtId="44" fontId="20" fillId="0" borderId="194" xfId="2" applyFont="1" applyFill="1" applyBorder="1" applyAlignment="1" applyProtection="1">
      <alignment horizontal="center" vertical="center"/>
    </xf>
    <xf numFmtId="44" fontId="20" fillId="0" borderId="187" xfId="2" applyFont="1" applyFill="1" applyBorder="1" applyAlignment="1" applyProtection="1">
      <alignment horizontal="center" vertical="center"/>
    </xf>
    <xf numFmtId="0" fontId="20" fillId="0" borderId="195" xfId="0" applyFont="1" applyBorder="1" applyAlignment="1">
      <alignment vertical="center"/>
    </xf>
    <xf numFmtId="0" fontId="21" fillId="7" borderId="196" xfId="0" applyFont="1" applyFill="1" applyBorder="1" applyAlignment="1">
      <alignment horizontal="center" vertical="center"/>
    </xf>
    <xf numFmtId="0" fontId="1" fillId="0" borderId="0" xfId="0" applyFont="1" applyAlignment="1">
      <alignment horizontal="right" vertical="center"/>
    </xf>
    <xf numFmtId="165" fontId="1" fillId="0" borderId="0" xfId="0" applyNumberFormat="1" applyFont="1" applyAlignment="1">
      <alignment horizontal="center" vertical="center"/>
    </xf>
    <xf numFmtId="4" fontId="1" fillId="0" borderId="0" xfId="0" applyNumberFormat="1" applyFont="1" applyAlignment="1">
      <alignment horizontal="center" vertical="center"/>
    </xf>
    <xf numFmtId="1" fontId="1" fillId="0" borderId="0" xfId="2" applyNumberFormat="1" applyFont="1" applyFill="1" applyBorder="1" applyAlignment="1" applyProtection="1">
      <alignment horizontal="center"/>
    </xf>
    <xf numFmtId="0" fontId="11" fillId="0" borderId="0" xfId="0" applyFont="1" applyAlignment="1">
      <alignment vertical="center"/>
    </xf>
    <xf numFmtId="1" fontId="20" fillId="0" borderId="146" xfId="0" applyNumberFormat="1" applyFont="1" applyBorder="1" applyAlignment="1">
      <alignment horizontal="center" vertical="center"/>
    </xf>
    <xf numFmtId="165" fontId="20" fillId="0" borderId="139" xfId="2" applyNumberFormat="1" applyFont="1" applyFill="1" applyBorder="1" applyAlignment="1" applyProtection="1">
      <alignment horizontal="center" vertical="center"/>
    </xf>
    <xf numFmtId="1" fontId="20" fillId="0" borderId="190" xfId="0" applyNumberFormat="1" applyFont="1" applyBorder="1" applyAlignment="1">
      <alignment horizontal="center" vertical="center"/>
    </xf>
    <xf numFmtId="1" fontId="20" fillId="0" borderId="191" xfId="0" applyNumberFormat="1" applyFont="1" applyBorder="1" applyAlignment="1">
      <alignment horizontal="center" vertical="center"/>
    </xf>
    <xf numFmtId="1" fontId="20" fillId="0" borderId="192" xfId="0" applyNumberFormat="1" applyFont="1" applyBorder="1" applyAlignment="1">
      <alignment horizontal="center" vertical="center"/>
    </xf>
    <xf numFmtId="1" fontId="20" fillId="15" borderId="91" xfId="0" applyNumberFormat="1" applyFont="1" applyFill="1" applyBorder="1" applyAlignment="1">
      <alignment horizontal="center" vertical="center"/>
    </xf>
    <xf numFmtId="165" fontId="20" fillId="0" borderId="198" xfId="2" applyNumberFormat="1" applyFont="1" applyFill="1" applyBorder="1" applyAlignment="1" applyProtection="1">
      <alignment horizontal="center" vertical="center"/>
    </xf>
    <xf numFmtId="1" fontId="20" fillId="3" borderId="136" xfId="2" applyNumberFormat="1" applyFont="1" applyFill="1" applyBorder="1" applyAlignment="1" applyProtection="1">
      <alignment horizontal="center" vertical="center"/>
      <protection locked="0"/>
    </xf>
    <xf numFmtId="0" fontId="20" fillId="0" borderId="99" xfId="0" applyFont="1" applyBorder="1" applyAlignment="1">
      <alignment horizontal="center" vertical="center"/>
    </xf>
    <xf numFmtId="165" fontId="20" fillId="8" borderId="183" xfId="2" applyNumberFormat="1" applyFont="1" applyFill="1" applyBorder="1" applyAlignment="1" applyProtection="1">
      <alignment horizontal="center" vertical="center"/>
    </xf>
    <xf numFmtId="165" fontId="20" fillId="8" borderId="160" xfId="2" applyNumberFormat="1" applyFont="1" applyFill="1" applyBorder="1" applyAlignment="1" applyProtection="1">
      <alignment horizontal="center" vertical="center"/>
    </xf>
    <xf numFmtId="9" fontId="20" fillId="0" borderId="186" xfId="4" applyFont="1" applyFill="1" applyBorder="1" applyAlignment="1" applyProtection="1">
      <alignment horizontal="center" vertical="center"/>
    </xf>
    <xf numFmtId="9" fontId="20" fillId="0" borderId="199" xfId="4" applyFont="1" applyFill="1" applyBorder="1" applyAlignment="1" applyProtection="1">
      <alignment horizontal="center" vertical="center"/>
    </xf>
    <xf numFmtId="9" fontId="20" fillId="0" borderId="200" xfId="4" applyFont="1" applyFill="1" applyBorder="1" applyAlignment="1" applyProtection="1">
      <alignment horizontal="center" vertical="center"/>
    </xf>
    <xf numFmtId="4" fontId="21" fillId="7" borderId="201" xfId="0" applyNumberFormat="1" applyFont="1" applyFill="1" applyBorder="1" applyAlignment="1">
      <alignment horizontal="center" vertical="center"/>
    </xf>
    <xf numFmtId="4" fontId="21" fillId="7" borderId="130" xfId="0" applyNumberFormat="1" applyFont="1" applyFill="1" applyBorder="1" applyAlignment="1">
      <alignment horizontal="center" vertical="center"/>
    </xf>
    <xf numFmtId="9" fontId="20" fillId="3" borderId="186" xfId="4" applyFont="1" applyFill="1" applyBorder="1" applyAlignment="1" applyProtection="1">
      <alignment horizontal="center" vertical="center"/>
      <protection locked="0"/>
    </xf>
    <xf numFmtId="9" fontId="20" fillId="3" borderId="199" xfId="4" applyFont="1" applyFill="1" applyBorder="1" applyAlignment="1" applyProtection="1">
      <alignment horizontal="center" vertical="center"/>
      <protection locked="0"/>
    </xf>
    <xf numFmtId="9" fontId="20" fillId="3" borderId="200" xfId="4" applyFont="1" applyFill="1" applyBorder="1" applyAlignment="1" applyProtection="1">
      <alignment horizontal="center" vertical="center"/>
      <protection locked="0"/>
    </xf>
    <xf numFmtId="0" fontId="14" fillId="0" borderId="0" xfId="0" applyFont="1" applyAlignment="1">
      <alignment vertical="center"/>
    </xf>
    <xf numFmtId="0" fontId="14" fillId="11" borderId="0" xfId="0" applyFont="1" applyFill="1" applyAlignment="1">
      <alignment vertical="center"/>
    </xf>
    <xf numFmtId="44" fontId="20" fillId="0" borderId="146" xfId="2" applyFont="1" applyFill="1" applyBorder="1" applyAlignment="1" applyProtection="1">
      <alignment horizontal="center" vertical="center"/>
    </xf>
    <xf numFmtId="1" fontId="20" fillId="0" borderId="0" xfId="2" applyNumberFormat="1" applyFont="1" applyFill="1" applyBorder="1" applyAlignment="1" applyProtection="1">
      <alignment horizontal="center" vertical="center"/>
    </xf>
    <xf numFmtId="1" fontId="20" fillId="15" borderId="144" xfId="0" applyNumberFormat="1" applyFont="1" applyFill="1" applyBorder="1" applyAlignment="1">
      <alignment horizontal="center" vertical="center"/>
    </xf>
    <xf numFmtId="1" fontId="20" fillId="15" borderId="185" xfId="0" applyNumberFormat="1" applyFont="1" applyFill="1" applyBorder="1" applyAlignment="1">
      <alignment horizontal="center" vertical="center"/>
    </xf>
    <xf numFmtId="1" fontId="20" fillId="15" borderId="192" xfId="0" applyNumberFormat="1" applyFont="1" applyFill="1" applyBorder="1" applyAlignment="1">
      <alignment horizontal="center" vertical="center"/>
    </xf>
    <xf numFmtId="1" fontId="20" fillId="3" borderId="160" xfId="0" applyNumberFormat="1" applyFont="1" applyFill="1" applyBorder="1" applyAlignment="1" applyProtection="1">
      <alignment horizontal="center" vertical="center"/>
      <protection locked="0"/>
    </xf>
    <xf numFmtId="1" fontId="20" fillId="3" borderId="180" xfId="0" applyNumberFormat="1" applyFont="1" applyFill="1" applyBorder="1" applyAlignment="1" applyProtection="1">
      <alignment horizontal="center" vertical="center"/>
      <protection locked="0"/>
    </xf>
    <xf numFmtId="1" fontId="20" fillId="3" borderId="190" xfId="0" applyNumberFormat="1" applyFont="1" applyFill="1" applyBorder="1" applyAlignment="1" applyProtection="1">
      <alignment horizontal="center" vertical="center"/>
      <protection locked="0"/>
    </xf>
    <xf numFmtId="1" fontId="20" fillId="3" borderId="191" xfId="0" applyNumberFormat="1" applyFont="1" applyFill="1" applyBorder="1" applyAlignment="1" applyProtection="1">
      <alignment horizontal="center" vertical="center"/>
      <protection locked="0"/>
    </xf>
    <xf numFmtId="1" fontId="20" fillId="3" borderId="192" xfId="0" applyNumberFormat="1" applyFont="1" applyFill="1" applyBorder="1" applyAlignment="1" applyProtection="1">
      <alignment horizontal="center" vertical="center"/>
      <protection locked="0"/>
    </xf>
    <xf numFmtId="0" fontId="16" fillId="0" borderId="52" xfId="0" applyFont="1" applyBorder="1" applyAlignment="1">
      <alignment horizontal="left"/>
    </xf>
    <xf numFmtId="0" fontId="6" fillId="0" borderId="0" xfId="0" applyFont="1" applyAlignment="1">
      <alignment vertical="center"/>
    </xf>
    <xf numFmtId="0" fontId="5" fillId="0" borderId="0" xfId="0" applyFont="1" applyAlignment="1">
      <alignment horizontal="center" vertical="center"/>
    </xf>
    <xf numFmtId="0" fontId="5" fillId="0" borderId="0" xfId="0" applyFont="1" applyAlignment="1">
      <alignment vertical="center"/>
    </xf>
    <xf numFmtId="1" fontId="3" fillId="0" borderId="0" xfId="0" applyNumberFormat="1" applyFont="1" applyAlignment="1">
      <alignment horizontal="center" vertical="center"/>
    </xf>
    <xf numFmtId="0" fontId="5" fillId="0" borderId="146" xfId="0" applyFont="1" applyBorder="1" applyAlignment="1">
      <alignment vertical="center"/>
    </xf>
    <xf numFmtId="0" fontId="6" fillId="0" borderId="146" xfId="0" applyFont="1" applyBorder="1" applyAlignment="1">
      <alignment vertical="center"/>
    </xf>
    <xf numFmtId="0" fontId="21" fillId="13" borderId="164" xfId="0" applyFont="1" applyFill="1" applyBorder="1" applyAlignment="1">
      <alignment horizontal="center" vertical="center"/>
    </xf>
    <xf numFmtId="0" fontId="21" fillId="13" borderId="142" xfId="0" applyFont="1" applyFill="1" applyBorder="1" applyAlignment="1">
      <alignment vertical="center"/>
    </xf>
    <xf numFmtId="4" fontId="21" fillId="13" borderId="34" xfId="0" applyNumberFormat="1" applyFont="1" applyFill="1" applyBorder="1" applyAlignment="1">
      <alignment horizontal="center" vertical="center"/>
    </xf>
    <xf numFmtId="4" fontId="21" fillId="13" borderId="164" xfId="0" applyNumberFormat="1" applyFont="1" applyFill="1" applyBorder="1" applyAlignment="1">
      <alignment horizontal="center" vertical="center"/>
    </xf>
    <xf numFmtId="0" fontId="21" fillId="13" borderId="35" xfId="0" applyFont="1" applyFill="1" applyBorder="1" applyAlignment="1">
      <alignment horizontal="center" vertical="center"/>
    </xf>
    <xf numFmtId="0" fontId="21" fillId="13" borderId="156" xfId="0" applyFont="1" applyFill="1" applyBorder="1" applyAlignment="1">
      <alignment horizontal="center" vertical="center"/>
    </xf>
    <xf numFmtId="0" fontId="21" fillId="13" borderId="166" xfId="0" applyFont="1" applyFill="1" applyBorder="1" applyAlignment="1">
      <alignment horizontal="center" vertical="center"/>
    </xf>
    <xf numFmtId="0" fontId="21" fillId="13" borderId="157" xfId="0" applyFont="1" applyFill="1" applyBorder="1" applyAlignment="1">
      <alignment horizontal="center" vertical="center"/>
    </xf>
    <xf numFmtId="0" fontId="21" fillId="13" borderId="130" xfId="0" applyFont="1" applyFill="1" applyBorder="1" applyAlignment="1">
      <alignment horizontal="center" vertical="center"/>
    </xf>
    <xf numFmtId="0" fontId="20" fillId="0" borderId="206" xfId="0" applyFont="1" applyBorder="1" applyAlignment="1">
      <alignment horizontal="left" vertical="center"/>
    </xf>
    <xf numFmtId="4" fontId="21" fillId="13" borderId="166" xfId="0" applyNumberFormat="1" applyFont="1" applyFill="1" applyBorder="1" applyAlignment="1">
      <alignment horizontal="center" vertical="center"/>
    </xf>
    <xf numFmtId="165" fontId="21" fillId="13" borderId="165" xfId="0" applyNumberFormat="1" applyFont="1" applyFill="1" applyBorder="1" applyAlignment="1">
      <alignment horizontal="center" vertical="center"/>
    </xf>
    <xf numFmtId="0" fontId="20" fillId="0" borderId="207" xfId="0" applyFont="1" applyBorder="1" applyAlignment="1">
      <alignment horizontal="left" vertical="center"/>
    </xf>
    <xf numFmtId="1" fontId="20" fillId="3" borderId="180" xfId="2" applyNumberFormat="1" applyFont="1" applyFill="1" applyBorder="1" applyAlignment="1" applyProtection="1">
      <alignment horizontal="center" vertical="center"/>
      <protection locked="0"/>
    </xf>
    <xf numFmtId="165" fontId="20" fillId="15" borderId="150" xfId="0" applyNumberFormat="1" applyFont="1" applyFill="1" applyBorder="1" applyAlignment="1">
      <alignment horizontal="center" vertical="center"/>
    </xf>
    <xf numFmtId="3" fontId="20" fillId="15" borderId="159" xfId="0" applyNumberFormat="1" applyFont="1" applyFill="1" applyBorder="1" applyAlignment="1">
      <alignment horizontal="center" vertical="center"/>
    </xf>
    <xf numFmtId="4" fontId="21" fillId="13" borderId="205" xfId="0" applyNumberFormat="1" applyFont="1" applyFill="1" applyBorder="1" applyAlignment="1">
      <alignment horizontal="center" vertical="center"/>
    </xf>
    <xf numFmtId="1" fontId="20" fillId="3" borderId="131" xfId="2" applyNumberFormat="1" applyFont="1" applyFill="1" applyBorder="1" applyAlignment="1" applyProtection="1">
      <alignment horizontal="center" vertical="center"/>
      <protection locked="0"/>
    </xf>
    <xf numFmtId="0" fontId="21" fillId="13" borderId="165" xfId="0" applyFont="1" applyFill="1" applyBorder="1" applyAlignment="1">
      <alignment vertical="center"/>
    </xf>
    <xf numFmtId="0" fontId="20" fillId="0" borderId="111" xfId="0" applyFont="1" applyBorder="1" applyAlignment="1">
      <alignment horizontal="left" vertical="center"/>
    </xf>
    <xf numFmtId="0" fontId="20" fillId="0" borderId="209" xfId="0" applyFont="1" applyBorder="1" applyAlignment="1">
      <alignment horizontal="left" vertical="center"/>
    </xf>
    <xf numFmtId="0" fontId="20" fillId="0" borderId="210" xfId="0" applyFont="1" applyBorder="1" applyAlignment="1">
      <alignment horizontal="left" vertical="center"/>
    </xf>
    <xf numFmtId="165" fontId="21" fillId="13" borderId="156" xfId="0" applyNumberFormat="1" applyFont="1" applyFill="1" applyBorder="1" applyAlignment="1">
      <alignment horizontal="center" vertical="center"/>
    </xf>
    <xf numFmtId="165" fontId="20" fillId="0" borderId="179" xfId="2" applyNumberFormat="1" applyFont="1" applyFill="1" applyBorder="1" applyAlignment="1" applyProtection="1">
      <alignment horizontal="center" vertical="center"/>
    </xf>
    <xf numFmtId="0" fontId="1" fillId="0" borderId="2" xfId="0" applyFont="1" applyBorder="1" applyAlignment="1">
      <alignment vertical="center"/>
    </xf>
    <xf numFmtId="9" fontId="20" fillId="3" borderId="211" xfId="4" applyFont="1" applyFill="1" applyBorder="1" applyAlignment="1" applyProtection="1">
      <alignment horizontal="center" vertical="center"/>
      <protection locked="0"/>
    </xf>
    <xf numFmtId="9" fontId="20" fillId="3" borderId="212" xfId="4" applyFont="1" applyFill="1" applyBorder="1" applyAlignment="1" applyProtection="1">
      <alignment horizontal="center" vertical="center"/>
      <protection locked="0"/>
    </xf>
    <xf numFmtId="4" fontId="21" fillId="7" borderId="205" xfId="0" applyNumberFormat="1" applyFont="1" applyFill="1" applyBorder="1" applyAlignment="1">
      <alignment horizontal="center" vertical="center"/>
    </xf>
    <xf numFmtId="4" fontId="21" fillId="7" borderId="213" xfId="0" applyNumberFormat="1" applyFont="1" applyFill="1" applyBorder="1" applyAlignment="1">
      <alignment horizontal="center" vertical="center"/>
    </xf>
    <xf numFmtId="4" fontId="21" fillId="7" borderId="214" xfId="0" applyNumberFormat="1" applyFont="1" applyFill="1" applyBorder="1" applyAlignment="1">
      <alignment horizontal="center" vertical="center"/>
    </xf>
    <xf numFmtId="165" fontId="21" fillId="7" borderId="215" xfId="0" applyNumberFormat="1" applyFont="1" applyFill="1" applyBorder="1" applyAlignment="1">
      <alignment horizontal="center" vertical="center"/>
    </xf>
    <xf numFmtId="4" fontId="21" fillId="13" borderId="213" xfId="0" applyNumberFormat="1" applyFont="1" applyFill="1" applyBorder="1" applyAlignment="1">
      <alignment horizontal="center" vertical="center"/>
    </xf>
    <xf numFmtId="4" fontId="21" fillId="13" borderId="130" xfId="0" applyNumberFormat="1" applyFont="1" applyFill="1" applyBorder="1" applyAlignment="1">
      <alignment horizontal="center" vertical="center"/>
    </xf>
    <xf numFmtId="44" fontId="20" fillId="0" borderId="140" xfId="2" applyFont="1" applyFill="1" applyBorder="1" applyAlignment="1" applyProtection="1">
      <alignment horizontal="center" vertical="center"/>
    </xf>
    <xf numFmtId="44" fontId="20" fillId="0" borderId="204" xfId="2" applyFont="1" applyFill="1" applyBorder="1" applyAlignment="1" applyProtection="1">
      <alignment horizontal="center" vertical="center"/>
    </xf>
    <xf numFmtId="44" fontId="20" fillId="0" borderId="141" xfId="2" applyFont="1" applyFill="1" applyBorder="1" applyAlignment="1" applyProtection="1">
      <alignment horizontal="center" vertical="center"/>
    </xf>
    <xf numFmtId="4" fontId="21" fillId="13" borderId="201" xfId="0" applyNumberFormat="1" applyFont="1" applyFill="1" applyBorder="1" applyAlignment="1">
      <alignment horizontal="center" vertical="center"/>
    </xf>
    <xf numFmtId="9" fontId="20" fillId="0" borderId="111" xfId="4" applyFont="1" applyFill="1" applyBorder="1" applyAlignment="1" applyProtection="1">
      <alignment horizontal="center" vertical="center"/>
    </xf>
    <xf numFmtId="9" fontId="20" fillId="3" borderId="146" xfId="4" applyFont="1" applyFill="1" applyBorder="1" applyAlignment="1" applyProtection="1">
      <alignment horizontal="center" vertical="center"/>
      <protection locked="0"/>
    </xf>
    <xf numFmtId="9" fontId="20" fillId="0" borderId="216" xfId="4" applyFont="1" applyFill="1" applyBorder="1" applyAlignment="1" applyProtection="1">
      <alignment horizontal="center" vertical="center"/>
    </xf>
    <xf numFmtId="4" fontId="21" fillId="7" borderId="217" xfId="0" applyNumberFormat="1" applyFont="1" applyFill="1" applyBorder="1" applyAlignment="1">
      <alignment horizontal="center" vertical="center"/>
    </xf>
    <xf numFmtId="9" fontId="20" fillId="3" borderId="218" xfId="4" applyFont="1" applyFill="1" applyBorder="1" applyAlignment="1" applyProtection="1">
      <alignment horizontal="center" vertical="center"/>
      <protection locked="0"/>
    </xf>
    <xf numFmtId="44" fontId="20" fillId="0" borderId="131" xfId="2" applyFont="1" applyFill="1" applyBorder="1" applyAlignment="1" applyProtection="1">
      <alignment horizontal="center" vertical="center"/>
    </xf>
    <xf numFmtId="9" fontId="20" fillId="0" borderId="88" xfId="4" applyFont="1" applyFill="1" applyBorder="1" applyAlignment="1" applyProtection="1">
      <alignment horizontal="center" vertical="center"/>
    </xf>
    <xf numFmtId="9" fontId="20" fillId="0" borderId="219" xfId="4" applyFont="1" applyFill="1" applyBorder="1" applyAlignment="1" applyProtection="1">
      <alignment horizontal="center" vertical="center"/>
    </xf>
    <xf numFmtId="9" fontId="20" fillId="0" borderId="220" xfId="4" applyFont="1" applyFill="1" applyBorder="1" applyAlignment="1" applyProtection="1">
      <alignment horizontal="center" vertical="center"/>
    </xf>
    <xf numFmtId="9" fontId="20" fillId="0" borderId="221" xfId="4" applyFont="1" applyFill="1" applyBorder="1" applyAlignment="1" applyProtection="1">
      <alignment horizontal="center" vertical="center"/>
    </xf>
    <xf numFmtId="9" fontId="20" fillId="0" borderId="222" xfId="4" applyFont="1" applyFill="1" applyBorder="1" applyAlignment="1" applyProtection="1">
      <alignment horizontal="center" vertical="center"/>
    </xf>
    <xf numFmtId="165" fontId="20" fillId="0" borderId="203" xfId="2" applyNumberFormat="1" applyFont="1" applyFill="1" applyBorder="1" applyAlignment="1" applyProtection="1">
      <alignment horizontal="center" vertical="center"/>
    </xf>
    <xf numFmtId="9" fontId="20" fillId="3" borderId="90" xfId="4" applyFont="1" applyFill="1" applyBorder="1" applyAlignment="1" applyProtection="1">
      <alignment horizontal="center" vertical="center"/>
      <protection locked="0"/>
    </xf>
    <xf numFmtId="44" fontId="20" fillId="0" borderId="176" xfId="2" applyFont="1" applyFill="1" applyBorder="1" applyAlignment="1" applyProtection="1">
      <alignment horizontal="center" vertical="center"/>
    </xf>
    <xf numFmtId="9" fontId="20" fillId="3" borderId="187" xfId="4" applyFont="1" applyFill="1" applyBorder="1" applyAlignment="1" applyProtection="1">
      <alignment horizontal="center" vertical="center"/>
      <protection locked="0"/>
    </xf>
    <xf numFmtId="44" fontId="20" fillId="0" borderId="223" xfId="2" applyFont="1" applyFill="1" applyBorder="1" applyAlignment="1" applyProtection="1">
      <alignment horizontal="center" vertical="center"/>
    </xf>
    <xf numFmtId="44" fontId="20" fillId="0" borderId="224" xfId="2" applyFont="1" applyFill="1" applyBorder="1" applyAlignment="1" applyProtection="1">
      <alignment horizontal="center" vertical="center"/>
    </xf>
    <xf numFmtId="9" fontId="20" fillId="3" borderId="163" xfId="4" applyFont="1" applyFill="1" applyBorder="1" applyAlignment="1" applyProtection="1">
      <alignment horizontal="center" vertical="center"/>
      <protection locked="0"/>
    </xf>
    <xf numFmtId="165" fontId="20" fillId="0" borderId="225" xfId="2" applyNumberFormat="1" applyFont="1" applyFill="1" applyBorder="1" applyAlignment="1" applyProtection="1">
      <alignment horizontal="center" vertical="center"/>
    </xf>
    <xf numFmtId="0" fontId="4" fillId="0" borderId="14" xfId="3" applyFont="1" applyBorder="1" applyAlignment="1">
      <alignment horizontal="center" vertical="center"/>
    </xf>
    <xf numFmtId="9" fontId="4" fillId="0" borderId="44" xfId="4" applyFont="1" applyFill="1" applyBorder="1" applyAlignment="1" applyProtection="1">
      <alignment horizontal="center" vertical="center"/>
    </xf>
    <xf numFmtId="14" fontId="1" fillId="3" borderId="38" xfId="3" applyNumberFormat="1" applyFill="1" applyBorder="1" applyAlignment="1" applyProtection="1">
      <alignment horizontal="left" vertical="center"/>
      <protection locked="0"/>
    </xf>
    <xf numFmtId="9" fontId="1" fillId="16" borderId="0" xfId="4" applyFill="1" applyAlignment="1" applyProtection="1">
      <alignment vertical="center"/>
    </xf>
    <xf numFmtId="164" fontId="1" fillId="16" borderId="0" xfId="1" applyNumberFormat="1" applyFill="1" applyAlignment="1" applyProtection="1">
      <alignment vertical="center"/>
    </xf>
    <xf numFmtId="44" fontId="1" fillId="16" borderId="0" xfId="2" applyFill="1" applyAlignment="1" applyProtection="1">
      <alignment vertical="center"/>
    </xf>
    <xf numFmtId="0" fontId="1" fillId="16" borderId="0" xfId="3" applyFill="1" applyAlignment="1">
      <alignment vertical="center"/>
    </xf>
    <xf numFmtId="0" fontId="1" fillId="0" borderId="0" xfId="0" applyFont="1" applyAlignment="1">
      <alignment horizontal="left" vertical="center"/>
    </xf>
    <xf numFmtId="0" fontId="1" fillId="9" borderId="0" xfId="0" applyFont="1" applyFill="1" applyAlignment="1">
      <alignment horizontal="center"/>
    </xf>
    <xf numFmtId="14" fontId="1" fillId="0" borderId="41" xfId="3" applyNumberFormat="1" applyBorder="1" applyAlignment="1">
      <alignment horizontal="center" vertical="center" shrinkToFit="1"/>
    </xf>
    <xf numFmtId="0" fontId="1" fillId="0" borderId="23" xfId="3" applyBorder="1" applyAlignment="1">
      <alignment horizontal="center" vertical="center" shrinkToFit="1"/>
    </xf>
    <xf numFmtId="9" fontId="1" fillId="0" borderId="227" xfId="4" applyFill="1" applyBorder="1" applyAlignment="1" applyProtection="1">
      <alignment horizontal="center" vertical="center"/>
    </xf>
    <xf numFmtId="0" fontId="1" fillId="0" borderId="228" xfId="4" applyNumberFormat="1" applyFill="1" applyBorder="1" applyAlignment="1" applyProtection="1">
      <alignment vertical="center"/>
    </xf>
    <xf numFmtId="1" fontId="1" fillId="0" borderId="149" xfId="4" applyNumberFormat="1" applyFill="1" applyBorder="1" applyAlignment="1" applyProtection="1">
      <alignment vertical="center"/>
    </xf>
    <xf numFmtId="0" fontId="1" fillId="15" borderId="65" xfId="4" applyNumberFormat="1" applyFill="1" applyBorder="1" applyAlignment="1" applyProtection="1">
      <alignment vertical="center"/>
    </xf>
    <xf numFmtId="44" fontId="1" fillId="15" borderId="65" xfId="2" applyFill="1" applyBorder="1" applyAlignment="1" applyProtection="1">
      <alignment vertical="center"/>
    </xf>
    <xf numFmtId="9" fontId="1" fillId="15" borderId="65" xfId="4" applyFill="1" applyBorder="1" applyAlignment="1" applyProtection="1">
      <alignment horizontal="center" vertical="center"/>
    </xf>
    <xf numFmtId="44" fontId="1" fillId="15" borderId="62" xfId="2" applyFill="1" applyBorder="1" applyAlignment="1" applyProtection="1">
      <alignment vertical="center"/>
    </xf>
    <xf numFmtId="0" fontId="1" fillId="15" borderId="229" xfId="4" applyNumberFormat="1" applyFill="1" applyBorder="1" applyAlignment="1" applyProtection="1">
      <alignment vertical="center"/>
    </xf>
    <xf numFmtId="0" fontId="1" fillId="15" borderId="28" xfId="4" applyNumberFormat="1" applyFill="1" applyBorder="1" applyAlignment="1" applyProtection="1">
      <alignment vertical="center"/>
    </xf>
    <xf numFmtId="44" fontId="1" fillId="15" borderId="28" xfId="2" applyFill="1" applyBorder="1" applyAlignment="1" applyProtection="1">
      <alignment vertical="center"/>
    </xf>
    <xf numFmtId="9" fontId="1" fillId="15" borderId="28" xfId="4" applyFill="1" applyBorder="1" applyAlignment="1" applyProtection="1">
      <alignment horizontal="center" vertical="center"/>
    </xf>
    <xf numFmtId="44" fontId="1" fillId="15" borderId="29" xfId="2" applyFill="1" applyBorder="1" applyAlignment="1" applyProtection="1">
      <alignment vertical="center"/>
    </xf>
    <xf numFmtId="44" fontId="1" fillId="15" borderId="32" xfId="2" applyFill="1" applyBorder="1" applyAlignment="1" applyProtection="1">
      <alignment vertical="center"/>
    </xf>
    <xf numFmtId="0" fontId="14" fillId="0" borderId="0" xfId="0" applyFont="1" applyAlignment="1">
      <alignment horizontal="center" vertical="center"/>
    </xf>
    <xf numFmtId="1" fontId="0" fillId="11" borderId="0" xfId="0" applyNumberFormat="1" applyFill="1" applyAlignment="1">
      <alignment vertical="center"/>
    </xf>
    <xf numFmtId="0" fontId="20" fillId="0" borderId="231" xfId="0" applyFont="1" applyBorder="1" applyAlignment="1">
      <alignment vertical="center"/>
    </xf>
    <xf numFmtId="9" fontId="20" fillId="3" borderId="232" xfId="4" applyFont="1" applyFill="1" applyBorder="1" applyAlignment="1" applyProtection="1">
      <alignment horizontal="center" vertical="center"/>
      <protection locked="0"/>
    </xf>
    <xf numFmtId="9" fontId="20" fillId="0" borderId="233" xfId="4" applyFont="1" applyFill="1" applyBorder="1" applyAlignment="1" applyProtection="1">
      <alignment horizontal="center" vertical="center"/>
    </xf>
    <xf numFmtId="9" fontId="20" fillId="3" borderId="234" xfId="4" applyFont="1" applyFill="1" applyBorder="1" applyAlignment="1" applyProtection="1">
      <alignment horizontal="center" vertical="center"/>
      <protection locked="0"/>
    </xf>
    <xf numFmtId="9" fontId="20" fillId="0" borderId="235" xfId="4" applyFont="1" applyFill="1" applyBorder="1" applyAlignment="1" applyProtection="1">
      <alignment horizontal="center" vertical="center"/>
    </xf>
    <xf numFmtId="1" fontId="1" fillId="15" borderId="30" xfId="2" applyNumberFormat="1" applyFill="1" applyBorder="1" applyAlignment="1" applyProtection="1">
      <alignment horizontal="center" vertical="center"/>
    </xf>
    <xf numFmtId="1" fontId="25" fillId="0" borderId="69" xfId="4" applyNumberFormat="1" applyFont="1" applyFill="1" applyBorder="1" applyAlignment="1" applyProtection="1">
      <alignment horizontal="center" vertical="center"/>
    </xf>
    <xf numFmtId="1" fontId="25" fillId="0" borderId="72" xfId="4" applyNumberFormat="1" applyFont="1" applyFill="1" applyBorder="1" applyAlignment="1" applyProtection="1">
      <alignment horizontal="center" vertical="center"/>
    </xf>
    <xf numFmtId="1" fontId="25" fillId="0" borderId="74" xfId="4" applyNumberFormat="1" applyFont="1" applyFill="1" applyBorder="1" applyAlignment="1" applyProtection="1">
      <alignment horizontal="center" vertical="center"/>
    </xf>
    <xf numFmtId="1" fontId="25" fillId="0" borderId="76" xfId="4" applyNumberFormat="1" applyFont="1" applyFill="1" applyBorder="1" applyAlignment="1" applyProtection="1">
      <alignment horizontal="center" vertical="center"/>
    </xf>
    <xf numFmtId="0" fontId="20" fillId="0" borderId="153" xfId="0" applyFont="1" applyBorder="1" applyAlignment="1">
      <alignment horizontal="left" vertical="center"/>
    </xf>
    <xf numFmtId="0" fontId="20" fillId="0" borderId="154" xfId="0" applyFont="1" applyBorder="1" applyAlignment="1">
      <alignment horizontal="left" vertical="center"/>
    </xf>
    <xf numFmtId="0" fontId="20" fillId="0" borderId="155" xfId="0" applyFont="1" applyBorder="1" applyAlignment="1">
      <alignment horizontal="left" vertical="center"/>
    </xf>
    <xf numFmtId="0" fontId="20" fillId="0" borderId="167" xfId="0" applyFont="1" applyBorder="1" applyAlignment="1">
      <alignment horizontal="left" vertical="center"/>
    </xf>
    <xf numFmtId="0" fontId="20" fillId="0" borderId="89" xfId="0" applyFont="1" applyBorder="1" applyAlignment="1">
      <alignment horizontal="left" vertical="center"/>
    </xf>
    <xf numFmtId="0" fontId="20" fillId="0" borderId="172" xfId="0" applyFont="1" applyBorder="1" applyAlignment="1">
      <alignment horizontal="left" vertical="center"/>
    </xf>
    <xf numFmtId="1" fontId="20" fillId="3" borderId="159" xfId="2" applyNumberFormat="1" applyFont="1" applyFill="1" applyBorder="1" applyAlignment="1" applyProtection="1">
      <alignment horizontal="center" vertical="center"/>
      <protection locked="0"/>
    </xf>
    <xf numFmtId="1" fontId="20" fillId="15" borderId="150" xfId="0" applyNumberFormat="1" applyFont="1" applyFill="1" applyBorder="1" applyAlignment="1">
      <alignment horizontal="center" vertical="center"/>
    </xf>
    <xf numFmtId="165" fontId="20" fillId="15" borderId="88" xfId="0" applyNumberFormat="1" applyFont="1" applyFill="1" applyBorder="1" applyAlignment="1">
      <alignment horizontal="center" vertical="center"/>
    </xf>
    <xf numFmtId="9" fontId="1" fillId="0" borderId="105" xfId="4" applyFont="1" applyFill="1" applyBorder="1" applyAlignment="1" applyProtection="1">
      <alignment horizontal="center"/>
    </xf>
    <xf numFmtId="9" fontId="1" fillId="0" borderId="107" xfId="4" applyFont="1" applyFill="1" applyBorder="1" applyAlignment="1" applyProtection="1">
      <alignment horizontal="center"/>
    </xf>
    <xf numFmtId="9" fontId="1" fillId="0" borderId="127" xfId="4" applyFont="1" applyFill="1" applyBorder="1" applyAlignment="1" applyProtection="1">
      <alignment horizontal="center"/>
    </xf>
    <xf numFmtId="9" fontId="1" fillId="0" borderId="241" xfId="4" applyFont="1" applyFill="1" applyBorder="1" applyAlignment="1" applyProtection="1">
      <alignment horizontal="center"/>
    </xf>
    <xf numFmtId="0" fontId="1" fillId="9" borderId="0" xfId="0" applyFont="1" applyFill="1"/>
    <xf numFmtId="1" fontId="20" fillId="0" borderId="242" xfId="0" applyNumberFormat="1" applyFont="1" applyBorder="1" applyAlignment="1">
      <alignment horizontal="center" vertical="center"/>
    </xf>
    <xf numFmtId="1" fontId="20" fillId="0" borderId="243" xfId="0" applyNumberFormat="1" applyFont="1" applyBorder="1" applyAlignment="1">
      <alignment horizontal="center" vertical="center"/>
    </xf>
    <xf numFmtId="1" fontId="20" fillId="0" borderId="244" xfId="0" applyNumberFormat="1" applyFont="1" applyBorder="1" applyAlignment="1">
      <alignment horizontal="center" vertical="center"/>
    </xf>
    <xf numFmtId="1" fontId="20" fillId="0" borderId="245" xfId="0" applyNumberFormat="1" applyFont="1" applyBorder="1" applyAlignment="1">
      <alignment horizontal="center" vertical="center"/>
    </xf>
    <xf numFmtId="1" fontId="20" fillId="0" borderId="97" xfId="0" applyNumberFormat="1" applyFont="1" applyBorder="1" applyAlignment="1">
      <alignment horizontal="center" vertical="center"/>
    </xf>
    <xf numFmtId="1" fontId="20" fillId="0" borderId="246" xfId="0" applyNumberFormat="1" applyFont="1" applyBorder="1" applyAlignment="1">
      <alignment horizontal="center" vertical="center"/>
    </xf>
    <xf numFmtId="1" fontId="20" fillId="0" borderId="247" xfId="0" applyNumberFormat="1" applyFont="1" applyBorder="1" applyAlignment="1">
      <alignment horizontal="center" vertical="center"/>
    </xf>
    <xf numFmtId="1" fontId="20" fillId="0" borderId="248" xfId="0" applyNumberFormat="1" applyFont="1" applyBorder="1" applyAlignment="1">
      <alignment horizontal="center" vertical="center"/>
    </xf>
    <xf numFmtId="1" fontId="20" fillId="15" borderId="243" xfId="0" applyNumberFormat="1" applyFont="1" applyFill="1" applyBorder="1" applyAlignment="1">
      <alignment horizontal="center" vertical="center"/>
    </xf>
    <xf numFmtId="1" fontId="20" fillId="15" borderId="246" xfId="0" applyNumberFormat="1" applyFont="1" applyFill="1" applyBorder="1" applyAlignment="1">
      <alignment horizontal="center" vertical="center"/>
    </xf>
    <xf numFmtId="1" fontId="20" fillId="15" borderId="249" xfId="0" applyNumberFormat="1" applyFont="1" applyFill="1" applyBorder="1" applyAlignment="1">
      <alignment horizontal="center" vertical="center"/>
    </xf>
    <xf numFmtId="1" fontId="20" fillId="15" borderId="242" xfId="0" applyNumberFormat="1" applyFont="1" applyFill="1" applyBorder="1" applyAlignment="1">
      <alignment horizontal="center" vertical="center"/>
    </xf>
    <xf numFmtId="1" fontId="20" fillId="15" borderId="248" xfId="0" applyNumberFormat="1" applyFont="1" applyFill="1" applyBorder="1" applyAlignment="1">
      <alignment horizontal="center" vertical="center"/>
    </xf>
    <xf numFmtId="1" fontId="20" fillId="15" borderId="245" xfId="0" applyNumberFormat="1" applyFont="1" applyFill="1" applyBorder="1" applyAlignment="1">
      <alignment horizontal="center" vertical="center"/>
    </xf>
    <xf numFmtId="1" fontId="20" fillId="15" borderId="97" xfId="0" applyNumberFormat="1" applyFont="1" applyFill="1" applyBorder="1" applyAlignment="1">
      <alignment horizontal="center" vertical="center"/>
    </xf>
    <xf numFmtId="1" fontId="20" fillId="3" borderId="243" xfId="0" applyNumberFormat="1" applyFont="1" applyFill="1" applyBorder="1" applyAlignment="1" applyProtection="1">
      <alignment horizontal="center" vertical="center"/>
      <protection locked="0"/>
    </xf>
    <xf numFmtId="1" fontId="20" fillId="3" borderId="244" xfId="0" applyNumberFormat="1" applyFont="1" applyFill="1" applyBorder="1" applyAlignment="1" applyProtection="1">
      <alignment horizontal="center" vertical="center"/>
      <protection locked="0"/>
    </xf>
    <xf numFmtId="1" fontId="20" fillId="3" borderId="97" xfId="0" applyNumberFormat="1" applyFont="1" applyFill="1" applyBorder="1" applyAlignment="1" applyProtection="1">
      <alignment horizontal="center" vertical="center"/>
      <protection locked="0"/>
    </xf>
    <xf numFmtId="1" fontId="20" fillId="3" borderId="247" xfId="0" applyNumberFormat="1" applyFont="1" applyFill="1" applyBorder="1" applyAlignment="1" applyProtection="1">
      <alignment horizontal="center" vertical="center"/>
      <protection locked="0"/>
    </xf>
    <xf numFmtId="1" fontId="20" fillId="3" borderId="248" xfId="0" applyNumberFormat="1" applyFont="1" applyFill="1" applyBorder="1" applyAlignment="1" applyProtection="1">
      <alignment horizontal="center" vertical="center"/>
      <protection locked="0"/>
    </xf>
    <xf numFmtId="1" fontId="20" fillId="3" borderId="245" xfId="0" applyNumberFormat="1" applyFont="1" applyFill="1" applyBorder="1" applyAlignment="1" applyProtection="1">
      <alignment horizontal="center" vertical="center"/>
      <protection locked="0"/>
    </xf>
    <xf numFmtId="0" fontId="1" fillId="14" borderId="1" xfId="3" applyFill="1" applyBorder="1" applyAlignment="1">
      <alignment vertical="center"/>
    </xf>
    <xf numFmtId="44" fontId="24" fillId="16" borderId="251" xfId="2" applyFont="1" applyFill="1" applyBorder="1" applyAlignment="1" applyProtection="1">
      <alignment vertical="center"/>
    </xf>
    <xf numFmtId="0" fontId="4" fillId="16" borderId="252" xfId="3" applyFont="1" applyFill="1" applyBorder="1" applyAlignment="1">
      <alignment vertical="center"/>
    </xf>
    <xf numFmtId="164" fontId="1" fillId="16" borderId="31" xfId="1" applyNumberFormat="1" applyFill="1" applyBorder="1" applyAlignment="1" applyProtection="1">
      <alignment vertical="center"/>
    </xf>
    <xf numFmtId="0" fontId="1" fillId="0" borderId="254" xfId="3" applyBorder="1" applyAlignment="1">
      <alignment horizontal="right" vertical="center"/>
    </xf>
    <xf numFmtId="0" fontId="1" fillId="0" borderId="226" xfId="3" applyBorder="1" applyAlignment="1">
      <alignment horizontal="right" vertical="center"/>
    </xf>
    <xf numFmtId="0" fontId="1" fillId="0" borderId="143" xfId="3" applyBorder="1" applyAlignment="1">
      <alignment horizontal="right" vertical="center"/>
    </xf>
    <xf numFmtId="44" fontId="1" fillId="0" borderId="134" xfId="2" applyFont="1" applyFill="1" applyBorder="1" applyAlignment="1" applyProtection="1">
      <alignment vertical="center"/>
    </xf>
    <xf numFmtId="49" fontId="20" fillId="0" borderId="112" xfId="0" applyNumberFormat="1" applyFont="1" applyBorder="1" applyAlignment="1">
      <alignment horizontal="right"/>
    </xf>
    <xf numFmtId="49" fontId="20" fillId="0" borderId="240" xfId="0" applyNumberFormat="1" applyFont="1" applyBorder="1" applyAlignment="1">
      <alignment horizontal="right"/>
    </xf>
    <xf numFmtId="1" fontId="20" fillId="15" borderId="52" xfId="0" applyNumberFormat="1" applyFont="1" applyFill="1" applyBorder="1" applyAlignment="1">
      <alignment horizontal="center" vertical="center"/>
    </xf>
    <xf numFmtId="1" fontId="20" fillId="3" borderId="52" xfId="0" applyNumberFormat="1" applyFont="1" applyFill="1" applyBorder="1" applyAlignment="1" applyProtection="1">
      <alignment horizontal="center" vertical="center"/>
      <protection locked="0"/>
    </xf>
    <xf numFmtId="1" fontId="20" fillId="15" borderId="53" xfId="0" applyNumberFormat="1" applyFont="1" applyFill="1" applyBorder="1" applyAlignment="1">
      <alignment horizontal="center" vertical="center"/>
    </xf>
    <xf numFmtId="1" fontId="20" fillId="15" borderId="255" xfId="0" applyNumberFormat="1" applyFont="1" applyFill="1" applyBorder="1" applyAlignment="1">
      <alignment horizontal="center" vertical="center"/>
    </xf>
    <xf numFmtId="1" fontId="20" fillId="3" borderId="256" xfId="0" applyNumberFormat="1" applyFont="1" applyFill="1" applyBorder="1" applyAlignment="1" applyProtection="1">
      <alignment horizontal="center" vertical="center"/>
      <protection locked="0"/>
    </xf>
    <xf numFmtId="1" fontId="20" fillId="15" borderId="257" xfId="0" applyNumberFormat="1" applyFont="1" applyFill="1" applyBorder="1" applyAlignment="1">
      <alignment horizontal="center" vertical="center"/>
    </xf>
    <xf numFmtId="1" fontId="20" fillId="15" borderId="256" xfId="0" applyNumberFormat="1" applyFont="1" applyFill="1" applyBorder="1" applyAlignment="1">
      <alignment horizontal="center" vertical="center"/>
    </xf>
    <xf numFmtId="1" fontId="20" fillId="3" borderId="258" xfId="0" applyNumberFormat="1" applyFont="1" applyFill="1" applyBorder="1" applyAlignment="1" applyProtection="1">
      <alignment horizontal="center" vertical="center"/>
      <protection locked="0"/>
    </xf>
    <xf numFmtId="1" fontId="20" fillId="15" borderId="259" xfId="0" applyNumberFormat="1" applyFont="1" applyFill="1" applyBorder="1" applyAlignment="1">
      <alignment horizontal="center" vertical="center"/>
    </xf>
    <xf numFmtId="1" fontId="20" fillId="15" borderId="260" xfId="0" applyNumberFormat="1" applyFont="1" applyFill="1" applyBorder="1" applyAlignment="1">
      <alignment horizontal="center" vertical="center"/>
    </xf>
    <xf numFmtId="1" fontId="20" fillId="15" borderId="261" xfId="0" applyNumberFormat="1" applyFont="1" applyFill="1" applyBorder="1" applyAlignment="1">
      <alignment horizontal="center" vertical="center"/>
    </xf>
    <xf numFmtId="1" fontId="20" fillId="15" borderId="262" xfId="0" applyNumberFormat="1" applyFont="1" applyFill="1" applyBorder="1" applyAlignment="1">
      <alignment horizontal="center" vertical="center"/>
    </xf>
    <xf numFmtId="1" fontId="20" fillId="15" borderId="263" xfId="0" applyNumberFormat="1" applyFont="1" applyFill="1" applyBorder="1" applyAlignment="1">
      <alignment horizontal="center" vertical="center"/>
    </xf>
    <xf numFmtId="1" fontId="20" fillId="0" borderId="258" xfId="0" applyNumberFormat="1" applyFont="1" applyBorder="1" applyAlignment="1">
      <alignment horizontal="center" vertical="center"/>
    </xf>
    <xf numFmtId="1" fontId="20" fillId="0" borderId="52" xfId="0" applyNumberFormat="1" applyFont="1" applyBorder="1" applyAlignment="1">
      <alignment horizontal="center" vertical="center"/>
    </xf>
    <xf numFmtId="1" fontId="20" fillId="0" borderId="256" xfId="0" applyNumberFormat="1" applyFont="1" applyBorder="1" applyAlignment="1">
      <alignment horizontal="center" vertical="center"/>
    </xf>
    <xf numFmtId="1" fontId="20" fillId="0" borderId="265" xfId="0" applyNumberFormat="1" applyFont="1" applyBorder="1" applyAlignment="1">
      <alignment horizontal="center" vertical="center"/>
    </xf>
    <xf numFmtId="1" fontId="20" fillId="0" borderId="266" xfId="0" applyNumberFormat="1" applyFont="1" applyBorder="1" applyAlignment="1">
      <alignment horizontal="center" vertical="center"/>
    </xf>
    <xf numFmtId="0" fontId="20" fillId="0" borderId="268" xfId="0" applyFont="1" applyBorder="1" applyAlignment="1">
      <alignment horizontal="left" vertical="center"/>
    </xf>
    <xf numFmtId="0" fontId="20" fillId="0" borderId="269" xfId="0" applyFont="1" applyBorder="1" applyAlignment="1">
      <alignment horizontal="left" vertical="center"/>
    </xf>
    <xf numFmtId="9" fontId="20" fillId="3" borderId="168" xfId="4" applyFont="1" applyFill="1" applyBorder="1" applyAlignment="1" applyProtection="1">
      <alignment horizontal="center" vertical="center"/>
      <protection locked="0"/>
    </xf>
    <xf numFmtId="9" fontId="20" fillId="3" borderId="100" xfId="4" applyFont="1" applyFill="1" applyBorder="1" applyAlignment="1" applyProtection="1">
      <alignment horizontal="center" vertical="center"/>
      <protection locked="0"/>
    </xf>
    <xf numFmtId="9" fontId="1" fillId="3" borderId="38" xfId="4" applyFont="1" applyFill="1" applyBorder="1" applyAlignment="1" applyProtection="1">
      <alignment horizontal="center" vertical="center"/>
      <protection locked="0"/>
    </xf>
    <xf numFmtId="0" fontId="33" fillId="0" borderId="0" xfId="0" applyFont="1" applyAlignment="1">
      <alignment horizontal="center" vertical="center"/>
    </xf>
    <xf numFmtId="0" fontId="20" fillId="0" borderId="279" xfId="0" applyFont="1" applyBorder="1" applyAlignment="1">
      <alignment vertical="center"/>
    </xf>
    <xf numFmtId="165" fontId="20" fillId="15" borderId="111" xfId="2" applyNumberFormat="1" applyFont="1" applyFill="1" applyBorder="1" applyAlignment="1" applyProtection="1">
      <alignment horizontal="center" vertical="center"/>
    </xf>
    <xf numFmtId="44" fontId="20" fillId="0" borderId="280" xfId="2" applyFont="1" applyFill="1" applyBorder="1" applyAlignment="1" applyProtection="1">
      <alignment horizontal="center" vertical="center"/>
    </xf>
    <xf numFmtId="44" fontId="20" fillId="0" borderId="281" xfId="2" applyFont="1" applyFill="1" applyBorder="1" applyAlignment="1" applyProtection="1">
      <alignment horizontal="center" vertical="center"/>
    </xf>
    <xf numFmtId="1" fontId="20" fillId="15" borderId="282" xfId="0" applyNumberFormat="1" applyFont="1" applyFill="1" applyBorder="1" applyAlignment="1">
      <alignment horizontal="center" vertical="center"/>
    </xf>
    <xf numFmtId="1" fontId="20" fillId="15" borderId="283" xfId="0" applyNumberFormat="1" applyFont="1" applyFill="1" applyBorder="1" applyAlignment="1">
      <alignment horizontal="center" vertical="center"/>
    </xf>
    <xf numFmtId="1" fontId="20" fillId="3" borderId="285" xfId="0" applyNumberFormat="1" applyFont="1" applyFill="1" applyBorder="1" applyAlignment="1" applyProtection="1">
      <alignment horizontal="center" vertical="center"/>
      <protection locked="0"/>
    </xf>
    <xf numFmtId="165" fontId="20" fillId="15" borderId="111" xfId="0" applyNumberFormat="1" applyFont="1" applyFill="1" applyBorder="1" applyAlignment="1">
      <alignment horizontal="center" vertical="center"/>
    </xf>
    <xf numFmtId="0" fontId="20" fillId="0" borderId="286" xfId="0" applyFont="1" applyBorder="1" applyAlignment="1">
      <alignment horizontal="left" vertical="center"/>
    </xf>
    <xf numFmtId="44" fontId="20" fillId="0" borderId="287" xfId="2" applyFont="1" applyFill="1" applyBorder="1" applyAlignment="1" applyProtection="1">
      <alignment horizontal="center" vertical="center"/>
    </xf>
    <xf numFmtId="1" fontId="20" fillId="0" borderId="285" xfId="0" applyNumberFormat="1" applyFont="1" applyBorder="1" applyAlignment="1">
      <alignment horizontal="center" vertical="center"/>
    </xf>
    <xf numFmtId="1" fontId="20" fillId="0" borderId="289" xfId="0" applyNumberFormat="1" applyFont="1" applyBorder="1" applyAlignment="1">
      <alignment horizontal="center" vertical="center"/>
    </xf>
    <xf numFmtId="167" fontId="20" fillId="0" borderId="53" xfId="0" applyNumberFormat="1" applyFont="1" applyBorder="1" applyAlignment="1">
      <alignment horizontal="center"/>
    </xf>
    <xf numFmtId="0" fontId="0" fillId="10" borderId="0" xfId="0" applyFill="1" applyAlignment="1">
      <alignment horizontal="center"/>
    </xf>
    <xf numFmtId="0" fontId="36" fillId="0" borderId="0" xfId="0" applyFont="1" applyAlignment="1">
      <alignment horizontal="center" vertical="center"/>
    </xf>
    <xf numFmtId="0" fontId="36" fillId="0" borderId="0" xfId="0" applyFont="1"/>
    <xf numFmtId="0" fontId="36" fillId="0" borderId="0" xfId="0" applyFont="1" applyAlignment="1">
      <alignment horizontal="center"/>
    </xf>
    <xf numFmtId="0" fontId="37" fillId="0" borderId="8" xfId="0" applyFont="1" applyBorder="1" applyAlignment="1">
      <alignment horizontal="center"/>
    </xf>
    <xf numFmtId="0" fontId="37" fillId="0" borderId="30" xfId="0" applyFont="1" applyBorder="1" applyAlignment="1">
      <alignment horizontal="center"/>
    </xf>
    <xf numFmtId="44" fontId="36" fillId="13" borderId="273" xfId="2" applyFont="1" applyFill="1" applyBorder="1" applyAlignment="1">
      <alignment horizontal="left"/>
    </xf>
    <xf numFmtId="0" fontId="36" fillId="0" borderId="30" xfId="0" applyFont="1" applyBorder="1" applyAlignment="1">
      <alignment horizontal="center"/>
    </xf>
    <xf numFmtId="0" fontId="36" fillId="0" borderId="31" xfId="0" applyFont="1" applyBorder="1" applyAlignment="1">
      <alignment horizontal="center"/>
    </xf>
    <xf numFmtId="0" fontId="36" fillId="0" borderId="32" xfId="0" applyFont="1" applyBorder="1" applyAlignment="1">
      <alignment horizontal="center"/>
    </xf>
    <xf numFmtId="0" fontId="36" fillId="0" borderId="37" xfId="0" applyFont="1" applyBorder="1" applyAlignment="1">
      <alignment vertical="center"/>
    </xf>
    <xf numFmtId="0" fontId="36" fillId="0" borderId="15" xfId="0" applyFont="1" applyBorder="1" applyAlignment="1">
      <alignment vertical="center"/>
    </xf>
    <xf numFmtId="0" fontId="36" fillId="13" borderId="290" xfId="0" applyFont="1" applyFill="1" applyBorder="1" applyAlignment="1">
      <alignment horizontal="left"/>
    </xf>
    <xf numFmtId="0" fontId="36" fillId="13" borderId="97" xfId="4" applyNumberFormat="1" applyFont="1" applyFill="1" applyBorder="1" applyAlignment="1">
      <alignment horizontal="left"/>
    </xf>
    <xf numFmtId="44" fontId="36" fillId="13" borderId="97" xfId="2" applyFont="1" applyFill="1" applyBorder="1" applyAlignment="1">
      <alignment horizontal="left"/>
    </xf>
    <xf numFmtId="0" fontId="36" fillId="13" borderId="97" xfId="4" applyNumberFormat="1" applyFont="1" applyFill="1" applyBorder="1" applyAlignment="1">
      <alignment horizontal="center"/>
    </xf>
    <xf numFmtId="9" fontId="36" fillId="13" borderId="97" xfId="4" applyFont="1" applyFill="1" applyBorder="1" applyAlignment="1">
      <alignment horizontal="center"/>
    </xf>
    <xf numFmtId="9" fontId="36" fillId="13" borderId="275" xfId="4" applyFont="1" applyFill="1" applyBorder="1" applyAlignment="1">
      <alignment horizontal="center"/>
    </xf>
    <xf numFmtId="9" fontId="36" fillId="0" borderId="0" xfId="0" applyNumberFormat="1" applyFont="1"/>
    <xf numFmtId="0" fontId="36" fillId="0" borderId="3" xfId="0" applyFont="1" applyBorder="1" applyAlignment="1">
      <alignment horizontal="center"/>
    </xf>
    <xf numFmtId="0" fontId="36" fillId="0" borderId="4" xfId="0" applyFont="1" applyBorder="1" applyAlignment="1">
      <alignment horizontal="center"/>
    </xf>
    <xf numFmtId="0" fontId="36" fillId="0" borderId="24" xfId="0" applyFont="1" applyBorder="1" applyAlignment="1">
      <alignment horizontal="center"/>
    </xf>
    <xf numFmtId="0" fontId="36" fillId="13" borderId="97" xfId="0" applyFont="1" applyFill="1" applyBorder="1" applyAlignment="1">
      <alignment horizontal="center"/>
    </xf>
    <xf numFmtId="0" fontId="36" fillId="0" borderId="38" xfId="0" applyFont="1" applyBorder="1" applyAlignment="1">
      <alignment vertical="center"/>
    </xf>
    <xf numFmtId="0" fontId="36" fillId="0" borderId="0" xfId="0" applyFont="1" applyAlignment="1">
      <alignment vertical="center"/>
    </xf>
    <xf numFmtId="0" fontId="36" fillId="13" borderId="97" xfId="0" applyFont="1" applyFill="1" applyBorder="1" applyAlignment="1">
      <alignment horizontal="left"/>
    </xf>
    <xf numFmtId="0" fontId="36" fillId="13" borderId="275" xfId="0" applyFont="1" applyFill="1" applyBorder="1" applyAlignment="1">
      <alignment horizontal="center"/>
    </xf>
    <xf numFmtId="0" fontId="36" fillId="0" borderId="2" xfId="0" applyFont="1" applyBorder="1" applyAlignment="1">
      <alignment horizontal="center" vertical="center"/>
    </xf>
    <xf numFmtId="0" fontId="36" fillId="0" borderId="3" xfId="0" applyFont="1" applyBorder="1" applyAlignment="1">
      <alignment horizontal="center" vertical="center"/>
    </xf>
    <xf numFmtId="0" fontId="36" fillId="13" borderId="293" xfId="0" applyFont="1" applyFill="1" applyBorder="1" applyAlignment="1">
      <alignment horizontal="left"/>
    </xf>
    <xf numFmtId="0" fontId="36" fillId="13" borderId="276" xfId="4" applyNumberFormat="1" applyFont="1" applyFill="1" applyBorder="1" applyAlignment="1">
      <alignment horizontal="left"/>
    </xf>
    <xf numFmtId="44" fontId="36" fillId="13" borderId="277" xfId="2" applyFont="1" applyFill="1" applyBorder="1" applyAlignment="1">
      <alignment horizontal="left"/>
    </xf>
    <xf numFmtId="9" fontId="36" fillId="13" borderId="276" xfId="4" applyFont="1" applyFill="1" applyBorder="1" applyAlignment="1">
      <alignment horizontal="center"/>
    </xf>
    <xf numFmtId="9" fontId="36" fillId="13" borderId="278" xfId="4" applyFont="1" applyFill="1" applyBorder="1" applyAlignment="1">
      <alignment horizontal="center"/>
    </xf>
    <xf numFmtId="0" fontId="36" fillId="0" borderId="30" xfId="0" applyFont="1" applyBorder="1" applyAlignment="1">
      <alignment horizontal="center" vertical="center"/>
    </xf>
    <xf numFmtId="0" fontId="36" fillId="0" borderId="0" xfId="0" applyFont="1" applyAlignment="1">
      <alignment horizontal="left"/>
    </xf>
    <xf numFmtId="0" fontId="36" fillId="0" borderId="0" xfId="4" applyNumberFormat="1" applyFont="1" applyFill="1" applyBorder="1" applyAlignment="1">
      <alignment horizontal="left"/>
    </xf>
    <xf numFmtId="44" fontId="36" fillId="0" borderId="0" xfId="2" applyFont="1" applyFill="1" applyBorder="1" applyAlignment="1">
      <alignment horizontal="left"/>
    </xf>
    <xf numFmtId="44" fontId="36" fillId="13" borderId="271" xfId="2" applyFont="1" applyFill="1" applyBorder="1" applyAlignment="1">
      <alignment horizontal="left"/>
    </xf>
    <xf numFmtId="44" fontId="20" fillId="0" borderId="296" xfId="2" applyFont="1" applyFill="1" applyBorder="1" applyAlignment="1" applyProtection="1">
      <alignment horizontal="center" vertical="center"/>
    </xf>
    <xf numFmtId="1" fontId="20" fillId="3" borderId="246" xfId="0" applyNumberFormat="1" applyFont="1" applyFill="1" applyBorder="1" applyAlignment="1" applyProtection="1">
      <alignment horizontal="center" vertical="center"/>
      <protection locked="0"/>
    </xf>
    <xf numFmtId="1" fontId="20" fillId="15" borderId="93" xfId="0" applyNumberFormat="1" applyFont="1" applyFill="1" applyBorder="1" applyAlignment="1">
      <alignment horizontal="center" vertical="center"/>
    </xf>
    <xf numFmtId="1" fontId="20" fillId="3" borderId="264" xfId="0" applyNumberFormat="1" applyFont="1" applyFill="1" applyBorder="1" applyAlignment="1" applyProtection="1">
      <alignment horizontal="center" vertical="center"/>
      <protection locked="0"/>
    </xf>
    <xf numFmtId="1" fontId="20" fillId="3" borderId="297" xfId="0" applyNumberFormat="1" applyFont="1" applyFill="1" applyBorder="1" applyAlignment="1" applyProtection="1">
      <alignment horizontal="center" vertical="center"/>
      <protection locked="0"/>
    </xf>
    <xf numFmtId="1" fontId="20" fillId="3" borderId="249" xfId="0" applyNumberFormat="1" applyFont="1" applyFill="1" applyBorder="1" applyAlignment="1" applyProtection="1">
      <alignment horizontal="center" vertical="center"/>
      <protection locked="0"/>
    </xf>
    <xf numFmtId="1" fontId="20" fillId="0" borderId="271" xfId="0" applyNumberFormat="1" applyFont="1" applyBorder="1" applyAlignment="1">
      <alignment horizontal="center" vertical="center"/>
    </xf>
    <xf numFmtId="1" fontId="20" fillId="0" borderId="301" xfId="0" applyNumberFormat="1" applyFont="1" applyBorder="1" applyAlignment="1">
      <alignment horizontal="center" vertical="center"/>
    </xf>
    <xf numFmtId="1" fontId="20" fillId="15" borderId="285" xfId="0" applyNumberFormat="1" applyFont="1" applyFill="1" applyBorder="1" applyAlignment="1">
      <alignment horizontal="center" vertical="center"/>
    </xf>
    <xf numFmtId="1" fontId="20" fillId="0" borderId="303" xfId="0" applyNumberFormat="1" applyFont="1" applyBorder="1" applyAlignment="1">
      <alignment horizontal="center" vertical="center"/>
    </xf>
    <xf numFmtId="44" fontId="20" fillId="0" borderId="180" xfId="2" applyFont="1" applyFill="1" applyBorder="1" applyAlignment="1" applyProtection="1">
      <alignment horizontal="center" vertical="center"/>
    </xf>
    <xf numFmtId="0" fontId="20" fillId="0" borderId="305" xfId="0" applyFont="1" applyBorder="1" applyAlignment="1">
      <alignment vertical="center"/>
    </xf>
    <xf numFmtId="44" fontId="20" fillId="0" borderId="306" xfId="2" applyFont="1" applyFill="1" applyBorder="1" applyAlignment="1" applyProtection="1">
      <alignment horizontal="center" vertical="center"/>
    </xf>
    <xf numFmtId="9" fontId="20" fillId="3" borderId="306" xfId="4" applyFont="1" applyFill="1" applyBorder="1" applyAlignment="1" applyProtection="1">
      <alignment horizontal="center" vertical="center"/>
      <protection locked="0"/>
    </xf>
    <xf numFmtId="9" fontId="20" fillId="0" borderId="306" xfId="4" applyFont="1" applyFill="1" applyBorder="1" applyAlignment="1" applyProtection="1">
      <alignment horizontal="center" vertical="center"/>
    </xf>
    <xf numFmtId="165" fontId="20" fillId="0" borderId="306" xfId="2" applyNumberFormat="1" applyFont="1" applyFill="1" applyBorder="1" applyAlignment="1" applyProtection="1">
      <alignment horizontal="center" vertical="center"/>
    </xf>
    <xf numFmtId="1" fontId="20" fillId="3" borderId="307" xfId="0" applyNumberFormat="1" applyFont="1" applyFill="1" applyBorder="1" applyAlignment="1" applyProtection="1">
      <alignment horizontal="center" vertical="center"/>
      <protection locked="0"/>
    </xf>
    <xf numFmtId="0" fontId="20" fillId="0" borderId="308" xfId="0" applyFont="1" applyBorder="1" applyAlignment="1">
      <alignment vertical="center"/>
    </xf>
    <xf numFmtId="44" fontId="20" fillId="0" borderId="309" xfId="2" applyFont="1" applyFill="1" applyBorder="1" applyAlignment="1" applyProtection="1">
      <alignment horizontal="center" vertical="center"/>
    </xf>
    <xf numFmtId="9" fontId="20" fillId="3" borderId="309" xfId="4" applyFont="1" applyFill="1" applyBorder="1" applyAlignment="1" applyProtection="1">
      <alignment horizontal="center" vertical="center"/>
      <protection locked="0"/>
    </xf>
    <xf numFmtId="9" fontId="20" fillId="0" borderId="309" xfId="4" applyFont="1" applyFill="1" applyBorder="1" applyAlignment="1" applyProtection="1">
      <alignment horizontal="center" vertical="center"/>
    </xf>
    <xf numFmtId="165" fontId="20" fillId="0" borderId="309" xfId="2" applyNumberFormat="1" applyFont="1" applyFill="1" applyBorder="1" applyAlignment="1" applyProtection="1">
      <alignment horizontal="center" vertical="center"/>
    </xf>
    <xf numFmtId="1" fontId="20" fillId="3" borderId="310" xfId="0" applyNumberFormat="1" applyFont="1" applyFill="1" applyBorder="1" applyAlignment="1" applyProtection="1">
      <alignment horizontal="center" vertical="center"/>
      <protection locked="0"/>
    </xf>
    <xf numFmtId="0" fontId="20" fillId="0" borderId="311" xfId="0" applyFont="1" applyBorder="1" applyAlignment="1">
      <alignment vertical="center"/>
    </xf>
    <xf numFmtId="44" fontId="20" fillId="0" borderId="312" xfId="2" applyFont="1" applyFill="1" applyBorder="1" applyAlignment="1" applyProtection="1">
      <alignment horizontal="center" vertical="center"/>
    </xf>
    <xf numFmtId="1" fontId="20" fillId="3" borderId="313" xfId="2" applyNumberFormat="1" applyFont="1" applyFill="1" applyBorder="1" applyAlignment="1" applyProtection="1">
      <alignment horizontal="center" vertical="center"/>
      <protection locked="0"/>
    </xf>
    <xf numFmtId="1" fontId="20" fillId="3" borderId="314" xfId="2" applyNumberFormat="1" applyFont="1" applyFill="1" applyBorder="1" applyAlignment="1" applyProtection="1">
      <alignment horizontal="center" vertical="center"/>
      <protection locked="0"/>
    </xf>
    <xf numFmtId="0" fontId="20" fillId="0" borderId="315" xfId="0" applyFont="1" applyBorder="1" applyAlignment="1">
      <alignment vertical="center"/>
    </xf>
    <xf numFmtId="9" fontId="20" fillId="3" borderId="312" xfId="4" applyFont="1" applyFill="1" applyBorder="1" applyAlignment="1" applyProtection="1">
      <alignment horizontal="center" vertical="center"/>
      <protection locked="0"/>
    </xf>
    <xf numFmtId="9" fontId="20" fillId="0" borderId="312" xfId="4" applyFont="1" applyFill="1" applyBorder="1" applyAlignment="1" applyProtection="1">
      <alignment horizontal="center" vertical="center"/>
    </xf>
    <xf numFmtId="165" fontId="20" fillId="0" borderId="312" xfId="2" applyNumberFormat="1" applyFont="1" applyFill="1" applyBorder="1" applyAlignment="1" applyProtection="1">
      <alignment horizontal="center" vertical="center"/>
    </xf>
    <xf numFmtId="1" fontId="20" fillId="3" borderId="307" xfId="2" applyNumberFormat="1" applyFont="1" applyFill="1" applyBorder="1" applyAlignment="1" applyProtection="1">
      <alignment horizontal="center" vertical="center"/>
      <protection locked="0"/>
    </xf>
    <xf numFmtId="1" fontId="20" fillId="3" borderId="310" xfId="2" applyNumberFormat="1" applyFont="1" applyFill="1" applyBorder="1" applyAlignment="1" applyProtection="1">
      <alignment horizontal="center" vertical="center"/>
      <protection locked="0"/>
    </xf>
    <xf numFmtId="1" fontId="20" fillId="3" borderId="316" xfId="2" applyNumberFormat="1" applyFont="1" applyFill="1" applyBorder="1" applyAlignment="1" applyProtection="1">
      <alignment horizontal="center" vertical="center"/>
      <protection locked="0"/>
    </xf>
    <xf numFmtId="165" fontId="20" fillId="0" borderId="317" xfId="2" applyNumberFormat="1" applyFont="1" applyFill="1" applyBorder="1" applyAlignment="1" applyProtection="1">
      <alignment horizontal="center" vertical="center"/>
    </xf>
    <xf numFmtId="165" fontId="20" fillId="0" borderId="318" xfId="2" applyNumberFormat="1" applyFont="1" applyFill="1" applyBorder="1" applyAlignment="1" applyProtection="1">
      <alignment horizontal="center" vertical="center"/>
    </xf>
    <xf numFmtId="165" fontId="20" fillId="0" borderId="319" xfId="2" applyNumberFormat="1" applyFont="1" applyFill="1" applyBorder="1" applyAlignment="1" applyProtection="1">
      <alignment horizontal="center" vertical="center"/>
    </xf>
    <xf numFmtId="1" fontId="20" fillId="0" borderId="313" xfId="0" applyNumberFormat="1" applyFont="1" applyBorder="1" applyAlignment="1">
      <alignment horizontal="center" vertical="center"/>
    </xf>
    <xf numFmtId="1" fontId="20" fillId="0" borderId="314" xfId="0" applyNumberFormat="1" applyFont="1" applyBorder="1" applyAlignment="1">
      <alignment horizontal="center" vertical="center"/>
    </xf>
    <xf numFmtId="44" fontId="20" fillId="0" borderId="320" xfId="2" applyFont="1" applyFill="1" applyBorder="1" applyAlignment="1" applyProtection="1">
      <alignment horizontal="center" vertical="center"/>
    </xf>
    <xf numFmtId="1" fontId="20" fillId="15" borderId="324" xfId="0" applyNumberFormat="1" applyFont="1" applyFill="1" applyBorder="1" applyAlignment="1">
      <alignment horizontal="center" vertical="center"/>
    </xf>
    <xf numFmtId="1" fontId="20" fillId="15" borderId="325" xfId="0" applyNumberFormat="1" applyFont="1" applyFill="1" applyBorder="1" applyAlignment="1">
      <alignment horizontal="center" vertical="center"/>
    </xf>
    <xf numFmtId="1" fontId="20" fillId="3" borderId="299" xfId="0" applyNumberFormat="1" applyFont="1" applyFill="1" applyBorder="1" applyAlignment="1" applyProtection="1">
      <alignment horizontal="center" vertical="center"/>
      <protection locked="0"/>
    </xf>
    <xf numFmtId="1" fontId="20" fillId="0" borderId="321" xfId="0" applyNumberFormat="1" applyFont="1" applyBorder="1" applyAlignment="1">
      <alignment horizontal="center" vertical="center"/>
    </xf>
    <xf numFmtId="1" fontId="20" fillId="0" borderId="322" xfId="0" applyNumberFormat="1" applyFont="1" applyBorder="1" applyAlignment="1">
      <alignment horizontal="center" vertical="center"/>
    </xf>
    <xf numFmtId="1" fontId="20" fillId="0" borderId="323" xfId="0" applyNumberFormat="1" applyFont="1" applyBorder="1" applyAlignment="1">
      <alignment horizontal="center" vertical="center"/>
    </xf>
    <xf numFmtId="1" fontId="20" fillId="15" borderId="326" xfId="0" applyNumberFormat="1" applyFont="1" applyFill="1" applyBorder="1" applyAlignment="1">
      <alignment horizontal="center" vertical="center"/>
    </xf>
    <xf numFmtId="9" fontId="20" fillId="3" borderId="320" xfId="4" applyFont="1" applyFill="1" applyBorder="1" applyAlignment="1" applyProtection="1">
      <alignment horizontal="center" vertical="center"/>
      <protection locked="0"/>
    </xf>
    <xf numFmtId="9" fontId="20" fillId="0" borderId="320" xfId="4" applyFont="1" applyFill="1" applyBorder="1" applyAlignment="1" applyProtection="1">
      <alignment horizontal="center" vertical="center"/>
    </xf>
    <xf numFmtId="165" fontId="20" fillId="0" borderId="320" xfId="2" applyNumberFormat="1" applyFont="1" applyFill="1" applyBorder="1" applyAlignment="1" applyProtection="1">
      <alignment horizontal="center" vertical="center"/>
    </xf>
    <xf numFmtId="167" fontId="36" fillId="13" borderId="97" xfId="4" applyNumberFormat="1" applyFont="1" applyFill="1" applyBorder="1" applyAlignment="1">
      <alignment horizontal="center"/>
    </xf>
    <xf numFmtId="167" fontId="36" fillId="13" borderId="97" xfId="0" applyNumberFormat="1" applyFont="1" applyFill="1" applyBorder="1" applyAlignment="1">
      <alignment horizontal="center"/>
    </xf>
    <xf numFmtId="167" fontId="36" fillId="13" borderId="277" xfId="0" applyNumberFormat="1" applyFont="1" applyFill="1" applyBorder="1" applyAlignment="1">
      <alignment horizontal="center"/>
    </xf>
    <xf numFmtId="1" fontId="20" fillId="0" borderId="326" xfId="0" applyNumberFormat="1" applyFont="1" applyBorder="1" applyAlignment="1">
      <alignment horizontal="center" vertical="center"/>
    </xf>
    <xf numFmtId="1" fontId="20" fillId="0" borderId="284" xfId="0" applyNumberFormat="1" applyFont="1" applyBorder="1" applyAlignment="1">
      <alignment horizontal="center" vertical="center"/>
    </xf>
    <xf numFmtId="1" fontId="20" fillId="0" borderId="329" xfId="0" applyNumberFormat="1" applyFont="1" applyBorder="1" applyAlignment="1">
      <alignment horizontal="center" vertical="center"/>
    </xf>
    <xf numFmtId="0" fontId="21" fillId="7" borderId="330" xfId="0" applyFont="1" applyFill="1" applyBorder="1" applyAlignment="1">
      <alignment horizontal="center" vertical="center"/>
    </xf>
    <xf numFmtId="0" fontId="21" fillId="7" borderId="331" xfId="0" applyFont="1" applyFill="1" applyBorder="1" applyAlignment="1">
      <alignment horizontal="center" vertical="center"/>
    </xf>
    <xf numFmtId="0" fontId="21" fillId="7" borderId="332" xfId="0" applyFont="1" applyFill="1" applyBorder="1" applyAlignment="1">
      <alignment horizontal="center" vertical="center"/>
    </xf>
    <xf numFmtId="0" fontId="21" fillId="7" borderId="333" xfId="0" applyFont="1" applyFill="1" applyBorder="1" applyAlignment="1">
      <alignment horizontal="center" vertical="center"/>
    </xf>
    <xf numFmtId="0" fontId="20" fillId="0" borderId="335" xfId="0" applyFont="1" applyBorder="1" applyAlignment="1">
      <alignment horizontal="left" vertical="center"/>
    </xf>
    <xf numFmtId="9" fontId="20" fillId="3" borderId="336" xfId="4" applyFont="1" applyFill="1" applyBorder="1" applyAlignment="1" applyProtection="1">
      <alignment horizontal="center" vertical="center"/>
      <protection locked="0"/>
    </xf>
    <xf numFmtId="9" fontId="20" fillId="0" borderId="334" xfId="4" applyFont="1" applyFill="1" applyBorder="1" applyAlignment="1" applyProtection="1">
      <alignment horizontal="center" vertical="center"/>
    </xf>
    <xf numFmtId="165" fontId="20" fillId="15" borderId="337" xfId="2" applyNumberFormat="1" applyFont="1" applyFill="1" applyBorder="1" applyAlignment="1" applyProtection="1">
      <alignment horizontal="center" vertical="center"/>
    </xf>
    <xf numFmtId="165" fontId="20" fillId="0" borderId="338" xfId="2" applyNumberFormat="1" applyFont="1" applyFill="1" applyBorder="1" applyAlignment="1" applyProtection="1">
      <alignment horizontal="center" vertical="center"/>
    </xf>
    <xf numFmtId="1" fontId="20" fillId="0" borderId="339" xfId="0" applyNumberFormat="1" applyFont="1" applyBorder="1" applyAlignment="1">
      <alignment horizontal="center" vertical="center"/>
    </xf>
    <xf numFmtId="0" fontId="20" fillId="0" borderId="298" xfId="0" applyFont="1" applyBorder="1" applyAlignment="1">
      <alignment vertical="center"/>
    </xf>
    <xf numFmtId="44" fontId="20" fillId="0" borderId="341" xfId="2" applyFont="1" applyFill="1" applyBorder="1" applyAlignment="1" applyProtection="1">
      <alignment horizontal="center" vertical="center"/>
    </xf>
    <xf numFmtId="9" fontId="20" fillId="0" borderId="342" xfId="4" applyFont="1" applyFill="1" applyBorder="1" applyAlignment="1" applyProtection="1">
      <alignment horizontal="center" vertical="center"/>
    </xf>
    <xf numFmtId="165" fontId="20" fillId="0" borderId="343" xfId="2" applyNumberFormat="1" applyFont="1" applyFill="1" applyBorder="1" applyAlignment="1" applyProtection="1">
      <alignment horizontal="center" vertical="center"/>
    </xf>
    <xf numFmtId="165" fontId="20" fillId="15" borderId="267" xfId="2" applyNumberFormat="1" applyFont="1" applyFill="1" applyBorder="1" applyAlignment="1" applyProtection="1">
      <alignment horizontal="center" vertical="center"/>
    </xf>
    <xf numFmtId="165" fontId="20" fillId="15" borderId="267" xfId="0" applyNumberFormat="1" applyFont="1" applyFill="1" applyBorder="1" applyAlignment="1">
      <alignment horizontal="center" vertical="center"/>
    </xf>
    <xf numFmtId="1" fontId="20" fillId="15" borderId="346" xfId="0" applyNumberFormat="1" applyFont="1" applyFill="1" applyBorder="1" applyAlignment="1">
      <alignment horizontal="center" vertical="center"/>
    </xf>
    <xf numFmtId="1" fontId="20" fillId="15" borderId="344" xfId="0" applyNumberFormat="1" applyFont="1" applyFill="1" applyBorder="1" applyAlignment="1">
      <alignment horizontal="center" vertical="center"/>
    </xf>
    <xf numFmtId="1" fontId="20" fillId="3" borderId="271" xfId="0" applyNumberFormat="1" applyFont="1" applyFill="1" applyBorder="1" applyAlignment="1" applyProtection="1">
      <alignment horizontal="center" vertical="center"/>
      <protection locked="0"/>
    </xf>
    <xf numFmtId="1" fontId="20" fillId="15" borderId="271" xfId="0" applyNumberFormat="1" applyFont="1" applyFill="1" applyBorder="1" applyAlignment="1">
      <alignment horizontal="center" vertical="center"/>
    </xf>
    <xf numFmtId="1" fontId="20" fillId="15" borderId="345" xfId="0" applyNumberFormat="1" applyFont="1" applyFill="1" applyBorder="1" applyAlignment="1">
      <alignment horizontal="center" vertical="center"/>
    </xf>
    <xf numFmtId="1" fontId="20" fillId="15" borderId="347" xfId="0" applyNumberFormat="1" applyFont="1" applyFill="1" applyBorder="1" applyAlignment="1">
      <alignment horizontal="center" vertical="center"/>
    </xf>
    <xf numFmtId="1" fontId="20" fillId="15" borderId="288" xfId="0" applyNumberFormat="1" applyFont="1" applyFill="1" applyBorder="1" applyAlignment="1">
      <alignment horizontal="center" vertical="center"/>
    </xf>
    <xf numFmtId="1" fontId="20" fillId="15" borderId="289" xfId="0" applyNumberFormat="1" applyFont="1" applyFill="1" applyBorder="1" applyAlignment="1">
      <alignment horizontal="center" vertical="center"/>
    </xf>
    <xf numFmtId="0" fontId="20" fillId="0" borderId="348" xfId="0" applyFont="1" applyBorder="1" applyAlignment="1">
      <alignment horizontal="left" vertical="center"/>
    </xf>
    <xf numFmtId="0" fontId="20" fillId="0" borderId="304" xfId="0" applyFont="1" applyBorder="1" applyAlignment="1">
      <alignment horizontal="left" vertical="center"/>
    </xf>
    <xf numFmtId="1" fontId="20" fillId="3" borderId="349" xfId="2" applyNumberFormat="1" applyFont="1" applyFill="1" applyBorder="1" applyAlignment="1" applyProtection="1">
      <alignment horizontal="center" vertical="center"/>
      <protection locked="0"/>
    </xf>
    <xf numFmtId="1" fontId="20" fillId="0" borderId="350" xfId="0" applyNumberFormat="1" applyFont="1" applyBorder="1" applyAlignment="1">
      <alignment horizontal="center" vertical="center"/>
    </xf>
    <xf numFmtId="0" fontId="20" fillId="0" borderId="272" xfId="0" applyFont="1" applyBorder="1" applyAlignment="1">
      <alignment vertical="center"/>
    </xf>
    <xf numFmtId="1" fontId="20" fillId="15" borderId="351" xfId="0" applyNumberFormat="1" applyFont="1" applyFill="1" applyBorder="1" applyAlignment="1">
      <alignment horizontal="center" vertical="center"/>
    </xf>
    <xf numFmtId="167" fontId="0" fillId="0" borderId="52" xfId="0" applyNumberFormat="1" applyBorder="1" applyAlignment="1">
      <alignment horizontal="center"/>
    </xf>
    <xf numFmtId="1" fontId="16" fillId="0" borderId="352" xfId="0" applyNumberFormat="1" applyFont="1" applyBorder="1" applyAlignment="1">
      <alignment horizontal="center" vertical="center"/>
    </xf>
    <xf numFmtId="1" fontId="0" fillId="0" borderId="353" xfId="0" applyNumberFormat="1" applyBorder="1" applyAlignment="1">
      <alignment horizontal="center"/>
    </xf>
    <xf numFmtId="0" fontId="1" fillId="0" borderId="87" xfId="0" applyFont="1" applyBorder="1" applyAlignment="1">
      <alignment horizontal="center" vertical="center" shrinkToFit="1"/>
    </xf>
    <xf numFmtId="0" fontId="4" fillId="6" borderId="18" xfId="3" applyFont="1" applyFill="1" applyBorder="1" applyAlignment="1">
      <alignment vertical="center"/>
    </xf>
    <xf numFmtId="164" fontId="4" fillId="0" borderId="373" xfId="1" applyNumberFormat="1" applyFont="1" applyFill="1" applyBorder="1" applyAlignment="1" applyProtection="1">
      <alignment horizontal="center" vertical="center"/>
    </xf>
    <xf numFmtId="164" fontId="1" fillId="0" borderId="373" xfId="1" applyNumberFormat="1" applyFont="1" applyFill="1" applyBorder="1" applyAlignment="1" applyProtection="1">
      <alignment vertical="center"/>
    </xf>
    <xf numFmtId="164" fontId="1" fillId="0" borderId="374" xfId="1" applyNumberFormat="1" applyFont="1" applyFill="1" applyBorder="1" applyAlignment="1" applyProtection="1">
      <alignment vertical="center"/>
    </xf>
    <xf numFmtId="44" fontId="4" fillId="0" borderId="370" xfId="3" applyNumberFormat="1" applyFont="1" applyBorder="1" applyAlignment="1">
      <alignment vertical="center"/>
    </xf>
    <xf numFmtId="0" fontId="4" fillId="6" borderId="370" xfId="3" applyFont="1" applyFill="1" applyBorder="1" applyAlignment="1">
      <alignment vertical="center"/>
    </xf>
    <xf numFmtId="164" fontId="4" fillId="0" borderId="376" xfId="1" applyNumberFormat="1" applyFont="1" applyFill="1" applyBorder="1" applyAlignment="1" applyProtection="1">
      <alignment vertical="center"/>
    </xf>
    <xf numFmtId="44" fontId="4" fillId="0" borderId="22" xfId="3" applyNumberFormat="1" applyFont="1" applyBorder="1" applyAlignment="1">
      <alignment vertical="center"/>
    </xf>
    <xf numFmtId="0" fontId="4" fillId="6" borderId="22" xfId="3" applyFont="1" applyFill="1" applyBorder="1" applyAlignment="1">
      <alignment vertical="center"/>
    </xf>
    <xf numFmtId="164" fontId="4" fillId="0" borderId="375" xfId="1" applyNumberFormat="1" applyFont="1" applyFill="1" applyBorder="1" applyAlignment="1" applyProtection="1">
      <alignment vertical="center"/>
    </xf>
    <xf numFmtId="164" fontId="4" fillId="0" borderId="374" xfId="1" applyNumberFormat="1" applyFont="1" applyFill="1" applyBorder="1" applyAlignment="1" applyProtection="1">
      <alignment vertical="center"/>
    </xf>
    <xf numFmtId="9" fontId="36" fillId="0" borderId="291" xfId="0" applyNumberFormat="1" applyFont="1" applyBorder="1"/>
    <xf numFmtId="1" fontId="20" fillId="0" borderId="377" xfId="0" applyNumberFormat="1" applyFont="1" applyBorder="1" applyAlignment="1">
      <alignment horizontal="center" vertical="center"/>
    </xf>
    <xf numFmtId="1" fontId="20" fillId="0" borderId="378" xfId="0" applyNumberFormat="1" applyFont="1" applyBorder="1" applyAlignment="1">
      <alignment horizontal="center" vertical="center"/>
    </xf>
    <xf numFmtId="1" fontId="20" fillId="0" borderId="379" xfId="0" applyNumberFormat="1" applyFont="1" applyBorder="1" applyAlignment="1">
      <alignment horizontal="center" vertical="center"/>
    </xf>
    <xf numFmtId="1" fontId="20" fillId="0" borderId="96" xfId="0" applyNumberFormat="1" applyFont="1" applyBorder="1" applyAlignment="1">
      <alignment horizontal="center" vertical="center"/>
    </xf>
    <xf numFmtId="1" fontId="20" fillId="0" borderId="380" xfId="0" applyNumberFormat="1" applyFont="1" applyBorder="1" applyAlignment="1">
      <alignment horizontal="center" vertical="center"/>
    </xf>
    <xf numFmtId="1" fontId="20" fillId="0" borderId="381" xfId="0" applyNumberFormat="1" applyFont="1" applyBorder="1" applyAlignment="1">
      <alignment horizontal="center" vertical="center"/>
    </xf>
    <xf numFmtId="0" fontId="36" fillId="8" borderId="8" xfId="0" applyFont="1" applyFill="1" applyBorder="1"/>
    <xf numFmtId="9" fontId="36" fillId="13" borderId="126" xfId="4" applyFont="1" applyFill="1" applyBorder="1" applyAlignment="1">
      <alignment horizontal="center"/>
    </xf>
    <xf numFmtId="9" fontId="36" fillId="13" borderId="292" xfId="4" applyFont="1" applyFill="1" applyBorder="1" applyAlignment="1">
      <alignment horizontal="center"/>
    </xf>
    <xf numFmtId="0" fontId="36" fillId="13" borderId="385" xfId="0" applyFont="1" applyFill="1" applyBorder="1" applyAlignment="1">
      <alignment horizontal="left"/>
    </xf>
    <xf numFmtId="0" fontId="36" fillId="13" borderId="386" xfId="0" applyFont="1" applyFill="1" applyBorder="1" applyAlignment="1">
      <alignment horizontal="left"/>
    </xf>
    <xf numFmtId="0" fontId="36" fillId="13" borderId="271" xfId="4" applyNumberFormat="1" applyFont="1" applyFill="1" applyBorder="1" applyAlignment="1">
      <alignment horizontal="left"/>
    </xf>
    <xf numFmtId="167" fontId="36" fillId="13" borderId="271" xfId="0" applyNumberFormat="1" applyFont="1" applyFill="1" applyBorder="1" applyAlignment="1">
      <alignment horizontal="center"/>
    </xf>
    <xf numFmtId="9" fontId="36" fillId="13" borderId="271" xfId="4" applyFont="1" applyFill="1" applyBorder="1" applyAlignment="1">
      <alignment horizontal="center"/>
    </xf>
    <xf numFmtId="0" fontId="36" fillId="13" borderId="271" xfId="4" applyNumberFormat="1" applyFont="1" applyFill="1" applyBorder="1" applyAlignment="1">
      <alignment horizontal="center"/>
    </xf>
    <xf numFmtId="0" fontId="36" fillId="0" borderId="236" xfId="0" applyFont="1" applyBorder="1" applyAlignment="1">
      <alignment horizontal="center" vertical="center"/>
    </xf>
    <xf numFmtId="0" fontId="36" fillId="0" borderId="3" xfId="0" applyFont="1" applyBorder="1"/>
    <xf numFmtId="44" fontId="36" fillId="0" borderId="4" xfId="2" applyFont="1" applyFill="1" applyBorder="1" applyAlignment="1">
      <alignment horizontal="center"/>
    </xf>
    <xf numFmtId="0" fontId="36" fillId="0" borderId="4" xfId="0" applyFont="1" applyBorder="1"/>
    <xf numFmtId="9" fontId="36" fillId="13" borderId="388" xfId="4" applyFont="1" applyFill="1" applyBorder="1" applyAlignment="1">
      <alignment horizontal="center"/>
    </xf>
    <xf numFmtId="9" fontId="36" fillId="13" borderId="107" xfId="4" applyFont="1" applyFill="1" applyBorder="1" applyAlignment="1">
      <alignment horizontal="center"/>
    </xf>
    <xf numFmtId="0" fontId="36" fillId="13" borderId="107" xfId="0" applyFont="1" applyFill="1" applyBorder="1" applyAlignment="1">
      <alignment horizontal="center"/>
    </xf>
    <xf numFmtId="0" fontId="36" fillId="13" borderId="389" xfId="0" applyFont="1" applyFill="1" applyBorder="1" applyAlignment="1">
      <alignment horizontal="left"/>
    </xf>
    <xf numFmtId="0" fontId="36" fillId="13" borderId="273" xfId="0" applyFont="1" applyFill="1" applyBorder="1" applyAlignment="1">
      <alignment horizontal="left"/>
    </xf>
    <xf numFmtId="167" fontId="36" fillId="13" borderId="273" xfId="4" applyNumberFormat="1" applyFont="1" applyFill="1" applyBorder="1" applyAlignment="1">
      <alignment horizontal="center"/>
    </xf>
    <xf numFmtId="0" fontId="36" fillId="13" borderId="273" xfId="0" applyFont="1" applyFill="1" applyBorder="1" applyAlignment="1">
      <alignment horizontal="center"/>
    </xf>
    <xf numFmtId="0" fontId="36" fillId="13" borderId="390" xfId="0" applyFont="1" applyFill="1" applyBorder="1" applyAlignment="1">
      <alignment horizontal="center"/>
    </xf>
    <xf numFmtId="0" fontId="36" fillId="13" borderId="274" xfId="0" applyFont="1" applyFill="1" applyBorder="1" applyAlignment="1">
      <alignment horizontal="left"/>
    </xf>
    <xf numFmtId="9" fontId="36" fillId="13" borderId="391" xfId="4" applyFont="1" applyFill="1" applyBorder="1" applyAlignment="1">
      <alignment horizontal="center"/>
    </xf>
    <xf numFmtId="0" fontId="36" fillId="13" borderId="391" xfId="0" applyFont="1" applyFill="1" applyBorder="1" applyAlignment="1">
      <alignment horizontal="center"/>
    </xf>
    <xf numFmtId="0" fontId="36" fillId="0" borderId="2" xfId="4" applyNumberFormat="1" applyFont="1" applyFill="1" applyBorder="1" applyAlignment="1">
      <alignment horizontal="center" vertical="center"/>
    </xf>
    <xf numFmtId="0" fontId="36" fillId="0" borderId="2" xfId="4" applyNumberFormat="1" applyFont="1" applyFill="1" applyBorder="1" applyAlignment="1">
      <alignment horizontal="left"/>
    </xf>
    <xf numFmtId="0" fontId="36" fillId="0" borderId="3" xfId="4" applyNumberFormat="1" applyFont="1" applyFill="1" applyBorder="1" applyAlignment="1">
      <alignment horizontal="left"/>
    </xf>
    <xf numFmtId="0" fontId="36" fillId="0" borderId="8" xfId="0" applyFont="1" applyBorder="1" applyAlignment="1">
      <alignment horizontal="center" vertical="center"/>
    </xf>
    <xf numFmtId="0" fontId="36" fillId="0" borderId="36" xfId="0" applyFont="1" applyBorder="1" applyAlignment="1">
      <alignment horizontal="center" vertical="center"/>
    </xf>
    <xf numFmtId="0" fontId="36" fillId="0" borderId="52" xfId="0" applyFont="1" applyBorder="1"/>
    <xf numFmtId="9" fontId="36" fillId="0" borderId="52" xfId="4" applyFont="1" applyFill="1" applyBorder="1"/>
    <xf numFmtId="0" fontId="21" fillId="13" borderId="411" xfId="0" applyFont="1" applyFill="1" applyBorder="1" applyAlignment="1">
      <alignment horizontal="center" vertical="center"/>
    </xf>
    <xf numFmtId="1" fontId="20" fillId="15" borderId="413" xfId="0" applyNumberFormat="1" applyFont="1" applyFill="1" applyBorder="1" applyAlignment="1">
      <alignment horizontal="center" vertical="center"/>
    </xf>
    <xf numFmtId="1" fontId="20" fillId="15" borderId="415" xfId="0" applyNumberFormat="1" applyFont="1" applyFill="1" applyBorder="1" applyAlignment="1">
      <alignment horizontal="center" vertical="center"/>
    </xf>
    <xf numFmtId="1" fontId="20" fillId="15" borderId="416" xfId="0" applyNumberFormat="1" applyFont="1" applyFill="1" applyBorder="1" applyAlignment="1">
      <alignment horizontal="center" vertical="center"/>
    </xf>
    <xf numFmtId="1" fontId="20" fillId="3" borderId="416" xfId="0" applyNumberFormat="1" applyFont="1" applyFill="1" applyBorder="1" applyAlignment="1" applyProtection="1">
      <alignment horizontal="center" vertical="center"/>
      <protection locked="0"/>
    </xf>
    <xf numFmtId="1" fontId="20" fillId="3" borderId="417" xfId="0" applyNumberFormat="1" applyFont="1" applyFill="1" applyBorder="1" applyAlignment="1" applyProtection="1">
      <alignment horizontal="center" vertical="center"/>
      <protection locked="0"/>
    </xf>
    <xf numFmtId="1" fontId="20" fillId="3" borderId="266" xfId="0" applyNumberFormat="1" applyFont="1" applyFill="1" applyBorder="1" applyAlignment="1" applyProtection="1">
      <alignment horizontal="center" vertical="center"/>
      <protection locked="0"/>
    </xf>
    <xf numFmtId="0" fontId="22" fillId="0" borderId="0" xfId="0" applyFont="1"/>
    <xf numFmtId="3" fontId="36" fillId="0" borderId="0" xfId="0" applyNumberFormat="1" applyFont="1"/>
    <xf numFmtId="165" fontId="20" fillId="0" borderId="313" xfId="2" applyNumberFormat="1" applyFont="1" applyFill="1" applyBorder="1" applyAlignment="1" applyProtection="1">
      <alignment horizontal="center" vertical="center"/>
    </xf>
    <xf numFmtId="1" fontId="20" fillId="0" borderId="418" xfId="0" applyNumberFormat="1" applyFont="1" applyBorder="1" applyAlignment="1">
      <alignment horizontal="center" vertical="center"/>
    </xf>
    <xf numFmtId="3" fontId="20" fillId="15" borderId="412" xfId="0" applyNumberFormat="1" applyFont="1" applyFill="1" applyBorder="1" applyAlignment="1">
      <alignment horizontal="center" vertical="center"/>
    </xf>
    <xf numFmtId="1" fontId="21" fillId="7" borderId="130" xfId="0" applyNumberFormat="1" applyFont="1" applyFill="1" applyBorder="1" applyAlignment="1">
      <alignment horizontal="center" vertical="center"/>
    </xf>
    <xf numFmtId="1" fontId="20" fillId="3" borderId="381" xfId="0" applyNumberFormat="1" applyFont="1" applyFill="1" applyBorder="1" applyAlignment="1" applyProtection="1">
      <alignment horizontal="center" vertical="center"/>
      <protection locked="0"/>
    </xf>
    <xf numFmtId="165" fontId="20" fillId="0" borderId="422" xfId="2" applyNumberFormat="1" applyFont="1" applyFill="1" applyBorder="1" applyAlignment="1" applyProtection="1">
      <alignment horizontal="center" vertical="center"/>
    </xf>
    <xf numFmtId="1" fontId="20" fillId="0" borderId="423" xfId="0" applyNumberFormat="1" applyFont="1" applyBorder="1" applyAlignment="1">
      <alignment horizontal="center" vertical="center"/>
    </xf>
    <xf numFmtId="165" fontId="20" fillId="15" borderId="261" xfId="0" applyNumberFormat="1" applyFont="1" applyFill="1" applyBorder="1" applyAlignment="1">
      <alignment horizontal="center" vertical="center"/>
    </xf>
    <xf numFmtId="3" fontId="20" fillId="15" borderId="414" xfId="0" applyNumberFormat="1" applyFont="1" applyFill="1" applyBorder="1" applyAlignment="1">
      <alignment horizontal="center" vertical="center"/>
    </xf>
    <xf numFmtId="165" fontId="20" fillId="0" borderId="421" xfId="2" applyNumberFormat="1" applyFont="1" applyFill="1" applyBorder="1" applyAlignment="1" applyProtection="1">
      <alignment horizontal="center" vertical="center"/>
    </xf>
    <xf numFmtId="165" fontId="20" fillId="15" borderId="412" xfId="0" applyNumberFormat="1" applyFont="1" applyFill="1" applyBorder="1" applyAlignment="1">
      <alignment horizontal="center" vertical="center"/>
    </xf>
    <xf numFmtId="1" fontId="20" fillId="3" borderId="424" xfId="0" applyNumberFormat="1" applyFont="1" applyFill="1" applyBorder="1" applyAlignment="1" applyProtection="1">
      <alignment horizontal="center" vertical="center"/>
      <protection locked="0"/>
    </xf>
    <xf numFmtId="0" fontId="0" fillId="18" borderId="0" xfId="0" applyFill="1" applyAlignment="1">
      <alignment horizontal="center"/>
    </xf>
    <xf numFmtId="0" fontId="36" fillId="8" borderId="36" xfId="0" applyFont="1" applyFill="1" applyBorder="1"/>
    <xf numFmtId="9" fontId="1" fillId="17" borderId="97" xfId="4" applyFont="1" applyFill="1" applyBorder="1" applyAlignment="1">
      <alignment horizontal="center"/>
    </xf>
    <xf numFmtId="0" fontId="1" fillId="17" borderId="386" xfId="0" applyFont="1" applyFill="1" applyBorder="1" applyAlignment="1">
      <alignment horizontal="left"/>
    </xf>
    <xf numFmtId="0" fontId="1" fillId="17" borderId="271" xfId="0" applyFont="1" applyFill="1" applyBorder="1" applyAlignment="1">
      <alignment horizontal="left"/>
    </xf>
    <xf numFmtId="44" fontId="1" fillId="17" borderId="271" xfId="2" applyFont="1" applyFill="1" applyBorder="1" applyAlignment="1">
      <alignment horizontal="left"/>
    </xf>
    <xf numFmtId="167" fontId="1" fillId="17" borderId="271" xfId="0" applyNumberFormat="1" applyFont="1" applyFill="1" applyBorder="1" applyAlignment="1">
      <alignment horizontal="center"/>
    </xf>
    <xf numFmtId="9" fontId="1" fillId="17" borderId="271" xfId="4" applyFont="1" applyFill="1" applyBorder="1" applyAlignment="1">
      <alignment horizontal="center"/>
    </xf>
    <xf numFmtId="0" fontId="1" fillId="17" borderId="97" xfId="0" applyFont="1" applyFill="1" applyBorder="1" applyAlignment="1">
      <alignment horizontal="center"/>
    </xf>
    <xf numFmtId="9" fontId="1" fillId="17" borderId="387" xfId="4" applyFont="1" applyFill="1" applyBorder="1" applyAlignment="1">
      <alignment horizontal="center"/>
    </xf>
    <xf numFmtId="0" fontId="1" fillId="17" borderId="385" xfId="0" applyFont="1" applyFill="1" applyBorder="1" applyAlignment="1">
      <alignment horizontal="left"/>
    </xf>
    <xf numFmtId="0" fontId="1" fillId="17" borderId="97" xfId="4" applyNumberFormat="1" applyFont="1" applyFill="1" applyBorder="1" applyAlignment="1">
      <alignment horizontal="left"/>
    </xf>
    <xf numFmtId="44" fontId="1" fillId="17" borderId="97" xfId="2" applyFont="1" applyFill="1" applyBorder="1" applyAlignment="1">
      <alignment horizontal="left"/>
    </xf>
    <xf numFmtId="167" fontId="1" fillId="17" borderId="97" xfId="0" applyNumberFormat="1" applyFont="1" applyFill="1" applyBorder="1" applyAlignment="1">
      <alignment horizontal="center"/>
    </xf>
    <xf numFmtId="9" fontId="1" fillId="17" borderId="107" xfId="4" applyFont="1" applyFill="1" applyBorder="1" applyAlignment="1">
      <alignment horizontal="center"/>
    </xf>
    <xf numFmtId="0" fontId="1" fillId="17" borderId="97" xfId="0" applyFont="1" applyFill="1" applyBorder="1" applyAlignment="1">
      <alignment horizontal="left"/>
    </xf>
    <xf numFmtId="167" fontId="1" fillId="17" borderId="97" xfId="4" applyNumberFormat="1" applyFont="1" applyFill="1" applyBorder="1" applyAlignment="1">
      <alignment horizontal="center"/>
    </xf>
    <xf numFmtId="0" fontId="1" fillId="17" borderId="274" xfId="0" applyFont="1" applyFill="1" applyBorder="1" applyAlignment="1">
      <alignment horizontal="left"/>
    </xf>
    <xf numFmtId="0" fontId="1" fillId="17" borderId="391" xfId="0" applyFont="1" applyFill="1" applyBorder="1" applyAlignment="1">
      <alignment horizontal="center"/>
    </xf>
    <xf numFmtId="9" fontId="1" fillId="17" borderId="391" xfId="4" applyFont="1" applyFill="1" applyBorder="1" applyAlignment="1">
      <alignment horizontal="center"/>
    </xf>
    <xf numFmtId="0" fontId="1" fillId="13" borderId="389" xfId="0" applyFont="1" applyFill="1" applyBorder="1" applyAlignment="1">
      <alignment horizontal="left"/>
    </xf>
    <xf numFmtId="0" fontId="1" fillId="13" borderId="273" xfId="0" applyFont="1" applyFill="1" applyBorder="1" applyAlignment="1">
      <alignment horizontal="left"/>
    </xf>
    <xf numFmtId="44" fontId="1" fillId="13" borderId="273" xfId="2" applyFont="1" applyFill="1" applyBorder="1" applyAlignment="1">
      <alignment horizontal="left"/>
    </xf>
    <xf numFmtId="167" fontId="1" fillId="13" borderId="273" xfId="4" applyNumberFormat="1" applyFont="1" applyFill="1" applyBorder="1" applyAlignment="1">
      <alignment horizontal="center"/>
    </xf>
    <xf numFmtId="0" fontId="1" fillId="13" borderId="273" xfId="0" applyFont="1" applyFill="1" applyBorder="1" applyAlignment="1">
      <alignment horizontal="center"/>
    </xf>
    <xf numFmtId="0" fontId="1" fillId="13" borderId="390" xfId="0" applyFont="1" applyFill="1" applyBorder="1" applyAlignment="1">
      <alignment horizontal="center"/>
    </xf>
    <xf numFmtId="0" fontId="1" fillId="13" borderId="274" xfId="0" applyFont="1" applyFill="1" applyBorder="1" applyAlignment="1">
      <alignment horizontal="left"/>
    </xf>
    <xf numFmtId="0" fontId="1" fillId="13" borderId="97" xfId="4" applyNumberFormat="1" applyFont="1" applyFill="1" applyBorder="1" applyAlignment="1">
      <alignment horizontal="left"/>
    </xf>
    <xf numFmtId="44" fontId="1" fillId="13" borderId="97" xfId="2" applyFont="1" applyFill="1" applyBorder="1" applyAlignment="1">
      <alignment horizontal="left"/>
    </xf>
    <xf numFmtId="167" fontId="1" fillId="13" borderId="97" xfId="0" applyNumberFormat="1" applyFont="1" applyFill="1" applyBorder="1" applyAlignment="1">
      <alignment horizontal="center"/>
    </xf>
    <xf numFmtId="9" fontId="1" fillId="13" borderId="97" xfId="4" applyFont="1" applyFill="1" applyBorder="1" applyAlignment="1">
      <alignment horizontal="center"/>
    </xf>
    <xf numFmtId="9" fontId="1" fillId="13" borderId="391" xfId="4" applyFont="1" applyFill="1" applyBorder="1" applyAlignment="1">
      <alignment horizontal="center"/>
    </xf>
    <xf numFmtId="0" fontId="1" fillId="13" borderId="97" xfId="0" applyFont="1" applyFill="1" applyBorder="1" applyAlignment="1">
      <alignment horizontal="left"/>
    </xf>
    <xf numFmtId="0" fontId="1" fillId="13" borderId="97" xfId="0" applyFont="1" applyFill="1" applyBorder="1" applyAlignment="1">
      <alignment horizontal="center"/>
    </xf>
    <xf numFmtId="0" fontId="1" fillId="13" borderId="391" xfId="0" applyFont="1" applyFill="1" applyBorder="1" applyAlignment="1">
      <alignment horizontal="center"/>
    </xf>
    <xf numFmtId="167" fontId="1" fillId="13" borderId="97" xfId="4" applyNumberFormat="1" applyFont="1" applyFill="1" applyBorder="1" applyAlignment="1">
      <alignment horizontal="center"/>
    </xf>
    <xf numFmtId="0" fontId="1" fillId="13" borderId="395" xfId="0" applyFont="1" applyFill="1" applyBorder="1" applyAlignment="1">
      <alignment horizontal="left"/>
    </xf>
    <xf numFmtId="0" fontId="1" fillId="13" borderId="295" xfId="4" applyNumberFormat="1" applyFont="1" applyFill="1" applyBorder="1" applyAlignment="1">
      <alignment horizontal="left"/>
    </xf>
    <xf numFmtId="44" fontId="1" fillId="13" borderId="295" xfId="2" applyFont="1" applyFill="1" applyBorder="1" applyAlignment="1">
      <alignment horizontal="left"/>
    </xf>
    <xf numFmtId="167" fontId="1" fillId="13" borderId="295" xfId="4" applyNumberFormat="1" applyFont="1" applyFill="1" applyBorder="1" applyAlignment="1">
      <alignment horizontal="center"/>
    </xf>
    <xf numFmtId="9" fontId="1" fillId="13" borderId="295" xfId="4" applyFont="1" applyFill="1" applyBorder="1" applyAlignment="1">
      <alignment horizontal="center"/>
    </xf>
    <xf numFmtId="9" fontId="1" fillId="13" borderId="396" xfId="4" applyFont="1" applyFill="1" applyBorder="1" applyAlignment="1">
      <alignment horizontal="center"/>
    </xf>
    <xf numFmtId="0" fontId="1" fillId="17" borderId="407" xfId="0" applyFont="1" applyFill="1" applyBorder="1" applyAlignment="1">
      <alignment horizontal="left"/>
    </xf>
    <xf numFmtId="0" fontId="1" fillId="17" borderId="271" xfId="0" applyFont="1" applyFill="1" applyBorder="1" applyAlignment="1">
      <alignment horizontal="center"/>
    </xf>
    <xf numFmtId="0" fontId="1" fillId="17" borderId="394" xfId="0" applyFont="1" applyFill="1" applyBorder="1" applyAlignment="1">
      <alignment horizontal="center"/>
    </xf>
    <xf numFmtId="0" fontId="1" fillId="17" borderId="264" xfId="0" applyFont="1" applyFill="1" applyBorder="1" applyAlignment="1">
      <alignment horizontal="left"/>
    </xf>
    <xf numFmtId="0" fontId="1" fillId="17" borderId="408" xfId="0" applyFont="1" applyFill="1" applyBorder="1" applyAlignment="1">
      <alignment horizontal="left"/>
    </xf>
    <xf numFmtId="0" fontId="1" fillId="17" borderId="295" xfId="4" applyNumberFormat="1" applyFont="1" applyFill="1" applyBorder="1" applyAlignment="1">
      <alignment horizontal="left"/>
    </xf>
    <xf numFmtId="44" fontId="1" fillId="17" borderId="295" xfId="2" applyFont="1" applyFill="1" applyBorder="1" applyAlignment="1">
      <alignment horizontal="left"/>
    </xf>
    <xf numFmtId="167" fontId="1" fillId="17" borderId="295" xfId="0" applyNumberFormat="1" applyFont="1" applyFill="1" applyBorder="1" applyAlignment="1">
      <alignment horizontal="center"/>
    </xf>
    <xf numFmtId="9" fontId="1" fillId="17" borderId="295" xfId="4" applyFont="1" applyFill="1" applyBorder="1" applyAlignment="1">
      <alignment horizontal="center"/>
    </xf>
    <xf numFmtId="9" fontId="1" fillId="17" borderId="396" xfId="4" applyFont="1" applyFill="1" applyBorder="1" applyAlignment="1">
      <alignment horizontal="center"/>
    </xf>
    <xf numFmtId="0" fontId="1" fillId="13" borderId="397" xfId="0" applyFont="1" applyFill="1" applyBorder="1" applyAlignment="1">
      <alignment horizontal="left"/>
    </xf>
    <xf numFmtId="0" fontId="1" fillId="13" borderId="271" xfId="0" applyFont="1" applyFill="1" applyBorder="1" applyAlignment="1">
      <alignment horizontal="left"/>
    </xf>
    <xf numFmtId="44" fontId="1" fillId="13" borderId="271" xfId="2" applyFont="1" applyFill="1" applyBorder="1" applyAlignment="1">
      <alignment horizontal="left"/>
    </xf>
    <xf numFmtId="167" fontId="1" fillId="13" borderId="271" xfId="0" applyNumberFormat="1" applyFont="1" applyFill="1" applyBorder="1" applyAlignment="1">
      <alignment horizontal="center"/>
    </xf>
    <xf numFmtId="0" fontId="1" fillId="13" borderId="271" xfId="0" applyFont="1" applyFill="1" applyBorder="1" applyAlignment="1">
      <alignment horizontal="center"/>
    </xf>
    <xf numFmtId="0" fontId="1" fillId="13" borderId="394" xfId="0" applyFont="1" applyFill="1" applyBorder="1" applyAlignment="1">
      <alignment horizontal="center"/>
    </xf>
    <xf numFmtId="0" fontId="1" fillId="13" borderId="106" xfId="0" applyFont="1" applyFill="1" applyBorder="1" applyAlignment="1">
      <alignment horizontal="left"/>
    </xf>
    <xf numFmtId="0" fontId="1" fillId="17" borderId="106" xfId="0" applyFont="1" applyFill="1" applyBorder="1" applyAlignment="1">
      <alignment horizontal="left"/>
    </xf>
    <xf numFmtId="0" fontId="1" fillId="17" borderId="107" xfId="0" applyFont="1" applyFill="1" applyBorder="1" applyAlignment="1">
      <alignment horizontal="center"/>
    </xf>
    <xf numFmtId="0" fontId="1" fillId="17" borderId="401" xfId="0" applyFont="1" applyFill="1" applyBorder="1" applyAlignment="1">
      <alignment horizontal="left"/>
    </xf>
    <xf numFmtId="9" fontId="1" fillId="17" borderId="402" xfId="4" applyFont="1" applyFill="1" applyBorder="1" applyAlignment="1">
      <alignment horizontal="center"/>
    </xf>
    <xf numFmtId="167" fontId="1" fillId="17" borderId="271" xfId="4" applyNumberFormat="1" applyFont="1" applyFill="1" applyBorder="1" applyAlignment="1">
      <alignment horizontal="center"/>
    </xf>
    <xf numFmtId="0" fontId="1" fillId="17" borderId="388" xfId="0" applyFont="1" applyFill="1" applyBorder="1" applyAlignment="1">
      <alignment horizontal="center"/>
    </xf>
    <xf numFmtId="0" fontId="1" fillId="13" borderId="409" xfId="0" applyFont="1" applyFill="1" applyBorder="1" applyAlignment="1">
      <alignment horizontal="left"/>
    </xf>
    <xf numFmtId="0" fontId="1" fillId="13" borderId="406" xfId="0" applyFont="1" applyFill="1" applyBorder="1" applyAlignment="1">
      <alignment horizontal="left"/>
    </xf>
    <xf numFmtId="44" fontId="1" fillId="13" borderId="406" xfId="2" applyFont="1" applyFill="1" applyBorder="1" applyAlignment="1">
      <alignment horizontal="left"/>
    </xf>
    <xf numFmtId="167" fontId="1" fillId="13" borderId="406" xfId="0" applyNumberFormat="1" applyFont="1" applyFill="1" applyBorder="1" applyAlignment="1">
      <alignment horizontal="center"/>
    </xf>
    <xf numFmtId="0" fontId="1" fillId="13" borderId="406" xfId="0" applyFont="1" applyFill="1" applyBorder="1" applyAlignment="1">
      <alignment horizontal="center"/>
    </xf>
    <xf numFmtId="0" fontId="1" fillId="13" borderId="387" xfId="0" applyFont="1" applyFill="1" applyBorder="1" applyAlignment="1">
      <alignment horizontal="center"/>
    </xf>
    <xf numFmtId="9" fontId="1" fillId="13" borderId="107" xfId="4" applyFont="1" applyFill="1" applyBorder="1" applyAlignment="1">
      <alignment horizontal="center"/>
    </xf>
    <xf numFmtId="0" fontId="1" fillId="13" borderId="107" xfId="0" applyFont="1" applyFill="1" applyBorder="1" applyAlignment="1">
      <alignment horizontal="center"/>
    </xf>
    <xf numFmtId="0" fontId="1" fillId="13" borderId="401" xfId="0" applyFont="1" applyFill="1" applyBorder="1" applyAlignment="1">
      <alignment horizontal="left"/>
    </xf>
    <xf numFmtId="167" fontId="1" fillId="13" borderId="295" xfId="0" applyNumberFormat="1" applyFont="1" applyFill="1" applyBorder="1" applyAlignment="1">
      <alignment horizontal="center"/>
    </xf>
    <xf numFmtId="9" fontId="1" fillId="13" borderId="402" xfId="4" applyFont="1" applyFill="1" applyBorder="1" applyAlignment="1">
      <alignment horizontal="center"/>
    </xf>
    <xf numFmtId="0" fontId="1" fillId="17" borderId="409" xfId="0" applyFont="1" applyFill="1" applyBorder="1" applyAlignment="1">
      <alignment horizontal="left"/>
    </xf>
    <xf numFmtId="0" fontId="1" fillId="17" borderId="406" xfId="0" applyFont="1" applyFill="1" applyBorder="1" applyAlignment="1">
      <alignment horizontal="left"/>
    </xf>
    <xf numFmtId="44" fontId="1" fillId="17" borderId="406" xfId="2" applyFont="1" applyFill="1" applyBorder="1" applyAlignment="1">
      <alignment horizontal="left"/>
    </xf>
    <xf numFmtId="167" fontId="1" fillId="17" borderId="406" xfId="0" applyNumberFormat="1" applyFont="1" applyFill="1" applyBorder="1" applyAlignment="1">
      <alignment horizontal="center"/>
    </xf>
    <xf numFmtId="0" fontId="1" fillId="17" borderId="406" xfId="0" applyFont="1" applyFill="1" applyBorder="1" applyAlignment="1">
      <alignment horizontal="center"/>
    </xf>
    <xf numFmtId="0" fontId="1" fillId="17" borderId="387" xfId="0" applyFont="1" applyFill="1" applyBorder="1" applyAlignment="1">
      <alignment horizontal="center"/>
    </xf>
    <xf numFmtId="10" fontId="1" fillId="17" borderId="97" xfId="4" applyNumberFormat="1" applyFont="1" applyFill="1" applyBorder="1" applyAlignment="1">
      <alignment horizontal="center"/>
    </xf>
    <xf numFmtId="167" fontId="1" fillId="17" borderId="295" xfId="4" applyNumberFormat="1" applyFont="1" applyFill="1" applyBorder="1" applyAlignment="1">
      <alignment horizontal="center"/>
    </xf>
    <xf numFmtId="0" fontId="1" fillId="17" borderId="410" xfId="0" applyFont="1" applyFill="1" applyBorder="1" applyAlignment="1">
      <alignment horizontal="left"/>
    </xf>
    <xf numFmtId="167" fontId="1" fillId="17" borderId="406" xfId="4" applyNumberFormat="1" applyFont="1" applyFill="1" applyBorder="1" applyAlignment="1">
      <alignment horizontal="center"/>
    </xf>
    <xf numFmtId="0" fontId="1" fillId="17" borderId="294" xfId="0" applyFont="1" applyFill="1" applyBorder="1" applyAlignment="1">
      <alignment horizontal="left"/>
    </xf>
    <xf numFmtId="16" fontId="1" fillId="17" borderId="97" xfId="0" applyNumberFormat="1" applyFont="1" applyFill="1" applyBorder="1" applyAlignment="1">
      <alignment horizontal="center"/>
    </xf>
    <xf numFmtId="0" fontId="1" fillId="17" borderId="403" xfId="0" applyFont="1" applyFill="1" applyBorder="1" applyAlignment="1">
      <alignment horizontal="left"/>
    </xf>
    <xf numFmtId="0" fontId="1" fillId="17" borderId="270" xfId="4" applyNumberFormat="1" applyFont="1" applyFill="1" applyBorder="1" applyAlignment="1">
      <alignment horizontal="left"/>
    </xf>
    <xf numFmtId="44" fontId="1" fillId="17" borderId="270" xfId="2" applyFont="1" applyFill="1" applyBorder="1" applyAlignment="1">
      <alignment horizontal="left"/>
    </xf>
    <xf numFmtId="167" fontId="1" fillId="17" borderId="270" xfId="0" applyNumberFormat="1" applyFont="1" applyFill="1" applyBorder="1" applyAlignment="1">
      <alignment horizontal="center"/>
    </xf>
    <xf numFmtId="9" fontId="1" fillId="17" borderId="270" xfId="4" applyFont="1" applyFill="1" applyBorder="1" applyAlignment="1">
      <alignment horizontal="center"/>
    </xf>
    <xf numFmtId="9" fontId="1" fillId="17" borderId="404" xfId="4" applyFont="1" applyFill="1" applyBorder="1" applyAlignment="1">
      <alignment horizontal="center"/>
    </xf>
    <xf numFmtId="0" fontId="1" fillId="13" borderId="405" xfId="0" applyFont="1" applyFill="1" applyBorder="1" applyAlignment="1">
      <alignment horizontal="left"/>
    </xf>
    <xf numFmtId="0" fontId="1" fillId="17" borderId="395" xfId="0" applyFont="1" applyFill="1" applyBorder="1" applyAlignment="1">
      <alignment horizontal="left"/>
    </xf>
    <xf numFmtId="0" fontId="1" fillId="17" borderId="392" xfId="0" applyFont="1" applyFill="1" applyBorder="1" applyAlignment="1">
      <alignment horizontal="left"/>
    </xf>
    <xf numFmtId="0" fontId="1" fillId="17" borderId="277" xfId="4" applyNumberFormat="1" applyFont="1" applyFill="1" applyBorder="1" applyAlignment="1">
      <alignment horizontal="left"/>
    </xf>
    <xf numFmtId="44" fontId="1" fillId="17" borderId="277" xfId="2" applyFont="1" applyFill="1" applyBorder="1" applyAlignment="1">
      <alignment horizontal="left"/>
    </xf>
    <xf numFmtId="167" fontId="1" fillId="17" borderId="277" xfId="0" applyNumberFormat="1" applyFont="1" applyFill="1" applyBorder="1" applyAlignment="1">
      <alignment horizontal="center"/>
    </xf>
    <xf numFmtId="9" fontId="1" fillId="17" borderId="277" xfId="4" applyFont="1" applyFill="1" applyBorder="1" applyAlignment="1">
      <alignment horizontal="center"/>
    </xf>
    <xf numFmtId="9" fontId="1" fillId="17" borderId="393" xfId="4" applyFont="1" applyFill="1" applyBorder="1" applyAlignment="1">
      <alignment horizontal="center"/>
    </xf>
    <xf numFmtId="1" fontId="20" fillId="3" borderId="329" xfId="0" applyNumberFormat="1" applyFont="1" applyFill="1" applyBorder="1" applyAlignment="1" applyProtection="1">
      <alignment horizontal="center" vertical="center"/>
      <protection locked="0"/>
    </xf>
    <xf numFmtId="0" fontId="1" fillId="3" borderId="94" xfId="3" applyFill="1" applyBorder="1" applyAlignment="1" applyProtection="1">
      <alignment horizontal="left" vertical="center"/>
      <protection locked="0"/>
    </xf>
    <xf numFmtId="0" fontId="1" fillId="3" borderId="79" xfId="3" applyFill="1" applyBorder="1" applyAlignment="1" applyProtection="1">
      <alignment horizontal="left" vertical="center"/>
      <protection locked="0"/>
    </xf>
    <xf numFmtId="0" fontId="1" fillId="3" borderId="95" xfId="3" applyFill="1" applyBorder="1" applyAlignment="1" applyProtection="1">
      <alignment horizontal="left" vertical="center"/>
      <protection locked="0"/>
    </xf>
    <xf numFmtId="0" fontId="1" fillId="3" borderId="6" xfId="3" applyFill="1" applyBorder="1" applyAlignment="1" applyProtection="1">
      <alignment horizontal="left" vertical="center"/>
      <protection locked="0"/>
    </xf>
    <xf numFmtId="0" fontId="1" fillId="3" borderId="7" xfId="3" applyFill="1" applyBorder="1" applyAlignment="1" applyProtection="1">
      <alignment horizontal="left" vertical="center"/>
      <protection locked="0"/>
    </xf>
    <xf numFmtId="0" fontId="1" fillId="3" borderId="5" xfId="3" applyFill="1" applyBorder="1" applyAlignment="1" applyProtection="1">
      <alignment horizontal="left" vertical="center"/>
      <protection locked="0"/>
    </xf>
    <xf numFmtId="0" fontId="4" fillId="0" borderId="366" xfId="3" applyFont="1" applyBorder="1" applyAlignment="1">
      <alignment horizontal="right" vertical="center"/>
    </xf>
    <xf numFmtId="0" fontId="4" fillId="0" borderId="371" xfId="3" applyFont="1" applyBorder="1" applyAlignment="1">
      <alignment horizontal="right" vertical="center"/>
    </xf>
    <xf numFmtId="0" fontId="4" fillId="0" borderId="372" xfId="3" applyFont="1" applyBorder="1" applyAlignment="1">
      <alignment horizontal="right" vertical="center"/>
    </xf>
    <xf numFmtId="0" fontId="1" fillId="0" borderId="15" xfId="3" applyBorder="1" applyAlignment="1">
      <alignment horizontal="right" vertical="center"/>
    </xf>
    <xf numFmtId="0" fontId="1" fillId="0" borderId="10" xfId="3" applyBorder="1" applyAlignment="1">
      <alignment horizontal="right" vertical="center"/>
    </xf>
    <xf numFmtId="0" fontId="1" fillId="0" borderId="11" xfId="3" applyBorder="1" applyAlignment="1">
      <alignment horizontal="right" vertical="center"/>
    </xf>
    <xf numFmtId="0" fontId="1" fillId="3" borderId="70" xfId="3" applyFill="1" applyBorder="1" applyAlignment="1" applyProtection="1">
      <alignment horizontal="left" vertical="center"/>
      <protection locked="0"/>
    </xf>
    <xf numFmtId="0" fontId="1" fillId="3" borderId="53" xfId="3" applyFill="1" applyBorder="1" applyAlignment="1" applyProtection="1">
      <alignment horizontal="left" vertical="center"/>
      <protection locked="0"/>
    </xf>
    <xf numFmtId="0" fontId="1" fillId="3" borderId="78" xfId="3" applyFill="1" applyBorder="1" applyAlignment="1" applyProtection="1">
      <alignment horizontal="left" vertical="center"/>
      <protection locked="0"/>
    </xf>
    <xf numFmtId="0" fontId="1" fillId="0" borderId="89" xfId="3" applyBorder="1" applyAlignment="1">
      <alignment horizontal="center" vertical="center"/>
    </xf>
    <xf numFmtId="0" fontId="1" fillId="0" borderId="90" xfId="3" applyBorder="1" applyAlignment="1">
      <alignment horizontal="center" vertical="center"/>
    </xf>
    <xf numFmtId="0" fontId="1" fillId="0" borderId="91" xfId="3" applyBorder="1" applyAlignment="1">
      <alignment horizontal="center" vertical="center"/>
    </xf>
    <xf numFmtId="0" fontId="1" fillId="3" borderId="92" xfId="3" applyFill="1" applyBorder="1" applyAlignment="1" applyProtection="1">
      <alignment horizontal="left" vertical="center"/>
      <protection locked="0"/>
    </xf>
    <xf numFmtId="0" fontId="1" fillId="3" borderId="52" xfId="3" applyFill="1" applyBorder="1" applyAlignment="1" applyProtection="1">
      <alignment horizontal="left" vertical="center"/>
      <protection locked="0"/>
    </xf>
    <xf numFmtId="0" fontId="1" fillId="3" borderId="93" xfId="3" applyFill="1" applyBorder="1" applyAlignment="1" applyProtection="1">
      <alignment horizontal="left" vertical="center"/>
      <protection locked="0"/>
    </xf>
    <xf numFmtId="0" fontId="4" fillId="0" borderId="237" xfId="3" applyFont="1" applyBorder="1" applyAlignment="1">
      <alignment horizontal="center" vertical="center"/>
    </xf>
    <xf numFmtId="0" fontId="4" fillId="0" borderId="238" xfId="3" applyFont="1" applyBorder="1" applyAlignment="1">
      <alignment horizontal="center" vertical="center"/>
    </xf>
    <xf numFmtId="0" fontId="4" fillId="0" borderId="239" xfId="3" applyFont="1" applyBorder="1" applyAlignment="1">
      <alignment horizontal="center" vertical="center"/>
    </xf>
    <xf numFmtId="0" fontId="4" fillId="0" borderId="27" xfId="3" applyFont="1" applyBorder="1" applyAlignment="1">
      <alignment horizontal="center" vertical="center"/>
    </xf>
    <xf numFmtId="0" fontId="4" fillId="0" borderId="28" xfId="3" applyFont="1" applyBorder="1" applyAlignment="1">
      <alignment horizontal="center" vertical="center"/>
    </xf>
    <xf numFmtId="0" fontId="4" fillId="0" borderId="29" xfId="3" applyFont="1" applyBorder="1" applyAlignment="1">
      <alignment horizontal="center" vertical="center"/>
    </xf>
    <xf numFmtId="0" fontId="4" fillId="4" borderId="12" xfId="3" applyFont="1" applyFill="1" applyBorder="1" applyAlignment="1">
      <alignment horizontal="center" vertical="center"/>
    </xf>
    <xf numFmtId="0" fontId="4" fillId="4" borderId="13" xfId="3" applyFont="1" applyFill="1" applyBorder="1" applyAlignment="1">
      <alignment horizontal="center" vertical="center"/>
    </xf>
    <xf numFmtId="0" fontId="4" fillId="4" borderId="14" xfId="3" applyFont="1" applyFill="1" applyBorder="1" applyAlignment="1">
      <alignment horizontal="center" vertical="center"/>
    </xf>
    <xf numFmtId="0" fontId="4" fillId="0" borderId="3" xfId="3" applyFont="1" applyBorder="1" applyAlignment="1">
      <alignment horizontal="right" vertical="center"/>
    </xf>
    <xf numFmtId="0" fontId="4" fillId="0" borderId="4" xfId="3" applyFont="1" applyBorder="1" applyAlignment="1">
      <alignment horizontal="right" vertical="center"/>
    </xf>
    <xf numFmtId="0" fontId="4" fillId="0" borderId="250" xfId="3" applyFont="1" applyBorder="1" applyAlignment="1">
      <alignment horizontal="right" vertical="center"/>
    </xf>
    <xf numFmtId="49" fontId="1" fillId="0" borderId="108" xfId="0" applyNumberFormat="1" applyFont="1" applyBorder="1" applyAlignment="1">
      <alignment horizontal="right"/>
    </xf>
    <xf numFmtId="49" fontId="1" fillId="0" borderId="98" xfId="0" applyNumberFormat="1" applyFont="1" applyBorder="1" applyAlignment="1">
      <alignment horizontal="right"/>
    </xf>
    <xf numFmtId="44" fontId="1" fillId="0" borderId="89" xfId="2" applyFill="1" applyBorder="1" applyAlignment="1" applyProtection="1">
      <alignment horizontal="center" vertical="center"/>
    </xf>
    <xf numFmtId="44" fontId="1" fillId="0" borderId="90" xfId="2" applyFill="1" applyBorder="1" applyAlignment="1" applyProtection="1">
      <alignment horizontal="center" vertical="center"/>
    </xf>
    <xf numFmtId="44" fontId="1" fillId="0" borderId="91" xfId="2" applyFill="1" applyBorder="1" applyAlignment="1" applyProtection="1">
      <alignment horizontal="center" vertical="center"/>
    </xf>
    <xf numFmtId="14" fontId="1" fillId="0" borderId="89" xfId="4" applyNumberFormat="1" applyFill="1" applyBorder="1" applyAlignment="1" applyProtection="1">
      <alignment horizontal="center" vertical="center"/>
    </xf>
    <xf numFmtId="9" fontId="1" fillId="0" borderId="90" xfId="4" applyFill="1" applyBorder="1" applyAlignment="1" applyProtection="1">
      <alignment horizontal="center" vertical="center"/>
    </xf>
    <xf numFmtId="9" fontId="1" fillId="0" borderId="91" xfId="4" applyFill="1" applyBorder="1" applyAlignment="1" applyProtection="1">
      <alignment horizontal="center" vertical="center"/>
    </xf>
    <xf numFmtId="0" fontId="20" fillId="0" borderId="102" xfId="3" applyFont="1" applyBorder="1" applyAlignment="1">
      <alignment horizontal="center" vertical="center"/>
    </xf>
    <xf numFmtId="0" fontId="20" fillId="0" borderId="88" xfId="3" applyFont="1" applyBorder="1" applyAlignment="1">
      <alignment horizontal="center" vertical="center"/>
    </xf>
    <xf numFmtId="0" fontId="20" fillId="0" borderId="103" xfId="3" applyFont="1" applyBorder="1" applyAlignment="1">
      <alignment horizontal="center" vertical="center"/>
    </xf>
    <xf numFmtId="0" fontId="4" fillId="0" borderId="367" xfId="3" applyFont="1" applyBorder="1" applyAlignment="1">
      <alignment horizontal="right" vertical="center"/>
    </xf>
    <xf numFmtId="0" fontId="4" fillId="0" borderId="368" xfId="3" applyFont="1" applyBorder="1" applyAlignment="1">
      <alignment horizontal="right" vertical="center"/>
    </xf>
    <xf numFmtId="0" fontId="4" fillId="0" borderId="369" xfId="3" applyFont="1" applyBorder="1" applyAlignment="1">
      <alignment horizontal="right" vertical="center"/>
    </xf>
    <xf numFmtId="0" fontId="4" fillId="0" borderId="12" xfId="3" applyFont="1" applyBorder="1" applyAlignment="1">
      <alignment horizontal="center" vertical="center"/>
    </xf>
    <xf numFmtId="0" fontId="4" fillId="0" borderId="13" xfId="3" applyFont="1" applyBorder="1" applyAlignment="1">
      <alignment horizontal="center" vertical="center"/>
    </xf>
    <xf numFmtId="0" fontId="4" fillId="0" borderId="14" xfId="3" applyFont="1" applyBorder="1" applyAlignment="1">
      <alignment horizontal="center" vertical="center"/>
    </xf>
    <xf numFmtId="49" fontId="1" fillId="0" borderId="125" xfId="0" applyNumberFormat="1" applyFont="1" applyBorder="1" applyAlignment="1">
      <alignment horizontal="right"/>
    </xf>
    <xf numFmtId="49" fontId="1" fillId="0" borderId="126" xfId="0" applyNumberFormat="1" applyFont="1" applyBorder="1" applyAlignment="1">
      <alignment horizontal="right"/>
    </xf>
    <xf numFmtId="0" fontId="4" fillId="0" borderId="119" xfId="3" applyFont="1" applyBorder="1" applyAlignment="1">
      <alignment horizontal="center" vertical="center"/>
    </xf>
    <xf numFmtId="0" fontId="4" fillId="0" borderId="120" xfId="3" applyFont="1" applyBorder="1" applyAlignment="1">
      <alignment horizontal="center" vertical="center"/>
    </xf>
    <xf numFmtId="0" fontId="4" fillId="0" borderId="121" xfId="3" applyFont="1" applyBorder="1" applyAlignment="1">
      <alignment horizontal="center" vertical="center"/>
    </xf>
    <xf numFmtId="0" fontId="1" fillId="0" borderId="115" xfId="3" applyBorder="1" applyAlignment="1">
      <alignment horizontal="center" vertical="center"/>
    </xf>
    <xf numFmtId="0" fontId="1" fillId="0" borderId="76" xfId="3" applyBorder="1" applyAlignment="1">
      <alignment horizontal="center" vertical="center"/>
    </xf>
    <xf numFmtId="0" fontId="1" fillId="0" borderId="116" xfId="3" applyBorder="1" applyAlignment="1">
      <alignment horizontal="center" vertical="center"/>
    </xf>
    <xf numFmtId="0" fontId="1" fillId="0" borderId="254" xfId="3" applyBorder="1" applyAlignment="1">
      <alignment horizontal="right" vertical="center"/>
    </xf>
    <xf numFmtId="0" fontId="1" fillId="0" borderId="226" xfId="3" applyBorder="1" applyAlignment="1">
      <alignment horizontal="right" vertical="center"/>
    </xf>
    <xf numFmtId="0" fontId="1" fillId="0" borderId="143" xfId="3" applyBorder="1" applyAlignment="1">
      <alignment horizontal="right" vertical="center"/>
    </xf>
    <xf numFmtId="49" fontId="1" fillId="0" borderId="106" xfId="0" applyNumberFormat="1" applyFont="1" applyBorder="1" applyAlignment="1">
      <alignment horizontal="right"/>
    </xf>
    <xf numFmtId="49" fontId="1" fillId="0" borderId="97" xfId="0" applyNumberFormat="1" applyFont="1" applyBorder="1" applyAlignment="1">
      <alignment horizontal="right"/>
    </xf>
    <xf numFmtId="0" fontId="10" fillId="0" borderId="102" xfId="3" applyFont="1" applyBorder="1" applyAlignment="1">
      <alignment horizontal="center" vertical="top" wrapText="1"/>
    </xf>
    <xf numFmtId="0" fontId="10" fillId="0" borderId="88" xfId="3" applyFont="1" applyBorder="1" applyAlignment="1">
      <alignment horizontal="center" vertical="top" wrapText="1"/>
    </xf>
    <xf numFmtId="0" fontId="10" fillId="0" borderId="103" xfId="3" applyFont="1" applyBorder="1" applyAlignment="1">
      <alignment horizontal="center" vertical="top" wrapText="1"/>
    </xf>
    <xf numFmtId="0" fontId="4" fillId="5" borderId="12" xfId="3" applyFont="1" applyFill="1" applyBorder="1" applyAlignment="1">
      <alignment horizontal="center" vertical="center"/>
    </xf>
    <xf numFmtId="0" fontId="4" fillId="5" borderId="13" xfId="3" applyFont="1" applyFill="1" applyBorder="1" applyAlignment="1">
      <alignment horizontal="center" vertical="center"/>
    </xf>
    <xf numFmtId="0" fontId="4" fillId="5" borderId="14" xfId="3" applyFont="1" applyFill="1" applyBorder="1" applyAlignment="1">
      <alignment horizontal="center" vertical="center"/>
    </xf>
    <xf numFmtId="49" fontId="20" fillId="0" borderId="382" xfId="0" applyNumberFormat="1" applyFont="1" applyBorder="1" applyAlignment="1">
      <alignment horizontal="center" vertical="center"/>
    </xf>
    <xf numFmtId="49" fontId="20" fillId="0" borderId="99" xfId="0" applyNumberFormat="1" applyFont="1" applyBorder="1" applyAlignment="1">
      <alignment horizontal="center" vertical="center"/>
    </xf>
    <xf numFmtId="49" fontId="20" fillId="0" borderId="383" xfId="0" applyNumberFormat="1" applyFont="1" applyBorder="1" applyAlignment="1">
      <alignment horizontal="center" vertical="center"/>
    </xf>
    <xf numFmtId="49" fontId="20" fillId="0" borderId="2" xfId="0" applyNumberFormat="1" applyFont="1" applyBorder="1" applyAlignment="1">
      <alignment horizontal="center" vertical="center"/>
    </xf>
    <xf numFmtId="49" fontId="20" fillId="0" borderId="0" xfId="0" applyNumberFormat="1" applyFont="1" applyAlignment="1">
      <alignment horizontal="center" vertical="center"/>
    </xf>
    <xf numFmtId="49" fontId="20" fillId="0" borderId="1" xfId="0" applyNumberFormat="1" applyFont="1" applyBorder="1" applyAlignment="1">
      <alignment horizontal="center" vertical="center"/>
    </xf>
    <xf numFmtId="49" fontId="20" fillId="0" borderId="3" xfId="0" applyNumberFormat="1" applyFont="1" applyBorder="1" applyAlignment="1">
      <alignment horizontal="center" vertical="center"/>
    </xf>
    <xf numFmtId="49" fontId="20" fillId="0" borderId="4" xfId="0" applyNumberFormat="1" applyFont="1" applyBorder="1" applyAlignment="1">
      <alignment horizontal="center" vertical="center"/>
    </xf>
    <xf numFmtId="49" fontId="20" fillId="0" borderId="24" xfId="0" applyNumberFormat="1" applyFont="1" applyBorder="1" applyAlignment="1">
      <alignment horizontal="center" vertical="center"/>
    </xf>
    <xf numFmtId="49" fontId="20" fillId="0" borderId="384" xfId="0" applyNumberFormat="1" applyFont="1" applyBorder="1" applyAlignment="1">
      <alignment horizontal="center"/>
    </xf>
    <xf numFmtId="49" fontId="20" fillId="0" borderId="113" xfId="0" applyNumberFormat="1" applyFont="1" applyBorder="1" applyAlignment="1">
      <alignment horizontal="center"/>
    </xf>
    <xf numFmtId="49" fontId="20" fillId="0" borderId="114" xfId="0" applyNumberFormat="1" applyFont="1" applyBorder="1" applyAlignment="1">
      <alignment horizontal="center"/>
    </xf>
    <xf numFmtId="49" fontId="20" fillId="0" borderId="118" xfId="0" applyNumberFormat="1" applyFont="1" applyBorder="1" applyAlignment="1">
      <alignment horizontal="center"/>
    </xf>
    <xf numFmtId="0" fontId="4" fillId="0" borderId="124" xfId="3" applyFont="1" applyBorder="1" applyAlignment="1">
      <alignment horizontal="center" vertical="center"/>
    </xf>
    <xf numFmtId="0" fontId="4" fillId="0" borderId="123" xfId="3" applyFont="1" applyBorder="1" applyAlignment="1">
      <alignment horizontal="center" vertical="center"/>
    </xf>
    <xf numFmtId="0" fontId="4" fillId="0" borderId="122" xfId="3" applyFont="1" applyBorder="1" applyAlignment="1">
      <alignment horizontal="center" vertical="center"/>
    </xf>
    <xf numFmtId="49" fontId="1" fillId="0" borderId="104" xfId="0" applyNumberFormat="1" applyFont="1" applyBorder="1" applyAlignment="1">
      <alignment horizontal="right"/>
    </xf>
    <xf numFmtId="49" fontId="1" fillId="0" borderId="96" xfId="0" applyNumberFormat="1" applyFont="1" applyBorder="1" applyAlignment="1">
      <alignment horizontal="right"/>
    </xf>
    <xf numFmtId="0" fontId="10" fillId="0" borderId="109" xfId="3" applyFont="1" applyBorder="1" applyAlignment="1">
      <alignment horizontal="center" vertical="center" wrapText="1"/>
    </xf>
    <xf numFmtId="0" fontId="10" fillId="0" borderId="80" xfId="3" applyFont="1" applyBorder="1" applyAlignment="1">
      <alignment horizontal="center" vertical="center" wrapText="1"/>
    </xf>
    <xf numFmtId="0" fontId="10" fillId="0" borderId="110" xfId="3" applyFont="1" applyBorder="1" applyAlignment="1">
      <alignment horizontal="center" vertical="center" wrapText="1"/>
    </xf>
    <xf numFmtId="0" fontId="10" fillId="0" borderId="3" xfId="3" applyFont="1" applyBorder="1" applyAlignment="1">
      <alignment horizontal="center" vertical="center" wrapText="1"/>
    </xf>
    <xf numFmtId="0" fontId="10" fillId="0" borderId="4" xfId="3" applyFont="1" applyBorder="1" applyAlignment="1">
      <alignment horizontal="center" vertical="center" wrapText="1"/>
    </xf>
    <xf numFmtId="0" fontId="10" fillId="0" borderId="24" xfId="3" applyFont="1" applyBorder="1" applyAlignment="1">
      <alignment horizontal="center" vertical="center" wrapText="1"/>
    </xf>
    <xf numFmtId="0" fontId="1" fillId="0" borderId="109" xfId="3" applyBorder="1" applyAlignment="1">
      <alignment horizontal="center" vertical="top" shrinkToFit="1"/>
    </xf>
    <xf numFmtId="0" fontId="1" fillId="0" borderId="80" xfId="3" applyBorder="1" applyAlignment="1">
      <alignment horizontal="center" vertical="top" shrinkToFit="1"/>
    </xf>
    <xf numFmtId="0" fontId="1" fillId="0" borderId="110" xfId="3" applyBorder="1" applyAlignment="1">
      <alignment horizontal="center" vertical="top" shrinkToFit="1"/>
    </xf>
    <xf numFmtId="0" fontId="1" fillId="0" borderId="2" xfId="3" applyBorder="1" applyAlignment="1">
      <alignment horizontal="center" vertical="top" shrinkToFit="1"/>
    </xf>
    <xf numFmtId="0" fontId="1" fillId="0" borderId="0" xfId="3" applyAlignment="1">
      <alignment horizontal="center" vertical="top" shrinkToFit="1"/>
    </xf>
    <xf numFmtId="0" fontId="1" fillId="0" borderId="1" xfId="3" applyBorder="1" applyAlignment="1">
      <alignment horizontal="center" vertical="top" shrinkToFit="1"/>
    </xf>
    <xf numFmtId="49" fontId="1" fillId="0" borderId="101" xfId="0" applyNumberFormat="1" applyFont="1" applyBorder="1" applyAlignment="1">
      <alignment horizontal="center"/>
    </xf>
    <xf numFmtId="49" fontId="1" fillId="0" borderId="91" xfId="0" applyNumberFormat="1" applyFont="1" applyBorder="1" applyAlignment="1">
      <alignment horizontal="center"/>
    </xf>
    <xf numFmtId="0" fontId="4" fillId="0" borderId="47" xfId="3" applyFont="1" applyBorder="1" applyAlignment="1">
      <alignment horizontal="center" vertical="center"/>
    </xf>
    <xf numFmtId="0" fontId="4" fillId="0" borderId="39" xfId="3" applyFont="1" applyBorder="1" applyAlignment="1">
      <alignment horizontal="center" vertical="center"/>
    </xf>
    <xf numFmtId="0" fontId="4" fillId="0" borderId="48" xfId="3" applyFont="1" applyBorder="1" applyAlignment="1">
      <alignment horizontal="center" vertical="center"/>
    </xf>
    <xf numFmtId="9" fontId="4" fillId="0" borderId="12" xfId="4" applyFont="1" applyFill="1" applyBorder="1" applyAlignment="1" applyProtection="1">
      <alignment horizontal="center" vertical="center"/>
    </xf>
    <xf numFmtId="9" fontId="4" fillId="0" borderId="13" xfId="4" applyFont="1" applyFill="1" applyBorder="1" applyAlignment="1" applyProtection="1">
      <alignment horizontal="center" vertical="center"/>
    </xf>
    <xf numFmtId="9" fontId="4" fillId="0" borderId="14" xfId="4" applyFont="1" applyFill="1" applyBorder="1" applyAlignment="1" applyProtection="1">
      <alignment horizontal="center" vertical="center"/>
    </xf>
    <xf numFmtId="0" fontId="1" fillId="3" borderId="23" xfId="3" applyFill="1" applyBorder="1" applyAlignment="1" applyProtection="1">
      <alignment horizontal="left" vertical="center"/>
      <protection locked="0"/>
    </xf>
    <xf numFmtId="0" fontId="1" fillId="3" borderId="25" xfId="3" applyFill="1" applyBorder="1" applyAlignment="1" applyProtection="1">
      <alignment horizontal="left" vertical="center"/>
      <protection locked="0"/>
    </xf>
    <xf numFmtId="0" fontId="1" fillId="3" borderId="26" xfId="3" applyFill="1" applyBorder="1" applyAlignment="1" applyProtection="1">
      <alignment horizontal="left" vertical="center"/>
      <protection locked="0"/>
    </xf>
    <xf numFmtId="0" fontId="5" fillId="0" borderId="0" xfId="3" applyFont="1" applyAlignment="1">
      <alignment horizontal="center" vertical="center"/>
    </xf>
    <xf numFmtId="0" fontId="1" fillId="0" borderId="0" xfId="3" applyAlignment="1">
      <alignment horizontal="center" vertical="center"/>
    </xf>
    <xf numFmtId="0" fontId="24" fillId="16" borderId="31" xfId="3" applyFont="1" applyFill="1" applyBorder="1" applyAlignment="1">
      <alignment horizontal="right" vertical="center"/>
    </xf>
    <xf numFmtId="0" fontId="24" fillId="16" borderId="253" xfId="3" applyFont="1" applyFill="1" applyBorder="1" applyAlignment="1">
      <alignment horizontal="right" vertical="center"/>
    </xf>
    <xf numFmtId="0" fontId="32" fillId="3" borderId="3" xfId="7" applyFill="1" applyBorder="1" applyAlignment="1" applyProtection="1">
      <alignment horizontal="left" vertical="center"/>
      <protection locked="0"/>
    </xf>
    <xf numFmtId="0" fontId="1" fillId="3" borderId="4" xfId="3" applyFill="1" applyBorder="1" applyAlignment="1" applyProtection="1">
      <alignment horizontal="left" vertical="center"/>
      <protection locked="0"/>
    </xf>
    <xf numFmtId="0" fontId="1" fillId="3" borderId="1" xfId="3" applyFill="1" applyBorder="1" applyAlignment="1" applyProtection="1">
      <alignment horizontal="left" vertical="center"/>
      <protection locked="0"/>
    </xf>
    <xf numFmtId="0" fontId="1" fillId="3" borderId="41" xfId="3" applyFill="1" applyBorder="1" applyAlignment="1" applyProtection="1">
      <alignment horizontal="left" vertical="center"/>
      <protection locked="0"/>
    </xf>
    <xf numFmtId="0" fontId="1" fillId="3" borderId="42" xfId="3" applyFill="1" applyBorder="1" applyAlignment="1" applyProtection="1">
      <alignment horizontal="left" vertical="center"/>
      <protection locked="0"/>
    </xf>
    <xf numFmtId="0" fontId="1" fillId="3" borderId="43" xfId="3" applyFill="1" applyBorder="1" applyAlignment="1" applyProtection="1">
      <alignment horizontal="left" vertical="center"/>
      <protection locked="0"/>
    </xf>
    <xf numFmtId="9" fontId="4" fillId="0" borderId="30" xfId="4" applyFont="1" applyFill="1" applyBorder="1" applyAlignment="1" applyProtection="1">
      <alignment horizontal="center" vertical="center"/>
    </xf>
    <xf numFmtId="9" fontId="4" fillId="0" borderId="31" xfId="4" applyFont="1" applyFill="1" applyBorder="1" applyAlignment="1" applyProtection="1">
      <alignment horizontal="center" vertical="center"/>
    </xf>
    <xf numFmtId="9" fontId="4" fillId="0" borderId="32" xfId="4" applyFont="1" applyFill="1" applyBorder="1" applyAlignment="1" applyProtection="1">
      <alignment horizontal="center" vertical="center"/>
    </xf>
    <xf numFmtId="0" fontId="4" fillId="0" borderId="44" xfId="3" applyFont="1" applyBorder="1" applyAlignment="1">
      <alignment horizontal="center" vertical="center"/>
    </xf>
    <xf numFmtId="0" fontId="4" fillId="0" borderId="86" xfId="3" applyFont="1" applyBorder="1" applyAlignment="1">
      <alignment horizontal="center" vertical="center"/>
    </xf>
    <xf numFmtId="0" fontId="4" fillId="0" borderId="45" xfId="3" applyFont="1" applyBorder="1" applyAlignment="1">
      <alignment horizontal="center" vertical="center"/>
    </xf>
    <xf numFmtId="166" fontId="1" fillId="3" borderId="3" xfId="3" applyNumberFormat="1" applyFill="1" applyBorder="1" applyAlignment="1" applyProtection="1">
      <alignment horizontal="left" vertical="center"/>
      <protection locked="0"/>
    </xf>
    <xf numFmtId="166" fontId="1" fillId="3" borderId="24" xfId="3" applyNumberFormat="1" applyFill="1" applyBorder="1" applyAlignment="1" applyProtection="1">
      <alignment horizontal="left" vertical="center"/>
      <protection locked="0"/>
    </xf>
    <xf numFmtId="0" fontId="1" fillId="3" borderId="41" xfId="3" applyFill="1" applyBorder="1" applyAlignment="1" applyProtection="1">
      <alignment horizontal="center" vertical="center"/>
      <protection locked="0"/>
    </xf>
    <xf numFmtId="0" fontId="1" fillId="3" borderId="43" xfId="3" applyFill="1" applyBorder="1" applyAlignment="1" applyProtection="1">
      <alignment horizontal="center" vertical="center"/>
      <protection locked="0"/>
    </xf>
    <xf numFmtId="0" fontId="1" fillId="0" borderId="3" xfId="3" applyBorder="1" applyAlignment="1">
      <alignment horizontal="center" vertical="center"/>
    </xf>
    <xf numFmtId="0" fontId="1" fillId="0" borderId="4" xfId="3" applyBorder="1" applyAlignment="1">
      <alignment horizontal="center" vertical="center"/>
    </xf>
    <xf numFmtId="0" fontId="1" fillId="0" borderId="24" xfId="3" applyBorder="1" applyAlignment="1">
      <alignment horizontal="center" vertical="center"/>
    </xf>
    <xf numFmtId="0" fontId="1" fillId="0" borderId="6" xfId="3" applyBorder="1" applyAlignment="1">
      <alignment horizontal="center" vertical="center" shrinkToFit="1"/>
    </xf>
    <xf numFmtId="0" fontId="1" fillId="0" borderId="5" xfId="3" applyBorder="1" applyAlignment="1">
      <alignment horizontal="center" vertical="center" shrinkToFit="1"/>
    </xf>
    <xf numFmtId="166" fontId="1" fillId="0" borderId="3" xfId="3" applyNumberFormat="1" applyBorder="1" applyAlignment="1">
      <alignment horizontal="center" vertical="center" shrinkToFit="1"/>
    </xf>
    <xf numFmtId="166" fontId="1" fillId="0" borderId="24" xfId="3" applyNumberFormat="1" applyBorder="1" applyAlignment="1">
      <alignment horizontal="center" vertical="center" shrinkToFit="1"/>
    </xf>
    <xf numFmtId="0" fontId="4" fillId="0" borderId="3" xfId="3" applyFont="1" applyBorder="1" applyAlignment="1">
      <alignment horizontal="center" vertical="center"/>
    </xf>
    <xf numFmtId="0" fontId="4" fillId="0" borderId="4" xfId="3" applyFont="1" applyBorder="1" applyAlignment="1">
      <alignment horizontal="center" vertical="center"/>
    </xf>
    <xf numFmtId="0" fontId="1" fillId="0" borderId="354" xfId="3" applyBorder="1" applyAlignment="1">
      <alignment horizontal="center" vertical="center"/>
    </xf>
    <xf numFmtId="0" fontId="1" fillId="0" borderId="355" xfId="3" applyBorder="1" applyAlignment="1">
      <alignment horizontal="center" vertical="center"/>
    </xf>
    <xf numFmtId="0" fontId="4" fillId="0" borderId="361" xfId="3" applyFont="1" applyBorder="1" applyAlignment="1">
      <alignment horizontal="center" vertical="center"/>
    </xf>
    <xf numFmtId="0" fontId="4" fillId="0" borderId="272" xfId="3" applyFont="1" applyBorder="1" applyAlignment="1">
      <alignment horizontal="center" vertical="center"/>
    </xf>
    <xf numFmtId="0" fontId="4" fillId="0" borderId="362" xfId="3" applyFont="1" applyBorder="1" applyAlignment="1">
      <alignment horizontal="center" vertical="center"/>
    </xf>
    <xf numFmtId="1" fontId="1" fillId="0" borderId="363" xfId="3" applyNumberFormat="1" applyBorder="1" applyAlignment="1">
      <alignment horizontal="center" vertical="center" shrinkToFit="1"/>
    </xf>
    <xf numFmtId="1" fontId="1" fillId="0" borderId="364" xfId="3" applyNumberFormat="1" applyBorder="1" applyAlignment="1">
      <alignment horizontal="center" vertical="center" shrinkToFit="1"/>
    </xf>
    <xf numFmtId="1" fontId="1" fillId="0" borderId="365" xfId="3" applyNumberFormat="1" applyBorder="1" applyAlignment="1">
      <alignment horizontal="center" vertical="center" shrinkToFit="1"/>
    </xf>
    <xf numFmtId="0" fontId="15" fillId="5" borderId="30" xfId="0" applyFont="1" applyFill="1" applyBorder="1" applyAlignment="1">
      <alignment horizontal="center" vertical="center"/>
    </xf>
    <xf numFmtId="0" fontId="15" fillId="5" borderId="31" xfId="0" applyFont="1" applyFill="1" applyBorder="1" applyAlignment="1">
      <alignment horizontal="center" vertical="center"/>
    </xf>
    <xf numFmtId="0" fontId="15" fillId="5" borderId="32" xfId="0" applyFont="1" applyFill="1" applyBorder="1" applyAlignment="1">
      <alignment horizontal="center" vertical="center"/>
    </xf>
    <xf numFmtId="0" fontId="15" fillId="5" borderId="83" xfId="0" applyFont="1" applyFill="1" applyBorder="1" applyAlignment="1">
      <alignment horizontal="center" vertical="center"/>
    </xf>
    <xf numFmtId="0" fontId="15" fillId="5" borderId="84" xfId="0" applyFont="1" applyFill="1" applyBorder="1" applyAlignment="1">
      <alignment horizontal="center" vertical="center"/>
    </xf>
    <xf numFmtId="0" fontId="15" fillId="5" borderId="85" xfId="0" applyFont="1" applyFill="1" applyBorder="1" applyAlignment="1">
      <alignment horizontal="center" vertical="center"/>
    </xf>
    <xf numFmtId="0" fontId="1" fillId="0" borderId="3" xfId="3" applyBorder="1" applyAlignment="1">
      <alignment horizontal="center" vertical="center" shrinkToFit="1"/>
    </xf>
    <xf numFmtId="0" fontId="1" fillId="0" borderId="4" xfId="3" applyBorder="1" applyAlignment="1">
      <alignment horizontal="center" vertical="center" shrinkToFit="1"/>
    </xf>
    <xf numFmtId="0" fontId="1" fillId="0" borderId="24" xfId="3" applyBorder="1" applyAlignment="1">
      <alignment horizontal="center" vertical="center" shrinkToFit="1"/>
    </xf>
    <xf numFmtId="9" fontId="4" fillId="0" borderId="44" xfId="4" applyFont="1" applyFill="1" applyBorder="1" applyAlignment="1" applyProtection="1">
      <alignment horizontal="center" vertical="center"/>
    </xf>
    <xf numFmtId="9" fontId="4" fillId="0" borderId="86" xfId="4" applyFont="1" applyFill="1" applyBorder="1" applyAlignment="1" applyProtection="1">
      <alignment horizontal="center" vertical="center"/>
    </xf>
    <xf numFmtId="9" fontId="4" fillId="0" borderId="45" xfId="4" applyFont="1" applyFill="1" applyBorder="1" applyAlignment="1" applyProtection="1">
      <alignment horizontal="center" vertical="center"/>
    </xf>
    <xf numFmtId="9" fontId="4" fillId="0" borderId="358" xfId="4" applyFont="1" applyFill="1" applyBorder="1" applyAlignment="1" applyProtection="1">
      <alignment horizontal="center" vertical="center"/>
    </xf>
    <xf numFmtId="9" fontId="4" fillId="0" borderId="359" xfId="4" applyFont="1" applyFill="1" applyBorder="1" applyAlignment="1" applyProtection="1">
      <alignment horizontal="center" vertical="center"/>
    </xf>
    <xf numFmtId="9" fontId="4" fillId="0" borderId="360" xfId="4" applyFont="1" applyFill="1" applyBorder="1" applyAlignment="1" applyProtection="1">
      <alignment horizontal="center" vertical="center"/>
    </xf>
    <xf numFmtId="0" fontId="1" fillId="0" borderId="363" xfId="3" applyBorder="1" applyAlignment="1">
      <alignment horizontal="center" vertical="center" shrinkToFit="1"/>
    </xf>
    <xf numFmtId="0" fontId="1" fillId="0" borderId="364" xfId="3" applyBorder="1" applyAlignment="1">
      <alignment horizontal="center" vertical="center" shrinkToFit="1"/>
    </xf>
    <xf numFmtId="0" fontId="1" fillId="0" borderId="365" xfId="3" applyBorder="1" applyAlignment="1">
      <alignment horizontal="center" vertical="center" shrinkToFit="1"/>
    </xf>
    <xf numFmtId="0" fontId="4" fillId="0" borderId="356" xfId="3" applyFont="1" applyBorder="1" applyAlignment="1">
      <alignment horizontal="center" vertical="center"/>
    </xf>
    <xf numFmtId="0" fontId="4" fillId="0" borderId="357" xfId="3" applyFont="1" applyBorder="1" applyAlignment="1">
      <alignment horizontal="center" vertical="center"/>
    </xf>
    <xf numFmtId="0" fontId="1" fillId="0" borderId="41" xfId="3" applyBorder="1" applyAlignment="1">
      <alignment horizontal="center" vertical="center" shrinkToFit="1"/>
    </xf>
    <xf numFmtId="0" fontId="1" fillId="0" borderId="42" xfId="3" applyBorder="1" applyAlignment="1">
      <alignment horizontal="center" vertical="center" shrinkToFit="1"/>
    </xf>
    <xf numFmtId="0" fontId="1" fillId="0" borderId="43" xfId="3" applyBorder="1" applyAlignment="1">
      <alignment horizontal="center" vertical="center" shrinkToFit="1"/>
    </xf>
    <xf numFmtId="0" fontId="15" fillId="4" borderId="30" xfId="0" applyFont="1" applyFill="1" applyBorder="1" applyAlignment="1">
      <alignment horizontal="center" vertical="center"/>
    </xf>
    <xf numFmtId="0" fontId="15" fillId="4" borderId="31" xfId="0" applyFont="1" applyFill="1" applyBorder="1" applyAlignment="1">
      <alignment horizontal="center" vertical="center"/>
    </xf>
    <xf numFmtId="0" fontId="15" fillId="4" borderId="32" xfId="0" applyFont="1" applyFill="1" applyBorder="1" applyAlignment="1">
      <alignment horizontal="center" vertical="center"/>
    </xf>
    <xf numFmtId="0" fontId="15" fillId="4" borderId="83" xfId="0" applyFont="1" applyFill="1" applyBorder="1" applyAlignment="1">
      <alignment horizontal="center" vertical="center"/>
    </xf>
    <xf numFmtId="0" fontId="15" fillId="4" borderId="84" xfId="0" applyFont="1" applyFill="1" applyBorder="1" applyAlignment="1">
      <alignment horizontal="center" vertical="center"/>
    </xf>
    <xf numFmtId="0" fontId="15" fillId="4" borderId="85" xfId="0" applyFont="1" applyFill="1" applyBorder="1" applyAlignment="1">
      <alignment horizontal="center" vertical="center"/>
    </xf>
    <xf numFmtId="0" fontId="14" fillId="12" borderId="89" xfId="0" applyFont="1" applyFill="1" applyBorder="1" applyAlignment="1">
      <alignment horizontal="center" vertical="center"/>
    </xf>
    <xf numFmtId="0" fontId="14" fillId="12" borderId="90" xfId="0" applyFont="1" applyFill="1" applyBorder="1" applyAlignment="1">
      <alignment horizontal="center" vertical="center"/>
    </xf>
    <xf numFmtId="0" fontId="14" fillId="12" borderId="91" xfId="0" applyFont="1" applyFill="1" applyBorder="1" applyAlignment="1">
      <alignment horizontal="center" vertical="center"/>
    </xf>
    <xf numFmtId="0" fontId="1" fillId="0" borderId="181" xfId="0" applyFont="1" applyBorder="1" applyAlignment="1">
      <alignment horizontal="left" vertical="center"/>
    </xf>
    <xf numFmtId="0" fontId="1" fillId="0" borderId="99" xfId="0" applyFont="1" applyBorder="1" applyAlignment="1">
      <alignment horizontal="left" vertical="center"/>
    </xf>
    <xf numFmtId="0" fontId="1" fillId="0" borderId="182" xfId="0" applyFont="1" applyBorder="1" applyAlignment="1">
      <alignment horizontal="left" vertical="center"/>
    </xf>
    <xf numFmtId="0" fontId="22" fillId="0" borderId="202" xfId="0" applyFont="1" applyBorder="1" applyAlignment="1">
      <alignment horizontal="left" vertical="center"/>
    </xf>
    <xf numFmtId="0" fontId="22" fillId="0" borderId="146" xfId="0" applyFont="1" applyBorder="1" applyAlignment="1">
      <alignment horizontal="left" vertical="center"/>
    </xf>
    <xf numFmtId="0" fontId="22" fillId="0" borderId="2" xfId="0" applyFont="1" applyBorder="1" applyAlignment="1">
      <alignment horizontal="left" vertical="center"/>
    </xf>
    <xf numFmtId="0" fontId="22" fillId="0" borderId="0" xfId="0" applyFont="1" applyAlignment="1">
      <alignment horizontal="left" vertical="center"/>
    </xf>
    <xf numFmtId="0" fontId="22" fillId="0" borderId="145" xfId="0" applyFont="1" applyBorder="1" applyAlignment="1">
      <alignment horizontal="left" vertical="center"/>
    </xf>
    <xf numFmtId="1" fontId="20" fillId="3" borderId="208" xfId="2" applyNumberFormat="1" applyFont="1" applyFill="1" applyBorder="1" applyAlignment="1" applyProtection="1">
      <alignment horizontal="center" vertical="center"/>
      <protection locked="0"/>
    </xf>
    <xf numFmtId="1" fontId="20" fillId="3" borderId="149" xfId="2" applyNumberFormat="1" applyFont="1" applyFill="1" applyBorder="1" applyAlignment="1" applyProtection="1">
      <alignment horizontal="center" vertical="center"/>
      <protection locked="0"/>
    </xf>
    <xf numFmtId="1" fontId="20" fillId="3" borderId="100" xfId="2" applyNumberFormat="1" applyFont="1" applyFill="1" applyBorder="1" applyAlignment="1" applyProtection="1">
      <alignment horizontal="center" vertical="center"/>
      <protection locked="0"/>
    </xf>
    <xf numFmtId="0" fontId="22" fillId="0" borderId="99" xfId="0" applyFont="1" applyBorder="1" applyAlignment="1">
      <alignment horizontal="center"/>
    </xf>
    <xf numFmtId="0" fontId="1" fillId="0" borderId="67" xfId="0" applyFont="1" applyBorder="1" applyAlignment="1">
      <alignment horizontal="left" vertical="center"/>
    </xf>
    <xf numFmtId="0" fontId="1" fillId="0" borderId="0" xfId="0" applyFont="1" applyAlignment="1">
      <alignment horizontal="left" vertical="center"/>
    </xf>
    <xf numFmtId="0" fontId="1" fillId="0" borderId="149" xfId="0" applyFont="1" applyBorder="1" applyAlignment="1">
      <alignment horizontal="left" vertical="center"/>
    </xf>
    <xf numFmtId="0" fontId="1" fillId="0" borderId="145" xfId="0" applyFont="1" applyBorder="1" applyAlignment="1">
      <alignment horizontal="left" vertical="center"/>
    </xf>
    <xf numFmtId="0" fontId="1" fillId="0" borderId="146" xfId="0" applyFont="1" applyBorder="1" applyAlignment="1">
      <alignment horizontal="left" vertical="center"/>
    </xf>
    <xf numFmtId="0" fontId="1" fillId="0" borderId="100" xfId="0" applyFont="1" applyBorder="1" applyAlignment="1">
      <alignment horizontal="left" vertical="center"/>
    </xf>
    <xf numFmtId="1" fontId="20" fillId="3" borderId="419" xfId="2" applyNumberFormat="1" applyFont="1" applyFill="1" applyBorder="1" applyAlignment="1" applyProtection="1">
      <alignment horizontal="center" vertical="center"/>
      <protection locked="0"/>
    </xf>
    <xf numFmtId="1" fontId="20" fillId="3" borderId="420" xfId="2" applyNumberFormat="1" applyFont="1" applyFill="1" applyBorder="1" applyAlignment="1" applyProtection="1">
      <alignment horizontal="center" vertical="center"/>
      <protection locked="0"/>
    </xf>
    <xf numFmtId="0" fontId="23" fillId="4" borderId="425" xfId="0" applyFont="1" applyFill="1" applyBorder="1" applyAlignment="1">
      <alignment horizontal="center" vertical="center"/>
    </xf>
    <xf numFmtId="0" fontId="23" fillId="4" borderId="426" xfId="0" applyFont="1" applyFill="1" applyBorder="1" applyAlignment="1">
      <alignment horizontal="center" vertical="center"/>
    </xf>
    <xf numFmtId="0" fontId="23" fillId="4" borderId="427" xfId="0" applyFont="1" applyFill="1" applyBorder="1" applyAlignment="1">
      <alignment horizontal="center" vertical="center"/>
    </xf>
    <xf numFmtId="0" fontId="22" fillId="0" borderId="428" xfId="0" applyFont="1" applyBorder="1" applyAlignment="1">
      <alignment horizontal="center"/>
    </xf>
    <xf numFmtId="1" fontId="20" fillId="3" borderId="230" xfId="0" applyNumberFormat="1" applyFont="1" applyFill="1" applyBorder="1" applyAlignment="1" applyProtection="1">
      <alignment horizontal="center" vertical="center"/>
      <protection locked="0"/>
    </xf>
    <xf numFmtId="1" fontId="20" fillId="3" borderId="185" xfId="0" applyNumberFormat="1" applyFont="1" applyFill="1" applyBorder="1" applyAlignment="1" applyProtection="1">
      <alignment horizontal="center" vertical="center"/>
      <protection locked="0"/>
    </xf>
    <xf numFmtId="1" fontId="20" fillId="3" borderId="197" xfId="0" applyNumberFormat="1" applyFont="1" applyFill="1" applyBorder="1" applyAlignment="1" applyProtection="1">
      <alignment horizontal="center" vertical="center"/>
      <protection locked="0"/>
    </xf>
    <xf numFmtId="1" fontId="20" fillId="3" borderId="300" xfId="2" applyNumberFormat="1" applyFont="1" applyFill="1" applyBorder="1" applyAlignment="1" applyProtection="1">
      <alignment horizontal="center" vertical="center"/>
      <protection locked="0"/>
    </xf>
    <xf numFmtId="1" fontId="20" fillId="3" borderId="302" xfId="2" applyNumberFormat="1" applyFont="1" applyFill="1" applyBorder="1" applyAlignment="1" applyProtection="1">
      <alignment horizontal="center" vertical="center"/>
      <protection locked="0"/>
    </xf>
    <xf numFmtId="1" fontId="20" fillId="3" borderId="328" xfId="0" applyNumberFormat="1" applyFont="1" applyFill="1" applyBorder="1" applyAlignment="1" applyProtection="1">
      <alignment horizontal="center" vertical="center"/>
      <protection locked="0"/>
    </xf>
    <xf numFmtId="1" fontId="20" fillId="3" borderId="18" xfId="0" applyNumberFormat="1" applyFont="1" applyFill="1" applyBorder="1" applyAlignment="1" applyProtection="1">
      <alignment horizontal="center" vertical="center"/>
      <protection locked="0"/>
    </xf>
    <xf numFmtId="1" fontId="20" fillId="3" borderId="340" xfId="0" applyNumberFormat="1" applyFont="1" applyFill="1" applyBorder="1" applyAlignment="1" applyProtection="1">
      <alignment horizontal="center" vertical="center"/>
      <protection locked="0"/>
    </xf>
    <xf numFmtId="1" fontId="20" fillId="3" borderId="189" xfId="0" applyNumberFormat="1" applyFont="1" applyFill="1" applyBorder="1" applyAlignment="1" applyProtection="1">
      <alignment horizontal="center" vertical="center"/>
      <protection locked="0"/>
    </xf>
    <xf numFmtId="1" fontId="20" fillId="3" borderId="327" xfId="2" applyNumberFormat="1" applyFont="1" applyFill="1" applyBorder="1" applyAlignment="1" applyProtection="1">
      <alignment horizontal="center" vertical="center"/>
      <protection locked="0"/>
    </xf>
    <xf numFmtId="1" fontId="20" fillId="3" borderId="131" xfId="2" applyNumberFormat="1" applyFont="1" applyFill="1" applyBorder="1" applyAlignment="1" applyProtection="1">
      <alignment horizontal="center" vertical="center"/>
      <protection locked="0"/>
    </xf>
    <xf numFmtId="1" fontId="20" fillId="3" borderId="177" xfId="2" applyNumberFormat="1" applyFont="1" applyFill="1" applyBorder="1" applyAlignment="1" applyProtection="1">
      <alignment horizontal="center" vertical="center"/>
      <protection locked="0"/>
    </xf>
    <xf numFmtId="1" fontId="20" fillId="3" borderId="159" xfId="2" applyNumberFormat="1" applyFont="1" applyFill="1" applyBorder="1" applyAlignment="1" applyProtection="1">
      <alignment horizontal="center" vertical="center"/>
      <protection locked="0"/>
    </xf>
    <xf numFmtId="0" fontId="4" fillId="0" borderId="0" xfId="0" applyFont="1" applyAlignment="1">
      <alignment horizontal="center" vertical="center" shrinkToFit="1"/>
    </xf>
    <xf numFmtId="0" fontId="23" fillId="5" borderId="27" xfId="0" applyFont="1" applyFill="1" applyBorder="1" applyAlignment="1">
      <alignment horizontal="center" vertical="center"/>
    </xf>
    <xf numFmtId="0" fontId="23" fillId="5" borderId="28" xfId="0" applyFont="1" applyFill="1" applyBorder="1" applyAlignment="1">
      <alignment horizontal="center" vertical="center"/>
    </xf>
    <xf numFmtId="0" fontId="23" fillId="5" borderId="29" xfId="0" applyFont="1" applyFill="1" applyBorder="1" applyAlignment="1">
      <alignment horizontal="center" vertical="center"/>
    </xf>
    <xf numFmtId="0" fontId="4" fillId="0" borderId="0" xfId="0" applyFont="1" applyAlignment="1">
      <alignment horizontal="right" vertical="center"/>
    </xf>
    <xf numFmtId="0" fontId="14" fillId="12" borderId="181" xfId="0" applyFont="1" applyFill="1" applyBorder="1" applyAlignment="1">
      <alignment horizontal="center" vertical="center"/>
    </xf>
    <xf numFmtId="0" fontId="14" fillId="12" borderId="99" xfId="0" applyFont="1" applyFill="1" applyBorder="1" applyAlignment="1">
      <alignment horizontal="center" vertical="center"/>
    </xf>
    <xf numFmtId="0" fontId="14" fillId="12" borderId="182" xfId="0" applyFont="1" applyFill="1" applyBorder="1" applyAlignment="1">
      <alignment horizontal="center" vertical="center"/>
    </xf>
    <xf numFmtId="44" fontId="4" fillId="0" borderId="0" xfId="0" applyNumberFormat="1" applyFont="1" applyAlignment="1">
      <alignment horizontal="center" vertical="center"/>
    </xf>
    <xf numFmtId="9" fontId="36" fillId="0" borderId="32" xfId="0" applyNumberFormat="1" applyFont="1" applyBorder="1" applyAlignment="1">
      <alignment horizontal="center"/>
    </xf>
    <xf numFmtId="9" fontId="36" fillId="0" borderId="1" xfId="0" applyNumberFormat="1" applyFont="1" applyBorder="1" applyAlignment="1">
      <alignment horizontal="center"/>
    </xf>
    <xf numFmtId="9" fontId="36" fillId="0" borderId="24" xfId="0" applyNumberFormat="1" applyFont="1" applyBorder="1" applyAlignment="1">
      <alignment horizontal="center"/>
    </xf>
    <xf numFmtId="9" fontId="36" fillId="0" borderId="8" xfId="0" applyNumberFormat="1" applyFont="1" applyBorder="1" applyAlignment="1">
      <alignment horizontal="center"/>
    </xf>
    <xf numFmtId="9" fontId="36" fillId="0" borderId="236" xfId="0" applyNumberFormat="1" applyFont="1" applyBorder="1" applyAlignment="1">
      <alignment horizontal="center"/>
    </xf>
    <xf numFmtId="9" fontId="36" fillId="0" borderId="36" xfId="0" applyNumberFormat="1" applyFont="1" applyBorder="1" applyAlignment="1">
      <alignment horizontal="center"/>
    </xf>
    <xf numFmtId="0" fontId="36" fillId="0" borderId="27" xfId="0" applyFont="1" applyBorder="1" applyAlignment="1">
      <alignment horizontal="center"/>
    </xf>
    <xf numFmtId="0" fontId="36" fillId="0" borderId="29" xfId="0" applyFont="1" applyBorder="1" applyAlignment="1">
      <alignment horizontal="center"/>
    </xf>
    <xf numFmtId="0" fontId="36" fillId="0" borderId="28" xfId="0" applyFont="1" applyBorder="1" applyAlignment="1">
      <alignment horizontal="center"/>
    </xf>
    <xf numFmtId="9" fontId="36" fillId="0" borderId="398" xfId="0" applyNumberFormat="1" applyFont="1" applyBorder="1" applyAlignment="1">
      <alignment horizontal="center" vertical="center"/>
    </xf>
    <xf numFmtId="9" fontId="36" fillId="0" borderId="399" xfId="0" applyNumberFormat="1" applyFont="1" applyBorder="1" applyAlignment="1">
      <alignment horizontal="center" vertical="center"/>
    </xf>
    <xf numFmtId="9" fontId="36" fillId="0" borderId="400" xfId="0" applyNumberFormat="1" applyFont="1" applyBorder="1" applyAlignment="1">
      <alignment horizontal="center" vertical="center"/>
    </xf>
    <xf numFmtId="9" fontId="36" fillId="0" borderId="32" xfId="0" applyNumberFormat="1" applyFont="1" applyBorder="1" applyAlignment="1">
      <alignment horizontal="center" vertical="center"/>
    </xf>
    <xf numFmtId="9" fontId="36" fillId="0" borderId="1" xfId="0" applyNumberFormat="1" applyFont="1" applyBorder="1" applyAlignment="1">
      <alignment horizontal="center" vertical="center"/>
    </xf>
    <xf numFmtId="9" fontId="36" fillId="0" borderId="24" xfId="0" applyNumberFormat="1" applyFont="1" applyBorder="1" applyAlignment="1">
      <alignment horizontal="center" vertical="center"/>
    </xf>
  </cellXfs>
  <cellStyles count="16">
    <cellStyle name="0,0_x000a__x000a_NA_x000a__x000a_" xfId="5" xr:uid="{00000000-0005-0000-0000-000000000000}"/>
    <cellStyle name="0,0_x000a__x000a_NA_x000a__x000a_ 10" xfId="8" xr:uid="{514E2FA0-17C9-C549-A33A-27559B443A90}"/>
    <cellStyle name="0,0_x000a__x000a_NA_x000a__x000a_ 2 2" xfId="6" xr:uid="{00000000-0005-0000-0000-000001000000}"/>
    <cellStyle name="0,0_x000a__x000a_NA_x000a__x000a_ 3 2" xfId="15" xr:uid="{EA7912D4-D56F-CD48-AB41-4C2EE5922A63}"/>
    <cellStyle name="Comma" xfId="1" builtinId="3"/>
    <cellStyle name="Comma 2" xfId="14" xr:uid="{671322F1-CC30-2B48-9EE0-43A21BD4B483}"/>
    <cellStyle name="Currency" xfId="2" builtinId="4"/>
    <cellStyle name="Currency 2" xfId="10" xr:uid="{D2530398-75E5-E54C-B64E-779BE8197B08}"/>
    <cellStyle name="Currency 3" xfId="13" xr:uid="{D93FEFEA-3C2F-DA42-B666-EEA1949EA7B8}"/>
    <cellStyle name="Currency 9" xfId="12" xr:uid="{22B4D6F3-57CC-264F-8FBD-0A1F4E0820A1}"/>
    <cellStyle name="Hyperlink" xfId="7" builtinId="8"/>
    <cellStyle name="Normal" xfId="0" builtinId="0"/>
    <cellStyle name="Normal 2" xfId="3" xr:uid="{00000000-0005-0000-0000-000005000000}"/>
    <cellStyle name="Normal 3" xfId="9" xr:uid="{2A0FC425-F089-0640-89E8-175D6CFDE9C6}"/>
    <cellStyle name="Percent" xfId="4" builtinId="5"/>
    <cellStyle name="Percent 2" xfId="11" xr:uid="{D9F4540E-25B6-A744-94CD-87D48674658A}"/>
  </cellStyles>
  <dxfs count="38">
    <dxf>
      <font>
        <color rgb="FF9C0006"/>
      </font>
      <fill>
        <patternFill>
          <bgColor rgb="FFFFC7CE"/>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s>
  <tableStyles count="0" defaultTableStyle="TableStyleMedium9" defaultPivotStyle="PivotStyleLight16"/>
  <colors>
    <mruColors>
      <color rgb="FFFFFF99"/>
      <color rgb="FFFF0066"/>
      <color rgb="FFDDDD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purl.oclc.org/ooxml/officeDocument/relationships/styles" Target="styles.xml"/><Relationship Id="rId3" Type="http://purl.oclc.org/ooxml/officeDocument/relationships/worksheet" Target="worksheets/sheet3.xml"/><Relationship Id="rId7" Type="http://purl.oclc.org/ooxml/officeDocument/relationships/theme" Target="theme/theme1.xml"/><Relationship Id="rId2" Type="http://purl.oclc.org/ooxml/officeDocument/relationships/worksheet" Target="worksheets/sheet2.xml"/><Relationship Id="rId1" Type="http://purl.oclc.org/ooxml/officeDocument/relationships/worksheet" Target="worksheets/sheet1.xml"/><Relationship Id="rId6" Type="http://purl.oclc.org/ooxml/officeDocument/relationships/externalLink" Target="externalLinks/externalLink1.xml"/><Relationship Id="rId5" Type="http://purl.oclc.org/ooxml/officeDocument/relationships/worksheet" Target="worksheets/sheet5.xml"/><Relationship Id="rId10" Type="http://purl.oclc.org/ooxml/officeDocument/relationships/calcChain" Target="calcChain.xml"/><Relationship Id="rId4" Type="http://purl.oclc.org/ooxml/officeDocument/relationships/worksheet" Target="worksheets/sheet4.xml"/><Relationship Id="rId9" Type="http://purl.oclc.org/ooxml/officeDocument/relationships/sharedStrings" Target="sharedStrings.xml"/></Relationships>
</file>

<file path=xl/drawings/_rels/drawing1.xml.rels><?xml version="1.0" encoding="UTF-8" standalone="yes"?>
<Relationships xmlns="http://schemas.openxmlformats.org/package/2006/relationships"><Relationship Id="rId1" Type="http://purl.oclc.org/ooxml/officeDocument/relationships/image" Target="../media/image1.png"/></Relationships>
</file>

<file path=xl/drawings/_rels/drawing2.xml.rels><?xml version="1.0" encoding="UTF-8" standalone="yes"?>
<Relationships xmlns="http://schemas.openxmlformats.org/package/2006/relationships"><Relationship Id="rId1" Type="http://purl.oclc.org/ooxml/officeDocument/relationships/image" Target="../media/image1.png"/></Relationships>
</file>

<file path=xl/drawings/_rels/drawing3.xml.rels><?xml version="1.0" encoding="UTF-8" standalone="yes"?>
<Relationships xmlns="http://schemas.openxmlformats.org/package/2006/relationships"><Relationship Id="rId1" Type="http://purl.oclc.org/ooxml/officeDocument/relationships/image" Target="../media/image1.png"/></Relationships>
</file>

<file path=xl/drawings/_rels/drawing4.xml.rels><?xml version="1.0" encoding="UTF-8" standalone="yes"?>
<Relationships xmlns="http://schemas.openxmlformats.org/package/2006/relationships"><Relationship Id="rId1" Type="http://purl.oclc.org/ooxml/officeDocument/relationships/image" Target="../media/image1.png"/></Relationships>
</file>

<file path=xl/drawings/drawing1.xml><?xml version="1.0" encoding="utf-8"?>
<xdr:wsDr xmlns:xdr="http://purl.oclc.org/ooxml/drawingml/spreadsheetDrawing" xmlns:a="http://purl.oclc.org/ooxml/drawingml/main">
  <xdr:twoCellAnchor editAs="oneCell">
    <xdr:from>
      <xdr:col>2</xdr:col>
      <xdr:colOff>88900</xdr:colOff>
      <xdr:row>2</xdr:row>
      <xdr:rowOff>63500</xdr:rowOff>
    </xdr:from>
    <xdr:to>
      <xdr:col>4</xdr:col>
      <xdr:colOff>182732</xdr:colOff>
      <xdr:row>8</xdr:row>
      <xdr:rowOff>114300</xdr:rowOff>
    </xdr:to>
    <xdr:pic>
      <xdr:nvPicPr>
        <xdr:cNvPr id="3" name="Image" descr="Image">
          <a:extLst>
            <a:ext uri="{FF2B5EF4-FFF2-40B4-BE49-F238E27FC236}">
              <a16:creationId xmlns:a16="http://schemas.microsoft.com/office/drawing/2014/main" id="{F5F3B39F-28AB-7240-A936-88DB431DD0A1}"/>
            </a:ext>
          </a:extLst>
        </xdr:cNvPr>
        <xdr:cNvPicPr>
          <a:picLocks noChangeAspect="1"/>
        </xdr:cNvPicPr>
      </xdr:nvPicPr>
      <xdr:blipFill>
        <a:blip xmlns:r="http://purl.oclc.org/ooxml/officeDocument/relationships" r:embed="rId1"/>
        <a:stretch>
          <a:fillRect/>
        </a:stretch>
      </xdr:blipFill>
      <xdr:spPr>
        <a:xfrm>
          <a:off x="317500" y="266700"/>
          <a:ext cx="1033632" cy="1028700"/>
        </a:xfrm>
        <a:prstGeom prst="rect">
          <a:avLst/>
        </a:prstGeom>
        <a:ln w="12700">
          <a:miter lim="400%"/>
        </a:ln>
      </xdr:spPr>
    </xdr:pic>
    <xdr:clientData/>
  </xdr:twoCellAnchor>
</xdr:wsDr>
</file>

<file path=xl/drawings/drawing2.xml><?xml version="1.0" encoding="utf-8"?>
<xdr:wsDr xmlns:xdr="http://purl.oclc.org/ooxml/drawingml/spreadsheetDrawing" xmlns:a="http://purl.oclc.org/ooxml/drawingml/main">
  <xdr:twoCellAnchor editAs="oneCell">
    <xdr:from>
      <xdr:col>20</xdr:col>
      <xdr:colOff>13492</xdr:colOff>
      <xdr:row>5</xdr:row>
      <xdr:rowOff>76200</xdr:rowOff>
    </xdr:from>
    <xdr:to>
      <xdr:col>20</xdr:col>
      <xdr:colOff>881232</xdr:colOff>
      <xdr:row>10</xdr:row>
      <xdr:rowOff>88900</xdr:rowOff>
    </xdr:to>
    <xdr:pic>
      <xdr:nvPicPr>
        <xdr:cNvPr id="3" name="Image" descr="Image">
          <a:extLst>
            <a:ext uri="{FF2B5EF4-FFF2-40B4-BE49-F238E27FC236}">
              <a16:creationId xmlns:a16="http://schemas.microsoft.com/office/drawing/2014/main" id="{6054FCAE-DE16-C84A-AE0D-0B7AEBCB55C3}"/>
            </a:ext>
          </a:extLst>
        </xdr:cNvPr>
        <xdr:cNvPicPr>
          <a:picLocks noChangeAspect="1"/>
        </xdr:cNvPicPr>
      </xdr:nvPicPr>
      <xdr:blipFill>
        <a:blip xmlns:r="http://purl.oclc.org/ooxml/officeDocument/relationships" r:embed="rId1"/>
        <a:stretch>
          <a:fillRect/>
        </a:stretch>
      </xdr:blipFill>
      <xdr:spPr>
        <a:xfrm>
          <a:off x="12281692" y="114300"/>
          <a:ext cx="867740" cy="863600"/>
        </a:xfrm>
        <a:prstGeom prst="rect">
          <a:avLst/>
        </a:prstGeom>
        <a:ln w="12700">
          <a:miter lim="400%"/>
        </a:ln>
      </xdr:spPr>
    </xdr:pic>
    <xdr:clientData/>
  </xdr:twoCellAnchor>
  <mc:AlternateContent xmlns:mc="http://schemas.openxmlformats.org/markup-compatibility/2006">
    <mc:Choice xmlns:v="urn:schemas-microsoft-com:vml" Requires="v"/>
    <mc:Fallback>
      <xdr:twoCellAnchor editAs="absolute">
        <xdr:from>
          <xdr:col>20</xdr:col>
          <xdr:colOff>558800</xdr:colOff>
          <xdr:row>155</xdr:row>
          <xdr:rowOff>12700</xdr:rowOff>
        </xdr:from>
        <xdr:to>
          <xdr:col>24</xdr:col>
          <xdr:colOff>622300</xdr:colOff>
          <xdr:row>164</xdr:row>
          <xdr:rowOff>12700</xdr:rowOff>
        </xdr:to>
        <xdr:sp macro="" textlink="">
          <xdr:nvSpPr>
            <xdr:cNvPr id="10241" name="Comment 1" hidden="1">
              <a:extLst>
                <a:ext uri="{FF2B5EF4-FFF2-40B4-BE49-F238E27FC236}">
                  <a16:creationId xmlns:a16="http://schemas.microsoft.com/office/drawing/2014/main" id="{5C0533B0-D1AE-DE81-5534-6DA6291BC5F2}"/>
                </a:ext>
              </a:extLst>
            </xdr:cNvPr>
            <xdr:cNvSpPr txBox="1">
              <a:spLocks noChangeArrowheads="1"/>
            </xdr:cNvSpPr>
          </xdr:nvSpPr>
          <xdr:spPr bwMode="auto">
            <a:xfrm>
              <a:off x="13462000" y="2159000"/>
              <a:ext cx="1790700" cy="1485900"/>
            </a:xfrm>
            <a:prstGeom prst="rect">
              <a:avLst/>
            </a:prstGeom>
            <a:solidFill>
              <a:srgbClr val="FFFFE1"/>
            </a:solidFill>
            <a:ln w="9525">
              <a:solidFill>
                <a:srgbClr val="510000"/>
              </a:solidFill>
              <a:miter lim="800%"/>
              <a:headEnd/>
              <a:tailEnd/>
            </a:ln>
            <a:effectLst>
              <a:outerShdw dist="35921" dir="2700000" algn="ctr" rotWithShape="0">
                <a:srgbClr val="51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800" b="1" i="0" u="none" strike="noStrike" baseline="0%">
                  <a:solidFill>
                    <a:srgbClr val="000000"/>
                  </a:solidFill>
                  <a:latin typeface="Tahoma" pitchFamily="2" charset="0"/>
                  <a:ea typeface="Tahoma" pitchFamily="2" charset="0"/>
                  <a:cs typeface="Tahoma" pitchFamily="2" charset="0"/>
                </a:rPr>
                <a:t>Tom Lebsack:</a:t>
              </a:r>
              <a:endParaRPr lang="en-US" sz="800" b="0" i="0" u="none" strike="noStrike" baseline="0%">
                <a:solidFill>
                  <a:srgbClr val="000000"/>
                </a:solidFill>
                <a:latin typeface="Tahoma" pitchFamily="2" charset="0"/>
                <a:ea typeface="Tahoma" pitchFamily="2" charset="0"/>
                <a:cs typeface="Tahoma" pitchFamily="2" charset="0"/>
              </a:endParaRPr>
            </a:p>
            <a:p>
              <a:pPr algn="l" rtl="0">
                <a:defRPr sz="1000"/>
              </a:pPr>
              <a:r>
                <a:rPr lang="en-US" sz="800" b="0" i="0" u="none" strike="noStrike" baseline="0%">
                  <a:solidFill>
                    <a:srgbClr val="000000"/>
                  </a:solidFill>
                  <a:latin typeface="Tahoma" pitchFamily="2" charset="0"/>
                  <a:ea typeface="Tahoma" pitchFamily="2" charset="0"/>
                  <a:cs typeface="Tahoma" pitchFamily="2" charset="0"/>
                </a:rPr>
                <a:t>this column is a yes/no (1 or 0) checker.  If there is data on the lines to the left, then VBA code will make it visible, else hide the lines.</a:t>
              </a:r>
            </a:p>
          </xdr:txBody>
        </xdr:sp>
        <xdr:clientData/>
      </xdr:twoCellAnchor>
    </mc:Fallback>
  </mc:AlternateContent>
  <mc:AlternateContent xmlns:mc="http://schemas.openxmlformats.org/markup-compatibility/2006">
    <mc:Choice xmlns:v="urn:schemas-microsoft-com:vml" Requires="v"/>
    <mc:Fallback>
      <xdr:twoCellAnchor editAs="absolute">
        <xdr:from>
          <xdr:col>20</xdr:col>
          <xdr:colOff>596900</xdr:colOff>
          <xdr:row>257</xdr:row>
          <xdr:rowOff>127000</xdr:rowOff>
        </xdr:from>
        <xdr:to>
          <xdr:col>24</xdr:col>
          <xdr:colOff>609600</xdr:colOff>
          <xdr:row>265</xdr:row>
          <xdr:rowOff>63500</xdr:rowOff>
        </xdr:to>
        <xdr:sp macro="" textlink="">
          <xdr:nvSpPr>
            <xdr:cNvPr id="10285" name="Comment 45" hidden="1">
              <a:extLst>
                <a:ext uri="{FF2B5EF4-FFF2-40B4-BE49-F238E27FC236}">
                  <a16:creationId xmlns:a16="http://schemas.microsoft.com/office/drawing/2014/main" id="{9872990B-E926-6002-D9B1-4056F9715F01}"/>
                </a:ext>
              </a:extLst>
            </xdr:cNvPr>
            <xdr:cNvSpPr txBox="1">
              <a:spLocks noChangeArrowheads="1"/>
            </xdr:cNvSpPr>
          </xdr:nvSpPr>
          <xdr:spPr bwMode="auto">
            <a:xfrm>
              <a:off x="13500100" y="19113500"/>
              <a:ext cx="1739900" cy="1257300"/>
            </a:xfrm>
            <a:prstGeom prst="rect">
              <a:avLst/>
            </a:prstGeom>
            <a:solidFill>
              <a:srgbClr val="FFFFE1"/>
            </a:solidFill>
            <a:ln w="9525">
              <a:solidFill>
                <a:srgbClr val="510000"/>
              </a:solidFill>
              <a:miter lim="800%"/>
              <a:headEnd/>
              <a:tailEnd/>
            </a:ln>
            <a:effectLst>
              <a:outerShdw dist="35921" dir="2700000" algn="ctr" rotWithShape="0">
                <a:srgbClr val="51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800" b="1" i="0" u="none" strike="noStrike" baseline="0%">
                  <a:solidFill>
                    <a:srgbClr val="000000"/>
                  </a:solidFill>
                  <a:latin typeface="Tahoma" pitchFamily="2" charset="0"/>
                  <a:ea typeface="Tahoma" pitchFamily="2" charset="0"/>
                  <a:cs typeface="Tahoma" pitchFamily="2" charset="0"/>
                </a:rPr>
                <a:t>Tom Lebsack:</a:t>
              </a:r>
              <a:endParaRPr lang="en-US" sz="800" b="0" i="0" u="none" strike="noStrike" baseline="0%">
                <a:solidFill>
                  <a:srgbClr val="000000"/>
                </a:solidFill>
                <a:latin typeface="Tahoma" pitchFamily="2" charset="0"/>
                <a:ea typeface="Tahoma" pitchFamily="2" charset="0"/>
                <a:cs typeface="Tahoma" pitchFamily="2" charset="0"/>
              </a:endParaRPr>
            </a:p>
            <a:p>
              <a:pPr algn="l" rtl="0">
                <a:defRPr sz="1000"/>
              </a:pPr>
              <a:r>
                <a:rPr lang="en-US" sz="800" b="0" i="0" u="none" strike="noStrike" baseline="0%">
                  <a:solidFill>
                    <a:srgbClr val="000000"/>
                  </a:solidFill>
                  <a:latin typeface="Tahoma" pitchFamily="2" charset="0"/>
                  <a:ea typeface="Tahoma" pitchFamily="2" charset="0"/>
                  <a:cs typeface="Tahoma" pitchFamily="2" charset="0"/>
                </a:rPr>
                <a:t>this column is a yes/no (1 or 0) checker.  If there is data on the lines to the left, then VBA code will make it visible, else hide the lines.</a:t>
              </a:r>
            </a:p>
          </xdr:txBody>
        </xdr:sp>
        <xdr:clientData/>
      </xdr:twoCellAnchor>
    </mc:Fallback>
  </mc:AlternateContent>
  <mc:AlternateContent xmlns:mc="http://schemas.openxmlformats.org/markup-compatibility/2006">
    <mc:Choice xmlns:v="urn:schemas-microsoft-com:vml" Requires="v"/>
    <mc:Fallback>
      <xdr:twoCellAnchor editAs="absolute">
        <xdr:from>
          <xdr:col>9</xdr:col>
          <xdr:colOff>342900</xdr:colOff>
          <xdr:row>4</xdr:row>
          <xdr:rowOff>25400</xdr:rowOff>
        </xdr:from>
        <xdr:to>
          <xdr:col>17</xdr:col>
          <xdr:colOff>317500</xdr:colOff>
          <xdr:row>157</xdr:row>
          <xdr:rowOff>12700</xdr:rowOff>
        </xdr:to>
        <xdr:sp macro="" textlink="">
          <xdr:nvSpPr>
            <xdr:cNvPr id="10287" name="Comment 47" hidden="1">
              <a:extLst>
                <a:ext uri="{FF2B5EF4-FFF2-40B4-BE49-F238E27FC236}">
                  <a16:creationId xmlns:a16="http://schemas.microsoft.com/office/drawing/2014/main" id="{A0AE11C1-4476-141E-92F7-7261ABF2F65D}"/>
                </a:ext>
              </a:extLst>
            </xdr:cNvPr>
            <xdr:cNvSpPr txBox="1">
              <a:spLocks noChangeArrowheads="1"/>
            </xdr:cNvSpPr>
          </xdr:nvSpPr>
          <xdr:spPr bwMode="auto">
            <a:xfrm>
              <a:off x="7188200" y="25400"/>
              <a:ext cx="3746500" cy="24638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pitchFamily="2" charset="0"/>
                  <a:ea typeface="Tahoma" pitchFamily="2" charset="0"/>
                  <a:cs typeface="Tahoma" pitchFamily="2" charset="0"/>
                </a:rPr>
                <a:t>Tom Lebsack:</a:t>
              </a:r>
              <a:endParaRPr lang="en-US" sz="900" b="0" i="0" u="none" strike="noStrike" baseline="0%">
                <a:solidFill>
                  <a:srgbClr val="000000"/>
                </a:solidFill>
                <a:latin typeface="Tahoma" pitchFamily="2" charset="0"/>
                <a:ea typeface="Tahoma" pitchFamily="2" charset="0"/>
                <a:cs typeface="Tahoma" pitchFamily="2" charset="0"/>
              </a:endParaRPr>
            </a:p>
            <a:p>
              <a:pPr algn="l" rtl="0">
                <a:defRPr sz="1000"/>
              </a:pPr>
              <a:r>
                <a:rPr lang="en-US" sz="1100" b="0" i="0" u="none" strike="noStrike" baseline="0%">
                  <a:solidFill>
                    <a:srgbClr val="000000"/>
                  </a:solidFill>
                  <a:latin typeface="Tahoma" pitchFamily="2" charset="0"/>
                  <a:ea typeface="Tahoma" pitchFamily="2" charset="0"/>
                  <a:cs typeface="Tahoma" pitchFamily="2" charset="0"/>
                </a:rPr>
                <a:t>The first number to the right is the column number for the first ski size on the ALPINE SKI RENTAL CALCULATOR sheet.  Having this makes the formulas below MUCH faster to update… instead of manually going to recode each cell below, just update the column # here and everything updates live below.</a:t>
              </a:r>
            </a:p>
          </xdr:txBody>
        </xdr:sp>
        <xdr:clientData/>
      </xdr:twoCellAnchor>
    </mc:Fallback>
  </mc:AlternateContent>
  <mc:AlternateContent xmlns:mc="http://schemas.openxmlformats.org/markup-compatibility/2006">
    <mc:Choice xmlns:v="urn:schemas-microsoft-com:vml" Requires="v"/>
    <mc:Fallback>
      <xdr:twoCellAnchor editAs="absolute">
        <xdr:from>
          <xdr:col>9</xdr:col>
          <xdr:colOff>342900</xdr:colOff>
          <xdr:row>5</xdr:row>
          <xdr:rowOff>165100</xdr:rowOff>
        </xdr:from>
        <xdr:to>
          <xdr:col>17</xdr:col>
          <xdr:colOff>317500</xdr:colOff>
          <xdr:row>157</xdr:row>
          <xdr:rowOff>152400</xdr:rowOff>
        </xdr:to>
        <xdr:sp macro="" textlink="">
          <xdr:nvSpPr>
            <xdr:cNvPr id="10289" name="Comment 49" hidden="1">
              <a:extLst>
                <a:ext uri="{FF2B5EF4-FFF2-40B4-BE49-F238E27FC236}">
                  <a16:creationId xmlns:a16="http://schemas.microsoft.com/office/drawing/2014/main" id="{7662F20C-46CB-1674-DC92-70C83F99A16A}"/>
                </a:ext>
              </a:extLst>
            </xdr:cNvPr>
            <xdr:cNvSpPr txBox="1">
              <a:spLocks noChangeArrowheads="1"/>
            </xdr:cNvSpPr>
          </xdr:nvSpPr>
          <xdr:spPr bwMode="auto">
            <a:xfrm>
              <a:off x="7188200" y="203200"/>
              <a:ext cx="3746500" cy="24257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pitchFamily="2" charset="0"/>
                  <a:ea typeface="Tahoma" pitchFamily="2" charset="0"/>
                  <a:cs typeface="Tahoma" pitchFamily="2" charset="0"/>
                </a:rPr>
                <a:t>Tom Lebsack:</a:t>
              </a:r>
              <a:endParaRPr lang="en-US" sz="900" b="0" i="0" u="none" strike="noStrike" baseline="0%">
                <a:solidFill>
                  <a:srgbClr val="000000"/>
                </a:solidFill>
                <a:latin typeface="Tahoma" pitchFamily="2" charset="0"/>
                <a:ea typeface="Tahoma" pitchFamily="2" charset="0"/>
                <a:cs typeface="Tahoma" pitchFamily="2" charset="0"/>
              </a:endParaRPr>
            </a:p>
            <a:p>
              <a:pPr algn="l" rtl="0">
                <a:defRPr sz="1000"/>
              </a:pPr>
              <a:r>
                <a:rPr lang="en-US" sz="1100" b="0" i="0" u="none" strike="noStrike" baseline="0%">
                  <a:solidFill>
                    <a:srgbClr val="000000"/>
                  </a:solidFill>
                  <a:latin typeface="Tahoma" pitchFamily="2" charset="0"/>
                  <a:ea typeface="Tahoma" pitchFamily="2" charset="0"/>
                  <a:cs typeface="Tahoma" pitchFamily="2" charset="0"/>
                </a:rPr>
                <a:t>The first number to the right is the column number for the first ski size's units on the ALPINE SKI RENTAL CALCULATOR sheet.  Having this makes the formulas below MUCH faster to update… instead of manually going to recode each cell below, just update the column # here and everything updates live below.</a:t>
              </a:r>
            </a:p>
          </xdr:txBody>
        </xdr:sp>
        <xdr:clientData/>
      </xdr:twoCellAnchor>
    </mc:Fallback>
  </mc:AlternateContent>
  <mc:AlternateContent xmlns:mc="http://schemas.openxmlformats.org/markup-compatibility/2006">
    <mc:Choice xmlns:v="urn:schemas-microsoft-com:vml" Requires="v"/>
    <mc:Fallback>
      <xdr:twoCellAnchor editAs="absolute">
        <xdr:from>
          <xdr:col>9</xdr:col>
          <xdr:colOff>342900</xdr:colOff>
          <xdr:row>6</xdr:row>
          <xdr:rowOff>152400</xdr:rowOff>
        </xdr:from>
        <xdr:to>
          <xdr:col>17</xdr:col>
          <xdr:colOff>317500</xdr:colOff>
          <xdr:row>158</xdr:row>
          <xdr:rowOff>152400</xdr:rowOff>
        </xdr:to>
        <xdr:sp macro="" textlink="">
          <xdr:nvSpPr>
            <xdr:cNvPr id="10290" name="Comment 50" hidden="1">
              <a:extLst>
                <a:ext uri="{FF2B5EF4-FFF2-40B4-BE49-F238E27FC236}">
                  <a16:creationId xmlns:a16="http://schemas.microsoft.com/office/drawing/2014/main" id="{AA695ADE-9A5B-5333-CF3B-CE9C5A6DA4C9}"/>
                </a:ext>
              </a:extLst>
            </xdr:cNvPr>
            <xdr:cNvSpPr txBox="1">
              <a:spLocks noChangeArrowheads="1"/>
            </xdr:cNvSpPr>
          </xdr:nvSpPr>
          <xdr:spPr bwMode="auto">
            <a:xfrm>
              <a:off x="7188200" y="368300"/>
              <a:ext cx="3746500" cy="24257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pitchFamily="2" charset="0"/>
                  <a:ea typeface="Tahoma" pitchFamily="2" charset="0"/>
                  <a:cs typeface="Tahoma" pitchFamily="2" charset="0"/>
                </a:rPr>
                <a:t>Tom Lebsack:</a:t>
              </a:r>
              <a:endParaRPr lang="en-US" sz="900" b="0" i="0" u="none" strike="noStrike" baseline="0%">
                <a:solidFill>
                  <a:srgbClr val="000000"/>
                </a:solidFill>
                <a:latin typeface="Tahoma" pitchFamily="2" charset="0"/>
                <a:ea typeface="Tahoma" pitchFamily="2" charset="0"/>
                <a:cs typeface="Tahoma" pitchFamily="2" charset="0"/>
              </a:endParaRPr>
            </a:p>
            <a:p>
              <a:pPr algn="l" rtl="0">
                <a:defRPr sz="1000"/>
              </a:pPr>
              <a:r>
                <a:rPr lang="en-US" sz="1100" b="0" i="0" u="none" strike="noStrike" baseline="0%">
                  <a:solidFill>
                    <a:srgbClr val="000000"/>
                  </a:solidFill>
                  <a:latin typeface="Tahoma" pitchFamily="2" charset="0"/>
                  <a:ea typeface="Tahoma" pitchFamily="2" charset="0"/>
                  <a:cs typeface="Tahoma" pitchFamily="2" charset="0"/>
                </a:rPr>
                <a:t>The first number to the right is the column number for the first snowboard size on the SNOWBORD RENTAL CALCULATOR sheet.  Having this makes the formulas below MUCH faster to update… instead of manually going to recode each cell below, just update the column # here and everything updates live below.</a:t>
              </a:r>
            </a:p>
          </xdr:txBody>
        </xdr:sp>
        <xdr:clientData/>
      </xdr:twoCellAnchor>
    </mc:Fallback>
  </mc:AlternateContent>
  <mc:AlternateContent xmlns:mc="http://schemas.openxmlformats.org/markup-compatibility/2006">
    <mc:Choice xmlns:v="urn:schemas-microsoft-com:vml" Requires="v"/>
    <mc:Fallback>
      <xdr:twoCellAnchor editAs="absolute">
        <xdr:from>
          <xdr:col>9</xdr:col>
          <xdr:colOff>342900</xdr:colOff>
          <xdr:row>7</xdr:row>
          <xdr:rowOff>152400</xdr:rowOff>
        </xdr:from>
        <xdr:to>
          <xdr:col>17</xdr:col>
          <xdr:colOff>317500</xdr:colOff>
          <xdr:row>160</xdr:row>
          <xdr:rowOff>0</xdr:rowOff>
        </xdr:to>
        <xdr:sp macro="" textlink="">
          <xdr:nvSpPr>
            <xdr:cNvPr id="10291" name="Comment 51" hidden="1">
              <a:extLst>
                <a:ext uri="{FF2B5EF4-FFF2-40B4-BE49-F238E27FC236}">
                  <a16:creationId xmlns:a16="http://schemas.microsoft.com/office/drawing/2014/main" id="{7D50EBFA-A3C2-341D-1C18-44764806F9A9}"/>
                </a:ext>
              </a:extLst>
            </xdr:cNvPr>
            <xdr:cNvSpPr txBox="1">
              <a:spLocks noChangeArrowheads="1"/>
            </xdr:cNvSpPr>
          </xdr:nvSpPr>
          <xdr:spPr bwMode="auto">
            <a:xfrm>
              <a:off x="7188200" y="546100"/>
              <a:ext cx="3746500" cy="24257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pitchFamily="2" charset="0"/>
                  <a:ea typeface="Tahoma" pitchFamily="2" charset="0"/>
                  <a:cs typeface="Tahoma" pitchFamily="2" charset="0"/>
                </a:rPr>
                <a:t>Tom Lebsack:</a:t>
              </a:r>
              <a:endParaRPr lang="en-US" sz="900" b="0" i="0" u="none" strike="noStrike" baseline="0%">
                <a:solidFill>
                  <a:srgbClr val="000000"/>
                </a:solidFill>
                <a:latin typeface="Tahoma" pitchFamily="2" charset="0"/>
                <a:ea typeface="Tahoma" pitchFamily="2" charset="0"/>
                <a:cs typeface="Tahoma" pitchFamily="2" charset="0"/>
              </a:endParaRPr>
            </a:p>
            <a:p>
              <a:pPr algn="l" rtl="0">
                <a:defRPr sz="1000"/>
              </a:pPr>
              <a:r>
                <a:rPr lang="en-US" sz="1100" b="0" i="0" u="none" strike="noStrike" baseline="0%">
                  <a:solidFill>
                    <a:srgbClr val="000000"/>
                  </a:solidFill>
                  <a:latin typeface="Tahoma" pitchFamily="2" charset="0"/>
                  <a:ea typeface="Tahoma" pitchFamily="2" charset="0"/>
                  <a:cs typeface="Tahoma" pitchFamily="2" charset="0"/>
                </a:rPr>
                <a:t>The first number to the right is the column number for the first snowboard size's units on the SNOWBOARD RENTAL CALCULATOR sheet.  Having this makes the formulas below MUCH faster to update… instead of manually going to recode each cell below, just update the column # here and everything updates live below.</a:t>
              </a:r>
            </a:p>
          </xdr:txBody>
        </xdr:sp>
        <xdr:clientData/>
      </xdr:twoCellAnchor>
    </mc:Fallback>
  </mc:AlternateContent>
</xdr:wsDr>
</file>

<file path=xl/drawings/drawing3.xml><?xml version="1.0" encoding="utf-8"?>
<xdr:wsDr xmlns:xdr="http://purl.oclc.org/ooxml/drawingml/spreadsheetDrawing" xmlns:a="http://purl.oclc.org/ooxml/drawingml/main">
  <xdr:twoCellAnchor>
    <xdr:from>
      <xdr:col>3</xdr:col>
      <xdr:colOff>581024</xdr:colOff>
      <xdr:row>5</xdr:row>
      <xdr:rowOff>39034</xdr:rowOff>
    </xdr:from>
    <xdr:to>
      <xdr:col>7</xdr:col>
      <xdr:colOff>47625</xdr:colOff>
      <xdr:row>6</xdr:row>
      <xdr:rowOff>114299</xdr:rowOff>
    </xdr:to>
    <xdr:sp macro="[0]!SKI_CHANGE_CALCULATOR_TYPE" textlink="">
      <xdr:nvSpPr>
        <xdr:cNvPr id="2" name="Rectangle 1">
          <a:extLst>
            <a:ext uri="{FF2B5EF4-FFF2-40B4-BE49-F238E27FC236}">
              <a16:creationId xmlns:a16="http://schemas.microsoft.com/office/drawing/2014/main" id="{00000000-0008-0000-0200-000002000000}"/>
            </a:ext>
          </a:extLst>
        </xdr:cNvPr>
        <xdr:cNvSpPr/>
      </xdr:nvSpPr>
      <xdr:spPr bwMode="auto">
        <a:xfrm>
          <a:off x="784224" y="458134"/>
          <a:ext cx="3568701" cy="227665"/>
        </a:xfrm>
        <a:prstGeom prst="rect">
          <a:avLst/>
        </a:prstGeom>
        <a:solidFill>
          <a:schemeClr val="tx1">
            <a:lumMod val="95%"/>
            <a:lumOff val="5%"/>
          </a:schemeClr>
        </a:solidFill>
        <a:ln w="9525" cap="flat" cmpd="sng" algn="ctr">
          <a:noFill/>
          <a:prstDash val="solid"/>
          <a:round/>
          <a:headEnd type="none" w="med" len="med"/>
          <a:tailEnd type="none" w="med" len="med"/>
        </a:ln>
        <a:effectLst>
          <a:outerShdw blurRad="44450" dist="27940" dir="5400000" algn="ctr">
            <a:srgbClr val="000000">
              <a:alpha val="32%"/>
            </a:srgbClr>
          </a:outerShdw>
        </a:effectLst>
        <a:scene3d>
          <a:camera prst="orthographicFront">
            <a:rot lat="0" lon="0" rev="0"/>
          </a:camera>
          <a:lightRig rig="balanced" dir="t">
            <a:rot lat="0" lon="0" rev="8700000"/>
          </a:lightRig>
        </a:scene3d>
        <a:sp3d>
          <a:bevelT w="190500" h="38100"/>
        </a:sp3d>
      </xdr:spPr>
      <xdr:txBody>
        <a:bodyPr vertOverflow="clip" horzOverflow="clip" wrap="square" lIns="18288" tIns="0" rIns="0" bIns="0" rtlCol="0" anchor="ctr" upright="1"/>
        <a:lstStyle/>
        <a:p>
          <a:pPr algn="ctr"/>
          <a:r>
            <a:rPr lang="en-US" sz="1100" i="0">
              <a:solidFill>
                <a:schemeClr val="bg1"/>
              </a:solidFill>
            </a:rPr>
            <a:t>CHANGE</a:t>
          </a:r>
          <a:r>
            <a:rPr lang="en-US" sz="1100" i="0" baseline="0%">
              <a:solidFill>
                <a:schemeClr val="bg1"/>
              </a:solidFill>
            </a:rPr>
            <a:t> CALCULATOR TYPE</a:t>
          </a:r>
          <a:endParaRPr lang="en-US" sz="1100" i="0">
            <a:solidFill>
              <a:schemeClr val="bg1"/>
            </a:solidFill>
          </a:endParaRPr>
        </a:p>
      </xdr:txBody>
    </xdr:sp>
    <xdr:clientData/>
  </xdr:twoCellAnchor>
  <xdr:twoCellAnchor>
    <xdr:from>
      <xdr:col>3</xdr:col>
      <xdr:colOff>571500</xdr:colOff>
      <xdr:row>7</xdr:row>
      <xdr:rowOff>139699</xdr:rowOff>
    </xdr:from>
    <xdr:to>
      <xdr:col>7</xdr:col>
      <xdr:colOff>38100</xdr:colOff>
      <xdr:row>9</xdr:row>
      <xdr:rowOff>63500</xdr:rowOff>
    </xdr:to>
    <xdr:sp macro="[0]!SKI_DISCOUNT_METHOD" textlink="">
      <xdr:nvSpPr>
        <xdr:cNvPr id="4" name="Rectangle 3">
          <a:extLst>
            <a:ext uri="{FF2B5EF4-FFF2-40B4-BE49-F238E27FC236}">
              <a16:creationId xmlns:a16="http://schemas.microsoft.com/office/drawing/2014/main" id="{00000000-0008-0000-0200-000004000000}"/>
            </a:ext>
          </a:extLst>
        </xdr:cNvPr>
        <xdr:cNvSpPr/>
      </xdr:nvSpPr>
      <xdr:spPr bwMode="auto">
        <a:xfrm>
          <a:off x="774700" y="863599"/>
          <a:ext cx="3568700" cy="228601"/>
        </a:xfrm>
        <a:prstGeom prst="rect">
          <a:avLst/>
        </a:prstGeom>
        <a:solidFill>
          <a:schemeClr val="bg1">
            <a:lumMod val="85%"/>
          </a:schemeClr>
        </a:solidFill>
        <a:ln w="9525" cap="flat" cmpd="sng" algn="ctr">
          <a:noFill/>
          <a:prstDash val="solid"/>
          <a:round/>
          <a:headEnd type="none" w="med" len="med"/>
          <a:tailEnd type="none" w="med" len="med"/>
        </a:ln>
        <a:effectLst>
          <a:outerShdw blurRad="44450" dist="27940" dir="5400000" algn="ctr">
            <a:srgbClr val="000000">
              <a:alpha val="32%"/>
            </a:srgbClr>
          </a:outerShdw>
        </a:effectLst>
        <a:scene3d>
          <a:camera prst="orthographicFront">
            <a:rot lat="0" lon="0" rev="0"/>
          </a:camera>
          <a:lightRig rig="balanced" dir="t">
            <a:rot lat="0" lon="0" rev="8700000"/>
          </a:lightRig>
        </a:scene3d>
        <a:sp3d>
          <a:bevelT w="190500" h="38100"/>
        </a:sp3d>
      </xdr:spPr>
      <xdr:txBody>
        <a:bodyPr vertOverflow="clip" horzOverflow="clip" wrap="square" lIns="18288" tIns="0" rIns="0" bIns="0" rtlCol="0" anchor="ctr" upright="1"/>
        <a:lstStyle/>
        <a:p>
          <a:pPr algn="ctr"/>
          <a:r>
            <a:rPr lang="en-US" sz="1100" i="0">
              <a:solidFill>
                <a:sysClr val="windowText" lastClr="000000"/>
              </a:solidFill>
            </a:rPr>
            <a:t>CHANGE</a:t>
          </a:r>
          <a:r>
            <a:rPr lang="en-US" sz="1100" i="0" baseline="0%">
              <a:solidFill>
                <a:sysClr val="windowText" lastClr="000000"/>
              </a:solidFill>
            </a:rPr>
            <a:t> DISCOUNT METHOD</a:t>
          </a:r>
          <a:endParaRPr lang="en-US" sz="1100" i="0">
            <a:solidFill>
              <a:sysClr val="windowText" lastClr="000000"/>
            </a:solidFill>
          </a:endParaRPr>
        </a:p>
      </xdr:txBody>
    </xdr:sp>
    <xdr:clientData/>
  </xdr:twoCellAnchor>
  <xdr:twoCellAnchor editAs="oneCell">
    <xdr:from>
      <xdr:col>10</xdr:col>
      <xdr:colOff>241300</xdr:colOff>
      <xdr:row>3</xdr:row>
      <xdr:rowOff>76200</xdr:rowOff>
    </xdr:from>
    <xdr:to>
      <xdr:col>11</xdr:col>
      <xdr:colOff>424032</xdr:colOff>
      <xdr:row>10</xdr:row>
      <xdr:rowOff>76200</xdr:rowOff>
    </xdr:to>
    <xdr:pic>
      <xdr:nvPicPr>
        <xdr:cNvPr id="6" name="Image" descr="Image">
          <a:extLst>
            <a:ext uri="{FF2B5EF4-FFF2-40B4-BE49-F238E27FC236}">
              <a16:creationId xmlns:a16="http://schemas.microsoft.com/office/drawing/2014/main" id="{47CC4499-C74E-9547-8F83-7F04229326F6}"/>
            </a:ext>
          </a:extLst>
        </xdr:cNvPr>
        <xdr:cNvPicPr>
          <a:picLocks noChangeAspect="1"/>
        </xdr:cNvPicPr>
      </xdr:nvPicPr>
      <xdr:blipFill>
        <a:blip xmlns:r="http://purl.oclc.org/ooxml/officeDocument/relationships" r:embed="rId1"/>
        <a:stretch>
          <a:fillRect/>
        </a:stretch>
      </xdr:blipFill>
      <xdr:spPr>
        <a:xfrm>
          <a:off x="5892800" y="228600"/>
          <a:ext cx="1033632" cy="1028700"/>
        </a:xfrm>
        <a:prstGeom prst="rect">
          <a:avLst/>
        </a:prstGeom>
        <a:ln w="12700">
          <a:miter lim="400%"/>
        </a:ln>
      </xdr:spPr>
    </xdr:pic>
    <xdr:clientData/>
  </xdr:twoCellAnchor>
  <mc:AlternateContent xmlns:mc="http://schemas.openxmlformats.org/markup-compatibility/2006">
    <mc:Choice xmlns:v="urn:schemas-microsoft-com:vml" Requires="v"/>
    <mc:Fallback>
      <xdr:twoCellAnchor editAs="absolute">
        <xdr:from>
          <xdr:col>4</xdr:col>
          <xdr:colOff>469900</xdr:colOff>
          <xdr:row>4</xdr:row>
          <xdr:rowOff>50800</xdr:rowOff>
        </xdr:from>
        <xdr:to>
          <xdr:col>4</xdr:col>
          <xdr:colOff>2095500</xdr:colOff>
          <xdr:row>8</xdr:row>
          <xdr:rowOff>0</xdr:rowOff>
        </xdr:to>
        <xdr:sp macro="" textlink="">
          <xdr:nvSpPr>
            <xdr:cNvPr id="8193" name="Comment 1" hidden="1">
              <a:extLst>
                <a:ext uri="{FF2B5EF4-FFF2-40B4-BE49-F238E27FC236}">
                  <a16:creationId xmlns:a16="http://schemas.microsoft.com/office/drawing/2014/main" id="{4171FE04-CEB1-8CD0-82A8-537F48367C0B}"/>
                </a:ext>
              </a:extLst>
            </xdr:cNvPr>
            <xdr:cNvSpPr txBox="1">
              <a:spLocks noChangeArrowheads="1"/>
            </xdr:cNvSpPr>
          </xdr:nvSpPr>
          <xdr:spPr bwMode="auto">
            <a:xfrm>
              <a:off x="1231900" y="317500"/>
              <a:ext cx="1625600" cy="558800"/>
            </a:xfrm>
            <a:prstGeom prst="rect">
              <a:avLst/>
            </a:prstGeom>
            <a:solidFill>
              <a:srgbClr val="FFFFE1"/>
            </a:solidFill>
            <a:ln w="9525">
              <a:solidFill>
                <a:srgbClr val="510000"/>
              </a:solidFill>
              <a:miter lim="800%"/>
              <a:headEnd/>
              <a:tailEnd/>
            </a:ln>
            <a:effectLst>
              <a:outerShdw dist="35921" dir="2700000" algn="ctr" rotWithShape="0">
                <a:srgbClr val="51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800" b="1" i="0" u="none" strike="noStrike" baseline="0%">
                  <a:solidFill>
                    <a:srgbClr val="000000"/>
                  </a:solidFill>
                  <a:latin typeface="Tahoma" pitchFamily="2" charset="0"/>
                  <a:ea typeface="Tahoma" pitchFamily="2" charset="0"/>
                  <a:cs typeface="Tahoma" pitchFamily="2" charset="0"/>
                </a:rPr>
                <a:t>Tom Lebsack:</a:t>
              </a:r>
              <a:endParaRPr lang="en-US" sz="800" b="0" i="0" u="none" strike="noStrike" baseline="0%">
                <a:solidFill>
                  <a:srgbClr val="000000"/>
                </a:solidFill>
                <a:latin typeface="Tahoma" pitchFamily="2" charset="0"/>
                <a:ea typeface="Tahoma" pitchFamily="2" charset="0"/>
                <a:cs typeface="Tahoma" pitchFamily="2" charset="0"/>
              </a:endParaRPr>
            </a:p>
            <a:p>
              <a:pPr algn="l" rtl="0">
                <a:defRPr sz="1000"/>
              </a:pPr>
              <a:r>
                <a:rPr lang="en-US" sz="800" b="0" i="0" u="none" strike="noStrike" baseline="0%">
                  <a:solidFill>
                    <a:srgbClr val="000000"/>
                  </a:solidFill>
                  <a:latin typeface="Tahoma" pitchFamily="2" charset="0"/>
                  <a:ea typeface="Tahoma" pitchFamily="2" charset="0"/>
                  <a:cs typeface="Tahoma" pitchFamily="2" charset="0"/>
                </a:rPr>
                <a:t>DO NOT DELETE OR MOVE THIS CELL - Macro is referencing its exact location</a:t>
              </a:r>
            </a:p>
          </xdr:txBody>
        </xdr:sp>
        <xdr:clientData/>
      </xdr:twoCellAnchor>
    </mc:Fallback>
  </mc:AlternateContent>
  <mc:AlternateContent xmlns:mc="http://schemas.openxmlformats.org/markup-compatibility/2006">
    <mc:Choice xmlns:v="urn:schemas-microsoft-com:vml" Requires="v"/>
    <mc:Fallback>
      <xdr:twoCellAnchor editAs="absolute">
        <xdr:from>
          <xdr:col>7</xdr:col>
          <xdr:colOff>520700</xdr:colOff>
          <xdr:row>4</xdr:row>
          <xdr:rowOff>50800</xdr:rowOff>
        </xdr:from>
        <xdr:to>
          <xdr:col>10</xdr:col>
          <xdr:colOff>520700</xdr:colOff>
          <xdr:row>11</xdr:row>
          <xdr:rowOff>190500</xdr:rowOff>
        </xdr:to>
        <xdr:sp macro="" textlink="">
          <xdr:nvSpPr>
            <xdr:cNvPr id="8194" name="Comment 2" hidden="1">
              <a:extLst>
                <a:ext uri="{FF2B5EF4-FFF2-40B4-BE49-F238E27FC236}">
                  <a16:creationId xmlns:a16="http://schemas.microsoft.com/office/drawing/2014/main" id="{50837F93-88BA-5C27-C9A2-503AA202C744}"/>
                </a:ext>
              </a:extLst>
            </xdr:cNvPr>
            <xdr:cNvSpPr txBox="1">
              <a:spLocks noChangeArrowheads="1"/>
            </xdr:cNvSpPr>
          </xdr:nvSpPr>
          <xdr:spPr bwMode="auto">
            <a:xfrm>
              <a:off x="4051300" y="317500"/>
              <a:ext cx="1320800" cy="1206500"/>
            </a:xfrm>
            <a:prstGeom prst="rect">
              <a:avLst/>
            </a:prstGeom>
            <a:solidFill>
              <a:srgbClr val="FFFFE1"/>
            </a:solidFill>
            <a:ln w="9525">
              <a:solidFill>
                <a:srgbClr val="510000"/>
              </a:solidFill>
              <a:miter lim="800%"/>
              <a:headEnd/>
              <a:tailEnd/>
            </a:ln>
            <a:effectLst>
              <a:outerShdw dist="35921" dir="2700000" algn="ctr" rotWithShape="0">
                <a:srgbClr val="51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800" b="1" i="0" u="none" strike="noStrike" baseline="0%">
                  <a:solidFill>
                    <a:srgbClr val="000000"/>
                  </a:solidFill>
                  <a:latin typeface="Tahoma" pitchFamily="2" charset="0"/>
                  <a:ea typeface="Tahoma" pitchFamily="2" charset="0"/>
                  <a:cs typeface="Tahoma" pitchFamily="2" charset="0"/>
                </a:rPr>
                <a:t>Tom Lebsack:</a:t>
              </a:r>
              <a:endParaRPr lang="en-US" sz="800" b="0" i="0" u="none" strike="noStrike" baseline="0%">
                <a:solidFill>
                  <a:srgbClr val="000000"/>
                </a:solidFill>
                <a:latin typeface="Tahoma" pitchFamily="2" charset="0"/>
                <a:ea typeface="Tahoma" pitchFamily="2" charset="0"/>
                <a:cs typeface="Tahoma" pitchFamily="2" charset="0"/>
              </a:endParaRPr>
            </a:p>
            <a:p>
              <a:pPr algn="l" rtl="0">
                <a:defRPr sz="1000"/>
              </a:pPr>
              <a:r>
                <a:rPr lang="en-US" sz="800" b="0" i="0" u="none" strike="noStrike" baseline="0%">
                  <a:solidFill>
                    <a:srgbClr val="000000"/>
                  </a:solidFill>
                  <a:latin typeface="Tahoma" pitchFamily="2" charset="0"/>
                  <a:ea typeface="Tahoma" pitchFamily="2" charset="0"/>
                  <a:cs typeface="Tahoma" pitchFamily="2" charset="0"/>
                </a:rPr>
                <a:t>DO NOT DELETE THIS CELL. Macro referencing this to determine which type of Discount Method to display.</a:t>
              </a:r>
            </a:p>
            <a:p>
              <a:pPr algn="l" rtl="0">
                <a:defRPr sz="1000"/>
              </a:pPr>
              <a:r>
                <a:rPr lang="en-US" sz="800" b="0" i="0" u="none" strike="noStrike" baseline="0%">
                  <a:solidFill>
                    <a:srgbClr val="000000"/>
                  </a:solidFill>
                  <a:latin typeface="Tahoma" pitchFamily="2" charset="0"/>
                  <a:ea typeface="Tahoma" pitchFamily="2" charset="0"/>
                  <a:cs typeface="Tahoma" pitchFamily="2" charset="0"/>
                </a:rPr>
                <a:t>Macro Name: "SNOWBOARD_DISCOUNT_METHOD"</a:t>
              </a:r>
            </a:p>
          </xdr:txBody>
        </xdr:sp>
        <xdr:clientData/>
      </xdr:twoCellAnchor>
    </mc:Fallback>
  </mc:AlternateContent>
</xdr:wsDr>
</file>

<file path=xl/drawings/drawing4.xml><?xml version="1.0" encoding="utf-8"?>
<xdr:wsDr xmlns:xdr="http://purl.oclc.org/ooxml/drawingml/spreadsheetDrawing" xmlns:a="http://purl.oclc.org/ooxml/drawingml/main">
  <xdr:twoCellAnchor>
    <xdr:from>
      <xdr:col>3</xdr:col>
      <xdr:colOff>371474</xdr:colOff>
      <xdr:row>4</xdr:row>
      <xdr:rowOff>134284</xdr:rowOff>
    </xdr:from>
    <xdr:to>
      <xdr:col>7</xdr:col>
      <xdr:colOff>209550</xdr:colOff>
      <xdr:row>6</xdr:row>
      <xdr:rowOff>47624</xdr:rowOff>
    </xdr:to>
    <xdr:sp macro="[0]!SNOWBOARD_CHANGE_CALCULATOR_TYPE" textlink="">
      <xdr:nvSpPr>
        <xdr:cNvPr id="4" name="Rectangle 3">
          <a:extLst>
            <a:ext uri="{FF2B5EF4-FFF2-40B4-BE49-F238E27FC236}">
              <a16:creationId xmlns:a16="http://schemas.microsoft.com/office/drawing/2014/main" id="{00000000-0008-0000-0300-000004000000}"/>
            </a:ext>
          </a:extLst>
        </xdr:cNvPr>
        <xdr:cNvSpPr/>
      </xdr:nvSpPr>
      <xdr:spPr bwMode="auto">
        <a:xfrm>
          <a:off x="574674" y="439084"/>
          <a:ext cx="2581276" cy="218140"/>
        </a:xfrm>
        <a:prstGeom prst="rect">
          <a:avLst/>
        </a:prstGeom>
        <a:solidFill>
          <a:schemeClr val="tx1">
            <a:lumMod val="95%"/>
            <a:lumOff val="5%"/>
          </a:schemeClr>
        </a:solidFill>
        <a:ln w="9525" cap="flat" cmpd="sng" algn="ctr">
          <a:noFill/>
          <a:prstDash val="solid"/>
          <a:round/>
          <a:headEnd type="none" w="med" len="med"/>
          <a:tailEnd type="none" w="med" len="med"/>
        </a:ln>
        <a:effectLst>
          <a:outerShdw blurRad="44450" dist="27940" dir="5400000" algn="ctr">
            <a:srgbClr val="000000">
              <a:alpha val="32%"/>
            </a:srgbClr>
          </a:outerShdw>
        </a:effectLst>
        <a:scene3d>
          <a:camera prst="orthographicFront">
            <a:rot lat="0" lon="0" rev="0"/>
          </a:camera>
          <a:lightRig rig="balanced" dir="t">
            <a:rot lat="0" lon="0" rev="8700000"/>
          </a:lightRig>
        </a:scene3d>
        <a:sp3d>
          <a:bevelT w="190500" h="38100"/>
        </a:sp3d>
      </xdr:spPr>
      <xdr:txBody>
        <a:bodyPr vertOverflow="clip" horzOverflow="clip" wrap="square" lIns="18288" tIns="0" rIns="0" bIns="0" rtlCol="0" anchor="ctr" upright="1"/>
        <a:lstStyle/>
        <a:p>
          <a:pPr algn="ctr"/>
          <a:r>
            <a:rPr lang="en-US" sz="1100" i="0">
              <a:solidFill>
                <a:schemeClr val="bg1"/>
              </a:solidFill>
            </a:rPr>
            <a:t>CHANGE</a:t>
          </a:r>
          <a:r>
            <a:rPr lang="en-US" sz="1100" i="0" baseline="0%">
              <a:solidFill>
                <a:schemeClr val="bg1"/>
              </a:solidFill>
            </a:rPr>
            <a:t> CALCULATOR TYPE</a:t>
          </a:r>
          <a:endParaRPr lang="en-US" sz="1100" i="0">
            <a:solidFill>
              <a:schemeClr val="bg1"/>
            </a:solidFill>
          </a:endParaRPr>
        </a:p>
      </xdr:txBody>
    </xdr:sp>
    <xdr:clientData/>
  </xdr:twoCellAnchor>
  <xdr:twoCellAnchor>
    <xdr:from>
      <xdr:col>3</xdr:col>
      <xdr:colOff>361950</xdr:colOff>
      <xdr:row>7</xdr:row>
      <xdr:rowOff>133349</xdr:rowOff>
    </xdr:from>
    <xdr:to>
      <xdr:col>7</xdr:col>
      <xdr:colOff>200026</xdr:colOff>
      <xdr:row>9</xdr:row>
      <xdr:rowOff>47624</xdr:rowOff>
    </xdr:to>
    <xdr:sp macro="[0]!SNOWBOARD_DISCOUNT_METHOD" textlink="">
      <xdr:nvSpPr>
        <xdr:cNvPr id="11" name="Rectangle 10">
          <a:extLst>
            <a:ext uri="{FF2B5EF4-FFF2-40B4-BE49-F238E27FC236}">
              <a16:creationId xmlns:a16="http://schemas.microsoft.com/office/drawing/2014/main" id="{00000000-0008-0000-0300-00000B000000}"/>
            </a:ext>
          </a:extLst>
        </xdr:cNvPr>
        <xdr:cNvSpPr/>
      </xdr:nvSpPr>
      <xdr:spPr bwMode="auto">
        <a:xfrm>
          <a:off x="565150" y="895349"/>
          <a:ext cx="2581276" cy="219075"/>
        </a:xfrm>
        <a:prstGeom prst="rect">
          <a:avLst/>
        </a:prstGeom>
        <a:solidFill>
          <a:schemeClr val="bg1">
            <a:lumMod val="85%"/>
          </a:schemeClr>
        </a:solidFill>
        <a:ln w="9525" cap="flat" cmpd="sng" algn="ctr">
          <a:noFill/>
          <a:prstDash val="solid"/>
          <a:round/>
          <a:headEnd type="none" w="med" len="med"/>
          <a:tailEnd type="none" w="med" len="med"/>
        </a:ln>
        <a:effectLst>
          <a:outerShdw blurRad="44450" dist="27940" dir="5400000" algn="ctr">
            <a:srgbClr val="000000">
              <a:alpha val="32%"/>
            </a:srgbClr>
          </a:outerShdw>
        </a:effectLst>
        <a:scene3d>
          <a:camera prst="orthographicFront">
            <a:rot lat="0" lon="0" rev="0"/>
          </a:camera>
          <a:lightRig rig="balanced" dir="t">
            <a:rot lat="0" lon="0" rev="8700000"/>
          </a:lightRig>
        </a:scene3d>
        <a:sp3d>
          <a:bevelT w="190500" h="38100"/>
        </a:sp3d>
      </xdr:spPr>
      <xdr:txBody>
        <a:bodyPr vertOverflow="clip" horzOverflow="clip" wrap="square" lIns="18288" tIns="0" rIns="0" bIns="0" rtlCol="0" anchor="ctr" upright="1"/>
        <a:lstStyle/>
        <a:p>
          <a:pPr algn="ctr"/>
          <a:r>
            <a:rPr lang="en-US" sz="1100" i="0">
              <a:solidFill>
                <a:sysClr val="windowText" lastClr="000000"/>
              </a:solidFill>
            </a:rPr>
            <a:t>CHANGE</a:t>
          </a:r>
          <a:r>
            <a:rPr lang="en-US" sz="1100" i="0" baseline="0%">
              <a:solidFill>
                <a:sysClr val="windowText" lastClr="000000"/>
              </a:solidFill>
            </a:rPr>
            <a:t> DISCOUNT METHOD</a:t>
          </a:r>
          <a:endParaRPr lang="en-US" sz="1100" i="0">
            <a:solidFill>
              <a:sysClr val="windowText" lastClr="000000"/>
            </a:solidFill>
          </a:endParaRPr>
        </a:p>
      </xdr:txBody>
    </xdr:sp>
    <xdr:clientData/>
  </xdr:twoCellAnchor>
  <xdr:twoCellAnchor editAs="oneCell">
    <xdr:from>
      <xdr:col>10</xdr:col>
      <xdr:colOff>177800</xdr:colOff>
      <xdr:row>3</xdr:row>
      <xdr:rowOff>101600</xdr:rowOff>
    </xdr:from>
    <xdr:to>
      <xdr:col>11</xdr:col>
      <xdr:colOff>360532</xdr:colOff>
      <xdr:row>10</xdr:row>
      <xdr:rowOff>63500</xdr:rowOff>
    </xdr:to>
    <xdr:pic>
      <xdr:nvPicPr>
        <xdr:cNvPr id="6" name="Image" descr="Image">
          <a:extLst>
            <a:ext uri="{FF2B5EF4-FFF2-40B4-BE49-F238E27FC236}">
              <a16:creationId xmlns:a16="http://schemas.microsoft.com/office/drawing/2014/main" id="{6667BBF7-360B-104D-9B2E-60038A95BA9F}"/>
            </a:ext>
          </a:extLst>
        </xdr:cNvPr>
        <xdr:cNvPicPr>
          <a:picLocks noChangeAspect="1"/>
        </xdr:cNvPicPr>
      </xdr:nvPicPr>
      <xdr:blipFill>
        <a:blip xmlns:r="http://purl.oclc.org/ooxml/officeDocument/relationships" r:embed="rId1"/>
        <a:stretch>
          <a:fillRect/>
        </a:stretch>
      </xdr:blipFill>
      <xdr:spPr>
        <a:xfrm>
          <a:off x="7810500" y="444500"/>
          <a:ext cx="1033632" cy="1028700"/>
        </a:xfrm>
        <a:prstGeom prst="rect">
          <a:avLst/>
        </a:prstGeom>
        <a:ln w="12700">
          <a:miter lim="400%"/>
        </a:ln>
      </xdr:spPr>
    </xdr:pic>
    <xdr:clientData/>
  </xdr:twoCellAnchor>
  <mc:AlternateContent xmlns:mc="http://schemas.openxmlformats.org/markup-compatibility/2006">
    <mc:Choice xmlns:v="urn:schemas-microsoft-com:vml" Requires="v"/>
    <mc:Fallback>
      <xdr:twoCellAnchor editAs="absolute">
        <xdr:from>
          <xdr:col>3</xdr:col>
          <xdr:colOff>558800</xdr:colOff>
          <xdr:row>3</xdr:row>
          <xdr:rowOff>88900</xdr:rowOff>
        </xdr:from>
        <xdr:to>
          <xdr:col>4</xdr:col>
          <xdr:colOff>1295400</xdr:colOff>
          <xdr:row>7</xdr:row>
          <xdr:rowOff>114300</xdr:rowOff>
        </xdr:to>
        <xdr:sp macro="" textlink="">
          <xdr:nvSpPr>
            <xdr:cNvPr id="2049" name="Comment 1" hidden="1">
              <a:extLst>
                <a:ext uri="{FF2B5EF4-FFF2-40B4-BE49-F238E27FC236}">
                  <a16:creationId xmlns:a16="http://schemas.microsoft.com/office/drawing/2014/main" id="{B0F06782-AA49-6819-0B8F-5DEA2022D285}"/>
                </a:ext>
              </a:extLst>
            </xdr:cNvPr>
            <xdr:cNvSpPr txBox="1">
              <a:spLocks noChangeArrowheads="1"/>
            </xdr:cNvSpPr>
          </xdr:nvSpPr>
          <xdr:spPr bwMode="auto">
            <a:xfrm>
              <a:off x="762000" y="241300"/>
              <a:ext cx="1498600" cy="635000"/>
            </a:xfrm>
            <a:prstGeom prst="rect">
              <a:avLst/>
            </a:prstGeom>
            <a:solidFill>
              <a:srgbClr val="FFFFE1"/>
            </a:solidFill>
            <a:ln w="9525">
              <a:solidFill>
                <a:srgbClr val="510000"/>
              </a:solidFill>
              <a:miter lim="800%"/>
              <a:headEnd/>
              <a:tailEnd/>
            </a:ln>
            <a:effectLst>
              <a:outerShdw dist="35921" dir="2700000" algn="ctr" rotWithShape="0">
                <a:srgbClr val="51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800" b="1" i="0" u="none" strike="noStrike" baseline="0%">
                  <a:solidFill>
                    <a:srgbClr val="000000"/>
                  </a:solidFill>
                  <a:latin typeface="Tahoma" pitchFamily="2" charset="0"/>
                  <a:ea typeface="Tahoma" pitchFamily="2" charset="0"/>
                  <a:cs typeface="Tahoma" pitchFamily="2" charset="0"/>
                </a:rPr>
                <a:t>Tom Lebsack:</a:t>
              </a:r>
              <a:endParaRPr lang="en-US" sz="800" b="0" i="0" u="none" strike="noStrike" baseline="0%">
                <a:solidFill>
                  <a:srgbClr val="000000"/>
                </a:solidFill>
                <a:latin typeface="Tahoma" pitchFamily="2" charset="0"/>
                <a:ea typeface="Tahoma" pitchFamily="2" charset="0"/>
                <a:cs typeface="Tahoma" pitchFamily="2" charset="0"/>
              </a:endParaRPr>
            </a:p>
            <a:p>
              <a:pPr algn="l" rtl="0">
                <a:defRPr sz="1000"/>
              </a:pPr>
              <a:r>
                <a:rPr lang="en-US" sz="800" b="0" i="0" u="none" strike="noStrike" baseline="0%">
                  <a:solidFill>
                    <a:srgbClr val="000000"/>
                  </a:solidFill>
                  <a:latin typeface="Tahoma" pitchFamily="2" charset="0"/>
                  <a:ea typeface="Tahoma" pitchFamily="2" charset="0"/>
                  <a:cs typeface="Tahoma" pitchFamily="2" charset="0"/>
                </a:rPr>
                <a:t>DO NOT DELETE OR MOVE THIS CELL - Macro is referencing its exact location</a:t>
              </a:r>
            </a:p>
          </xdr:txBody>
        </xdr:sp>
        <xdr:clientData/>
      </xdr:twoCellAnchor>
    </mc:Fallback>
  </mc:AlternateContent>
  <mc:AlternateContent xmlns:mc="http://schemas.openxmlformats.org/markup-compatibility/2006">
    <mc:Choice xmlns:v="urn:schemas-microsoft-com:vml" Requires="v"/>
    <mc:Fallback>
      <xdr:twoCellAnchor editAs="absolute">
        <xdr:from>
          <xdr:col>4</xdr:col>
          <xdr:colOff>1193800</xdr:colOff>
          <xdr:row>3</xdr:row>
          <xdr:rowOff>88900</xdr:rowOff>
        </xdr:from>
        <xdr:to>
          <xdr:col>4</xdr:col>
          <xdr:colOff>2641600</xdr:colOff>
          <xdr:row>11</xdr:row>
          <xdr:rowOff>127000</xdr:rowOff>
        </xdr:to>
        <xdr:sp macro="" textlink="">
          <xdr:nvSpPr>
            <xdr:cNvPr id="2050" name="Comment 2" hidden="1">
              <a:extLst>
                <a:ext uri="{FF2B5EF4-FFF2-40B4-BE49-F238E27FC236}">
                  <a16:creationId xmlns:a16="http://schemas.microsoft.com/office/drawing/2014/main" id="{A1AF773B-EB01-9DAE-3616-3CF5B0B7EF2C}"/>
                </a:ext>
              </a:extLst>
            </xdr:cNvPr>
            <xdr:cNvSpPr txBox="1">
              <a:spLocks noChangeArrowheads="1"/>
            </xdr:cNvSpPr>
          </xdr:nvSpPr>
          <xdr:spPr bwMode="auto">
            <a:xfrm>
              <a:off x="2159000" y="241300"/>
              <a:ext cx="1447800" cy="1257300"/>
            </a:xfrm>
            <a:prstGeom prst="rect">
              <a:avLst/>
            </a:prstGeom>
            <a:solidFill>
              <a:srgbClr val="FFFFE1"/>
            </a:solidFill>
            <a:ln w="9525">
              <a:solidFill>
                <a:srgbClr val="510000"/>
              </a:solidFill>
              <a:miter lim="800%"/>
              <a:headEnd/>
              <a:tailEnd/>
            </a:ln>
            <a:effectLst>
              <a:outerShdw dist="35921" dir="2700000" algn="ctr" rotWithShape="0">
                <a:srgbClr val="51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800" b="1" i="0" u="none" strike="noStrike" baseline="0%">
                  <a:solidFill>
                    <a:srgbClr val="000000"/>
                  </a:solidFill>
                  <a:latin typeface="Tahoma" pitchFamily="2" charset="0"/>
                  <a:ea typeface="Tahoma" pitchFamily="2" charset="0"/>
                  <a:cs typeface="Tahoma" pitchFamily="2" charset="0"/>
                </a:rPr>
                <a:t>Tom Lebsack:</a:t>
              </a:r>
              <a:endParaRPr lang="en-US" sz="800" b="0" i="0" u="none" strike="noStrike" baseline="0%">
                <a:solidFill>
                  <a:srgbClr val="000000"/>
                </a:solidFill>
                <a:latin typeface="Tahoma" pitchFamily="2" charset="0"/>
                <a:ea typeface="Tahoma" pitchFamily="2" charset="0"/>
                <a:cs typeface="Tahoma" pitchFamily="2" charset="0"/>
              </a:endParaRPr>
            </a:p>
            <a:p>
              <a:pPr algn="l" rtl="0">
                <a:defRPr sz="1000"/>
              </a:pPr>
              <a:r>
                <a:rPr lang="en-US" sz="800" b="0" i="0" u="none" strike="noStrike" baseline="0%">
                  <a:solidFill>
                    <a:srgbClr val="000000"/>
                  </a:solidFill>
                  <a:latin typeface="Tahoma" pitchFamily="2" charset="0"/>
                  <a:ea typeface="Tahoma" pitchFamily="2" charset="0"/>
                  <a:cs typeface="Tahoma" pitchFamily="2" charset="0"/>
                </a:rPr>
                <a:t>DO NOT DELETE THIS CELL. Macro referencing this to determine which type of Discount Method to display.</a:t>
              </a:r>
            </a:p>
            <a:p>
              <a:pPr algn="l" rtl="0">
                <a:defRPr sz="1000"/>
              </a:pPr>
              <a:r>
                <a:rPr lang="en-US" sz="800" b="0" i="0" u="none" strike="noStrike" baseline="0%">
                  <a:solidFill>
                    <a:srgbClr val="000000"/>
                  </a:solidFill>
                  <a:latin typeface="Tahoma" pitchFamily="2" charset="0"/>
                  <a:ea typeface="Tahoma" pitchFamily="2" charset="0"/>
                  <a:cs typeface="Tahoma" pitchFamily="2" charset="0"/>
                </a:rPr>
                <a:t>Macro Name: "SNOWBOARD_DISCOUNT_METHOD"</a:t>
              </a:r>
            </a:p>
          </xdr:txBody>
        </xdr:sp>
        <xdr:clientData/>
      </xdr:twoCellAnchor>
    </mc:Fallback>
  </mc:AlternateContent>
  <mc:AlternateContent xmlns:mc="http://schemas.openxmlformats.org/markup-compatibility/2006">
    <mc:Choice xmlns:v="urn:schemas-microsoft-com:vml" Requires="v"/>
    <mc:Fallback>
      <xdr:twoCellAnchor editAs="absolute">
        <xdr:from>
          <xdr:col>55</xdr:col>
          <xdr:colOff>520700</xdr:colOff>
          <xdr:row>25</xdr:row>
          <xdr:rowOff>50800</xdr:rowOff>
        </xdr:from>
        <xdr:to>
          <xdr:col>58</xdr:col>
          <xdr:colOff>330200</xdr:colOff>
          <xdr:row>32</xdr:row>
          <xdr:rowOff>101600</xdr:rowOff>
        </xdr:to>
        <xdr:sp macro="" textlink="">
          <xdr:nvSpPr>
            <xdr:cNvPr id="2053" name="Comment 5" hidden="1">
              <a:extLst>
                <a:ext uri="{FF2B5EF4-FFF2-40B4-BE49-F238E27FC236}">
                  <a16:creationId xmlns:a16="http://schemas.microsoft.com/office/drawing/2014/main" id="{5188402C-65A2-9285-7CD3-A55E91DF87AB}"/>
                </a:ext>
              </a:extLst>
            </xdr:cNvPr>
            <xdr:cNvSpPr txBox="1">
              <a:spLocks noChangeArrowheads="1"/>
            </xdr:cNvSpPr>
          </xdr:nvSpPr>
          <xdr:spPr bwMode="auto">
            <a:xfrm>
              <a:off x="15951200" y="3797300"/>
              <a:ext cx="1562100" cy="1117600"/>
            </a:xfrm>
            <a:prstGeom prst="rect">
              <a:avLst/>
            </a:prstGeom>
            <a:solidFill>
              <a:srgbClr val="FFFFE1"/>
            </a:solidFill>
            <a:ln w="9525">
              <a:solidFill>
                <a:srgbClr val="510000"/>
              </a:solidFill>
              <a:miter lim="800%"/>
              <a:headEnd/>
              <a:tailEnd/>
            </a:ln>
            <a:effectLst>
              <a:outerShdw dist="35921" dir="2700000" algn="ctr" rotWithShape="0">
                <a:srgbClr val="51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pitchFamily="2" charset="0"/>
                  <a:ea typeface="Tahoma" pitchFamily="2" charset="0"/>
                  <a:cs typeface="Tahoma" pitchFamily="2" charset="0"/>
                </a:rPr>
                <a:t>Tom Lebsack:</a:t>
              </a:r>
              <a:endParaRPr lang="en-US" sz="900" b="0" i="0" u="none" strike="noStrike" baseline="0%">
                <a:solidFill>
                  <a:srgbClr val="000000"/>
                </a:solidFill>
                <a:latin typeface="Tahoma" pitchFamily="2" charset="0"/>
                <a:ea typeface="Tahoma" pitchFamily="2" charset="0"/>
                <a:cs typeface="Tahoma" pitchFamily="2" charset="0"/>
              </a:endParaRPr>
            </a:p>
            <a:p>
              <a:pPr algn="l" rtl="0">
                <a:defRPr sz="1000"/>
              </a:pPr>
              <a:r>
                <a:rPr lang="en-US" sz="900" b="0" i="0" u="none" strike="noStrike" baseline="0%">
                  <a:solidFill>
                    <a:srgbClr val="000000"/>
                  </a:solidFill>
                  <a:latin typeface="Tahoma" pitchFamily="2" charset="0"/>
                  <a:ea typeface="Tahoma" pitchFamily="2" charset="0"/>
                  <a:cs typeface="Tahoma" pitchFamily="2" charset="0"/>
                </a:rPr>
                <a:t>number used to right to put units per size into correct box</a:t>
              </a:r>
            </a:p>
          </xdr:txBody>
        </xdr:sp>
        <xdr:clientData/>
      </xdr:twoCellAnchor>
    </mc:Fallback>
  </mc:AlternateContent>
  <mc:AlternateContent xmlns:mc="http://schemas.openxmlformats.org/markup-compatibility/2006">
    <mc:Choice xmlns:v="urn:schemas-microsoft-com:vml" Requires="v"/>
    <mc:Fallback>
      <xdr:twoCellAnchor editAs="absolute">
        <xdr:from>
          <xdr:col>54</xdr:col>
          <xdr:colOff>88900</xdr:colOff>
          <xdr:row>109</xdr:row>
          <xdr:rowOff>76200</xdr:rowOff>
        </xdr:from>
        <xdr:to>
          <xdr:col>56</xdr:col>
          <xdr:colOff>482600</xdr:colOff>
          <xdr:row>117</xdr:row>
          <xdr:rowOff>76200</xdr:rowOff>
        </xdr:to>
        <xdr:sp macro="" textlink="">
          <xdr:nvSpPr>
            <xdr:cNvPr id="2076" name="Comment 28" hidden="1">
              <a:extLst>
                <a:ext uri="{FF2B5EF4-FFF2-40B4-BE49-F238E27FC236}">
                  <a16:creationId xmlns:a16="http://schemas.microsoft.com/office/drawing/2014/main" id="{BF56A08F-F914-2C65-2985-81C295AFC8E4}"/>
                </a:ext>
              </a:extLst>
            </xdr:cNvPr>
            <xdr:cNvSpPr txBox="1">
              <a:spLocks noChangeArrowheads="1"/>
            </xdr:cNvSpPr>
          </xdr:nvSpPr>
          <xdr:spPr bwMode="auto">
            <a:xfrm>
              <a:off x="14935200" y="10388600"/>
              <a:ext cx="1562100" cy="1320800"/>
            </a:xfrm>
            <a:prstGeom prst="rect">
              <a:avLst/>
            </a:prstGeom>
            <a:solidFill>
              <a:srgbClr val="FFFFE1"/>
            </a:solidFill>
            <a:ln w="9525">
              <a:solidFill>
                <a:srgbClr val="510000"/>
              </a:solidFill>
              <a:miter lim="800%"/>
              <a:headEnd/>
              <a:tailEnd/>
            </a:ln>
            <a:effectLst>
              <a:outerShdw dist="35921" dir="2700000" algn="ctr" rotWithShape="0">
                <a:srgbClr val="51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pitchFamily="2" charset="0"/>
                  <a:ea typeface="Tahoma" pitchFamily="2" charset="0"/>
                  <a:cs typeface="Tahoma" pitchFamily="2" charset="0"/>
                </a:rPr>
                <a:t>Tom Lebsack:</a:t>
              </a:r>
              <a:endParaRPr lang="en-US" sz="900" b="0" i="0" u="none" strike="noStrike" baseline="0%">
                <a:solidFill>
                  <a:srgbClr val="000000"/>
                </a:solidFill>
                <a:latin typeface="Tahoma" pitchFamily="2" charset="0"/>
                <a:ea typeface="Tahoma" pitchFamily="2" charset="0"/>
                <a:cs typeface="Tahoma" pitchFamily="2" charset="0"/>
              </a:endParaRPr>
            </a:p>
            <a:p>
              <a:pPr algn="l" rtl="0">
                <a:defRPr sz="1000"/>
              </a:pPr>
              <a:r>
                <a:rPr lang="en-US" sz="900" b="0" i="0" u="none" strike="noStrike" baseline="0%">
                  <a:solidFill>
                    <a:srgbClr val="000000"/>
                  </a:solidFill>
                  <a:latin typeface="Tahoma" pitchFamily="2" charset="0"/>
                  <a:ea typeface="Tahoma" pitchFamily="2" charset="0"/>
                  <a:cs typeface="Tahoma" pitchFamily="2" charset="0"/>
                </a:rPr>
                <a:t>number used to right to put units per size into correct box</a:t>
              </a:r>
            </a:p>
          </xdr:txBody>
        </xdr:sp>
        <xdr:clientData/>
      </xdr:twoCellAnchor>
    </mc:Fallback>
  </mc:AlternateContent>
  <mc:AlternateContent xmlns:mc="http://schemas.openxmlformats.org/markup-compatibility/2006">
    <mc:Choice xmlns:v="urn:schemas-microsoft-com:vml" Requires="v"/>
    <mc:Fallback>
      <xdr:twoCellAnchor editAs="absolute">
        <xdr:from>
          <xdr:col>52</xdr:col>
          <xdr:colOff>241300</xdr:colOff>
          <xdr:row>16</xdr:row>
          <xdr:rowOff>50800</xdr:rowOff>
        </xdr:from>
        <xdr:to>
          <xdr:col>55</xdr:col>
          <xdr:colOff>241300</xdr:colOff>
          <xdr:row>23</xdr:row>
          <xdr:rowOff>114300</xdr:rowOff>
        </xdr:to>
        <xdr:sp macro="" textlink="">
          <xdr:nvSpPr>
            <xdr:cNvPr id="2077" name="Comment 29" hidden="1">
              <a:extLst>
                <a:ext uri="{FF2B5EF4-FFF2-40B4-BE49-F238E27FC236}">
                  <a16:creationId xmlns:a16="http://schemas.microsoft.com/office/drawing/2014/main" id="{D4BF23C7-DDA5-8ED2-4F76-3EEE64C45396}"/>
                </a:ext>
              </a:extLst>
            </xdr:cNvPr>
            <xdr:cNvSpPr txBox="1">
              <a:spLocks noChangeArrowheads="1"/>
            </xdr:cNvSpPr>
          </xdr:nvSpPr>
          <xdr:spPr bwMode="auto">
            <a:xfrm>
              <a:off x="13919200" y="2425700"/>
              <a:ext cx="1752600" cy="1130300"/>
            </a:xfrm>
            <a:prstGeom prst="rect">
              <a:avLst/>
            </a:prstGeom>
            <a:solidFill>
              <a:srgbClr val="FFFFE1"/>
            </a:solidFill>
            <a:ln w="9525">
              <a:solidFill>
                <a:srgbClr val="510000"/>
              </a:solidFill>
              <a:miter lim="800%"/>
              <a:headEnd/>
              <a:tailEnd/>
            </a:ln>
            <a:effectLst>
              <a:outerShdw dist="35921" dir="2700000" algn="ctr" rotWithShape="0">
                <a:srgbClr val="51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pitchFamily="2" charset="0"/>
                  <a:ea typeface="Tahoma" pitchFamily="2" charset="0"/>
                  <a:cs typeface="Tahoma" pitchFamily="2" charset="0"/>
                </a:rPr>
                <a:t>Tom Lebsack:</a:t>
              </a:r>
              <a:endParaRPr lang="en-US" sz="900" b="0" i="0" u="none" strike="noStrike" baseline="0%">
                <a:solidFill>
                  <a:srgbClr val="000000"/>
                </a:solidFill>
                <a:latin typeface="Tahoma" pitchFamily="2" charset="0"/>
                <a:ea typeface="Tahoma" pitchFamily="2" charset="0"/>
                <a:cs typeface="Tahoma" pitchFamily="2" charset="0"/>
              </a:endParaRPr>
            </a:p>
            <a:p>
              <a:pPr algn="l" rtl="0">
                <a:defRPr sz="1000"/>
              </a:pPr>
              <a:r>
                <a:rPr lang="en-US" sz="900" b="0" i="0" u="none" strike="noStrike" baseline="0%">
                  <a:solidFill>
                    <a:srgbClr val="000000"/>
                  </a:solidFill>
                  <a:latin typeface="Tahoma" pitchFamily="2" charset="0"/>
                  <a:ea typeface="Tahoma" pitchFamily="2" charset="0"/>
                  <a:cs typeface="Tahoma" pitchFamily="2" charset="0"/>
                </a:rPr>
                <a:t>number used to right to put units per size into correct box</a:t>
              </a:r>
            </a:p>
          </xdr:txBody>
        </xdr:sp>
        <xdr:clientData/>
      </xdr:twoCellAnchor>
    </mc:Fallback>
  </mc:AlternateContent>
  <mc:AlternateContent xmlns:mc="http://schemas.openxmlformats.org/markup-compatibility/2006">
    <mc:Choice xmlns:v="urn:schemas-microsoft-com:vml" Requires="v"/>
    <mc:Fallback>
      <xdr:twoCellAnchor editAs="absolute">
        <xdr:from>
          <xdr:col>52</xdr:col>
          <xdr:colOff>241300</xdr:colOff>
          <xdr:row>101</xdr:row>
          <xdr:rowOff>114300</xdr:rowOff>
        </xdr:from>
        <xdr:to>
          <xdr:col>55</xdr:col>
          <xdr:colOff>241300</xdr:colOff>
          <xdr:row>108</xdr:row>
          <xdr:rowOff>114300</xdr:rowOff>
        </xdr:to>
        <xdr:sp macro="" textlink="">
          <xdr:nvSpPr>
            <xdr:cNvPr id="2078" name="Comment 30" hidden="1">
              <a:extLst>
                <a:ext uri="{FF2B5EF4-FFF2-40B4-BE49-F238E27FC236}">
                  <a16:creationId xmlns:a16="http://schemas.microsoft.com/office/drawing/2014/main" id="{36CEBF3D-359C-49A1-0A67-F9B6EBA8562A}"/>
                </a:ext>
              </a:extLst>
            </xdr:cNvPr>
            <xdr:cNvSpPr txBox="1">
              <a:spLocks noChangeArrowheads="1"/>
            </xdr:cNvSpPr>
          </xdr:nvSpPr>
          <xdr:spPr bwMode="auto">
            <a:xfrm>
              <a:off x="13919200" y="9105900"/>
              <a:ext cx="1752600" cy="1155700"/>
            </a:xfrm>
            <a:prstGeom prst="rect">
              <a:avLst/>
            </a:prstGeom>
            <a:solidFill>
              <a:srgbClr val="FFFFE1"/>
            </a:solidFill>
            <a:ln w="9525">
              <a:solidFill>
                <a:srgbClr val="510000"/>
              </a:solidFill>
              <a:miter lim="800%"/>
              <a:headEnd/>
              <a:tailEnd/>
            </a:ln>
            <a:effectLst>
              <a:outerShdw dist="35921" dir="2700000" algn="ctr" rotWithShape="0">
                <a:srgbClr val="51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pitchFamily="2" charset="0"/>
                  <a:ea typeface="Tahoma" pitchFamily="2" charset="0"/>
                  <a:cs typeface="Tahoma" pitchFamily="2" charset="0"/>
                </a:rPr>
                <a:t>Tom Lebsack:</a:t>
              </a:r>
              <a:endParaRPr lang="en-US" sz="900" b="0" i="0" u="none" strike="noStrike" baseline="0%">
                <a:solidFill>
                  <a:srgbClr val="000000"/>
                </a:solidFill>
                <a:latin typeface="Tahoma" pitchFamily="2" charset="0"/>
                <a:ea typeface="Tahoma" pitchFamily="2" charset="0"/>
                <a:cs typeface="Tahoma" pitchFamily="2" charset="0"/>
              </a:endParaRPr>
            </a:p>
            <a:p>
              <a:pPr algn="l" rtl="0">
                <a:defRPr sz="1000"/>
              </a:pPr>
              <a:r>
                <a:rPr lang="en-US" sz="900" b="0" i="0" u="none" strike="noStrike" baseline="0%">
                  <a:solidFill>
                    <a:srgbClr val="000000"/>
                  </a:solidFill>
                  <a:latin typeface="Tahoma" pitchFamily="2" charset="0"/>
                  <a:ea typeface="Tahoma" pitchFamily="2" charset="0"/>
                  <a:cs typeface="Tahoma" pitchFamily="2" charset="0"/>
                </a:rPr>
                <a:t>number used to right to put units per size into correct box</a:t>
              </a:r>
            </a:p>
          </xdr:txBody>
        </xdr:sp>
        <xdr:clientData/>
      </xdr:twoCellAnchor>
    </mc:Fallback>
  </mc:AlternateContent>
  <mc:AlternateContent xmlns:mc="http://schemas.openxmlformats.org/markup-compatibility/2006">
    <mc:Choice xmlns:v="urn:schemas-microsoft-com:vml" Requires="v"/>
    <mc:Fallback>
      <xdr:twoCellAnchor editAs="absolute">
        <xdr:from>
          <xdr:col>51</xdr:col>
          <xdr:colOff>304800</xdr:colOff>
          <xdr:row>33</xdr:row>
          <xdr:rowOff>63500</xdr:rowOff>
        </xdr:from>
        <xdr:to>
          <xdr:col>53</xdr:col>
          <xdr:colOff>88900</xdr:colOff>
          <xdr:row>40</xdr:row>
          <xdr:rowOff>63500</xdr:rowOff>
        </xdr:to>
        <xdr:sp macro="" textlink="">
          <xdr:nvSpPr>
            <xdr:cNvPr id="2121" name="Comment 73" hidden="1">
              <a:extLst>
                <a:ext uri="{FF2B5EF4-FFF2-40B4-BE49-F238E27FC236}">
                  <a16:creationId xmlns:a16="http://schemas.microsoft.com/office/drawing/2014/main" id="{8215C411-DF6A-B076-8CF2-51B80E3C062B}"/>
                </a:ext>
              </a:extLst>
            </xdr:cNvPr>
            <xdr:cNvSpPr txBox="1">
              <a:spLocks noChangeArrowheads="1"/>
            </xdr:cNvSpPr>
          </xdr:nvSpPr>
          <xdr:spPr bwMode="auto">
            <a:xfrm>
              <a:off x="12598400" y="5029200"/>
              <a:ext cx="1752600" cy="1130300"/>
            </a:xfrm>
            <a:prstGeom prst="rect">
              <a:avLst/>
            </a:prstGeom>
            <a:solidFill>
              <a:srgbClr val="FFFFE1"/>
            </a:solidFill>
            <a:ln w="9525">
              <a:solidFill>
                <a:srgbClr val="510000"/>
              </a:solidFill>
              <a:miter lim="800%"/>
              <a:headEnd/>
              <a:tailEnd/>
            </a:ln>
            <a:effectLst>
              <a:outerShdw dist="35921" dir="2700000" algn="ctr" rotWithShape="0">
                <a:srgbClr val="51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pitchFamily="2" charset="0"/>
                  <a:ea typeface="Tahoma" pitchFamily="2" charset="0"/>
                  <a:cs typeface="Tahoma" pitchFamily="2" charset="0"/>
                </a:rPr>
                <a:t>Tom Lebsack:</a:t>
              </a:r>
              <a:endParaRPr lang="en-US" sz="900" b="0" i="0" u="none" strike="noStrike" baseline="0%">
                <a:solidFill>
                  <a:srgbClr val="000000"/>
                </a:solidFill>
                <a:latin typeface="Tahoma" pitchFamily="2" charset="0"/>
                <a:ea typeface="Tahoma" pitchFamily="2" charset="0"/>
                <a:cs typeface="Tahoma" pitchFamily="2" charset="0"/>
              </a:endParaRPr>
            </a:p>
            <a:p>
              <a:pPr algn="l" rtl="0">
                <a:defRPr sz="1000"/>
              </a:pPr>
              <a:r>
                <a:rPr lang="en-US" sz="900" b="0" i="0" u="none" strike="noStrike" baseline="0%">
                  <a:solidFill>
                    <a:srgbClr val="000000"/>
                  </a:solidFill>
                  <a:latin typeface="Tahoma" pitchFamily="2" charset="0"/>
                  <a:ea typeface="Tahoma" pitchFamily="2" charset="0"/>
                  <a:cs typeface="Tahoma" pitchFamily="2" charset="0"/>
                </a:rPr>
                <a:t>number used to right to put units per size into correct box</a:t>
              </a:r>
            </a:p>
          </xdr:txBody>
        </xdr:sp>
        <xdr:clientData/>
      </xdr:twoCellAnchor>
    </mc:Fallback>
  </mc:AlternateContent>
  <mc:AlternateContent xmlns:mc="http://schemas.openxmlformats.org/markup-compatibility/2006">
    <mc:Choice xmlns:v="urn:schemas-microsoft-com:vml" Requires="v"/>
    <mc:Fallback>
      <xdr:twoCellAnchor editAs="absolute">
        <xdr:from>
          <xdr:col>51</xdr:col>
          <xdr:colOff>304800</xdr:colOff>
          <xdr:row>40</xdr:row>
          <xdr:rowOff>63500</xdr:rowOff>
        </xdr:from>
        <xdr:to>
          <xdr:col>53</xdr:col>
          <xdr:colOff>88900</xdr:colOff>
          <xdr:row>47</xdr:row>
          <xdr:rowOff>101600</xdr:rowOff>
        </xdr:to>
        <xdr:sp macro="" textlink="">
          <xdr:nvSpPr>
            <xdr:cNvPr id="2122" name="Comment 74" hidden="1">
              <a:extLst>
                <a:ext uri="{FF2B5EF4-FFF2-40B4-BE49-F238E27FC236}">
                  <a16:creationId xmlns:a16="http://schemas.microsoft.com/office/drawing/2014/main" id="{6462F057-7289-5F7C-CDDC-0FF40319FB83}"/>
                </a:ext>
              </a:extLst>
            </xdr:cNvPr>
            <xdr:cNvSpPr txBox="1">
              <a:spLocks noChangeArrowheads="1"/>
            </xdr:cNvSpPr>
          </xdr:nvSpPr>
          <xdr:spPr bwMode="auto">
            <a:xfrm>
              <a:off x="12598400" y="6159500"/>
              <a:ext cx="1752600" cy="1130300"/>
            </a:xfrm>
            <a:prstGeom prst="rect">
              <a:avLst/>
            </a:prstGeom>
            <a:solidFill>
              <a:srgbClr val="FFFFE1"/>
            </a:solidFill>
            <a:ln w="9525">
              <a:solidFill>
                <a:srgbClr val="510000"/>
              </a:solidFill>
              <a:miter lim="800%"/>
              <a:headEnd/>
              <a:tailEnd/>
            </a:ln>
            <a:effectLst>
              <a:outerShdw dist="35921" dir="2700000" algn="ctr" rotWithShape="0">
                <a:srgbClr val="51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pitchFamily="2" charset="0"/>
                  <a:ea typeface="Tahoma" pitchFamily="2" charset="0"/>
                  <a:cs typeface="Tahoma" pitchFamily="2" charset="0"/>
                </a:rPr>
                <a:t>Tom Lebsack:</a:t>
              </a:r>
              <a:endParaRPr lang="en-US" sz="900" b="0" i="0" u="none" strike="noStrike" baseline="0%">
                <a:solidFill>
                  <a:srgbClr val="000000"/>
                </a:solidFill>
                <a:latin typeface="Tahoma" pitchFamily="2" charset="0"/>
                <a:ea typeface="Tahoma" pitchFamily="2" charset="0"/>
                <a:cs typeface="Tahoma" pitchFamily="2" charset="0"/>
              </a:endParaRPr>
            </a:p>
            <a:p>
              <a:pPr algn="l" rtl="0">
                <a:defRPr sz="1000"/>
              </a:pPr>
              <a:r>
                <a:rPr lang="en-US" sz="900" b="0" i="0" u="none" strike="noStrike" baseline="0%">
                  <a:solidFill>
                    <a:srgbClr val="000000"/>
                  </a:solidFill>
                  <a:latin typeface="Tahoma" pitchFamily="2" charset="0"/>
                  <a:ea typeface="Tahoma" pitchFamily="2" charset="0"/>
                  <a:cs typeface="Tahoma" pitchFamily="2" charset="0"/>
                </a:rPr>
                <a:t>number used to right to put units per size into correct box</a:t>
              </a:r>
            </a:p>
          </xdr:txBody>
        </xdr:sp>
        <xdr:clientData/>
      </xdr:twoCellAnchor>
    </mc:Fallback>
  </mc:AlternateContent>
  <mc:AlternateContent xmlns:mc="http://schemas.openxmlformats.org/markup-compatibility/2006">
    <mc:Choice xmlns:v="urn:schemas-microsoft-com:vml" Requires="v"/>
    <mc:Fallback>
      <xdr:twoCellAnchor editAs="absolute">
        <xdr:from>
          <xdr:col>51</xdr:col>
          <xdr:colOff>304800</xdr:colOff>
          <xdr:row>44</xdr:row>
          <xdr:rowOff>63500</xdr:rowOff>
        </xdr:from>
        <xdr:to>
          <xdr:col>53</xdr:col>
          <xdr:colOff>88900</xdr:colOff>
          <xdr:row>51</xdr:row>
          <xdr:rowOff>101600</xdr:rowOff>
        </xdr:to>
        <xdr:sp macro="" textlink="">
          <xdr:nvSpPr>
            <xdr:cNvPr id="2123" name="Comment 75" hidden="1">
              <a:extLst>
                <a:ext uri="{FF2B5EF4-FFF2-40B4-BE49-F238E27FC236}">
                  <a16:creationId xmlns:a16="http://schemas.microsoft.com/office/drawing/2014/main" id="{D1C5F98E-BF64-62AA-D621-BE96E0031078}"/>
                </a:ext>
              </a:extLst>
            </xdr:cNvPr>
            <xdr:cNvSpPr txBox="1">
              <a:spLocks noChangeArrowheads="1"/>
            </xdr:cNvSpPr>
          </xdr:nvSpPr>
          <xdr:spPr bwMode="auto">
            <a:xfrm>
              <a:off x="12598400" y="6794500"/>
              <a:ext cx="1752600" cy="1130300"/>
            </a:xfrm>
            <a:prstGeom prst="rect">
              <a:avLst/>
            </a:prstGeom>
            <a:solidFill>
              <a:srgbClr val="FFFFE1"/>
            </a:solidFill>
            <a:ln w="9525">
              <a:solidFill>
                <a:srgbClr val="510000"/>
              </a:solidFill>
              <a:miter lim="800%"/>
              <a:headEnd/>
              <a:tailEnd/>
            </a:ln>
            <a:effectLst>
              <a:outerShdw dist="35921" dir="2700000" algn="ctr" rotWithShape="0">
                <a:srgbClr val="51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pitchFamily="2" charset="0"/>
                  <a:ea typeface="Tahoma" pitchFamily="2" charset="0"/>
                  <a:cs typeface="Tahoma" pitchFamily="2" charset="0"/>
                </a:rPr>
                <a:t>Tom Lebsack:</a:t>
              </a:r>
              <a:endParaRPr lang="en-US" sz="900" b="0" i="0" u="none" strike="noStrike" baseline="0%">
                <a:solidFill>
                  <a:srgbClr val="000000"/>
                </a:solidFill>
                <a:latin typeface="Tahoma" pitchFamily="2" charset="0"/>
                <a:ea typeface="Tahoma" pitchFamily="2" charset="0"/>
                <a:cs typeface="Tahoma" pitchFamily="2" charset="0"/>
              </a:endParaRPr>
            </a:p>
            <a:p>
              <a:pPr algn="l" rtl="0">
                <a:defRPr sz="1000"/>
              </a:pPr>
              <a:r>
                <a:rPr lang="en-US" sz="900" b="0" i="0" u="none" strike="noStrike" baseline="0%">
                  <a:solidFill>
                    <a:srgbClr val="000000"/>
                  </a:solidFill>
                  <a:latin typeface="Tahoma" pitchFamily="2" charset="0"/>
                  <a:ea typeface="Tahoma" pitchFamily="2" charset="0"/>
                  <a:cs typeface="Tahoma" pitchFamily="2" charset="0"/>
                </a:rPr>
                <a:t>number used to right to put units per size into correct box</a:t>
              </a:r>
            </a:p>
          </xdr:txBody>
        </xdr:sp>
        <xdr:clientData/>
      </xdr:twoCellAnchor>
    </mc:Fallback>
  </mc:AlternateContent>
  <mc:AlternateContent xmlns:mc="http://schemas.openxmlformats.org/markup-compatibility/2006">
    <mc:Choice xmlns:v="urn:schemas-microsoft-com:vml" Requires="v"/>
    <mc:Fallback>
      <xdr:twoCellAnchor editAs="absolute">
        <xdr:from>
          <xdr:col>51</xdr:col>
          <xdr:colOff>304800</xdr:colOff>
          <xdr:row>49</xdr:row>
          <xdr:rowOff>63500</xdr:rowOff>
        </xdr:from>
        <xdr:to>
          <xdr:col>53</xdr:col>
          <xdr:colOff>88900</xdr:colOff>
          <xdr:row>99</xdr:row>
          <xdr:rowOff>50800</xdr:rowOff>
        </xdr:to>
        <xdr:sp macro="" textlink="">
          <xdr:nvSpPr>
            <xdr:cNvPr id="2124" name="Comment 76" hidden="1">
              <a:extLst>
                <a:ext uri="{FF2B5EF4-FFF2-40B4-BE49-F238E27FC236}">
                  <a16:creationId xmlns:a16="http://schemas.microsoft.com/office/drawing/2014/main" id="{A8B527AD-772D-FB21-73E6-16592BEDA77A}"/>
                </a:ext>
              </a:extLst>
            </xdr:cNvPr>
            <xdr:cNvSpPr txBox="1">
              <a:spLocks noChangeArrowheads="1"/>
            </xdr:cNvSpPr>
          </xdr:nvSpPr>
          <xdr:spPr bwMode="auto">
            <a:xfrm>
              <a:off x="12598400" y="7581900"/>
              <a:ext cx="1752600" cy="1130300"/>
            </a:xfrm>
            <a:prstGeom prst="rect">
              <a:avLst/>
            </a:prstGeom>
            <a:solidFill>
              <a:srgbClr val="FFFFE1"/>
            </a:solidFill>
            <a:ln w="9525">
              <a:solidFill>
                <a:srgbClr val="510000"/>
              </a:solidFill>
              <a:miter lim="800%"/>
              <a:headEnd/>
              <a:tailEnd/>
            </a:ln>
            <a:effectLst>
              <a:outerShdw dist="35921" dir="2700000" algn="ctr" rotWithShape="0">
                <a:srgbClr val="51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pitchFamily="2" charset="0"/>
                  <a:ea typeface="Tahoma" pitchFamily="2" charset="0"/>
                  <a:cs typeface="Tahoma" pitchFamily="2" charset="0"/>
                </a:rPr>
                <a:t>Tom Lebsack:</a:t>
              </a:r>
              <a:endParaRPr lang="en-US" sz="900" b="0" i="0" u="none" strike="noStrike" baseline="0%">
                <a:solidFill>
                  <a:srgbClr val="000000"/>
                </a:solidFill>
                <a:latin typeface="Tahoma" pitchFamily="2" charset="0"/>
                <a:ea typeface="Tahoma" pitchFamily="2" charset="0"/>
                <a:cs typeface="Tahoma" pitchFamily="2" charset="0"/>
              </a:endParaRPr>
            </a:p>
            <a:p>
              <a:pPr algn="l" rtl="0">
                <a:defRPr sz="1000"/>
              </a:pPr>
              <a:r>
                <a:rPr lang="en-US" sz="900" b="0" i="0" u="none" strike="noStrike" baseline="0%">
                  <a:solidFill>
                    <a:srgbClr val="000000"/>
                  </a:solidFill>
                  <a:latin typeface="Tahoma" pitchFamily="2" charset="0"/>
                  <a:ea typeface="Tahoma" pitchFamily="2" charset="0"/>
                  <a:cs typeface="Tahoma" pitchFamily="2" charset="0"/>
                </a:rPr>
                <a:t>number used to right to put units per size into correct box</a:t>
              </a:r>
            </a:p>
          </xdr:txBody>
        </xdr:sp>
        <xdr:clientData/>
      </xdr:twoCellAnchor>
    </mc:Fallback>
  </mc:AlternateContent>
  <mc:AlternateContent xmlns:mc="http://schemas.openxmlformats.org/markup-compatibility/2006">
    <mc:Choice xmlns:v="urn:schemas-microsoft-com:vml" Requires="v"/>
    <mc:Fallback>
      <xdr:twoCellAnchor editAs="absolute">
        <xdr:from>
          <xdr:col>51</xdr:col>
          <xdr:colOff>304800</xdr:colOff>
          <xdr:row>116</xdr:row>
          <xdr:rowOff>127000</xdr:rowOff>
        </xdr:from>
        <xdr:to>
          <xdr:col>53</xdr:col>
          <xdr:colOff>88900</xdr:colOff>
          <xdr:row>123</xdr:row>
          <xdr:rowOff>101600</xdr:rowOff>
        </xdr:to>
        <xdr:sp macro="" textlink="">
          <xdr:nvSpPr>
            <xdr:cNvPr id="2125" name="Comment 77" hidden="1">
              <a:extLst>
                <a:ext uri="{FF2B5EF4-FFF2-40B4-BE49-F238E27FC236}">
                  <a16:creationId xmlns:a16="http://schemas.microsoft.com/office/drawing/2014/main" id="{B54F4418-D650-AC4F-7C3A-16F5D66DA9C3}"/>
                </a:ext>
              </a:extLst>
            </xdr:cNvPr>
            <xdr:cNvSpPr txBox="1">
              <a:spLocks noChangeArrowheads="1"/>
            </xdr:cNvSpPr>
          </xdr:nvSpPr>
          <xdr:spPr bwMode="auto">
            <a:xfrm>
              <a:off x="12598400" y="11595100"/>
              <a:ext cx="1752600" cy="1130300"/>
            </a:xfrm>
            <a:prstGeom prst="rect">
              <a:avLst/>
            </a:prstGeom>
            <a:solidFill>
              <a:srgbClr val="FFFFE1"/>
            </a:solidFill>
            <a:ln w="9525">
              <a:solidFill>
                <a:srgbClr val="510000"/>
              </a:solidFill>
              <a:miter lim="800%"/>
              <a:headEnd/>
              <a:tailEnd/>
            </a:ln>
            <a:effectLst>
              <a:outerShdw dist="35921" dir="2700000" algn="ctr" rotWithShape="0">
                <a:srgbClr val="51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pitchFamily="2" charset="0"/>
                  <a:ea typeface="Tahoma" pitchFamily="2" charset="0"/>
                  <a:cs typeface="Tahoma" pitchFamily="2" charset="0"/>
                </a:rPr>
                <a:t>Tom Lebsack:</a:t>
              </a:r>
              <a:endParaRPr lang="en-US" sz="900" b="0" i="0" u="none" strike="noStrike" baseline="0%">
                <a:solidFill>
                  <a:srgbClr val="000000"/>
                </a:solidFill>
                <a:latin typeface="Tahoma" pitchFamily="2" charset="0"/>
                <a:ea typeface="Tahoma" pitchFamily="2" charset="0"/>
                <a:cs typeface="Tahoma" pitchFamily="2" charset="0"/>
              </a:endParaRPr>
            </a:p>
            <a:p>
              <a:pPr algn="l" rtl="0">
                <a:defRPr sz="1000"/>
              </a:pPr>
              <a:r>
                <a:rPr lang="en-US" sz="900" b="0" i="0" u="none" strike="noStrike" baseline="0%">
                  <a:solidFill>
                    <a:srgbClr val="000000"/>
                  </a:solidFill>
                  <a:latin typeface="Tahoma" pitchFamily="2" charset="0"/>
                  <a:ea typeface="Tahoma" pitchFamily="2" charset="0"/>
                  <a:cs typeface="Tahoma" pitchFamily="2" charset="0"/>
                </a:rPr>
                <a:t>number used to right to put units per size into correct box</a:t>
              </a:r>
            </a:p>
          </xdr:txBody>
        </xdr:sp>
        <xdr:clientData/>
      </xdr:twoCellAnchor>
    </mc:Fallback>
  </mc:AlternateContent>
  <mc:AlternateContent xmlns:mc="http://schemas.openxmlformats.org/markup-compatibility/2006">
    <mc:Choice xmlns:v="urn:schemas-microsoft-com:vml" Requires="v"/>
    <mc:Fallback>
      <xdr:twoCellAnchor editAs="absolute">
        <xdr:from>
          <xdr:col>51</xdr:col>
          <xdr:colOff>304800</xdr:colOff>
          <xdr:row>123</xdr:row>
          <xdr:rowOff>101600</xdr:rowOff>
        </xdr:from>
        <xdr:to>
          <xdr:col>53</xdr:col>
          <xdr:colOff>88900</xdr:colOff>
          <xdr:row>130</xdr:row>
          <xdr:rowOff>76200</xdr:rowOff>
        </xdr:to>
        <xdr:sp macro="" textlink="">
          <xdr:nvSpPr>
            <xdr:cNvPr id="2126" name="Comment 78" hidden="1">
              <a:extLst>
                <a:ext uri="{FF2B5EF4-FFF2-40B4-BE49-F238E27FC236}">
                  <a16:creationId xmlns:a16="http://schemas.microsoft.com/office/drawing/2014/main" id="{446C8F98-D729-5A30-4EB4-F41A41362045}"/>
                </a:ext>
              </a:extLst>
            </xdr:cNvPr>
            <xdr:cNvSpPr txBox="1">
              <a:spLocks noChangeArrowheads="1"/>
            </xdr:cNvSpPr>
          </xdr:nvSpPr>
          <xdr:spPr bwMode="auto">
            <a:xfrm>
              <a:off x="12598400" y="12725400"/>
              <a:ext cx="1752600" cy="1130300"/>
            </a:xfrm>
            <a:prstGeom prst="rect">
              <a:avLst/>
            </a:prstGeom>
            <a:solidFill>
              <a:srgbClr val="FFFFE1"/>
            </a:solidFill>
            <a:ln w="9525">
              <a:solidFill>
                <a:srgbClr val="510000"/>
              </a:solidFill>
              <a:miter lim="800%"/>
              <a:headEnd/>
              <a:tailEnd/>
            </a:ln>
            <a:effectLst>
              <a:outerShdw dist="35921" dir="2700000" algn="ctr" rotWithShape="0">
                <a:srgbClr val="51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pitchFamily="2" charset="0"/>
                  <a:ea typeface="Tahoma" pitchFamily="2" charset="0"/>
                  <a:cs typeface="Tahoma" pitchFamily="2" charset="0"/>
                </a:rPr>
                <a:t>Tom Lebsack:</a:t>
              </a:r>
              <a:endParaRPr lang="en-US" sz="900" b="0" i="0" u="none" strike="noStrike" baseline="0%">
                <a:solidFill>
                  <a:srgbClr val="000000"/>
                </a:solidFill>
                <a:latin typeface="Tahoma" pitchFamily="2" charset="0"/>
                <a:ea typeface="Tahoma" pitchFamily="2" charset="0"/>
                <a:cs typeface="Tahoma" pitchFamily="2" charset="0"/>
              </a:endParaRPr>
            </a:p>
            <a:p>
              <a:pPr algn="l" rtl="0">
                <a:defRPr sz="1000"/>
              </a:pPr>
              <a:r>
                <a:rPr lang="en-US" sz="900" b="0" i="0" u="none" strike="noStrike" baseline="0%">
                  <a:solidFill>
                    <a:srgbClr val="000000"/>
                  </a:solidFill>
                  <a:latin typeface="Tahoma" pitchFamily="2" charset="0"/>
                  <a:ea typeface="Tahoma" pitchFamily="2" charset="0"/>
                  <a:cs typeface="Tahoma" pitchFamily="2" charset="0"/>
                </a:rPr>
                <a:t>number used to right to put units per size into correct box</a:t>
              </a:r>
            </a:p>
          </xdr:txBody>
        </xdr:sp>
        <xdr:clientData/>
      </xdr:twoCellAnchor>
    </mc:Fallback>
  </mc:AlternateContent>
  <mc:AlternateContent xmlns:mc="http://schemas.openxmlformats.org/markup-compatibility/2006">
    <mc:Choice xmlns:v="urn:schemas-microsoft-com:vml" Requires="v"/>
    <mc:Fallback>
      <xdr:twoCellAnchor editAs="absolute">
        <xdr:from>
          <xdr:col>51</xdr:col>
          <xdr:colOff>304800</xdr:colOff>
          <xdr:row>127</xdr:row>
          <xdr:rowOff>76200</xdr:rowOff>
        </xdr:from>
        <xdr:to>
          <xdr:col>53</xdr:col>
          <xdr:colOff>88900</xdr:colOff>
          <xdr:row>134</xdr:row>
          <xdr:rowOff>50800</xdr:rowOff>
        </xdr:to>
        <xdr:sp macro="" textlink="">
          <xdr:nvSpPr>
            <xdr:cNvPr id="2127" name="Comment 79" hidden="1">
              <a:extLst>
                <a:ext uri="{FF2B5EF4-FFF2-40B4-BE49-F238E27FC236}">
                  <a16:creationId xmlns:a16="http://schemas.microsoft.com/office/drawing/2014/main" id="{79071FB9-D3F5-3209-C27F-2FB08148A6DE}"/>
                </a:ext>
              </a:extLst>
            </xdr:cNvPr>
            <xdr:cNvSpPr txBox="1">
              <a:spLocks noChangeArrowheads="1"/>
            </xdr:cNvSpPr>
          </xdr:nvSpPr>
          <xdr:spPr bwMode="auto">
            <a:xfrm>
              <a:off x="12598400" y="13360400"/>
              <a:ext cx="1752600" cy="1130300"/>
            </a:xfrm>
            <a:prstGeom prst="rect">
              <a:avLst/>
            </a:prstGeom>
            <a:solidFill>
              <a:srgbClr val="FFFFE1"/>
            </a:solidFill>
            <a:ln w="9525">
              <a:solidFill>
                <a:srgbClr val="510000"/>
              </a:solidFill>
              <a:miter lim="800%"/>
              <a:headEnd/>
              <a:tailEnd/>
            </a:ln>
            <a:effectLst>
              <a:outerShdw dist="35921" dir="2700000" algn="ctr" rotWithShape="0">
                <a:srgbClr val="51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pitchFamily="2" charset="0"/>
                  <a:ea typeface="Tahoma" pitchFamily="2" charset="0"/>
                  <a:cs typeface="Tahoma" pitchFamily="2" charset="0"/>
                </a:rPr>
                <a:t>Tom Lebsack:</a:t>
              </a:r>
              <a:endParaRPr lang="en-US" sz="900" b="0" i="0" u="none" strike="noStrike" baseline="0%">
                <a:solidFill>
                  <a:srgbClr val="000000"/>
                </a:solidFill>
                <a:latin typeface="Tahoma" pitchFamily="2" charset="0"/>
                <a:ea typeface="Tahoma" pitchFamily="2" charset="0"/>
                <a:cs typeface="Tahoma" pitchFamily="2" charset="0"/>
              </a:endParaRPr>
            </a:p>
            <a:p>
              <a:pPr algn="l" rtl="0">
                <a:defRPr sz="1000"/>
              </a:pPr>
              <a:r>
                <a:rPr lang="en-US" sz="900" b="0" i="0" u="none" strike="noStrike" baseline="0%">
                  <a:solidFill>
                    <a:srgbClr val="000000"/>
                  </a:solidFill>
                  <a:latin typeface="Tahoma" pitchFamily="2" charset="0"/>
                  <a:ea typeface="Tahoma" pitchFamily="2" charset="0"/>
                  <a:cs typeface="Tahoma" pitchFamily="2" charset="0"/>
                </a:rPr>
                <a:t>number used to right to put units per size into correct box</a:t>
              </a:r>
            </a:p>
          </xdr:txBody>
        </xdr:sp>
        <xdr:clientData/>
      </xdr:twoCellAnchor>
    </mc:Fallback>
  </mc:AlternateContent>
  <mc:AlternateContent xmlns:mc="http://schemas.openxmlformats.org/markup-compatibility/2006">
    <mc:Choice xmlns:v="urn:schemas-microsoft-com:vml" Requires="v"/>
    <mc:Fallback>
      <xdr:twoCellAnchor editAs="absolute">
        <xdr:from>
          <xdr:col>51</xdr:col>
          <xdr:colOff>304800</xdr:colOff>
          <xdr:row>132</xdr:row>
          <xdr:rowOff>38100</xdr:rowOff>
        </xdr:from>
        <xdr:to>
          <xdr:col>53</xdr:col>
          <xdr:colOff>88900</xdr:colOff>
          <xdr:row>139</xdr:row>
          <xdr:rowOff>12700</xdr:rowOff>
        </xdr:to>
        <xdr:sp macro="" textlink="">
          <xdr:nvSpPr>
            <xdr:cNvPr id="2128" name="Comment 80" hidden="1">
              <a:extLst>
                <a:ext uri="{FF2B5EF4-FFF2-40B4-BE49-F238E27FC236}">
                  <a16:creationId xmlns:a16="http://schemas.microsoft.com/office/drawing/2014/main" id="{4A8F681B-21D0-B23A-786D-19F97FE35FCB}"/>
                </a:ext>
              </a:extLst>
            </xdr:cNvPr>
            <xdr:cNvSpPr txBox="1">
              <a:spLocks noChangeArrowheads="1"/>
            </xdr:cNvSpPr>
          </xdr:nvSpPr>
          <xdr:spPr bwMode="auto">
            <a:xfrm>
              <a:off x="12598400" y="14147800"/>
              <a:ext cx="1752600" cy="1130300"/>
            </a:xfrm>
            <a:prstGeom prst="rect">
              <a:avLst/>
            </a:prstGeom>
            <a:solidFill>
              <a:srgbClr val="FFFFE1"/>
            </a:solidFill>
            <a:ln w="9525">
              <a:solidFill>
                <a:srgbClr val="510000"/>
              </a:solidFill>
              <a:miter lim="800%"/>
              <a:headEnd/>
              <a:tailEnd/>
            </a:ln>
            <a:effectLst>
              <a:outerShdw dist="35921" dir="2700000" algn="ctr" rotWithShape="0">
                <a:srgbClr val="51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pitchFamily="2" charset="0"/>
                  <a:ea typeface="Tahoma" pitchFamily="2" charset="0"/>
                  <a:cs typeface="Tahoma" pitchFamily="2" charset="0"/>
                </a:rPr>
                <a:t>Tom Lebsack:</a:t>
              </a:r>
              <a:endParaRPr lang="en-US" sz="900" b="0" i="0" u="none" strike="noStrike" baseline="0%">
                <a:solidFill>
                  <a:srgbClr val="000000"/>
                </a:solidFill>
                <a:latin typeface="Tahoma" pitchFamily="2" charset="0"/>
                <a:ea typeface="Tahoma" pitchFamily="2" charset="0"/>
                <a:cs typeface="Tahoma" pitchFamily="2" charset="0"/>
              </a:endParaRPr>
            </a:p>
            <a:p>
              <a:pPr algn="l" rtl="0">
                <a:defRPr sz="1000"/>
              </a:pPr>
              <a:r>
                <a:rPr lang="en-US" sz="900" b="0" i="0" u="none" strike="noStrike" baseline="0%">
                  <a:solidFill>
                    <a:srgbClr val="000000"/>
                  </a:solidFill>
                  <a:latin typeface="Tahoma" pitchFamily="2" charset="0"/>
                  <a:ea typeface="Tahoma" pitchFamily="2" charset="0"/>
                  <a:cs typeface="Tahoma" pitchFamily="2" charset="0"/>
                </a:rPr>
                <a:t>number used to right to put units per size into correct box</a:t>
              </a:r>
            </a:p>
          </xdr:txBody>
        </xdr:sp>
        <xdr:clientData/>
      </xdr:twoCellAnchor>
    </mc:Fallback>
  </mc:AlternateContent>
</xdr:wsDr>
</file>

<file path=xl/drawings/drawing5.xml><?xml version="1.0" encoding="utf-8"?>
<xdr:wsDr xmlns:xdr="http://purl.oclc.org/ooxml/drawingml/spreadsheetDrawing" xmlns:a="http://purl.oclc.org/ooxml/drawingml/main">
  <xdr:twoCellAnchor>
    <xdr:from>
      <xdr:col>50</xdr:col>
      <xdr:colOff>317500</xdr:colOff>
      <xdr:row>0</xdr:row>
      <xdr:rowOff>79375</xdr:rowOff>
    </xdr:from>
    <xdr:to>
      <xdr:col>54</xdr:col>
      <xdr:colOff>349250</xdr:colOff>
      <xdr:row>2</xdr:row>
      <xdr:rowOff>127000</xdr:rowOff>
    </xdr:to>
    <xdr:sp macro="[0]!UnProtectAllSheets" textlink="">
      <xdr:nvSpPr>
        <xdr:cNvPr id="2" name="Rectangle 1">
          <a:extLst>
            <a:ext uri="{FF2B5EF4-FFF2-40B4-BE49-F238E27FC236}">
              <a16:creationId xmlns:a16="http://schemas.microsoft.com/office/drawing/2014/main" id="{66B42061-7A45-BC49-9B8C-E1EAC2F538C0}"/>
            </a:ext>
          </a:extLst>
        </xdr:cNvPr>
        <xdr:cNvSpPr/>
      </xdr:nvSpPr>
      <xdr:spPr bwMode="auto">
        <a:xfrm>
          <a:off x="36163250" y="79375"/>
          <a:ext cx="2825750" cy="396875"/>
        </a:xfrm>
        <a:prstGeom prst="rect">
          <a:avLst/>
        </a:prstGeom>
        <a:solidFill>
          <a:schemeClr val="accent1">
            <a:lumMod val="20%"/>
            <a:lumOff val="80%"/>
          </a:schemeClr>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n-US" sz="1100"/>
            <a:t>UNLOCK ALL SHEETS</a:t>
          </a:r>
        </a:p>
      </xdr:txBody>
    </xdr:sp>
    <xdr:clientData/>
  </xdr:twoCellAnchor>
</xdr:wsDr>
</file>

<file path=xl/externalLinks/_rels/externalLink1.xml.rels><?xml version="1.0" encoding="UTF-8" standalone="yes"?>
<Relationships xmlns="http://schemas.openxmlformats.org/package/2006/relationships"><Relationship Id="rId1" Type="http://purl.oclc.org/ooxml/officeDocument/relationships/externalLinkPath" Target="https://d.docs.live.net/Users/tomlebsack/Google%20Drive/a%20MASTER%20DOCUMENTS/Excel%20Coding%20Examples/Order%20Forms/2122/WSE/WORKING%20FILES/ALPINE/2122%20Rossignol%20Alpine%20Order%20Form_V3_V2.xlsm" TargetMode="External"/></Relationships>
</file>

<file path=xl/externalLinks/externalLink1.xml><?xml version="1.0" encoding="utf-8"?>
<externalLink xmlns="http://purl.oclc.org/ooxml/spreadsheetml/main" xmlns:mc="http://schemas.openxmlformats.org/markup-compatibility/2006" xmlns:x14="http://schemas.microsoft.com/office/spreadsheetml/2009/9/main" xmlns:xxl21="http://schemas.microsoft.com/office/spreadsheetml/2021/extlinks2021" mc:Ignorable="x14 xxl21">
  <externalBook xmlns:r="http://purl.oclc.org/ooxml/officeDocument/relationships" r:id="rId1">
    <sheetNames>
      <sheetName val="2122 ALPINE ORDER FORM"/>
      <sheetName val="TERMS"/>
      <sheetName val="BACKEND DATA"/>
      <sheetName val="NBS"/>
      <sheetName val="SMC"/>
      <sheetName val="SSL"/>
    </sheetNames>
    <sheetDataSet>
      <sheetData sheetId="0"/>
      <sheetData sheetId="1" refreshError="1"/>
      <sheetData sheetId="2">
        <row r="1">
          <cell r="A1" t="str">
            <v>ON ORDER?</v>
          </cell>
        </row>
        <row r="2">
          <cell r="Q2" t="str">
            <v>ALPINE</v>
          </cell>
          <cell r="R2" t="str">
            <v>A</v>
          </cell>
          <cell r="V2" t="str">
            <v>A-SKIS</v>
          </cell>
          <cell r="W2">
            <v>1</v>
          </cell>
        </row>
        <row r="3">
          <cell r="Q3" t="str">
            <v>NORDIC</v>
          </cell>
          <cell r="R3" t="str">
            <v>B</v>
          </cell>
          <cell r="V3" t="str">
            <v>A-BINDINGS</v>
          </cell>
          <cell r="W3">
            <v>2</v>
          </cell>
        </row>
        <row r="4">
          <cell r="Q4" t="str">
            <v>SNOWBOARD</v>
          </cell>
          <cell r="R4" t="str">
            <v>C</v>
          </cell>
          <cell r="V4" t="str">
            <v>A-BOOTS</v>
          </cell>
          <cell r="W4">
            <v>3</v>
          </cell>
        </row>
        <row r="5">
          <cell r="Q5" t="str">
            <v>RENTAL</v>
          </cell>
          <cell r="R5" t="str">
            <v>D</v>
          </cell>
          <cell r="V5" t="str">
            <v>A-POLES</v>
          </cell>
          <cell r="W5">
            <v>4</v>
          </cell>
        </row>
        <row r="6">
          <cell r="Q6" t="str">
            <v>OTHER</v>
          </cell>
          <cell r="R6" t="str">
            <v>E</v>
          </cell>
          <cell r="V6" t="str">
            <v>A-TECH EQUIPMENT</v>
          </cell>
          <cell r="W6">
            <v>5</v>
          </cell>
        </row>
        <row r="7">
          <cell r="V7" t="str">
            <v>B-SKIS</v>
          </cell>
          <cell r="W7">
            <v>6</v>
          </cell>
        </row>
        <row r="8">
          <cell r="V8" t="str">
            <v>B-BINDINGS</v>
          </cell>
          <cell r="W8">
            <v>7</v>
          </cell>
        </row>
        <row r="9">
          <cell r="V9" t="str">
            <v>B-BOOTS</v>
          </cell>
          <cell r="W9">
            <v>8</v>
          </cell>
        </row>
        <row r="10">
          <cell r="V10" t="str">
            <v>B-POLES</v>
          </cell>
          <cell r="W10">
            <v>9</v>
          </cell>
        </row>
        <row r="11">
          <cell r="V11" t="str">
            <v>B-TECH EQUIPMENT</v>
          </cell>
          <cell r="W11">
            <v>10</v>
          </cell>
        </row>
        <row r="12">
          <cell r="V12" t="str">
            <v>C-SNOWBOARDS</v>
          </cell>
          <cell r="W12">
            <v>11</v>
          </cell>
        </row>
        <row r="13">
          <cell r="V13" t="str">
            <v>C-BINDINGS</v>
          </cell>
          <cell r="W13">
            <v>12</v>
          </cell>
        </row>
        <row r="14">
          <cell r="V14" t="str">
            <v>C-BOOTS</v>
          </cell>
          <cell r="W14">
            <v>13</v>
          </cell>
        </row>
        <row r="15">
          <cell r="V15" t="str">
            <v>C-TECH EQUIPMENT</v>
          </cell>
          <cell r="W15">
            <v>14</v>
          </cell>
        </row>
        <row r="16">
          <cell r="V16" t="str">
            <v>D-RENTAL</v>
          </cell>
          <cell r="W16">
            <v>15</v>
          </cell>
        </row>
        <row r="17">
          <cell r="V17" t="str">
            <v>E-OTHER</v>
          </cell>
          <cell r="W17">
            <v>16</v>
          </cell>
        </row>
      </sheetData>
      <sheetData sheetId="3" refreshError="1"/>
      <sheetData sheetId="4" refreshError="1"/>
      <sheetData sheetId="5" refreshError="1"/>
    </sheetDataSet>
  </externalBook>
</externalLink>
</file>

<file path=xl/theme/theme1.xml><?xml version="1.0" encoding="utf-8"?>
<a:theme xmlns:a="http://purl.oclc.org/ooxml/drawingml/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
                <a:satMod val="300%"/>
              </a:schemeClr>
            </a:gs>
            <a:gs pos="35%">
              <a:schemeClr val="phClr">
                <a:tint val="37%"/>
                <a:satMod val="300%"/>
              </a:schemeClr>
            </a:gs>
            <a:gs pos="100%">
              <a:schemeClr val="phClr">
                <a:tint val="15%"/>
                <a:satMod val="350%"/>
              </a:schemeClr>
            </a:gs>
          </a:gsLst>
          <a:lin ang="16200000" scaled="1"/>
        </a:gradFill>
        <a:gradFill rotWithShape="1">
          <a:gsLst>
            <a:gs pos="0%">
              <a:schemeClr val="phClr">
                <a:shade val="51%"/>
                <a:satMod val="130%"/>
              </a:schemeClr>
            </a:gs>
            <a:gs pos="80%">
              <a:schemeClr val="phClr">
                <a:shade val="93%"/>
                <a:satMod val="130%"/>
              </a:schemeClr>
            </a:gs>
            <a:gs pos="100%">
              <a:schemeClr val="phClr">
                <a:shade val="94%"/>
                <a:satMod val="135%"/>
              </a:schemeClr>
            </a:gs>
          </a:gsLst>
          <a:lin ang="16200000" scaled="0"/>
        </a:gradFill>
      </a:fillStyleLst>
      <a:lnStyleLst>
        <a:ln w="9525" cap="flat" cmpd="sng" algn="ctr">
          <a:solidFill>
            <a:schemeClr val="phClr">
              <a:shade val="95%"/>
              <a:satMod val="105%"/>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
              </a:srgbClr>
            </a:outerShdw>
          </a:effectLst>
        </a:effectStyle>
        <a:effectStyle>
          <a:effectLst>
            <a:outerShdw blurRad="40000" dist="23000" dir="5400000" rotWithShape="0">
              <a:srgbClr val="000000">
                <a:alpha val="35%"/>
              </a:srgbClr>
            </a:outerShdw>
          </a:effectLst>
        </a:effectStyle>
        <a:effectStyle>
          <a:effectLst>
            <a:outerShdw blurRad="40000" dist="23000" dir="5400000" rotWithShape="0">
              <a:srgbClr val="000000">
                <a:alpha val="35%"/>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
                <a:satMod val="350%"/>
              </a:schemeClr>
            </a:gs>
            <a:gs pos="40%">
              <a:schemeClr val="phClr">
                <a:tint val="45%"/>
                <a:shade val="99%"/>
                <a:satMod val="350%"/>
              </a:schemeClr>
            </a:gs>
            <a:gs pos="100%">
              <a:schemeClr val="phClr">
                <a:shade val="20%"/>
                <a:satMod val="255%"/>
              </a:schemeClr>
            </a:gs>
          </a:gsLst>
          <a:path path="circle">
            <a:fillToRect l="50%" t="-80%" r="50%" b="180%"/>
          </a:path>
        </a:gradFill>
        <a:gradFill rotWithShape="1">
          <a:gsLst>
            <a:gs pos="0%">
              <a:schemeClr val="phClr">
                <a:tint val="80%"/>
                <a:satMod val="300%"/>
              </a:schemeClr>
            </a:gs>
            <a:gs pos="100%">
              <a:schemeClr val="phClr">
                <a:shade val="30%"/>
                <a:satMod val="200%"/>
              </a:schemeClr>
            </a:gs>
          </a:gsLst>
          <a:path path="circle">
            <a:fillToRect l="50%" t="50%" r="50%" b="5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purl.oclc.org/ooxml/officeDocument/relationships/drawing" Target="../drawings/drawing1.xml"/><Relationship Id="rId1" Type="http://purl.oclc.org/ooxml/officeDocument/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purl.oclc.org/ooxml/officeDocument/relationships/drawing" Target="../drawings/drawing2.xml"/><Relationship Id="rId1" Type="http://purl.oclc.org/ooxml/officeDocument/relationships/printerSettings" Target="../printerSettings/printerSettings2.bin"/><Relationship Id="rId4" Type="http://purl.oclc.org/ooxml/officeDocument/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purl.oclc.org/ooxml/officeDocument/relationships/drawing" Target="../drawings/drawing3.xml"/><Relationship Id="rId1" Type="http://purl.oclc.org/ooxml/officeDocument/relationships/printerSettings" Target="../printerSettings/printerSettings3.bin"/><Relationship Id="rId4" Type="http://purl.oclc.org/ooxml/officeDocument/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purl.oclc.org/ooxml/officeDocument/relationships/drawing" Target="../drawings/drawing4.xml"/><Relationship Id="rId1" Type="http://purl.oclc.org/ooxml/officeDocument/relationships/printerSettings" Target="../printerSettings/printerSettings4.bin"/><Relationship Id="rId4" Type="http://purl.oclc.org/ooxml/officeDocument/relationships/comments" Target="../comments3.xml"/></Relationships>
</file>

<file path=xl/worksheets/_rels/sheet5.xml.rels><?xml version="1.0" encoding="UTF-8" standalone="yes"?>
<Relationships xmlns="http://schemas.openxmlformats.org/package/2006/relationships"><Relationship Id="rId2" Type="http://purl.oclc.org/ooxml/officeDocument/relationships/drawing" Target="../drawings/drawing5.xml"/><Relationship Id="rId1" Type="http://purl.oclc.org/ooxml/officeDocument/relationships/printerSettings" Target="../printerSettings/printerSettings5.bin"/></Relationships>
</file>

<file path=xl/worksheets/sheet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AOverview">
    <pageSetUpPr fitToPage="1"/>
  </sheetPr>
  <dimension ref="A2:R125"/>
  <sheetViews>
    <sheetView showGridLines="0" tabSelected="1" workbookViewId="0">
      <selection activeCell="O9" sqref="O9:P9"/>
    </sheetView>
  </sheetViews>
  <sheetFormatPr baseColWidth="10" defaultColWidth="9.1640625" defaultRowHeight="13"/>
  <cols>
    <col min="1" max="1" width="2.33203125" style="56" customWidth="1"/>
    <col min="2" max="2" width="0.6640625" style="56" customWidth="1"/>
    <col min="3" max="3" width="2" style="56" customWidth="1"/>
    <col min="4" max="5" width="10.33203125" style="57" customWidth="1"/>
    <col min="6" max="6" width="10.33203125" style="58" customWidth="1"/>
    <col min="7" max="7" width="15.6640625" style="59" bestFit="1" customWidth="1"/>
    <col min="8" max="8" width="2.1640625" style="56" customWidth="1"/>
    <col min="9" max="9" width="10.33203125" style="56" customWidth="1"/>
    <col min="10" max="10" width="2.6640625" style="56" customWidth="1"/>
    <col min="11" max="12" width="11.33203125" style="56" customWidth="1"/>
    <col min="13" max="13" width="12.83203125" style="56" customWidth="1"/>
    <col min="14" max="15" width="11.33203125" style="56" customWidth="1"/>
    <col min="16" max="16" width="12.83203125" style="56" customWidth="1"/>
    <col min="17" max="17" width="2" style="56" customWidth="1"/>
    <col min="18" max="18" width="0.6640625" style="56" customWidth="1"/>
    <col min="19" max="16384" width="9.1640625" style="56"/>
  </cols>
  <sheetData>
    <row r="2" spans="2:18" s="54" customFormat="1" ht="3" customHeight="1">
      <c r="B2" s="50"/>
      <c r="C2" s="50"/>
      <c r="D2" s="51"/>
      <c r="E2" s="51"/>
      <c r="F2" s="52"/>
      <c r="G2" s="53"/>
      <c r="H2" s="50"/>
      <c r="I2" s="50"/>
      <c r="J2" s="50"/>
      <c r="K2" s="50"/>
      <c r="L2" s="50"/>
      <c r="M2" s="50"/>
      <c r="N2" s="50"/>
      <c r="O2" s="50"/>
      <c r="P2" s="50"/>
      <c r="Q2" s="50"/>
      <c r="R2" s="50"/>
    </row>
    <row r="3" spans="2:18" ht="9.75" customHeight="1">
      <c r="B3" s="55"/>
      <c r="R3" s="55"/>
    </row>
    <row r="4" spans="2:18" ht="20">
      <c r="B4" s="55"/>
      <c r="D4" s="60"/>
      <c r="E4" s="60"/>
      <c r="F4" s="881" t="s">
        <v>318</v>
      </c>
      <c r="G4" s="881"/>
      <c r="H4" s="881"/>
      <c r="I4" s="881"/>
      <c r="J4" s="881"/>
      <c r="K4" s="881"/>
      <c r="L4" s="881"/>
      <c r="M4" s="881"/>
      <c r="N4" s="881"/>
      <c r="O4" s="881"/>
      <c r="P4" s="881"/>
      <c r="R4" s="55"/>
    </row>
    <row r="5" spans="2:18" ht="12.75" customHeight="1">
      <c r="B5" s="55"/>
      <c r="D5" s="61"/>
      <c r="E5" s="61"/>
      <c r="F5" s="882" t="s">
        <v>12</v>
      </c>
      <c r="G5" s="882"/>
      <c r="H5" s="882"/>
      <c r="I5" s="882"/>
      <c r="J5" s="882"/>
      <c r="K5" s="882"/>
      <c r="L5" s="882"/>
      <c r="M5" s="882"/>
      <c r="N5" s="882"/>
      <c r="O5" s="882"/>
      <c r="P5" s="882"/>
      <c r="R5" s="55"/>
    </row>
    <row r="6" spans="2:18" ht="12.75" customHeight="1">
      <c r="B6" s="55"/>
      <c r="D6" s="61"/>
      <c r="E6" s="61"/>
      <c r="F6" s="882" t="s">
        <v>10</v>
      </c>
      <c r="G6" s="882"/>
      <c r="H6" s="882"/>
      <c r="I6" s="882"/>
      <c r="J6" s="882"/>
      <c r="K6" s="882"/>
      <c r="L6" s="882"/>
      <c r="M6" s="882"/>
      <c r="N6" s="882"/>
      <c r="O6" s="882"/>
      <c r="P6" s="882"/>
      <c r="R6" s="55"/>
    </row>
    <row r="7" spans="2:18" ht="12.75" customHeight="1" thickBot="1">
      <c r="B7" s="55"/>
      <c r="D7" s="61"/>
      <c r="E7" s="61"/>
      <c r="F7" s="882" t="s">
        <v>11</v>
      </c>
      <c r="G7" s="882"/>
      <c r="H7" s="882"/>
      <c r="I7" s="882"/>
      <c r="J7" s="882"/>
      <c r="K7" s="882"/>
      <c r="L7" s="882"/>
      <c r="M7" s="882"/>
      <c r="N7" s="882"/>
      <c r="O7" s="882"/>
      <c r="P7" s="882"/>
      <c r="R7" s="55"/>
    </row>
    <row r="8" spans="2:18" ht="12.75" customHeight="1">
      <c r="B8" s="55"/>
      <c r="D8" s="61"/>
      <c r="E8" s="61"/>
      <c r="F8" s="62"/>
      <c r="G8" s="63"/>
      <c r="O8" s="894" t="s">
        <v>69</v>
      </c>
      <c r="P8" s="896"/>
      <c r="R8" s="55"/>
    </row>
    <row r="9" spans="2:18" ht="12.75" customHeight="1" thickBot="1">
      <c r="B9" s="55"/>
      <c r="D9" s="64"/>
      <c r="E9" s="64"/>
      <c r="F9" s="64"/>
      <c r="G9" s="64"/>
      <c r="H9" s="64"/>
      <c r="I9" s="64"/>
      <c r="J9" s="64"/>
      <c r="K9" s="64"/>
      <c r="L9" s="64"/>
      <c r="M9" s="64"/>
      <c r="N9" s="64"/>
      <c r="O9" s="899"/>
      <c r="P9" s="900"/>
      <c r="Q9" s="64"/>
      <c r="R9" s="55"/>
    </row>
    <row r="10" spans="2:18" ht="3.75" customHeight="1" thickBot="1">
      <c r="B10" s="55"/>
      <c r="C10" s="131"/>
      <c r="D10" s="144"/>
      <c r="E10" s="144"/>
      <c r="F10" s="145"/>
      <c r="G10" s="146"/>
      <c r="H10" s="131"/>
      <c r="I10" s="131"/>
      <c r="J10" s="131"/>
      <c r="K10" s="131"/>
      <c r="L10" s="131"/>
      <c r="M10" s="131"/>
      <c r="N10" s="131"/>
      <c r="O10" s="131"/>
      <c r="P10" s="131"/>
      <c r="Q10" s="131"/>
      <c r="R10" s="55"/>
    </row>
    <row r="11" spans="2:18" ht="12.75" customHeight="1" thickBot="1">
      <c r="B11" s="55"/>
      <c r="C11" s="131"/>
      <c r="D11" s="795" t="s">
        <v>29</v>
      </c>
      <c r="E11" s="796"/>
      <c r="F11" s="796"/>
      <c r="G11" s="796"/>
      <c r="H11" s="796"/>
      <c r="I11" s="796"/>
      <c r="J11" s="796"/>
      <c r="K11" s="796"/>
      <c r="L11" s="796"/>
      <c r="M11" s="796"/>
      <c r="N11" s="796"/>
      <c r="O11" s="796"/>
      <c r="P11" s="797"/>
      <c r="Q11" s="131"/>
      <c r="R11" s="55"/>
    </row>
    <row r="12" spans="2:18" ht="12.75" customHeight="1">
      <c r="B12" s="55"/>
      <c r="C12" s="131"/>
      <c r="D12" s="65" t="s">
        <v>14</v>
      </c>
      <c r="E12" s="875" t="s">
        <v>13</v>
      </c>
      <c r="F12" s="876"/>
      <c r="G12" s="877"/>
      <c r="H12" s="875" t="s">
        <v>68</v>
      </c>
      <c r="I12" s="876"/>
      <c r="J12" s="877"/>
      <c r="K12" s="875" t="s">
        <v>18</v>
      </c>
      <c r="L12" s="877"/>
      <c r="M12" s="894" t="s">
        <v>34</v>
      </c>
      <c r="N12" s="895"/>
      <c r="O12" s="896"/>
      <c r="P12" s="351" t="s">
        <v>35</v>
      </c>
      <c r="Q12" s="131"/>
      <c r="R12" s="55"/>
    </row>
    <row r="13" spans="2:18" ht="12.75" customHeight="1" thickBot="1">
      <c r="B13" s="55"/>
      <c r="C13" s="131"/>
      <c r="D13" s="353"/>
      <c r="E13" s="878"/>
      <c r="F13" s="880"/>
      <c r="G13" s="879"/>
      <c r="H13" s="878"/>
      <c r="I13" s="880"/>
      <c r="J13" s="879"/>
      <c r="K13" s="878"/>
      <c r="L13" s="879"/>
      <c r="M13" s="885"/>
      <c r="N13" s="886"/>
      <c r="O13" s="887"/>
      <c r="P13" s="49"/>
      <c r="Q13" s="131"/>
      <c r="R13" s="55"/>
    </row>
    <row r="14" spans="2:18" ht="12.75" customHeight="1">
      <c r="B14" s="55"/>
      <c r="C14" s="131"/>
      <c r="D14" s="875" t="s">
        <v>30</v>
      </c>
      <c r="E14" s="876"/>
      <c r="F14" s="876"/>
      <c r="G14" s="876"/>
      <c r="H14" s="877"/>
      <c r="I14" s="891" t="s">
        <v>15</v>
      </c>
      <c r="J14" s="892"/>
      <c r="K14" s="892"/>
      <c r="L14" s="893"/>
      <c r="M14" s="818" t="s">
        <v>16</v>
      </c>
      <c r="N14" s="819"/>
      <c r="O14" s="894" t="s">
        <v>17</v>
      </c>
      <c r="P14" s="896"/>
      <c r="Q14" s="131"/>
      <c r="R14" s="55"/>
    </row>
    <row r="15" spans="2:18" s="64" customFormat="1" ht="12.75" customHeight="1" thickBot="1">
      <c r="B15" s="66"/>
      <c r="C15" s="132"/>
      <c r="D15" s="774"/>
      <c r="E15" s="775"/>
      <c r="F15" s="775"/>
      <c r="G15" s="775"/>
      <c r="H15" s="776"/>
      <c r="I15" s="888"/>
      <c r="J15" s="889"/>
      <c r="K15" s="889"/>
      <c r="L15" s="890"/>
      <c r="M15" s="878"/>
      <c r="N15" s="880"/>
      <c r="O15" s="897"/>
      <c r="P15" s="898"/>
      <c r="Q15" s="132"/>
      <c r="R15" s="66"/>
    </row>
    <row r="16" spans="2:18" ht="12.75" customHeight="1" thickBot="1">
      <c r="B16" s="55"/>
      <c r="C16" s="131"/>
      <c r="D16" s="135"/>
      <c r="E16" s="135"/>
      <c r="F16" s="136"/>
      <c r="G16" s="137"/>
      <c r="H16" s="131"/>
      <c r="I16" s="131"/>
      <c r="J16" s="131"/>
      <c r="K16" s="131"/>
      <c r="L16" s="131"/>
      <c r="M16" s="131"/>
      <c r="N16" s="131"/>
      <c r="O16" s="131"/>
      <c r="P16" s="131"/>
      <c r="Q16" s="131"/>
      <c r="R16" s="55"/>
    </row>
    <row r="17" spans="1:18" ht="12.75" customHeight="1" thickBot="1">
      <c r="A17" s="67"/>
      <c r="B17" s="68"/>
      <c r="C17" s="138"/>
      <c r="D17" s="798" t="s">
        <v>40</v>
      </c>
      <c r="E17" s="799"/>
      <c r="F17" s="799"/>
      <c r="G17" s="799"/>
      <c r="H17" s="799"/>
      <c r="I17" s="800"/>
      <c r="J17" s="138"/>
      <c r="K17" s="795" t="s">
        <v>67</v>
      </c>
      <c r="L17" s="796"/>
      <c r="M17" s="796"/>
      <c r="N17" s="796"/>
      <c r="O17" s="796"/>
      <c r="P17" s="797"/>
      <c r="Q17" s="131"/>
      <c r="R17" s="55"/>
    </row>
    <row r="18" spans="1:18" ht="12.75" customHeight="1" thickBot="1">
      <c r="B18" s="55"/>
      <c r="C18" s="131"/>
      <c r="D18" s="69"/>
      <c r="E18" s="70"/>
      <c r="F18" s="71"/>
      <c r="G18" s="72" t="s">
        <v>121</v>
      </c>
      <c r="H18" s="74"/>
      <c r="I18" s="599" t="s">
        <v>7</v>
      </c>
      <c r="J18" s="131"/>
      <c r="K18" s="872" t="s">
        <v>56</v>
      </c>
      <c r="L18" s="873"/>
      <c r="M18" s="873"/>
      <c r="N18" s="873"/>
      <c r="O18" s="873"/>
      <c r="P18" s="874"/>
      <c r="Q18" s="131"/>
      <c r="R18" s="55"/>
    </row>
    <row r="19" spans="1:18" s="64" customFormat="1" ht="12.75" customHeight="1" thickTop="1">
      <c r="B19" s="66"/>
      <c r="C19" s="132"/>
      <c r="D19" s="780" t="s">
        <v>116</v>
      </c>
      <c r="E19" s="781"/>
      <c r="F19" s="782"/>
      <c r="G19" s="73">
        <f ca="1">IF(SKI_CALCULATOR_TYPE=0,SUM(ALPINE_NET_0_ADULT_SKIS,ALPINE_NET_0_JR_SKIS),SUM(ALPINE_NET_1_ADULT_SKIS,ALPINE_NET_1_JR_SKIS))</f>
        <v>0</v>
      </c>
      <c r="H19" s="74"/>
      <c r="I19" s="600">
        <f ca="1">IF(SKI_CALCULATOR_TYPE=0,SUM(ALPINE_UNITS_0_ADULT_SKIS,ALPINE_UNITS_0_JR_SKIS),SUM(ALPINE_UNITS_1_ADULT_SKIS,ALPINE_UNITS_1_JR_SKIS))</f>
        <v>0</v>
      </c>
      <c r="J19" s="132"/>
      <c r="K19" s="853" t="s">
        <v>57</v>
      </c>
      <c r="L19" s="854"/>
      <c r="M19" s="854"/>
      <c r="N19" s="854"/>
      <c r="O19" s="854"/>
      <c r="P19" s="855"/>
      <c r="Q19" s="132"/>
      <c r="R19" s="66"/>
    </row>
    <row r="20" spans="1:18" ht="12.75" customHeight="1">
      <c r="B20" s="55"/>
      <c r="C20" s="131"/>
      <c r="D20" s="780" t="s">
        <v>117</v>
      </c>
      <c r="E20" s="781"/>
      <c r="F20" s="782"/>
      <c r="G20" s="73">
        <f ca="1">IF(SKI_CALCULATOR_TYPE=0,SUM(ALPINE_NET_0_ADULT_BOOTS,ALPINE_NET_0_JR_BOOTS),SUM(ALPINE_NET_1_ADULT_BOOTS,ALPINE_NET_1_JR_BOOTS))</f>
        <v>0</v>
      </c>
      <c r="H20" s="598"/>
      <c r="I20" s="600">
        <f ca="1">IF(SKI_CALCULATOR_TYPE=0,SUM(ALPINE_UNITS_0_ADULT_BOOTS,ALPINE_UNITS_0_JR_BOOTS),SUM(ALPINE_UNITS_1_ADULT_BOOTS,ALPINE_UNITS_1_JR_BOOTS))</f>
        <v>0</v>
      </c>
      <c r="J20" s="131"/>
      <c r="K20" s="864" t="s">
        <v>123</v>
      </c>
      <c r="L20" s="865"/>
      <c r="M20" s="865"/>
      <c r="N20" s="865"/>
      <c r="O20" s="865"/>
      <c r="P20" s="866"/>
      <c r="Q20" s="131"/>
      <c r="R20" s="55"/>
    </row>
    <row r="21" spans="1:18" ht="12.75" customHeight="1" thickBot="1">
      <c r="B21" s="55"/>
      <c r="C21" s="131"/>
      <c r="D21" s="780" t="s">
        <v>118</v>
      </c>
      <c r="E21" s="781"/>
      <c r="F21" s="782"/>
      <c r="G21" s="73">
        <f ca="1">IF(SKI_CALCULATOR_TYPE=0,SUM(ALPINE_NET_0_ADULT_POLES, ALPINE_NET_0_JR_POLES),SUM(ALPINE_NET_1_ADULT_POLES, ALPINE_NET_1_JR_POLES))</f>
        <v>0</v>
      </c>
      <c r="H21" s="598"/>
      <c r="I21" s="600">
        <f ca="1">IF(SKI_CALCULATOR_TYPE=0,SUM(ALPINE_UNITS_0_ADULT_POLES, ALPINE_UNITS_0_JR_POLES),SUM(ALPINE_UNITS_1_ADULT_POLES, ALPINE_UNITS_1_JR_POLES))</f>
        <v>0</v>
      </c>
      <c r="J21" s="131"/>
      <c r="K21" s="867"/>
      <c r="L21" s="868"/>
      <c r="M21" s="868"/>
      <c r="N21" s="868"/>
      <c r="O21" s="868"/>
      <c r="P21" s="869"/>
      <c r="Q21" s="131"/>
      <c r="R21" s="55"/>
    </row>
    <row r="22" spans="1:18" ht="12.75" customHeight="1">
      <c r="B22" s="55"/>
      <c r="C22" s="131"/>
      <c r="D22" s="426"/>
      <c r="E22" s="427"/>
      <c r="F22" s="428" t="s">
        <v>159</v>
      </c>
      <c r="G22" s="429">
        <f ca="1">IF(SKI_CALCULATOR_TYPE=0,SUM(ALPINE_NET_0_HELMETS),SUM(ALPINE_NET_1_HELMETS))</f>
        <v>0</v>
      </c>
      <c r="H22" s="74"/>
      <c r="I22" s="601">
        <f ca="1">IF(SKI_CALCULATOR_TYPE=0,SUM(ALPINE_UNITS_0_HELMETS),SUM(ALPINE_UNITS_1_HELMETS))</f>
        <v>0</v>
      </c>
      <c r="J22" s="131"/>
      <c r="K22" s="792" t="s">
        <v>160</v>
      </c>
      <c r="L22" s="793"/>
      <c r="M22" s="794"/>
      <c r="N22" s="792" t="s">
        <v>184</v>
      </c>
      <c r="O22" s="793"/>
      <c r="P22" s="794"/>
      <c r="Q22" s="131"/>
      <c r="R22" s="55"/>
    </row>
    <row r="23" spans="1:18" ht="12.75" customHeight="1" thickBot="1">
      <c r="B23" s="55"/>
      <c r="C23" s="131"/>
      <c r="D23" s="801" t="s">
        <v>119</v>
      </c>
      <c r="E23" s="802"/>
      <c r="F23" s="803"/>
      <c r="G23" s="605">
        <f ca="1">SUM(G19:G22)</f>
        <v>0</v>
      </c>
      <c r="H23" s="606"/>
      <c r="I23" s="608">
        <f ca="1">SUM(I19:I22)</f>
        <v>0</v>
      </c>
      <c r="J23" s="131"/>
      <c r="K23" s="834" t="s">
        <v>161</v>
      </c>
      <c r="L23" s="835"/>
      <c r="M23" s="836"/>
      <c r="N23" s="840" t="s">
        <v>320</v>
      </c>
      <c r="O23" s="841"/>
      <c r="P23" s="842"/>
      <c r="Q23" s="133"/>
      <c r="R23" s="55"/>
    </row>
    <row r="24" spans="1:18" ht="12.75" customHeight="1">
      <c r="B24" s="55"/>
      <c r="C24" s="131"/>
      <c r="D24" s="883"/>
      <c r="E24" s="883"/>
      <c r="F24" s="884"/>
      <c r="G24" s="423"/>
      <c r="H24" s="424"/>
      <c r="I24" s="425"/>
      <c r="J24" s="422"/>
      <c r="K24" s="834"/>
      <c r="L24" s="835"/>
      <c r="M24" s="836"/>
      <c r="N24" s="843"/>
      <c r="O24" s="844"/>
      <c r="P24" s="845"/>
      <c r="Q24" s="133"/>
      <c r="R24" s="55"/>
    </row>
    <row r="25" spans="1:18" ht="12.75" customHeight="1" thickBot="1">
      <c r="B25" s="55"/>
      <c r="C25" s="131"/>
      <c r="D25" s="354"/>
      <c r="E25" s="354"/>
      <c r="F25" s="355"/>
      <c r="G25" s="356"/>
      <c r="H25" s="357"/>
      <c r="I25" s="357"/>
      <c r="J25" s="131"/>
      <c r="K25" s="870" t="s">
        <v>122</v>
      </c>
      <c r="L25" s="871"/>
      <c r="M25" s="75" t="s">
        <v>21</v>
      </c>
      <c r="N25" s="846"/>
      <c r="O25" s="847"/>
      <c r="P25" s="848"/>
      <c r="Q25" s="133"/>
      <c r="R25" s="55"/>
    </row>
    <row r="26" spans="1:18" ht="12.75" customHeight="1">
      <c r="B26" s="55"/>
      <c r="C26" s="131"/>
      <c r="D26" s="837" t="s">
        <v>31</v>
      </c>
      <c r="E26" s="838"/>
      <c r="F26" s="838"/>
      <c r="G26" s="838"/>
      <c r="H26" s="838"/>
      <c r="I26" s="839"/>
      <c r="J26" s="131"/>
      <c r="K26" s="856" t="s">
        <v>58</v>
      </c>
      <c r="L26" s="857"/>
      <c r="M26" s="396">
        <v>7.0000000000000007E-2</v>
      </c>
      <c r="N26" s="792" t="s">
        <v>185</v>
      </c>
      <c r="O26" s="793"/>
      <c r="P26" s="794"/>
      <c r="Q26" s="133"/>
      <c r="R26" s="55"/>
    </row>
    <row r="27" spans="1:18" ht="12.75" customHeight="1">
      <c r="B27" s="55"/>
      <c r="C27" s="131"/>
      <c r="D27" s="69"/>
      <c r="E27" s="70"/>
      <c r="F27" s="71"/>
      <c r="G27" s="72" t="s">
        <v>121</v>
      </c>
      <c r="H27" s="74"/>
      <c r="I27" s="599" t="s">
        <v>7</v>
      </c>
      <c r="J27" s="131"/>
      <c r="K27" s="832" t="s">
        <v>59</v>
      </c>
      <c r="L27" s="833"/>
      <c r="M27" s="397">
        <v>0.1</v>
      </c>
      <c r="N27" s="812" t="s">
        <v>213</v>
      </c>
      <c r="O27" s="813"/>
      <c r="P27" s="814"/>
      <c r="Q27" s="134"/>
      <c r="R27" s="55"/>
    </row>
    <row r="28" spans="1:18" ht="12.75" customHeight="1">
      <c r="B28" s="55"/>
      <c r="C28" s="131"/>
      <c r="D28" s="780" t="s">
        <v>251</v>
      </c>
      <c r="E28" s="781"/>
      <c r="F28" s="782"/>
      <c r="G28" s="73">
        <f ca="1">IF(SNOWBOARD_CALCULATOR_TYPE=0,SUM('Snowboard Rental Calculator'!K16:K18,'Snowboard Rental Calculator'!K25:K27,'Snowboard Rental Calculator'!K41),SUM('Snowboard Rental Calculator'!K58:K60,'Snowboard Rental Calculator'!K67:K69,'Snowboard Rental Calculator'!K83))</f>
        <v>0</v>
      </c>
      <c r="H28" s="598"/>
      <c r="I28" s="600">
        <f>IF(SNOWBOARD_CALCULATOR_TYPE=0,SUM('Snowboard Rental Calculator'!L16:L18,'Snowboard Rental Calculator'!L25:L27,'Snowboard Rental Calculator'!L41),SUM('Snowboard Rental Calculator'!L58:L60,'Snowboard Rental Calculator'!L67:L69,'Snowboard Rental Calculator'!L83))</f>
        <v>0</v>
      </c>
      <c r="J28" s="139"/>
      <c r="K28" s="832" t="s">
        <v>60</v>
      </c>
      <c r="L28" s="833"/>
      <c r="M28" s="397">
        <v>0.13</v>
      </c>
      <c r="N28" s="812" t="s">
        <v>186</v>
      </c>
      <c r="O28" s="813"/>
      <c r="P28" s="814"/>
      <c r="Q28" s="131"/>
      <c r="R28" s="55"/>
    </row>
    <row r="29" spans="1:18" ht="12.75" customHeight="1">
      <c r="B29" s="55"/>
      <c r="C29" s="131"/>
      <c r="D29" s="780" t="s">
        <v>120</v>
      </c>
      <c r="E29" s="781"/>
      <c r="F29" s="782"/>
      <c r="G29" s="73">
        <f ca="1">IF(SNOWBOARD_CALCULATOR_TYPE=0,SUM('Snowboard Rental Calculator'!K19:K20,'Snowboard Rental Calculator'!K28:K29,'Snowboard Rental Calculator'!K45:K46),SUM('Snowboard Rental Calculator'!K61:K62,'Snowboard Rental Calculator'!K70:K71,'Snowboard Rental Calculator'!K87:K88))</f>
        <v>0</v>
      </c>
      <c r="H29" s="598"/>
      <c r="I29" s="600">
        <f>IF(SNOWBOARD_CALCULATOR_TYPE=0,SUM('Snowboard Rental Calculator'!L19:L20,'Snowboard Rental Calculator'!L28:L29,'Snowboard Rental Calculator'!L45:L46),SUM('Snowboard Rental Calculator'!L61:L62,'Snowboard Rental Calculator'!L70:L71,'Snowboard Rental Calculator'!L87:L88))</f>
        <v>0</v>
      </c>
      <c r="J29" s="140"/>
      <c r="K29" s="804" t="s">
        <v>61</v>
      </c>
      <c r="L29" s="805"/>
      <c r="M29" s="398">
        <v>0.16</v>
      </c>
      <c r="N29" s="430" t="s">
        <v>187</v>
      </c>
      <c r="O29" s="849" t="s">
        <v>260</v>
      </c>
      <c r="P29" s="850"/>
      <c r="Q29" s="131"/>
      <c r="R29" s="55"/>
    </row>
    <row r="30" spans="1:18" ht="12.75" customHeight="1" thickBot="1">
      <c r="B30" s="55"/>
      <c r="C30" s="131"/>
      <c r="D30" s="780" t="s">
        <v>117</v>
      </c>
      <c r="E30" s="781"/>
      <c r="F30" s="782"/>
      <c r="G30" s="73">
        <f ca="1">IF(SNOWBOARD_CALCULATOR_TYPE=0,SUM('Snowboard Rental Calculator'!K36,'Snowboard Rental Calculator'!K53),SUM('Snowboard Rental Calculator'!K78,'Snowboard Rental Calculator'!K95))</f>
        <v>0</v>
      </c>
      <c r="H30" s="598"/>
      <c r="I30" s="600">
        <f ca="1">IF(SNOWBOARD_CALCULATOR_TYPE=0,SUM('Snowboard Rental Calculator'!L36,'Snowboard Rental Calculator'!L53),SUM('Snowboard Rental Calculator'!L78,'Snowboard Rental Calculator'!L95))</f>
        <v>0</v>
      </c>
      <c r="J30" s="141"/>
      <c r="K30" s="821" t="s">
        <v>62</v>
      </c>
      <c r="L30" s="822"/>
      <c r="M30" s="399">
        <v>0.19</v>
      </c>
      <c r="N30" s="431" t="s">
        <v>188</v>
      </c>
      <c r="O30" s="851" t="s">
        <v>319</v>
      </c>
      <c r="P30" s="852"/>
      <c r="Q30" s="131"/>
      <c r="R30" s="55"/>
    </row>
    <row r="31" spans="1:18" ht="12.75" customHeight="1">
      <c r="B31" s="55"/>
      <c r="C31" s="131"/>
      <c r="D31" s="829" t="s">
        <v>252</v>
      </c>
      <c r="E31" s="830"/>
      <c r="F31" s="831"/>
      <c r="G31" s="429">
        <f ca="1">IF(SNOWBOARD_CALCULATOR_TYPE=0,SUM('Snowboard Rental Calculator'!K21,'Snowboard Rental Calculator'!K30),SUM('Snowboard Rental Calculator'!K72,'Snowboard Rental Calculator'!K63))</f>
        <v>0</v>
      </c>
      <c r="H31" s="598"/>
      <c r="I31" s="601">
        <f>IF(SNOWBOARD_CALCULATOR_TYPE=0,SUM('Snowboard Rental Calculator'!L21,'Snowboard Rental Calculator'!L30),SUM('Snowboard Rental Calculator'!L72,'Snowboard Rental Calculator'!L63))</f>
        <v>0</v>
      </c>
      <c r="J31" s="141"/>
      <c r="K31" s="823" t="s">
        <v>63</v>
      </c>
      <c r="L31" s="824"/>
      <c r="M31" s="824"/>
      <c r="N31" s="824"/>
      <c r="O31" s="824"/>
      <c r="P31" s="825"/>
      <c r="Q31" s="131"/>
      <c r="R31" s="55"/>
    </row>
    <row r="32" spans="1:18" ht="12.75" customHeight="1" thickBot="1">
      <c r="B32" s="55"/>
      <c r="C32" s="131"/>
      <c r="D32" s="777" t="s">
        <v>119</v>
      </c>
      <c r="E32" s="778"/>
      <c r="F32" s="779"/>
      <c r="G32" s="605">
        <f ca="1">SUM(G28:G31)</f>
        <v>0</v>
      </c>
      <c r="H32" s="606"/>
      <c r="I32" s="607">
        <f ca="1">SUM(I28:I31)</f>
        <v>0</v>
      </c>
      <c r="J32" s="141"/>
      <c r="K32" s="858" t="s">
        <v>261</v>
      </c>
      <c r="L32" s="859"/>
      <c r="M32" s="859"/>
      <c r="N32" s="859"/>
      <c r="O32" s="859"/>
      <c r="P32" s="860"/>
      <c r="Q32" s="131"/>
      <c r="R32" s="55"/>
    </row>
    <row r="33" spans="2:18" ht="12.75" customHeight="1" thickBot="1">
      <c r="B33" s="55"/>
      <c r="C33" s="131"/>
      <c r="D33" s="354"/>
      <c r="E33" s="354"/>
      <c r="F33" s="355"/>
      <c r="G33" s="356"/>
      <c r="H33" s="357"/>
      <c r="I33" s="357"/>
      <c r="J33" s="142"/>
      <c r="K33" s="861"/>
      <c r="L33" s="862"/>
      <c r="M33" s="862"/>
      <c r="N33" s="862"/>
      <c r="O33" s="862"/>
      <c r="P33" s="863"/>
      <c r="Q33" s="131"/>
      <c r="R33" s="55"/>
    </row>
    <row r="34" spans="2:18" ht="12.75" customHeight="1">
      <c r="B34" s="55"/>
      <c r="C34" s="131"/>
      <c r="D34" s="354"/>
      <c r="E34" s="354"/>
      <c r="F34" s="355"/>
      <c r="G34" s="356"/>
      <c r="H34" s="357"/>
      <c r="I34" s="357"/>
      <c r="J34" s="143"/>
      <c r="K34" s="853" t="s">
        <v>64</v>
      </c>
      <c r="L34" s="854"/>
      <c r="M34" s="854"/>
      <c r="N34" s="854"/>
      <c r="O34" s="854"/>
      <c r="P34" s="855"/>
      <c r="Q34" s="131"/>
      <c r="R34" s="55"/>
    </row>
    <row r="35" spans="2:18" ht="12.75" customHeight="1" thickBot="1">
      <c r="B35" s="55"/>
      <c r="C35" s="131"/>
      <c r="D35" s="354"/>
      <c r="E35" s="354"/>
      <c r="F35" s="355"/>
      <c r="G35" s="356"/>
      <c r="H35" s="357"/>
      <c r="I35" s="357"/>
      <c r="J35" s="142"/>
      <c r="K35" s="826" t="s">
        <v>65</v>
      </c>
      <c r="L35" s="827"/>
      <c r="M35" s="828"/>
      <c r="N35" s="76" t="s">
        <v>20</v>
      </c>
      <c r="O35" s="77" t="s">
        <v>290</v>
      </c>
      <c r="P35" s="78"/>
      <c r="Q35" s="131"/>
      <c r="R35" s="55"/>
    </row>
    <row r="36" spans="2:18" ht="12.75" customHeight="1" thickBot="1">
      <c r="B36" s="55"/>
      <c r="C36" s="131"/>
      <c r="D36" s="818" t="s">
        <v>41</v>
      </c>
      <c r="E36" s="819"/>
      <c r="F36" s="819"/>
      <c r="G36" s="819"/>
      <c r="H36" s="819"/>
      <c r="I36" s="820"/>
      <c r="J36" s="141"/>
      <c r="K36" s="354"/>
      <c r="L36" s="354"/>
      <c r="M36" s="355"/>
      <c r="N36" s="356"/>
      <c r="O36" s="357"/>
      <c r="P36" s="357"/>
      <c r="Q36" s="131"/>
      <c r="R36" s="55"/>
    </row>
    <row r="37" spans="2:18" ht="12.75" customHeight="1" thickBot="1">
      <c r="B37" s="55"/>
      <c r="C37" s="131"/>
      <c r="D37" s="69"/>
      <c r="E37" s="70"/>
      <c r="F37" s="71"/>
      <c r="G37" s="72" t="s">
        <v>121</v>
      </c>
      <c r="H37" s="74"/>
      <c r="I37" s="599" t="s">
        <v>7</v>
      </c>
      <c r="J37" s="131"/>
      <c r="K37" s="792" t="s">
        <v>66</v>
      </c>
      <c r="L37" s="793"/>
      <c r="M37" s="794"/>
      <c r="N37" s="792" t="s">
        <v>162</v>
      </c>
      <c r="O37" s="793"/>
      <c r="P37" s="794"/>
      <c r="Q37" s="131"/>
      <c r="R37" s="55"/>
    </row>
    <row r="38" spans="2:18" ht="12.75" customHeight="1" thickTop="1" thickBot="1">
      <c r="B38" s="55"/>
      <c r="C38" s="131"/>
      <c r="D38" s="815" t="s">
        <v>46</v>
      </c>
      <c r="E38" s="816"/>
      <c r="F38" s="817"/>
      <c r="G38" s="602">
        <f ca="1">SUM(G23,G32)</f>
        <v>0</v>
      </c>
      <c r="H38" s="603"/>
      <c r="I38" s="604">
        <f ca="1">SUM(I23,I32)</f>
        <v>0</v>
      </c>
      <c r="J38" s="131"/>
      <c r="K38" s="809" t="d">
        <v>2026-03-13</v>
      </c>
      <c r="L38" s="810"/>
      <c r="M38" s="811"/>
      <c r="N38" s="806" t="s">
        <v>163</v>
      </c>
      <c r="O38" s="807"/>
      <c r="P38" s="808"/>
      <c r="Q38" s="131"/>
      <c r="R38" s="55"/>
    </row>
    <row r="39" spans="2:18" ht="12.75" customHeight="1">
      <c r="B39" s="55"/>
      <c r="C39" s="131"/>
      <c r="D39" s="354"/>
      <c r="E39" s="354"/>
      <c r="F39" s="355"/>
      <c r="G39" s="356"/>
      <c r="H39" s="357"/>
      <c r="I39" s="357"/>
      <c r="J39" s="131"/>
      <c r="K39" s="354"/>
      <c r="L39" s="354"/>
      <c r="M39" s="355"/>
      <c r="N39" s="356"/>
      <c r="O39" s="357"/>
      <c r="P39" s="357"/>
      <c r="Q39" s="131"/>
      <c r="R39" s="55"/>
    </row>
    <row r="40" spans="2:18" ht="12.75" customHeight="1">
      <c r="B40" s="55"/>
      <c r="C40" s="131"/>
      <c r="D40" s="786" t="s">
        <v>22</v>
      </c>
      <c r="E40" s="787"/>
      <c r="F40" s="787"/>
      <c r="G40" s="787"/>
      <c r="H40" s="787"/>
      <c r="I40" s="787"/>
      <c r="J40" s="787"/>
      <c r="K40" s="787"/>
      <c r="L40" s="787"/>
      <c r="M40" s="787"/>
      <c r="N40" s="787"/>
      <c r="O40" s="787"/>
      <c r="P40" s="788"/>
      <c r="Q40" s="131"/>
      <c r="R40" s="55"/>
    </row>
    <row r="41" spans="2:18" ht="12.75" customHeight="1">
      <c r="B41" s="55"/>
      <c r="C41" s="131"/>
      <c r="D41" s="783"/>
      <c r="E41" s="784"/>
      <c r="F41" s="784"/>
      <c r="G41" s="784"/>
      <c r="H41" s="784"/>
      <c r="I41" s="784"/>
      <c r="J41" s="784"/>
      <c r="K41" s="784"/>
      <c r="L41" s="784"/>
      <c r="M41" s="784"/>
      <c r="N41" s="784"/>
      <c r="O41" s="784"/>
      <c r="P41" s="785"/>
      <c r="Q41" s="131"/>
      <c r="R41" s="55"/>
    </row>
    <row r="42" spans="2:18" ht="12.75" customHeight="1">
      <c r="B42" s="55"/>
      <c r="C42" s="131"/>
      <c r="D42" s="789"/>
      <c r="E42" s="790"/>
      <c r="F42" s="790"/>
      <c r="G42" s="790"/>
      <c r="H42" s="790"/>
      <c r="I42" s="790"/>
      <c r="J42" s="790"/>
      <c r="K42" s="790"/>
      <c r="L42" s="790"/>
      <c r="M42" s="790"/>
      <c r="N42" s="790"/>
      <c r="O42" s="790"/>
      <c r="P42" s="791"/>
      <c r="Q42" s="131"/>
      <c r="R42" s="55"/>
    </row>
    <row r="43" spans="2:18" ht="12.75" customHeight="1">
      <c r="B43" s="55"/>
      <c r="C43" s="131"/>
      <c r="D43" s="789"/>
      <c r="E43" s="790"/>
      <c r="F43" s="790"/>
      <c r="G43" s="790"/>
      <c r="H43" s="790"/>
      <c r="I43" s="790"/>
      <c r="J43" s="790"/>
      <c r="K43" s="790"/>
      <c r="L43" s="790"/>
      <c r="M43" s="790"/>
      <c r="N43" s="790"/>
      <c r="O43" s="790"/>
      <c r="P43" s="791"/>
      <c r="Q43" s="131"/>
      <c r="R43" s="55"/>
    </row>
    <row r="44" spans="2:18" ht="12.75" customHeight="1">
      <c r="B44" s="55"/>
      <c r="C44" s="131"/>
      <c r="D44" s="789"/>
      <c r="E44" s="790"/>
      <c r="F44" s="790"/>
      <c r="G44" s="790"/>
      <c r="H44" s="790"/>
      <c r="I44" s="790"/>
      <c r="J44" s="790"/>
      <c r="K44" s="790"/>
      <c r="L44" s="790"/>
      <c r="M44" s="790"/>
      <c r="N44" s="790"/>
      <c r="O44" s="790"/>
      <c r="P44" s="791"/>
      <c r="Q44" s="131"/>
      <c r="R44" s="55"/>
    </row>
    <row r="45" spans="2:18" ht="12.75" customHeight="1">
      <c r="B45" s="55"/>
      <c r="C45" s="131"/>
      <c r="D45" s="789"/>
      <c r="E45" s="790"/>
      <c r="F45" s="790"/>
      <c r="G45" s="790"/>
      <c r="H45" s="790"/>
      <c r="I45" s="790"/>
      <c r="J45" s="790"/>
      <c r="K45" s="790"/>
      <c r="L45" s="790"/>
      <c r="M45" s="790"/>
      <c r="N45" s="790"/>
      <c r="O45" s="790"/>
      <c r="P45" s="791"/>
      <c r="Q45" s="131"/>
      <c r="R45" s="55"/>
    </row>
    <row r="46" spans="2:18" ht="12.75" customHeight="1">
      <c r="B46" s="55"/>
      <c r="C46" s="131"/>
      <c r="D46" s="789"/>
      <c r="E46" s="790"/>
      <c r="F46" s="790"/>
      <c r="G46" s="790"/>
      <c r="H46" s="790"/>
      <c r="I46" s="790"/>
      <c r="J46" s="790"/>
      <c r="K46" s="790"/>
      <c r="L46" s="790"/>
      <c r="M46" s="790"/>
      <c r="N46" s="790"/>
      <c r="O46" s="790"/>
      <c r="P46" s="791"/>
      <c r="Q46" s="131"/>
      <c r="R46" s="55"/>
    </row>
    <row r="47" spans="2:18" ht="12.75" customHeight="1">
      <c r="B47" s="55"/>
      <c r="C47" s="131"/>
      <c r="D47" s="789"/>
      <c r="E47" s="790"/>
      <c r="F47" s="790"/>
      <c r="G47" s="790"/>
      <c r="H47" s="790"/>
      <c r="I47" s="790"/>
      <c r="J47" s="790"/>
      <c r="K47" s="790"/>
      <c r="L47" s="790"/>
      <c r="M47" s="790"/>
      <c r="N47" s="790"/>
      <c r="O47" s="790"/>
      <c r="P47" s="791"/>
      <c r="Q47" s="131"/>
      <c r="R47" s="55"/>
    </row>
    <row r="48" spans="2:18" ht="12.75" customHeight="1">
      <c r="B48" s="55"/>
      <c r="C48" s="131"/>
      <c r="D48" s="771"/>
      <c r="E48" s="772"/>
      <c r="F48" s="772"/>
      <c r="G48" s="772"/>
      <c r="H48" s="772"/>
      <c r="I48" s="772"/>
      <c r="J48" s="772"/>
      <c r="K48" s="772"/>
      <c r="L48" s="772"/>
      <c r="M48" s="772"/>
      <c r="N48" s="772"/>
      <c r="O48" s="772"/>
      <c r="P48" s="773"/>
      <c r="Q48" s="131"/>
      <c r="R48" s="55"/>
    </row>
    <row r="49" spans="2:18" ht="12.75" customHeight="1">
      <c r="B49" s="55"/>
      <c r="C49" s="131"/>
      <c r="D49" s="135"/>
      <c r="E49" s="135"/>
      <c r="F49" s="136"/>
      <c r="G49" s="137"/>
      <c r="H49" s="131"/>
      <c r="I49" s="131"/>
      <c r="J49" s="131"/>
      <c r="K49" s="131"/>
      <c r="L49" s="131"/>
      <c r="M49" s="131"/>
      <c r="N49" s="131"/>
      <c r="O49" s="131"/>
      <c r="P49" s="131"/>
      <c r="Q49" s="131"/>
      <c r="R49" s="55"/>
    </row>
    <row r="50" spans="2:18" ht="3" customHeight="1">
      <c r="B50" s="55"/>
      <c r="C50" s="55"/>
      <c r="D50" s="79"/>
      <c r="E50" s="79"/>
      <c r="F50" s="80"/>
      <c r="G50" s="81"/>
      <c r="H50" s="55"/>
      <c r="I50" s="82"/>
      <c r="J50" s="82"/>
      <c r="K50" s="55"/>
      <c r="L50" s="55"/>
      <c r="M50" s="55"/>
      <c r="N50" s="55"/>
      <c r="O50" s="55"/>
      <c r="P50" s="55"/>
      <c r="Q50" s="55"/>
      <c r="R50" s="55"/>
    </row>
    <row r="51" spans="2:18" ht="12.75" customHeight="1"/>
    <row r="52" spans="2:18" ht="3" customHeight="1"/>
    <row r="53" spans="2:18" ht="12.75" customHeight="1"/>
    <row r="57" spans="2:18" ht="12.75" customHeight="1"/>
    <row r="86" spans="4:7">
      <c r="D86" s="83"/>
      <c r="E86" s="84"/>
      <c r="F86" s="85"/>
      <c r="G86" s="86"/>
    </row>
    <row r="87" spans="4:7">
      <c r="D87" s="83"/>
      <c r="E87" s="84"/>
      <c r="F87" s="85"/>
      <c r="G87" s="86"/>
    </row>
    <row r="88" spans="4:7">
      <c r="D88" s="83"/>
      <c r="E88" s="84"/>
      <c r="F88" s="85"/>
      <c r="G88" s="86"/>
    </row>
    <row r="89" spans="4:7">
      <c r="D89" s="83"/>
      <c r="E89" s="84"/>
      <c r="F89" s="85"/>
      <c r="G89" s="86"/>
    </row>
    <row r="90" spans="4:7">
      <c r="D90" s="83"/>
      <c r="E90" s="84"/>
      <c r="F90" s="85"/>
      <c r="G90" s="86"/>
    </row>
    <row r="91" spans="4:7">
      <c r="D91" s="83"/>
      <c r="E91" s="84"/>
      <c r="F91" s="85"/>
      <c r="G91" s="86"/>
    </row>
    <row r="92" spans="4:7">
      <c r="D92" s="83"/>
      <c r="E92" s="84"/>
      <c r="F92" s="85"/>
      <c r="G92" s="86"/>
    </row>
    <row r="93" spans="4:7">
      <c r="D93" s="83"/>
      <c r="E93" s="84"/>
      <c r="F93" s="85"/>
      <c r="G93" s="86"/>
    </row>
    <row r="94" spans="4:7">
      <c r="D94" s="83"/>
      <c r="E94" s="84"/>
      <c r="F94" s="85"/>
      <c r="G94" s="86"/>
    </row>
    <row r="95" spans="4:7">
      <c r="D95" s="83"/>
      <c r="E95" s="84"/>
      <c r="F95" s="85"/>
      <c r="G95" s="86"/>
    </row>
    <row r="96" spans="4:7">
      <c r="D96" s="83"/>
      <c r="E96" s="84"/>
      <c r="F96" s="85"/>
      <c r="G96" s="86"/>
    </row>
    <row r="97" spans="4:7">
      <c r="D97" s="83"/>
      <c r="E97" s="84"/>
      <c r="F97" s="85"/>
      <c r="G97" s="86"/>
    </row>
    <row r="98" spans="4:7">
      <c r="D98" s="83"/>
      <c r="E98" s="84"/>
      <c r="F98" s="85"/>
      <c r="G98" s="86"/>
    </row>
    <row r="99" spans="4:7">
      <c r="D99" s="83"/>
      <c r="E99" s="84"/>
      <c r="F99" s="85"/>
      <c r="G99" s="86"/>
    </row>
    <row r="100" spans="4:7">
      <c r="D100" s="83"/>
      <c r="E100" s="84"/>
      <c r="F100" s="85"/>
      <c r="G100" s="86"/>
    </row>
    <row r="101" spans="4:7">
      <c r="D101" s="83"/>
      <c r="E101" s="84"/>
      <c r="F101" s="85"/>
      <c r="G101" s="86"/>
    </row>
    <row r="102" spans="4:7">
      <c r="D102" s="83"/>
      <c r="E102" s="84"/>
      <c r="F102" s="85"/>
      <c r="G102" s="86"/>
    </row>
    <row r="103" spans="4:7">
      <c r="D103" s="83"/>
      <c r="E103" s="84"/>
      <c r="F103" s="85"/>
      <c r="G103" s="86"/>
    </row>
    <row r="104" spans="4:7">
      <c r="D104" s="83"/>
      <c r="E104" s="84"/>
      <c r="F104" s="85"/>
      <c r="G104" s="86"/>
    </row>
    <row r="105" spans="4:7">
      <c r="D105" s="83"/>
      <c r="E105" s="84"/>
      <c r="F105" s="85"/>
      <c r="G105" s="86"/>
    </row>
    <row r="106" spans="4:7">
      <c r="D106" s="83"/>
      <c r="E106" s="84"/>
      <c r="F106" s="85"/>
      <c r="G106" s="86"/>
    </row>
    <row r="107" spans="4:7">
      <c r="D107" s="83"/>
      <c r="E107" s="84"/>
      <c r="F107" s="85"/>
      <c r="G107" s="86"/>
    </row>
    <row r="108" spans="4:7">
      <c r="D108" s="83"/>
      <c r="E108" s="84"/>
      <c r="F108" s="85"/>
      <c r="G108" s="86"/>
    </row>
    <row r="109" spans="4:7">
      <c r="D109" s="83"/>
      <c r="E109" s="84"/>
      <c r="F109" s="85"/>
      <c r="G109" s="86"/>
    </row>
    <row r="110" spans="4:7">
      <c r="D110" s="83"/>
      <c r="E110" s="84"/>
      <c r="F110" s="85"/>
      <c r="G110" s="86"/>
    </row>
    <row r="111" spans="4:7">
      <c r="D111" s="83"/>
      <c r="E111" s="84"/>
      <c r="F111" s="85"/>
      <c r="G111" s="86"/>
    </row>
    <row r="112" spans="4:7">
      <c r="D112" s="83"/>
      <c r="E112" s="84"/>
      <c r="F112" s="85"/>
      <c r="G112" s="86"/>
    </row>
    <row r="113" spans="4:7">
      <c r="D113" s="83"/>
      <c r="E113" s="84"/>
      <c r="F113" s="85"/>
      <c r="G113" s="86"/>
    </row>
    <row r="114" spans="4:7">
      <c r="D114" s="83"/>
      <c r="E114" s="84"/>
      <c r="F114" s="85"/>
      <c r="G114" s="86"/>
    </row>
    <row r="115" spans="4:7">
      <c r="D115" s="83"/>
      <c r="E115" s="84"/>
      <c r="F115" s="85"/>
      <c r="G115" s="86"/>
    </row>
    <row r="116" spans="4:7">
      <c r="D116" s="83"/>
      <c r="E116" s="84"/>
      <c r="F116" s="85"/>
      <c r="G116" s="86"/>
    </row>
    <row r="117" spans="4:7">
      <c r="D117" s="83"/>
      <c r="E117" s="84"/>
      <c r="F117" s="85"/>
      <c r="G117" s="86"/>
    </row>
    <row r="118" spans="4:7">
      <c r="D118" s="83"/>
      <c r="E118" s="84"/>
      <c r="F118" s="85"/>
      <c r="G118" s="86"/>
    </row>
    <row r="119" spans="4:7">
      <c r="D119" s="83"/>
      <c r="E119" s="84"/>
      <c r="F119" s="85"/>
      <c r="G119" s="86"/>
    </row>
    <row r="120" spans="4:7">
      <c r="D120" s="83"/>
      <c r="E120" s="84"/>
      <c r="F120" s="85"/>
      <c r="G120" s="86"/>
    </row>
    <row r="121" spans="4:7">
      <c r="D121" s="83"/>
      <c r="E121" s="84"/>
      <c r="F121" s="85"/>
      <c r="G121" s="86"/>
    </row>
    <row r="122" spans="4:7">
      <c r="D122" s="83"/>
      <c r="E122" s="84"/>
      <c r="F122" s="85"/>
      <c r="G122" s="86"/>
    </row>
    <row r="123" spans="4:7">
      <c r="D123" s="83"/>
      <c r="E123" s="84"/>
      <c r="F123" s="85"/>
      <c r="G123" s="86"/>
    </row>
    <row r="124" spans="4:7">
      <c r="D124" s="83"/>
      <c r="E124" s="84"/>
      <c r="F124" s="85"/>
      <c r="G124" s="86"/>
    </row>
    <row r="125" spans="4:7">
      <c r="D125" s="83"/>
      <c r="E125" s="84"/>
      <c r="F125" s="85"/>
      <c r="G125" s="86"/>
    </row>
  </sheetData>
  <sheetProtection algorithmName="SHA-512" hashValue="iycs8o+v3Sn0ZHJSzuQaLNYscpoEkajcogNbZpWc9wtNk6ZV8A9yqH4wnoinKWbHcX0H7I12UGv84m1jrELc7A==" saltValue="HeF1CkGKTh8BrPx06dA8RA==" spinCount="100000" sheet="1" objects="1" scenarios="1"/>
  <mergeCells count="73">
    <mergeCell ref="F4:P4"/>
    <mergeCell ref="F5:P5"/>
    <mergeCell ref="F6:P6"/>
    <mergeCell ref="F7:P7"/>
    <mergeCell ref="D24:F24"/>
    <mergeCell ref="M14:N14"/>
    <mergeCell ref="M13:O13"/>
    <mergeCell ref="I15:L15"/>
    <mergeCell ref="I14:L14"/>
    <mergeCell ref="M12:O12"/>
    <mergeCell ref="K12:L12"/>
    <mergeCell ref="O15:P15"/>
    <mergeCell ref="O14:P14"/>
    <mergeCell ref="O9:P9"/>
    <mergeCell ref="O8:P8"/>
    <mergeCell ref="K19:P19"/>
    <mergeCell ref="K20:P21"/>
    <mergeCell ref="K25:L25"/>
    <mergeCell ref="K18:P18"/>
    <mergeCell ref="D11:P11"/>
    <mergeCell ref="E12:G12"/>
    <mergeCell ref="K13:L13"/>
    <mergeCell ref="D14:H14"/>
    <mergeCell ref="H13:J13"/>
    <mergeCell ref="H12:J12"/>
    <mergeCell ref="E13:G13"/>
    <mergeCell ref="M15:N15"/>
    <mergeCell ref="K34:P34"/>
    <mergeCell ref="K28:L28"/>
    <mergeCell ref="N27:P27"/>
    <mergeCell ref="N26:P26"/>
    <mergeCell ref="K26:L26"/>
    <mergeCell ref="K32:P33"/>
    <mergeCell ref="D31:F31"/>
    <mergeCell ref="K27:L27"/>
    <mergeCell ref="K23:M24"/>
    <mergeCell ref="N22:P22"/>
    <mergeCell ref="D26:I26"/>
    <mergeCell ref="N23:P25"/>
    <mergeCell ref="O29:P29"/>
    <mergeCell ref="O30:P30"/>
    <mergeCell ref="D46:P46"/>
    <mergeCell ref="D47:P47"/>
    <mergeCell ref="D43:P43"/>
    <mergeCell ref="D44:P44"/>
    <mergeCell ref="D28:F28"/>
    <mergeCell ref="K29:L29"/>
    <mergeCell ref="N38:P38"/>
    <mergeCell ref="K38:M38"/>
    <mergeCell ref="N28:P28"/>
    <mergeCell ref="D38:F38"/>
    <mergeCell ref="K37:M37"/>
    <mergeCell ref="N37:P37"/>
    <mergeCell ref="D36:I36"/>
    <mergeCell ref="K30:L30"/>
    <mergeCell ref="K31:P31"/>
    <mergeCell ref="K35:M35"/>
    <mergeCell ref="D48:P48"/>
    <mergeCell ref="D15:H15"/>
    <mergeCell ref="D32:F32"/>
    <mergeCell ref="D30:F30"/>
    <mergeCell ref="D41:P41"/>
    <mergeCell ref="D40:P40"/>
    <mergeCell ref="D42:P42"/>
    <mergeCell ref="D29:F29"/>
    <mergeCell ref="K22:M22"/>
    <mergeCell ref="K17:P17"/>
    <mergeCell ref="D17:I17"/>
    <mergeCell ref="D19:F19"/>
    <mergeCell ref="D20:F20"/>
    <mergeCell ref="D23:F23"/>
    <mergeCell ref="D21:F21"/>
    <mergeCell ref="D45:P45"/>
  </mergeCells>
  <phoneticPr fontId="12" type="noConversion"/>
  <pageMargins left="0.25" right="0.25" top="0.75" bottom="0.75" header="0.3" footer="0.3"/>
  <pageSetup scale="69" fitToHeight="0" orientation="portrait" r:id="rId1"/>
  <headerFooter alignWithMargins="0"/>
  <ignoredErrors>
    <ignoredError sqref="I28:I29" formulaRange="1"/>
  </ignoredErrors>
  <drawing r:id="rId2"/>
</worksheet>
</file>

<file path=xl/worksheets/sheet2.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BPurchaseOrder"/>
  <dimension ref="A1:W155"/>
  <sheetViews>
    <sheetView showGridLines="0" topLeftCell="A5" workbookViewId="0">
      <selection activeCell="Y160" sqref="Y160"/>
    </sheetView>
  </sheetViews>
  <sheetFormatPr baseColWidth="10" defaultColWidth="9.1640625" defaultRowHeight="13"/>
  <cols>
    <col min="1" max="1" width="0.6640625" customWidth="1"/>
    <col min="2" max="2" width="5.33203125" customWidth="1"/>
    <col min="3" max="3" width="17.6640625" customWidth="1"/>
    <col min="4" max="4" width="39.83203125" bestFit="1" customWidth="1"/>
    <col min="5" max="5" width="5.1640625" customWidth="1"/>
    <col min="6" max="6" width="5.1640625" style="15" customWidth="1"/>
    <col min="7" max="7" width="5.1640625" customWidth="1"/>
    <col min="8" max="8" width="5.6640625" style="15" customWidth="1"/>
    <col min="9" max="15" width="5.1640625" style="15" customWidth="1"/>
    <col min="16" max="16" width="8.1640625" style="15" customWidth="1"/>
    <col min="17" max="19" width="10.33203125" style="15" customWidth="1"/>
    <col min="20" max="20" width="9.33203125" style="37" customWidth="1"/>
    <col min="21" max="21" width="12.83203125" bestFit="1" customWidth="1"/>
    <col min="22" max="22" width="0.6640625" customWidth="1"/>
    <col min="23" max="23" width="9.1640625" style="15" hidden="1" customWidth="1"/>
  </cols>
  <sheetData>
    <row r="1" spans="1:23" hidden="1">
      <c r="B1" s="400" t="s">
        <v>42</v>
      </c>
      <c r="G1" s="89" t="s">
        <v>155</v>
      </c>
      <c r="H1" s="668">
        <v>33</v>
      </c>
      <c r="I1" s="469">
        <f>H1+2</f>
        <v>35</v>
      </c>
      <c r="J1" s="469">
        <f t="shared" ref="J1:S1" si="0">I1+2</f>
        <v>37</v>
      </c>
      <c r="K1" s="469">
        <f t="shared" si="0"/>
        <v>39</v>
      </c>
      <c r="L1" s="469">
        <f t="shared" si="0"/>
        <v>41</v>
      </c>
      <c r="M1" s="469">
        <f t="shared" si="0"/>
        <v>43</v>
      </c>
      <c r="N1" s="469">
        <f t="shared" si="0"/>
        <v>45</v>
      </c>
      <c r="O1" s="469">
        <f t="shared" si="0"/>
        <v>47</v>
      </c>
      <c r="P1" s="469">
        <f t="shared" si="0"/>
        <v>49</v>
      </c>
      <c r="Q1" s="469">
        <f t="shared" si="0"/>
        <v>51</v>
      </c>
      <c r="R1" s="469">
        <f t="shared" si="0"/>
        <v>53</v>
      </c>
      <c r="S1" s="469">
        <f t="shared" si="0"/>
        <v>55</v>
      </c>
    </row>
    <row r="2" spans="1:23" hidden="1">
      <c r="B2" s="400" t="s">
        <v>42</v>
      </c>
      <c r="G2" s="89" t="s">
        <v>156</v>
      </c>
      <c r="H2" s="668">
        <v>34</v>
      </c>
      <c r="I2" s="469">
        <f>H2+2</f>
        <v>36</v>
      </c>
      <c r="J2" s="469">
        <f t="shared" ref="J2:S2" si="1">I2+2</f>
        <v>38</v>
      </c>
      <c r="K2" s="469">
        <f t="shared" si="1"/>
        <v>40</v>
      </c>
      <c r="L2" s="469">
        <f t="shared" si="1"/>
        <v>42</v>
      </c>
      <c r="M2" s="469">
        <f t="shared" si="1"/>
        <v>44</v>
      </c>
      <c r="N2" s="469">
        <f t="shared" si="1"/>
        <v>46</v>
      </c>
      <c r="O2" s="469">
        <f t="shared" si="1"/>
        <v>48</v>
      </c>
      <c r="P2" s="469">
        <f t="shared" si="1"/>
        <v>50</v>
      </c>
      <c r="Q2" s="469">
        <f t="shared" si="1"/>
        <v>52</v>
      </c>
      <c r="R2" s="469">
        <f t="shared" si="1"/>
        <v>54</v>
      </c>
      <c r="S2" s="469">
        <f t="shared" si="1"/>
        <v>56</v>
      </c>
    </row>
    <row r="3" spans="1:23" hidden="1">
      <c r="B3" s="400" t="s">
        <v>42</v>
      </c>
      <c r="G3" s="89" t="s">
        <v>157</v>
      </c>
      <c r="H3" s="668">
        <v>27</v>
      </c>
      <c r="I3" s="469">
        <f>H3+2</f>
        <v>29</v>
      </c>
      <c r="J3" s="469">
        <f t="shared" ref="J3:S3" si="2">I3+2</f>
        <v>31</v>
      </c>
      <c r="K3" s="469">
        <f t="shared" si="2"/>
        <v>33</v>
      </c>
      <c r="L3" s="469">
        <f t="shared" si="2"/>
        <v>35</v>
      </c>
      <c r="M3" s="469">
        <f t="shared" si="2"/>
        <v>37</v>
      </c>
      <c r="N3" s="469">
        <f t="shared" si="2"/>
        <v>39</v>
      </c>
      <c r="O3" s="469">
        <f t="shared" si="2"/>
        <v>41</v>
      </c>
      <c r="P3" s="469">
        <f t="shared" si="2"/>
        <v>43</v>
      </c>
      <c r="Q3" s="469">
        <f t="shared" si="2"/>
        <v>45</v>
      </c>
      <c r="R3" s="469">
        <f t="shared" si="2"/>
        <v>47</v>
      </c>
      <c r="S3" s="469">
        <f t="shared" si="2"/>
        <v>49</v>
      </c>
    </row>
    <row r="4" spans="1:23" hidden="1">
      <c r="B4" s="400" t="s">
        <v>42</v>
      </c>
      <c r="G4" s="89" t="s">
        <v>158</v>
      </c>
      <c r="H4" s="668">
        <v>28</v>
      </c>
      <c r="I4" s="469">
        <f>H4+2</f>
        <v>30</v>
      </c>
      <c r="J4" s="469">
        <f t="shared" ref="J4:S4" si="3">I4+2</f>
        <v>32</v>
      </c>
      <c r="K4" s="469">
        <f t="shared" si="3"/>
        <v>34</v>
      </c>
      <c r="L4" s="469">
        <f t="shared" si="3"/>
        <v>36</v>
      </c>
      <c r="M4" s="469">
        <f t="shared" si="3"/>
        <v>38</v>
      </c>
      <c r="N4" s="469">
        <f t="shared" si="3"/>
        <v>40</v>
      </c>
      <c r="O4" s="469">
        <f t="shared" si="3"/>
        <v>42</v>
      </c>
      <c r="P4" s="469">
        <f t="shared" si="3"/>
        <v>44</v>
      </c>
      <c r="Q4" s="469">
        <f t="shared" si="3"/>
        <v>46</v>
      </c>
      <c r="R4" s="469">
        <f t="shared" si="3"/>
        <v>48</v>
      </c>
      <c r="S4" s="469">
        <f t="shared" si="3"/>
        <v>50</v>
      </c>
    </row>
    <row r="5" spans="1:23" s="89" customFormat="1" ht="3" customHeight="1">
      <c r="A5" s="87"/>
      <c r="B5" s="87"/>
      <c r="C5" s="87"/>
      <c r="D5" s="87"/>
      <c r="E5" s="87"/>
      <c r="F5" s="88"/>
      <c r="G5" s="87"/>
      <c r="H5" s="88"/>
      <c r="I5" s="88"/>
      <c r="J5" s="88"/>
      <c r="K5" s="88"/>
      <c r="L5" s="88"/>
      <c r="M5" s="88"/>
      <c r="N5" s="88"/>
      <c r="O5" s="88"/>
      <c r="P5" s="88"/>
      <c r="Q5" s="88"/>
      <c r="R5" s="88"/>
      <c r="S5" s="88"/>
      <c r="T5" s="30"/>
      <c r="U5" s="87"/>
      <c r="V5" s="87"/>
      <c r="W5" s="90"/>
    </row>
    <row r="6" spans="1:23" s="89" customFormat="1" ht="14" thickBot="1">
      <c r="A6" s="87"/>
      <c r="C6" s="908" t="s">
        <v>29</v>
      </c>
      <c r="D6" s="909"/>
      <c r="E6" s="909"/>
      <c r="F6" s="909"/>
      <c r="G6" s="909"/>
      <c r="H6" s="909"/>
      <c r="I6" s="909"/>
      <c r="J6" s="909"/>
      <c r="K6" s="909"/>
      <c r="L6" s="909"/>
      <c r="M6" s="909"/>
      <c r="N6" s="909"/>
      <c r="O6" s="909"/>
      <c r="P6" s="909"/>
      <c r="Q6" s="90"/>
      <c r="R6" s="90"/>
      <c r="S6" s="90"/>
      <c r="T6" s="39"/>
      <c r="V6" s="87"/>
      <c r="W6" s="359" t="s">
        <v>42</v>
      </c>
    </row>
    <row r="7" spans="1:23" s="89" customFormat="1" ht="14" thickBot="1">
      <c r="A7" s="87"/>
      <c r="C7" s="352" t="s">
        <v>14</v>
      </c>
      <c r="D7" s="91" t="s">
        <v>13</v>
      </c>
      <c r="E7" s="930" t="s">
        <v>26</v>
      </c>
      <c r="F7" s="931"/>
      <c r="G7" s="931"/>
      <c r="H7" s="932"/>
      <c r="I7" s="927" t="s">
        <v>30</v>
      </c>
      <c r="J7" s="928"/>
      <c r="K7" s="928"/>
      <c r="L7" s="928"/>
      <c r="M7" s="928"/>
      <c r="N7" s="928"/>
      <c r="O7" s="928"/>
      <c r="P7" s="929"/>
      <c r="R7" s="910" t="s">
        <v>69</v>
      </c>
      <c r="S7" s="911"/>
      <c r="T7" s="92"/>
      <c r="U7" s="64"/>
      <c r="V7" s="93"/>
      <c r="W7" s="90"/>
    </row>
    <row r="8" spans="1:23" s="89" customFormat="1" ht="14" thickBot="1">
      <c r="A8" s="87"/>
      <c r="C8" s="360" t="str">
        <f>IF(ISBLANK(OVERVIEW!D13),"",OVERVIEW!D13)</f>
        <v/>
      </c>
      <c r="D8" s="361" t="str">
        <f>IF(ISBLANK(OVERVIEW!E13),"",OVERVIEW!E13)</f>
        <v/>
      </c>
      <c r="E8" s="933" t="str">
        <f>IF(ISBLANK(OVERVIEW!H13),"",OVERVIEW!H13)</f>
        <v/>
      </c>
      <c r="F8" s="934"/>
      <c r="G8" s="934"/>
      <c r="H8" s="935"/>
      <c r="I8" s="924" t="str">
        <f>IF(ISBLANK(OVERVIEW!D15),"",OVERVIEW!D15)</f>
        <v/>
      </c>
      <c r="J8" s="925"/>
      <c r="K8" s="925"/>
      <c r="L8" s="925"/>
      <c r="M8" s="925"/>
      <c r="N8" s="925"/>
      <c r="O8" s="925"/>
      <c r="P8" s="926"/>
      <c r="R8" s="936" t="str">
        <f>IF(ISBLANK(OVERVIEW!O9),"",OVERVIEW!O9)</f>
        <v/>
      </c>
      <c r="S8" s="937"/>
      <c r="T8" s="94"/>
      <c r="U8" s="95"/>
      <c r="V8" s="96"/>
      <c r="W8" s="90"/>
    </row>
    <row r="9" spans="1:23" s="89" customFormat="1">
      <c r="A9" s="87"/>
      <c r="C9" s="91" t="s">
        <v>18</v>
      </c>
      <c r="D9" s="97" t="s">
        <v>34</v>
      </c>
      <c r="E9" s="912" t="s">
        <v>35</v>
      </c>
      <c r="F9" s="913"/>
      <c r="G9" s="913"/>
      <c r="H9" s="914"/>
      <c r="I9" s="927" t="s">
        <v>15</v>
      </c>
      <c r="J9" s="928"/>
      <c r="K9" s="928"/>
      <c r="L9" s="929"/>
      <c r="M9" s="818" t="s">
        <v>16</v>
      </c>
      <c r="N9" s="820"/>
      <c r="O9" s="894" t="s">
        <v>17</v>
      </c>
      <c r="P9" s="896"/>
      <c r="V9" s="87"/>
      <c r="W9" s="90"/>
    </row>
    <row r="10" spans="1:23" s="89" customFormat="1" ht="12.75" customHeight="1" thickBot="1">
      <c r="A10" s="87"/>
      <c r="C10" s="361" t="str">
        <f>IF(ISBLANK(OVERVIEW!K13),"",OVERVIEW!K13)</f>
        <v/>
      </c>
      <c r="D10" s="597" t="str">
        <f>IF(ISBLANK(OVERVIEW!M13),"",OVERVIEW!M13)</f>
        <v/>
      </c>
      <c r="E10" s="915" t="str">
        <f>IF(ISBLANK(OVERVIEW!P13),"",OVERVIEW!P13)</f>
        <v/>
      </c>
      <c r="F10" s="916"/>
      <c r="G10" s="916"/>
      <c r="H10" s="917"/>
      <c r="I10" s="938" t="str">
        <f>IF(ISBLANK(OVERVIEW!I15),"",OVERVIEW!I15)</f>
        <v/>
      </c>
      <c r="J10" s="939"/>
      <c r="K10" s="939"/>
      <c r="L10" s="940"/>
      <c r="M10" s="904" t="str">
        <f>IF(ISBLANK(OVERVIEW!M15),"",OVERVIEW!M15)</f>
        <v/>
      </c>
      <c r="N10" s="905"/>
      <c r="O10" s="906" t="str">
        <f>IF(ISBLANK(OVERVIEW!O15),"",OVERVIEW!O15)</f>
        <v/>
      </c>
      <c r="P10" s="907"/>
      <c r="U10" s="64"/>
      <c r="V10" s="87"/>
      <c r="W10" s="90"/>
    </row>
    <row r="11" spans="1:23">
      <c r="A11" s="98"/>
      <c r="E11" s="56"/>
      <c r="F11" s="56"/>
      <c r="H11" s="56"/>
      <c r="I11" s="56"/>
      <c r="K11" s="56"/>
      <c r="V11" s="98"/>
    </row>
    <row r="12" spans="1:23" ht="3" customHeight="1" thickBot="1">
      <c r="A12" s="98"/>
      <c r="B12" s="98"/>
      <c r="C12" s="98"/>
      <c r="D12" s="99"/>
      <c r="E12" s="99"/>
      <c r="F12" s="99"/>
      <c r="G12" s="99"/>
      <c r="H12" s="100"/>
      <c r="I12" s="99"/>
      <c r="J12" s="99"/>
      <c r="K12" s="99"/>
      <c r="L12" s="100"/>
      <c r="M12" s="100"/>
      <c r="N12" s="100"/>
      <c r="O12" s="100"/>
      <c r="P12" s="100"/>
      <c r="Q12" s="100"/>
      <c r="R12" s="100"/>
      <c r="S12" s="100"/>
      <c r="T12" s="101"/>
      <c r="U12" s="98"/>
      <c r="V12" s="98"/>
    </row>
    <row r="13" spans="1:23" ht="12.75" customHeight="1">
      <c r="A13" s="98"/>
      <c r="C13" s="941" t="s">
        <v>54</v>
      </c>
      <c r="D13" s="942"/>
      <c r="E13" s="942"/>
      <c r="F13" s="942"/>
      <c r="G13" s="942"/>
      <c r="H13" s="942"/>
      <c r="I13" s="942"/>
      <c r="J13" s="942"/>
      <c r="K13" s="942"/>
      <c r="L13" s="942"/>
      <c r="M13" s="942"/>
      <c r="N13" s="942"/>
      <c r="O13" s="942"/>
      <c r="P13" s="942"/>
      <c r="Q13" s="942"/>
      <c r="R13" s="942"/>
      <c r="S13" s="942"/>
      <c r="T13" s="942"/>
      <c r="U13" s="943"/>
      <c r="V13" s="98"/>
    </row>
    <row r="14" spans="1:23" ht="13.5" customHeight="1" thickBot="1">
      <c r="A14" s="98"/>
      <c r="C14" s="944"/>
      <c r="D14" s="945"/>
      <c r="E14" s="945"/>
      <c r="F14" s="945"/>
      <c r="G14" s="945"/>
      <c r="H14" s="945"/>
      <c r="I14" s="945"/>
      <c r="J14" s="945"/>
      <c r="K14" s="945"/>
      <c r="L14" s="945"/>
      <c r="M14" s="945"/>
      <c r="N14" s="945"/>
      <c r="O14" s="945"/>
      <c r="P14" s="945"/>
      <c r="Q14" s="945"/>
      <c r="R14" s="945"/>
      <c r="S14" s="945"/>
      <c r="T14" s="945"/>
      <c r="U14" s="946"/>
      <c r="V14" s="98"/>
    </row>
    <row r="15" spans="1:23" ht="15" thickTop="1" thickBot="1">
      <c r="A15" s="98"/>
      <c r="B15" s="60"/>
      <c r="C15" s="362" t="s">
        <v>48</v>
      </c>
      <c r="D15" s="102" t="s">
        <v>49</v>
      </c>
      <c r="E15" s="901" t="s">
        <v>51</v>
      </c>
      <c r="F15" s="902"/>
      <c r="G15" s="902"/>
      <c r="H15" s="902"/>
      <c r="I15" s="902"/>
      <c r="J15" s="902"/>
      <c r="K15" s="902"/>
      <c r="L15" s="902"/>
      <c r="M15" s="902"/>
      <c r="N15" s="902"/>
      <c r="O15" s="902"/>
      <c r="P15" s="903"/>
      <c r="Q15" s="103" t="s">
        <v>43</v>
      </c>
      <c r="R15" s="104" t="s">
        <v>21</v>
      </c>
      <c r="S15" s="103" t="s">
        <v>102</v>
      </c>
      <c r="T15" s="105" t="s">
        <v>52</v>
      </c>
      <c r="U15" s="106" t="s">
        <v>124</v>
      </c>
      <c r="V15" s="98"/>
    </row>
    <row r="16" spans="1:23" ht="14" hidden="1" thickBot="1">
      <c r="A16" s="98"/>
      <c r="B16" s="364">
        <v>1</v>
      </c>
      <c r="C16" s="107" t="str">
        <f>IF(ISNA(VLOOKUP($B16,SKIS_MASTER_DATA_AREA,3,FALSE)),"",VLOOKUP($B16,SKIS_MASTER_DATA_AREA,3,FALSE))</f>
        <v/>
      </c>
      <c r="D16" s="108" t="str">
        <f>IF(ISNA(VLOOKUP($B16,SKIS_MASTER_DATA_AREA,3,FALSE)),"",VLOOKUP($B16,SKIS_MASTER_DATA_AREA,4,FALSE))</f>
        <v/>
      </c>
      <c r="E16" s="112" t="str">
        <f>IF(ISNA(VLOOKUP($B16,SKIS_MASTER_DATA_AREA,3,FALSE)),"",IF(VLOOKUP($B16,SKIS_MASTER_DATA_AREA,H$1,FALSE)=0,"",VLOOKUP($B16,SKIS_MASTER_DATA_AREA,H$1,FALSE)))</f>
        <v/>
      </c>
      <c r="F16" s="112" t="str">
        <f t="shared" ref="F16:O16" si="4">IF(ISNA(VLOOKUP($B16,SKIS_MASTER_DATA_AREA,3,FALSE)),"",IF(VLOOKUP($B16,SKIS_MASTER_DATA_AREA,I$1,FALSE)=0,"",VLOOKUP($B16,SKIS_MASTER_DATA_AREA,I$1,FALSE)))</f>
        <v/>
      </c>
      <c r="G16" s="112" t="str">
        <f t="shared" si="4"/>
        <v/>
      </c>
      <c r="H16" s="112" t="str">
        <f t="shared" si="4"/>
        <v/>
      </c>
      <c r="I16" s="112" t="str">
        <f t="shared" si="4"/>
        <v/>
      </c>
      <c r="J16" s="113" t="str">
        <f t="shared" si="4"/>
        <v/>
      </c>
      <c r="K16" s="112" t="str">
        <f t="shared" si="4"/>
        <v/>
      </c>
      <c r="L16" s="112" t="str">
        <f t="shared" si="4"/>
        <v/>
      </c>
      <c r="M16" s="112" t="str">
        <f t="shared" si="4"/>
        <v/>
      </c>
      <c r="N16" s="112" t="str">
        <f t="shared" si="4"/>
        <v/>
      </c>
      <c r="O16" s="112" t="str">
        <f t="shared" si="4"/>
        <v/>
      </c>
      <c r="P16" s="114" t="str">
        <f>IF(ISNA(VLOOKUP($B16,SKIS_MASTER_DATA_AREA,3,FALSE)),"",IF(VLOOKUP($B16,SKIS_MASTER_DATA_AREA,S$1,FALSE)=0,"",VLOOKUP($B16,SKIS_MASTER_DATA_AREA,S$1,FALSE)))</f>
        <v/>
      </c>
      <c r="Q16" s="109" t="str">
        <f>IF(ISNA(VLOOKUP($B16,SKIS_MASTER_DATA_AREA,3,FALSE)),"",VLOOKUP($B16,SKIS_MASTER_DATA_AREA,5,FALSE))</f>
        <v/>
      </c>
      <c r="R16" s="110" t="str">
        <f>IF(ISNA(VLOOKUP($B16,SKIS_MASTER_DATA_AREA,3,FALSE)),"",VLOOKUP($B16,SKIS_MASTER_DATA_AREA,IF(SKI_DISCOUNT_TYPE=0,8,9),FALSE))</f>
        <v/>
      </c>
      <c r="S16" s="111" t="str">
        <f>IF(ISNA(VLOOKUP($B16,SKIS_MASTER_DATA_AREA,3,FALSE)),"",VLOOKUP($B16,SKIS_MASTER_DATA_AREA,7,FALSE))</f>
        <v/>
      </c>
      <c r="T16" s="115" t="str">
        <f>IF(SUM(E17:P17)=0,"",SUM(E17:P17))</f>
        <v/>
      </c>
      <c r="U16" s="116" t="str">
        <f>IF(ISNA(VLOOKUP($B16,SKIS_MASTER_DATA_AREA,3,FALSE)),"",VLOOKUP($B16,SKIS_MASTER_DATA_AREA,10,FALSE))</f>
        <v/>
      </c>
      <c r="V16" s="98"/>
      <c r="W16" s="15">
        <f>IF(C16="",0,1)</f>
        <v>0</v>
      </c>
    </row>
    <row r="17" spans="1:23" ht="14" hidden="1" thickBot="1">
      <c r="A17" s="98"/>
      <c r="B17" s="364"/>
      <c r="C17" s="365"/>
      <c r="D17" s="365"/>
      <c r="E17" s="383" t="str">
        <f t="shared" ref="E17:O17" si="5">IF(ISNA(VLOOKUP($B16,SKIS_MASTER_DATA_AREA,3,FALSE)),"",IF(VLOOKUP($B16,SKIS_MASTER_DATA_AREA,H$2,FALSE)=0,"",VLOOKUP($B16,SKIS_MASTER_DATA_AREA,H$2,FALSE)))</f>
        <v/>
      </c>
      <c r="F17" s="384" t="str">
        <f t="shared" si="5"/>
        <v/>
      </c>
      <c r="G17" s="384" t="str">
        <f t="shared" si="5"/>
        <v/>
      </c>
      <c r="H17" s="384" t="str">
        <f t="shared" si="5"/>
        <v/>
      </c>
      <c r="I17" s="384" t="str">
        <f t="shared" si="5"/>
        <v/>
      </c>
      <c r="J17" s="384" t="str">
        <f t="shared" si="5"/>
        <v/>
      </c>
      <c r="K17" s="385" t="str">
        <f t="shared" si="5"/>
        <v/>
      </c>
      <c r="L17" s="384" t="str">
        <f t="shared" si="5"/>
        <v/>
      </c>
      <c r="M17" s="384" t="str">
        <f t="shared" si="5"/>
        <v/>
      </c>
      <c r="N17" s="384" t="str">
        <f t="shared" si="5"/>
        <v/>
      </c>
      <c r="O17" s="384" t="str">
        <f t="shared" si="5"/>
        <v/>
      </c>
      <c r="P17" s="386" t="str">
        <f>IF(ISNA(VLOOKUP($B16,SKIS_MASTER_DATA_AREA,3,FALSE)),"",IF(VLOOKUP($B16,SKIS_MASTER_DATA_AREA,S$2,FALSE)=0,"",VLOOKUP($B16,SKIS_MASTER_DATA_AREA,S$2,FALSE)))</f>
        <v/>
      </c>
      <c r="Q17" s="366"/>
      <c r="R17" s="367"/>
      <c r="S17" s="368"/>
      <c r="T17" s="382"/>
      <c r="U17" s="374"/>
      <c r="V17" s="98"/>
      <c r="W17" s="15">
        <f>IF(W16=0,0,1)</f>
        <v>0</v>
      </c>
    </row>
    <row r="18" spans="1:23" ht="14" hidden="1" thickBot="1">
      <c r="A18" s="98"/>
      <c r="B18" s="364">
        <v>2</v>
      </c>
      <c r="C18" s="363" t="str">
        <f>IF(ISNA(VLOOKUP($B18,SKIS_MASTER_DATA_AREA,3,FALSE)),"",VLOOKUP($B18,SKIS_MASTER_DATA_AREA,3,FALSE))</f>
        <v/>
      </c>
      <c r="D18" s="117" t="str">
        <f>IF(ISNA(VLOOKUP($B18,SKIS_MASTER_DATA_AREA,3,FALSE)),"",VLOOKUP($B18,SKIS_MASTER_DATA_AREA,4,FALSE))</f>
        <v/>
      </c>
      <c r="E18" s="112" t="str">
        <f t="shared" ref="E18:P18" si="6">IF(ISNA(VLOOKUP($B18,SKIS_MASTER_DATA_AREA,3,FALSE)),"",IF(VLOOKUP($B18,SKIS_MASTER_DATA_AREA,H$1,FALSE)=0,"",VLOOKUP($B18,SKIS_MASTER_DATA_AREA,H$1,FALSE)))</f>
        <v/>
      </c>
      <c r="F18" s="112" t="str">
        <f t="shared" si="6"/>
        <v/>
      </c>
      <c r="G18" s="112" t="str">
        <f t="shared" si="6"/>
        <v/>
      </c>
      <c r="H18" s="112" t="str">
        <f t="shared" si="6"/>
        <v/>
      </c>
      <c r="I18" s="112" t="str">
        <f t="shared" si="6"/>
        <v/>
      </c>
      <c r="J18" s="113" t="str">
        <f t="shared" si="6"/>
        <v/>
      </c>
      <c r="K18" s="112" t="str">
        <f t="shared" si="6"/>
        <v/>
      </c>
      <c r="L18" s="112" t="str">
        <f t="shared" si="6"/>
        <v/>
      </c>
      <c r="M18" s="112" t="str">
        <f t="shared" si="6"/>
        <v/>
      </c>
      <c r="N18" s="112" t="str">
        <f t="shared" si="6"/>
        <v/>
      </c>
      <c r="O18" s="112" t="str">
        <f t="shared" si="6"/>
        <v/>
      </c>
      <c r="P18" s="114" t="str">
        <f t="shared" si="6"/>
        <v/>
      </c>
      <c r="Q18" s="118" t="str">
        <f>IF(ISNA(VLOOKUP($B18,SKIS_MASTER_DATA_AREA,3,FALSE)),"",VLOOKUP($B18,SKIS_MASTER_DATA_AREA,5,FALSE))</f>
        <v/>
      </c>
      <c r="R18" s="119" t="str">
        <f>IF(ISNA(VLOOKUP($B18,SKIS_MASTER_DATA_AREA,3,FALSE)),"",VLOOKUP($B18,SKIS_MASTER_DATA_AREA,IF(SKI_DISCOUNT_TYPE=0,8,9),FALSE))</f>
        <v/>
      </c>
      <c r="S18" s="120" t="str">
        <f>IF(ISNA(VLOOKUP($B18,SKIS_MASTER_DATA_AREA,3,FALSE)),"",VLOOKUP($B18,SKIS_MASTER_DATA_AREA,7,FALSE))</f>
        <v/>
      </c>
      <c r="T18" s="115" t="str">
        <f>IF(SUM(E19:P19)=0,"",SUM(E19:P19))</f>
        <v/>
      </c>
      <c r="U18" s="116" t="str">
        <f>IF(ISNA(VLOOKUP($B18,SKIS_MASTER_DATA_AREA,3,FALSE)),"",VLOOKUP($B18,SKIS_MASTER_DATA_AREA,10,FALSE))</f>
        <v/>
      </c>
      <c r="V18" s="98"/>
      <c r="W18" s="15">
        <f>IF(C18="",0,1)</f>
        <v>0</v>
      </c>
    </row>
    <row r="19" spans="1:23" ht="14" hidden="1" thickBot="1">
      <c r="A19" s="98"/>
      <c r="B19" s="364"/>
      <c r="C19" s="365"/>
      <c r="D19" s="365"/>
      <c r="E19" s="383" t="str">
        <f t="shared" ref="E19:P19" si="7">IF(ISNA(VLOOKUP($B18,SKIS_MASTER_DATA_AREA,3,FALSE)),"",IF(VLOOKUP($B18,SKIS_MASTER_DATA_AREA,H$2,FALSE)=0,"",VLOOKUP($B18,SKIS_MASTER_DATA_AREA,H$2,FALSE)))</f>
        <v/>
      </c>
      <c r="F19" s="384" t="str">
        <f t="shared" si="7"/>
        <v/>
      </c>
      <c r="G19" s="384" t="str">
        <f t="shared" si="7"/>
        <v/>
      </c>
      <c r="H19" s="384" t="str">
        <f t="shared" si="7"/>
        <v/>
      </c>
      <c r="I19" s="384" t="str">
        <f t="shared" si="7"/>
        <v/>
      </c>
      <c r="J19" s="384" t="str">
        <f t="shared" si="7"/>
        <v/>
      </c>
      <c r="K19" s="385" t="str">
        <f t="shared" si="7"/>
        <v/>
      </c>
      <c r="L19" s="384" t="str">
        <f t="shared" si="7"/>
        <v/>
      </c>
      <c r="M19" s="384" t="str">
        <f t="shared" si="7"/>
        <v/>
      </c>
      <c r="N19" s="384" t="str">
        <f t="shared" si="7"/>
        <v/>
      </c>
      <c r="O19" s="384" t="str">
        <f t="shared" si="7"/>
        <v/>
      </c>
      <c r="P19" s="386" t="str">
        <f t="shared" si="7"/>
        <v/>
      </c>
      <c r="Q19" s="366"/>
      <c r="R19" s="367"/>
      <c r="S19" s="368"/>
      <c r="T19" s="382"/>
      <c r="U19" s="374"/>
      <c r="V19" s="98"/>
      <c r="W19" s="15">
        <f>IF(W18=0,0,1)</f>
        <v>0</v>
      </c>
    </row>
    <row r="20" spans="1:23" ht="14" hidden="1" thickBot="1">
      <c r="A20" s="98"/>
      <c r="B20" s="364">
        <v>3</v>
      </c>
      <c r="C20" s="363" t="str">
        <f>IF(ISNA(VLOOKUP($B20,SKIS_MASTER_DATA_AREA,3,FALSE)),"",VLOOKUP($B20,SKIS_MASTER_DATA_AREA,3,FALSE))</f>
        <v/>
      </c>
      <c r="D20" s="117" t="str">
        <f>IF(ISNA(VLOOKUP($B20,SKIS_MASTER_DATA_AREA,3,FALSE)),"",VLOOKUP($B20,SKIS_MASTER_DATA_AREA,4,FALSE))</f>
        <v/>
      </c>
      <c r="E20" s="112" t="str">
        <f t="shared" ref="E20:P20" si="8">IF(ISNA(VLOOKUP($B20,SKIS_MASTER_DATA_AREA,3,FALSE)),"",IF(VLOOKUP($B20,SKIS_MASTER_DATA_AREA,H$1,FALSE)=0,"",VLOOKUP($B20,SKIS_MASTER_DATA_AREA,H$1,FALSE)))</f>
        <v/>
      </c>
      <c r="F20" s="112" t="str">
        <f t="shared" si="8"/>
        <v/>
      </c>
      <c r="G20" s="112" t="str">
        <f t="shared" si="8"/>
        <v/>
      </c>
      <c r="H20" s="112" t="str">
        <f t="shared" si="8"/>
        <v/>
      </c>
      <c r="I20" s="112" t="str">
        <f t="shared" si="8"/>
        <v/>
      </c>
      <c r="J20" s="113" t="str">
        <f t="shared" si="8"/>
        <v/>
      </c>
      <c r="K20" s="112" t="str">
        <f t="shared" si="8"/>
        <v/>
      </c>
      <c r="L20" s="112" t="str">
        <f t="shared" si="8"/>
        <v/>
      </c>
      <c r="M20" s="112" t="str">
        <f t="shared" si="8"/>
        <v/>
      </c>
      <c r="N20" s="112" t="str">
        <f t="shared" si="8"/>
        <v/>
      </c>
      <c r="O20" s="112" t="str">
        <f t="shared" si="8"/>
        <v/>
      </c>
      <c r="P20" s="114" t="str">
        <f t="shared" si="8"/>
        <v/>
      </c>
      <c r="Q20" s="118" t="str">
        <f>IF(ISNA(VLOOKUP($B20,SKIS_MASTER_DATA_AREA,3,FALSE)),"",VLOOKUP($B20,SKIS_MASTER_DATA_AREA,5,FALSE))</f>
        <v/>
      </c>
      <c r="R20" s="119" t="str">
        <f>IF(ISNA(VLOOKUP($B20,SKIS_MASTER_DATA_AREA,3,FALSE)),"",VLOOKUP($B20,SKIS_MASTER_DATA_AREA,IF(SKI_DISCOUNT_TYPE=0,8,9),FALSE))</f>
        <v/>
      </c>
      <c r="S20" s="120" t="str">
        <f>IF(ISNA(VLOOKUP($B20,SKIS_MASTER_DATA_AREA,3,FALSE)),"",VLOOKUP($B20,SKIS_MASTER_DATA_AREA,7,FALSE))</f>
        <v/>
      </c>
      <c r="T20" s="115" t="str">
        <f>IF(SUM(E21:P21)=0,"",SUM(E21:P21))</f>
        <v/>
      </c>
      <c r="U20" s="116" t="str">
        <f>IF(ISNA(VLOOKUP($B20,SKIS_MASTER_DATA_AREA,3,FALSE)),"",VLOOKUP($B20,SKIS_MASTER_DATA_AREA,10,FALSE))</f>
        <v/>
      </c>
      <c r="V20" s="98"/>
      <c r="W20" s="15">
        <f>IF(C20="",0,1)</f>
        <v>0</v>
      </c>
    </row>
    <row r="21" spans="1:23" ht="14" hidden="1" thickBot="1">
      <c r="A21" s="98"/>
      <c r="B21" s="364"/>
      <c r="C21" s="365"/>
      <c r="D21" s="365"/>
      <c r="E21" s="383" t="str">
        <f t="shared" ref="E21:P21" si="9">IF(ISNA(VLOOKUP($B20,SKIS_MASTER_DATA_AREA,3,FALSE)),"",IF(VLOOKUP($B20,SKIS_MASTER_DATA_AREA,H$2,FALSE)=0,"",VLOOKUP($B20,SKIS_MASTER_DATA_AREA,H$2,FALSE)))</f>
        <v/>
      </c>
      <c r="F21" s="384" t="str">
        <f t="shared" si="9"/>
        <v/>
      </c>
      <c r="G21" s="384" t="str">
        <f t="shared" si="9"/>
        <v/>
      </c>
      <c r="H21" s="384" t="str">
        <f t="shared" si="9"/>
        <v/>
      </c>
      <c r="I21" s="384" t="str">
        <f t="shared" si="9"/>
        <v/>
      </c>
      <c r="J21" s="384" t="str">
        <f t="shared" si="9"/>
        <v/>
      </c>
      <c r="K21" s="385" t="str">
        <f t="shared" si="9"/>
        <v/>
      </c>
      <c r="L21" s="384" t="str">
        <f t="shared" si="9"/>
        <v/>
      </c>
      <c r="M21" s="384" t="str">
        <f t="shared" si="9"/>
        <v/>
      </c>
      <c r="N21" s="384" t="str">
        <f t="shared" si="9"/>
        <v/>
      </c>
      <c r="O21" s="384" t="str">
        <f t="shared" si="9"/>
        <v/>
      </c>
      <c r="P21" s="386" t="str">
        <f t="shared" si="9"/>
        <v/>
      </c>
      <c r="Q21" s="366"/>
      <c r="R21" s="367"/>
      <c r="S21" s="368"/>
      <c r="T21" s="382"/>
      <c r="U21" s="374"/>
      <c r="V21" s="98"/>
      <c r="W21" s="15">
        <f t="shared" ref="W21" si="10">IF(W20=0,0,1)</f>
        <v>0</v>
      </c>
    </row>
    <row r="22" spans="1:23" ht="14" hidden="1" thickBot="1">
      <c r="A22" s="98"/>
      <c r="B22" s="364">
        <v>4</v>
      </c>
      <c r="C22" s="363" t="str">
        <f>IF(ISNA(VLOOKUP($B22,SKIS_MASTER_DATA_AREA,3,FALSE)),"",VLOOKUP($B22,SKIS_MASTER_DATA_AREA,3,FALSE))</f>
        <v/>
      </c>
      <c r="D22" s="117" t="str">
        <f>IF(ISNA(VLOOKUP($B22,SKIS_MASTER_DATA_AREA,3,FALSE)),"",VLOOKUP($B22,SKIS_MASTER_DATA_AREA,4,FALSE))</f>
        <v/>
      </c>
      <c r="E22" s="112" t="str">
        <f t="shared" ref="E22:P22" si="11">IF(ISNA(VLOOKUP($B22,SKIS_MASTER_DATA_AREA,3,FALSE)),"",IF(VLOOKUP($B22,SKIS_MASTER_DATA_AREA,H$1,FALSE)=0,"",VLOOKUP($B22,SKIS_MASTER_DATA_AREA,H$1,FALSE)))</f>
        <v/>
      </c>
      <c r="F22" s="112" t="str">
        <f t="shared" si="11"/>
        <v/>
      </c>
      <c r="G22" s="112" t="str">
        <f t="shared" si="11"/>
        <v/>
      </c>
      <c r="H22" s="112" t="str">
        <f t="shared" si="11"/>
        <v/>
      </c>
      <c r="I22" s="112" t="str">
        <f t="shared" si="11"/>
        <v/>
      </c>
      <c r="J22" s="113" t="str">
        <f t="shared" si="11"/>
        <v/>
      </c>
      <c r="K22" s="112" t="str">
        <f t="shared" si="11"/>
        <v/>
      </c>
      <c r="L22" s="112" t="str">
        <f t="shared" si="11"/>
        <v/>
      </c>
      <c r="M22" s="112" t="str">
        <f t="shared" si="11"/>
        <v/>
      </c>
      <c r="N22" s="112" t="str">
        <f t="shared" si="11"/>
        <v/>
      </c>
      <c r="O22" s="112" t="str">
        <f t="shared" si="11"/>
        <v/>
      </c>
      <c r="P22" s="114" t="str">
        <f t="shared" si="11"/>
        <v/>
      </c>
      <c r="Q22" s="118" t="str">
        <f>IF(ISNA(VLOOKUP($B22,SKIS_MASTER_DATA_AREA,3,FALSE)),"",VLOOKUP($B22,SKIS_MASTER_DATA_AREA,5,FALSE))</f>
        <v/>
      </c>
      <c r="R22" s="119" t="str">
        <f>IF(ISNA(VLOOKUP($B22,SKIS_MASTER_DATA_AREA,3,FALSE)),"",VLOOKUP($B22,SKIS_MASTER_DATA_AREA,IF(SKI_DISCOUNT_TYPE=0,8,9),FALSE))</f>
        <v/>
      </c>
      <c r="S22" s="120" t="str">
        <f>IF(ISNA(VLOOKUP($B22,SKIS_MASTER_DATA_AREA,3,FALSE)),"",VLOOKUP($B22,SKIS_MASTER_DATA_AREA,7,FALSE))</f>
        <v/>
      </c>
      <c r="T22" s="115" t="str">
        <f>IF(SUM(E23:P23)=0,"",SUM(E23:P23))</f>
        <v/>
      </c>
      <c r="U22" s="116" t="str">
        <f>IF(ISNA(VLOOKUP($B22,SKIS_MASTER_DATA_AREA,3,FALSE)),"",VLOOKUP($B22,SKIS_MASTER_DATA_AREA,10,FALSE))</f>
        <v/>
      </c>
      <c r="V22" s="98"/>
      <c r="W22" s="15">
        <f>IF(C22="",0,1)</f>
        <v>0</v>
      </c>
    </row>
    <row r="23" spans="1:23" ht="14" hidden="1" thickBot="1">
      <c r="A23" s="98"/>
      <c r="B23" s="364"/>
      <c r="C23" s="365"/>
      <c r="D23" s="365"/>
      <c r="E23" s="383" t="str">
        <f t="shared" ref="E23:P23" si="12">IF(ISNA(VLOOKUP($B22,SKIS_MASTER_DATA_AREA,3,FALSE)),"",IF(VLOOKUP($B22,SKIS_MASTER_DATA_AREA,H$2,FALSE)=0,"",VLOOKUP($B22,SKIS_MASTER_DATA_AREA,H$2,FALSE)))</f>
        <v/>
      </c>
      <c r="F23" s="384" t="str">
        <f t="shared" si="12"/>
        <v/>
      </c>
      <c r="G23" s="384" t="str">
        <f t="shared" si="12"/>
        <v/>
      </c>
      <c r="H23" s="384" t="str">
        <f t="shared" si="12"/>
        <v/>
      </c>
      <c r="I23" s="384" t="str">
        <f t="shared" si="12"/>
        <v/>
      </c>
      <c r="J23" s="384" t="str">
        <f t="shared" si="12"/>
        <v/>
      </c>
      <c r="K23" s="385" t="str">
        <f t="shared" si="12"/>
        <v/>
      </c>
      <c r="L23" s="384" t="str">
        <f t="shared" si="12"/>
        <v/>
      </c>
      <c r="M23" s="384" t="str">
        <f t="shared" si="12"/>
        <v/>
      </c>
      <c r="N23" s="384" t="str">
        <f t="shared" si="12"/>
        <v/>
      </c>
      <c r="O23" s="384" t="str">
        <f t="shared" si="12"/>
        <v/>
      </c>
      <c r="P23" s="386" t="str">
        <f t="shared" si="12"/>
        <v/>
      </c>
      <c r="Q23" s="366"/>
      <c r="R23" s="367"/>
      <c r="S23" s="368"/>
      <c r="T23" s="382"/>
      <c r="U23" s="374"/>
      <c r="V23" s="98"/>
      <c r="W23" s="15">
        <f t="shared" ref="W23" si="13">IF(W22=0,0,1)</f>
        <v>0</v>
      </c>
    </row>
    <row r="24" spans="1:23" ht="14" hidden="1" thickBot="1">
      <c r="A24" s="98"/>
      <c r="B24" s="364">
        <v>5</v>
      </c>
      <c r="C24" s="363" t="str">
        <f>IF(ISNA(VLOOKUP($B24,SKIS_MASTER_DATA_AREA,3,FALSE)),"",VLOOKUP($B24,SKIS_MASTER_DATA_AREA,3,FALSE))</f>
        <v/>
      </c>
      <c r="D24" s="117" t="str">
        <f>IF(ISNA(VLOOKUP($B24,SKIS_MASTER_DATA_AREA,3,FALSE)),"",VLOOKUP($B24,SKIS_MASTER_DATA_AREA,4,FALSE))</f>
        <v/>
      </c>
      <c r="E24" s="112" t="str">
        <f t="shared" ref="E24:P24" si="14">IF(ISNA(VLOOKUP($B24,SKIS_MASTER_DATA_AREA,3,FALSE)),"",IF(VLOOKUP($B24,SKIS_MASTER_DATA_AREA,H$1,FALSE)=0,"",VLOOKUP($B24,SKIS_MASTER_DATA_AREA,H$1,FALSE)))</f>
        <v/>
      </c>
      <c r="F24" s="112" t="str">
        <f t="shared" si="14"/>
        <v/>
      </c>
      <c r="G24" s="112" t="str">
        <f t="shared" si="14"/>
        <v/>
      </c>
      <c r="H24" s="112" t="str">
        <f t="shared" si="14"/>
        <v/>
      </c>
      <c r="I24" s="112" t="str">
        <f t="shared" si="14"/>
        <v/>
      </c>
      <c r="J24" s="113" t="str">
        <f t="shared" si="14"/>
        <v/>
      </c>
      <c r="K24" s="112" t="str">
        <f t="shared" si="14"/>
        <v/>
      </c>
      <c r="L24" s="112" t="str">
        <f t="shared" si="14"/>
        <v/>
      </c>
      <c r="M24" s="112" t="str">
        <f t="shared" si="14"/>
        <v/>
      </c>
      <c r="N24" s="112" t="str">
        <f t="shared" si="14"/>
        <v/>
      </c>
      <c r="O24" s="112" t="str">
        <f t="shared" si="14"/>
        <v/>
      </c>
      <c r="P24" s="114" t="str">
        <f t="shared" si="14"/>
        <v/>
      </c>
      <c r="Q24" s="118" t="str">
        <f>IF(ISNA(VLOOKUP($B24,SKIS_MASTER_DATA_AREA,3,FALSE)),"",VLOOKUP($B24,SKIS_MASTER_DATA_AREA,5,FALSE))</f>
        <v/>
      </c>
      <c r="R24" s="119" t="str">
        <f>IF(ISNA(VLOOKUP($B24,SKIS_MASTER_DATA_AREA,3,FALSE)),"",VLOOKUP($B24,SKIS_MASTER_DATA_AREA,IF(SKI_DISCOUNT_TYPE=0,8,9),FALSE))</f>
        <v/>
      </c>
      <c r="S24" s="120" t="str">
        <f>IF(ISNA(VLOOKUP($B24,SKIS_MASTER_DATA_AREA,3,FALSE)),"",VLOOKUP($B24,SKIS_MASTER_DATA_AREA,7,FALSE))</f>
        <v/>
      </c>
      <c r="T24" s="115" t="str">
        <f>IF(SUM(E25:P25)=0,"",SUM(E25:P25))</f>
        <v/>
      </c>
      <c r="U24" s="116" t="str">
        <f>IF(ISNA(VLOOKUP($B24,SKIS_MASTER_DATA_AREA,3,FALSE)),"",VLOOKUP($B24,SKIS_MASTER_DATA_AREA,10,FALSE))</f>
        <v/>
      </c>
      <c r="V24" s="98"/>
      <c r="W24" s="15">
        <f>IF(C24="",0,1)</f>
        <v>0</v>
      </c>
    </row>
    <row r="25" spans="1:23" ht="14" hidden="1" thickBot="1">
      <c r="A25" s="98"/>
      <c r="B25" s="364"/>
      <c r="C25" s="365"/>
      <c r="D25" s="365"/>
      <c r="E25" s="383" t="str">
        <f t="shared" ref="E25:P25" si="15">IF(ISNA(VLOOKUP($B24,SKIS_MASTER_DATA_AREA,3,FALSE)),"",IF(VLOOKUP($B24,SKIS_MASTER_DATA_AREA,H$2,FALSE)=0,"",VLOOKUP($B24,SKIS_MASTER_DATA_AREA,H$2,FALSE)))</f>
        <v/>
      </c>
      <c r="F25" s="384" t="str">
        <f t="shared" si="15"/>
        <v/>
      </c>
      <c r="G25" s="384" t="str">
        <f t="shared" si="15"/>
        <v/>
      </c>
      <c r="H25" s="384" t="str">
        <f t="shared" si="15"/>
        <v/>
      </c>
      <c r="I25" s="384" t="str">
        <f t="shared" si="15"/>
        <v/>
      </c>
      <c r="J25" s="384" t="str">
        <f t="shared" si="15"/>
        <v/>
      </c>
      <c r="K25" s="385" t="str">
        <f t="shared" si="15"/>
        <v/>
      </c>
      <c r="L25" s="384" t="str">
        <f t="shared" si="15"/>
        <v/>
      </c>
      <c r="M25" s="384" t="str">
        <f t="shared" si="15"/>
        <v/>
      </c>
      <c r="N25" s="384" t="str">
        <f t="shared" si="15"/>
        <v/>
      </c>
      <c r="O25" s="384" t="str">
        <f t="shared" si="15"/>
        <v/>
      </c>
      <c r="P25" s="386" t="str">
        <f t="shared" si="15"/>
        <v/>
      </c>
      <c r="Q25" s="366"/>
      <c r="R25" s="367"/>
      <c r="S25" s="368"/>
      <c r="T25" s="382"/>
      <c r="U25" s="374"/>
      <c r="V25" s="98"/>
      <c r="W25" s="15">
        <f t="shared" ref="W25" si="16">IF(W24=0,0,1)</f>
        <v>0</v>
      </c>
    </row>
    <row r="26" spans="1:23" ht="14" hidden="1" thickBot="1">
      <c r="A26" s="98"/>
      <c r="B26" s="364">
        <v>6</v>
      </c>
      <c r="C26" s="363" t="str">
        <f>IF(ISNA(VLOOKUP($B26,SKIS_MASTER_DATA_AREA,3,FALSE)),"",VLOOKUP($B26,SKIS_MASTER_DATA_AREA,3,FALSE))</f>
        <v/>
      </c>
      <c r="D26" s="117" t="str">
        <f>IF(ISNA(VLOOKUP($B26,SKIS_MASTER_DATA_AREA,3,FALSE)),"",VLOOKUP($B26,SKIS_MASTER_DATA_AREA,4,FALSE))</f>
        <v/>
      </c>
      <c r="E26" s="112" t="str">
        <f t="shared" ref="E26:P26" si="17">IF(ISNA(VLOOKUP($B26,SKIS_MASTER_DATA_AREA,3,FALSE)),"",IF(VLOOKUP($B26,SKIS_MASTER_DATA_AREA,H$1,FALSE)=0,"",VLOOKUP($B26,SKIS_MASTER_DATA_AREA,H$1,FALSE)))</f>
        <v/>
      </c>
      <c r="F26" s="112" t="str">
        <f t="shared" si="17"/>
        <v/>
      </c>
      <c r="G26" s="112" t="str">
        <f t="shared" si="17"/>
        <v/>
      </c>
      <c r="H26" s="112" t="str">
        <f t="shared" si="17"/>
        <v/>
      </c>
      <c r="I26" s="112" t="str">
        <f t="shared" si="17"/>
        <v/>
      </c>
      <c r="J26" s="113" t="str">
        <f t="shared" si="17"/>
        <v/>
      </c>
      <c r="K26" s="112" t="str">
        <f t="shared" si="17"/>
        <v/>
      </c>
      <c r="L26" s="112" t="str">
        <f t="shared" si="17"/>
        <v/>
      </c>
      <c r="M26" s="112" t="str">
        <f t="shared" si="17"/>
        <v/>
      </c>
      <c r="N26" s="112" t="str">
        <f t="shared" si="17"/>
        <v/>
      </c>
      <c r="O26" s="112" t="str">
        <f t="shared" si="17"/>
        <v/>
      </c>
      <c r="P26" s="114" t="str">
        <f t="shared" si="17"/>
        <v/>
      </c>
      <c r="Q26" s="118" t="str">
        <f>IF(ISNA(VLOOKUP($B26,SKIS_MASTER_DATA_AREA,3,FALSE)),"",VLOOKUP($B26,SKIS_MASTER_DATA_AREA,5,FALSE))</f>
        <v/>
      </c>
      <c r="R26" s="119" t="str">
        <f>IF(ISNA(VLOOKUP($B26,SKIS_MASTER_DATA_AREA,3,FALSE)),"",VLOOKUP($B26,SKIS_MASTER_DATA_AREA,IF(SKI_DISCOUNT_TYPE=0,8,9),FALSE))</f>
        <v/>
      </c>
      <c r="S26" s="120" t="str">
        <f>IF(ISNA(VLOOKUP($B26,SKIS_MASTER_DATA_AREA,3,FALSE)),"",VLOOKUP($B26,SKIS_MASTER_DATA_AREA,7,FALSE))</f>
        <v/>
      </c>
      <c r="T26" s="115" t="str">
        <f>IF(SUM(E27:P27)=0,"",SUM(E27:P27))</f>
        <v/>
      </c>
      <c r="U26" s="116" t="str">
        <f>IF(ISNA(VLOOKUP($B26,SKIS_MASTER_DATA_AREA,3,FALSE)),"",VLOOKUP($B26,SKIS_MASTER_DATA_AREA,10,FALSE))</f>
        <v/>
      </c>
      <c r="V26" s="98"/>
      <c r="W26" s="15">
        <f>IF(C26="",0,1)</f>
        <v>0</v>
      </c>
    </row>
    <row r="27" spans="1:23" ht="14" hidden="1" thickBot="1">
      <c r="A27" s="98"/>
      <c r="B27" s="364"/>
      <c r="C27" s="365"/>
      <c r="D27" s="365"/>
      <c r="E27" s="383" t="str">
        <f t="shared" ref="E27:P27" si="18">IF(ISNA(VLOOKUP($B26,SKIS_MASTER_DATA_AREA,3,FALSE)),"",IF(VLOOKUP($B26,SKIS_MASTER_DATA_AREA,H$2,FALSE)=0,"",VLOOKUP($B26,SKIS_MASTER_DATA_AREA,H$2,FALSE)))</f>
        <v/>
      </c>
      <c r="F27" s="384" t="str">
        <f t="shared" si="18"/>
        <v/>
      </c>
      <c r="G27" s="384" t="str">
        <f t="shared" si="18"/>
        <v/>
      </c>
      <c r="H27" s="384" t="str">
        <f t="shared" si="18"/>
        <v/>
      </c>
      <c r="I27" s="384" t="str">
        <f t="shared" si="18"/>
        <v/>
      </c>
      <c r="J27" s="384" t="str">
        <f t="shared" si="18"/>
        <v/>
      </c>
      <c r="K27" s="385" t="str">
        <f t="shared" si="18"/>
        <v/>
      </c>
      <c r="L27" s="384" t="str">
        <f t="shared" si="18"/>
        <v/>
      </c>
      <c r="M27" s="384" t="str">
        <f t="shared" si="18"/>
        <v/>
      </c>
      <c r="N27" s="384" t="str">
        <f t="shared" si="18"/>
        <v/>
      </c>
      <c r="O27" s="384" t="str">
        <f t="shared" si="18"/>
        <v/>
      </c>
      <c r="P27" s="386" t="str">
        <f t="shared" si="18"/>
        <v/>
      </c>
      <c r="Q27" s="366"/>
      <c r="R27" s="367"/>
      <c r="S27" s="368"/>
      <c r="T27" s="382"/>
      <c r="U27" s="374"/>
      <c r="V27" s="98"/>
      <c r="W27" s="15">
        <f t="shared" ref="W27" si="19">IF(W26=0,0,1)</f>
        <v>0</v>
      </c>
    </row>
    <row r="28" spans="1:23" ht="14" hidden="1" thickBot="1">
      <c r="A28" s="98"/>
      <c r="B28" s="364">
        <v>7</v>
      </c>
      <c r="C28" s="363" t="str">
        <f>IF(ISNA(VLOOKUP($B28,SKIS_MASTER_DATA_AREA,3,FALSE)),"",VLOOKUP($B28,SKIS_MASTER_DATA_AREA,3,FALSE))</f>
        <v/>
      </c>
      <c r="D28" s="117" t="str">
        <f>IF(ISNA(VLOOKUP($B28,SKIS_MASTER_DATA_AREA,3,FALSE)),"",VLOOKUP($B28,SKIS_MASTER_DATA_AREA,4,FALSE))</f>
        <v/>
      </c>
      <c r="E28" s="112" t="str">
        <f t="shared" ref="E28:P28" si="20">IF(ISNA(VLOOKUP($B28,SKIS_MASTER_DATA_AREA,3,FALSE)),"",IF(VLOOKUP($B28,SKIS_MASTER_DATA_AREA,H$1,FALSE)=0,"",VLOOKUP($B28,SKIS_MASTER_DATA_AREA,H$1,FALSE)))</f>
        <v/>
      </c>
      <c r="F28" s="112" t="str">
        <f t="shared" si="20"/>
        <v/>
      </c>
      <c r="G28" s="112" t="str">
        <f t="shared" si="20"/>
        <v/>
      </c>
      <c r="H28" s="112" t="str">
        <f t="shared" si="20"/>
        <v/>
      </c>
      <c r="I28" s="112" t="str">
        <f t="shared" si="20"/>
        <v/>
      </c>
      <c r="J28" s="113" t="str">
        <f t="shared" si="20"/>
        <v/>
      </c>
      <c r="K28" s="112" t="str">
        <f t="shared" si="20"/>
        <v/>
      </c>
      <c r="L28" s="112" t="str">
        <f t="shared" si="20"/>
        <v/>
      </c>
      <c r="M28" s="112" t="str">
        <f t="shared" si="20"/>
        <v/>
      </c>
      <c r="N28" s="112" t="str">
        <f t="shared" si="20"/>
        <v/>
      </c>
      <c r="O28" s="112" t="str">
        <f t="shared" si="20"/>
        <v/>
      </c>
      <c r="P28" s="114" t="str">
        <f t="shared" si="20"/>
        <v/>
      </c>
      <c r="Q28" s="118" t="str">
        <f>IF(ISNA(VLOOKUP($B28,SKIS_MASTER_DATA_AREA,3,FALSE)),"",VLOOKUP($B28,SKIS_MASTER_DATA_AREA,5,FALSE))</f>
        <v/>
      </c>
      <c r="R28" s="119" t="str">
        <f>IF(ISNA(VLOOKUP($B28,SKIS_MASTER_DATA_AREA,3,FALSE)),"",VLOOKUP($B28,SKIS_MASTER_DATA_AREA,IF(SKI_DISCOUNT_TYPE=0,8,9),FALSE))</f>
        <v/>
      </c>
      <c r="S28" s="120" t="str">
        <f>IF(ISNA(VLOOKUP($B28,SKIS_MASTER_DATA_AREA,3,FALSE)),"",VLOOKUP($B28,SKIS_MASTER_DATA_AREA,7,FALSE))</f>
        <v/>
      </c>
      <c r="T28" s="115" t="str">
        <f>IF(SUM(E29:P29)=0,"",SUM(E29:P29))</f>
        <v/>
      </c>
      <c r="U28" s="116" t="str">
        <f>IF(ISNA(VLOOKUP($B28,SKIS_MASTER_DATA_AREA,3,FALSE)),"",VLOOKUP($B28,SKIS_MASTER_DATA_AREA,10,FALSE))</f>
        <v/>
      </c>
      <c r="V28" s="98"/>
      <c r="W28" s="15">
        <f>IF(C28="",0,1)</f>
        <v>0</v>
      </c>
    </row>
    <row r="29" spans="1:23" ht="14" hidden="1" thickBot="1">
      <c r="A29" s="98"/>
      <c r="B29" s="364"/>
      <c r="C29" s="365"/>
      <c r="D29" s="365"/>
      <c r="E29" s="383" t="str">
        <f t="shared" ref="E29:P29" si="21">IF(ISNA(VLOOKUP($B28,SKIS_MASTER_DATA_AREA,3,FALSE)),"",IF(VLOOKUP($B28,SKIS_MASTER_DATA_AREA,H$2,FALSE)=0,"",VLOOKUP($B28,SKIS_MASTER_DATA_AREA,H$2,FALSE)))</f>
        <v/>
      </c>
      <c r="F29" s="384" t="str">
        <f t="shared" si="21"/>
        <v/>
      </c>
      <c r="G29" s="384" t="str">
        <f t="shared" si="21"/>
        <v/>
      </c>
      <c r="H29" s="384" t="str">
        <f t="shared" si="21"/>
        <v/>
      </c>
      <c r="I29" s="384" t="str">
        <f t="shared" si="21"/>
        <v/>
      </c>
      <c r="J29" s="384" t="str">
        <f t="shared" si="21"/>
        <v/>
      </c>
      <c r="K29" s="385" t="str">
        <f t="shared" si="21"/>
        <v/>
      </c>
      <c r="L29" s="384" t="str">
        <f t="shared" si="21"/>
        <v/>
      </c>
      <c r="M29" s="384" t="str">
        <f t="shared" si="21"/>
        <v/>
      </c>
      <c r="N29" s="384" t="str">
        <f t="shared" si="21"/>
        <v/>
      </c>
      <c r="O29" s="384" t="str">
        <f t="shared" si="21"/>
        <v/>
      </c>
      <c r="P29" s="386" t="str">
        <f t="shared" si="21"/>
        <v/>
      </c>
      <c r="Q29" s="366"/>
      <c r="R29" s="367"/>
      <c r="S29" s="368"/>
      <c r="T29" s="382"/>
      <c r="U29" s="374"/>
      <c r="V29" s="98"/>
      <c r="W29" s="15">
        <f t="shared" ref="W29" si="22">IF(W28=0,0,1)</f>
        <v>0</v>
      </c>
    </row>
    <row r="30" spans="1:23" ht="14" hidden="1" thickBot="1">
      <c r="A30" s="98"/>
      <c r="B30" s="364">
        <v>8</v>
      </c>
      <c r="C30" s="363" t="str">
        <f>IF(ISNA(VLOOKUP($B30,SKIS_MASTER_DATA_AREA,3,FALSE)),"",VLOOKUP($B30,SKIS_MASTER_DATA_AREA,3,FALSE))</f>
        <v/>
      </c>
      <c r="D30" s="117" t="str">
        <f>IF(ISNA(VLOOKUP($B30,SKIS_MASTER_DATA_AREA,3,FALSE)),"",VLOOKUP($B30,SKIS_MASTER_DATA_AREA,4,FALSE))</f>
        <v/>
      </c>
      <c r="E30" s="112" t="str">
        <f t="shared" ref="E30:P30" si="23">IF(ISNA(VLOOKUP($B30,SKIS_MASTER_DATA_AREA,3,FALSE)),"",IF(VLOOKUP($B30,SKIS_MASTER_DATA_AREA,H$1,FALSE)=0,"",VLOOKUP($B30,SKIS_MASTER_DATA_AREA,H$1,FALSE)))</f>
        <v/>
      </c>
      <c r="F30" s="112" t="str">
        <f t="shared" si="23"/>
        <v/>
      </c>
      <c r="G30" s="112" t="str">
        <f t="shared" si="23"/>
        <v/>
      </c>
      <c r="H30" s="112" t="str">
        <f t="shared" si="23"/>
        <v/>
      </c>
      <c r="I30" s="112" t="str">
        <f t="shared" si="23"/>
        <v/>
      </c>
      <c r="J30" s="113" t="str">
        <f t="shared" si="23"/>
        <v/>
      </c>
      <c r="K30" s="112" t="str">
        <f t="shared" si="23"/>
        <v/>
      </c>
      <c r="L30" s="112" t="str">
        <f t="shared" si="23"/>
        <v/>
      </c>
      <c r="M30" s="112" t="str">
        <f t="shared" si="23"/>
        <v/>
      </c>
      <c r="N30" s="112" t="str">
        <f t="shared" si="23"/>
        <v/>
      </c>
      <c r="O30" s="112" t="str">
        <f t="shared" si="23"/>
        <v/>
      </c>
      <c r="P30" s="114" t="str">
        <f t="shared" si="23"/>
        <v/>
      </c>
      <c r="Q30" s="118" t="str">
        <f>IF(ISNA(VLOOKUP($B30,SKIS_MASTER_DATA_AREA,3,FALSE)),"",VLOOKUP($B30,SKIS_MASTER_DATA_AREA,5,FALSE))</f>
        <v/>
      </c>
      <c r="R30" s="119" t="str">
        <f>IF(ISNA(VLOOKUP($B30,SKIS_MASTER_DATA_AREA,3,FALSE)),"",VLOOKUP($B30,SKIS_MASTER_DATA_AREA,IF(SKI_DISCOUNT_TYPE=0,8,9),FALSE))</f>
        <v/>
      </c>
      <c r="S30" s="120" t="str">
        <f>IF(ISNA(VLOOKUP($B30,SKIS_MASTER_DATA_AREA,3,FALSE)),"",VLOOKUP($B30,SKIS_MASTER_DATA_AREA,7,FALSE))</f>
        <v/>
      </c>
      <c r="T30" s="115" t="str">
        <f>IF(SUM(E31:P31)=0,"",SUM(E31:P31))</f>
        <v/>
      </c>
      <c r="U30" s="116" t="str">
        <f>IF(ISNA(VLOOKUP($B30,SKIS_MASTER_DATA_AREA,3,FALSE)),"",VLOOKUP($B30,SKIS_MASTER_DATA_AREA,10,FALSE))</f>
        <v/>
      </c>
      <c r="V30" s="98"/>
      <c r="W30" s="15">
        <f>IF(C30="",0,1)</f>
        <v>0</v>
      </c>
    </row>
    <row r="31" spans="1:23" ht="14" hidden="1" thickBot="1">
      <c r="A31" s="98"/>
      <c r="B31" s="364"/>
      <c r="C31" s="365"/>
      <c r="D31" s="365"/>
      <c r="E31" s="383" t="str">
        <f t="shared" ref="E31:P31" si="24">IF(ISNA(VLOOKUP($B30,SKIS_MASTER_DATA_AREA,3,FALSE)),"",IF(VLOOKUP($B30,SKIS_MASTER_DATA_AREA,H$2,FALSE)=0,"",VLOOKUP($B30,SKIS_MASTER_DATA_AREA,H$2,FALSE)))</f>
        <v/>
      </c>
      <c r="F31" s="384" t="str">
        <f t="shared" si="24"/>
        <v/>
      </c>
      <c r="G31" s="384" t="str">
        <f t="shared" si="24"/>
        <v/>
      </c>
      <c r="H31" s="384" t="str">
        <f t="shared" si="24"/>
        <v/>
      </c>
      <c r="I31" s="384" t="str">
        <f t="shared" si="24"/>
        <v/>
      </c>
      <c r="J31" s="384" t="str">
        <f t="shared" si="24"/>
        <v/>
      </c>
      <c r="K31" s="385" t="str">
        <f t="shared" si="24"/>
        <v/>
      </c>
      <c r="L31" s="384" t="str">
        <f t="shared" si="24"/>
        <v/>
      </c>
      <c r="M31" s="384" t="str">
        <f t="shared" si="24"/>
        <v/>
      </c>
      <c r="N31" s="384" t="str">
        <f t="shared" si="24"/>
        <v/>
      </c>
      <c r="O31" s="384" t="str">
        <f t="shared" si="24"/>
        <v/>
      </c>
      <c r="P31" s="386" t="str">
        <f t="shared" si="24"/>
        <v/>
      </c>
      <c r="Q31" s="366"/>
      <c r="R31" s="367"/>
      <c r="S31" s="368"/>
      <c r="T31" s="382"/>
      <c r="U31" s="374"/>
      <c r="V31" s="98"/>
      <c r="W31" s="15">
        <f t="shared" ref="W31" si="25">IF(W30=0,0,1)</f>
        <v>0</v>
      </c>
    </row>
    <row r="32" spans="1:23" ht="14" hidden="1" thickBot="1">
      <c r="A32" s="98"/>
      <c r="B32" s="364">
        <v>9</v>
      </c>
      <c r="C32" s="363" t="str">
        <f>IF(ISNA(VLOOKUP($B32,SKIS_MASTER_DATA_AREA,3,FALSE)),"",VLOOKUP($B32,SKIS_MASTER_DATA_AREA,3,FALSE))</f>
        <v/>
      </c>
      <c r="D32" s="117" t="str">
        <f>IF(ISNA(VLOOKUP($B32,SKIS_MASTER_DATA_AREA,3,FALSE)),"",VLOOKUP($B32,SKIS_MASTER_DATA_AREA,4,FALSE))</f>
        <v/>
      </c>
      <c r="E32" s="112" t="str">
        <f t="shared" ref="E32:P32" si="26">IF(ISNA(VLOOKUP($B32,SKIS_MASTER_DATA_AREA,3,FALSE)),"",IF(VLOOKUP($B32,SKIS_MASTER_DATA_AREA,H$1,FALSE)=0,"",VLOOKUP($B32,SKIS_MASTER_DATA_AREA,H$1,FALSE)))</f>
        <v/>
      </c>
      <c r="F32" s="112" t="str">
        <f t="shared" si="26"/>
        <v/>
      </c>
      <c r="G32" s="112" t="str">
        <f t="shared" si="26"/>
        <v/>
      </c>
      <c r="H32" s="112" t="str">
        <f t="shared" si="26"/>
        <v/>
      </c>
      <c r="I32" s="112" t="str">
        <f t="shared" si="26"/>
        <v/>
      </c>
      <c r="J32" s="113" t="str">
        <f t="shared" si="26"/>
        <v/>
      </c>
      <c r="K32" s="112" t="str">
        <f t="shared" si="26"/>
        <v/>
      </c>
      <c r="L32" s="112" t="str">
        <f t="shared" si="26"/>
        <v/>
      </c>
      <c r="M32" s="112" t="str">
        <f t="shared" si="26"/>
        <v/>
      </c>
      <c r="N32" s="112" t="str">
        <f t="shared" si="26"/>
        <v/>
      </c>
      <c r="O32" s="112" t="str">
        <f t="shared" si="26"/>
        <v/>
      </c>
      <c r="P32" s="114" t="str">
        <f t="shared" si="26"/>
        <v/>
      </c>
      <c r="Q32" s="118" t="str">
        <f>IF(ISNA(VLOOKUP($B32,SKIS_MASTER_DATA_AREA,3,FALSE)),"",VLOOKUP($B32,SKIS_MASTER_DATA_AREA,5,FALSE))</f>
        <v/>
      </c>
      <c r="R32" s="119" t="str">
        <f>IF(ISNA(VLOOKUP($B32,SKIS_MASTER_DATA_AREA,3,FALSE)),"",VLOOKUP($B32,SKIS_MASTER_DATA_AREA,IF(SKI_DISCOUNT_TYPE=0,8,9),FALSE))</f>
        <v/>
      </c>
      <c r="S32" s="120" t="str">
        <f>IF(ISNA(VLOOKUP($B32,SKIS_MASTER_DATA_AREA,3,FALSE)),"",VLOOKUP($B32,SKIS_MASTER_DATA_AREA,7,FALSE))</f>
        <v/>
      </c>
      <c r="T32" s="115" t="str">
        <f>IF(SUM(E33:P33)=0,"",SUM(E33:P33))</f>
        <v/>
      </c>
      <c r="U32" s="116" t="str">
        <f>IF(ISNA(VLOOKUP($B32,SKIS_MASTER_DATA_AREA,3,FALSE)),"",VLOOKUP($B32,SKIS_MASTER_DATA_AREA,10,FALSE))</f>
        <v/>
      </c>
      <c r="V32" s="98"/>
      <c r="W32" s="15">
        <f>IF(C32="",0,1)</f>
        <v>0</v>
      </c>
    </row>
    <row r="33" spans="1:23" ht="14" hidden="1" thickBot="1">
      <c r="A33" s="98"/>
      <c r="B33" s="364"/>
      <c r="C33" s="365"/>
      <c r="D33" s="365"/>
      <c r="E33" s="383" t="str">
        <f t="shared" ref="E33:P33" si="27">IF(ISNA(VLOOKUP($B32,SKIS_MASTER_DATA_AREA,3,FALSE)),"",IF(VLOOKUP($B32,SKIS_MASTER_DATA_AREA,H$2,FALSE)=0,"",VLOOKUP($B32,SKIS_MASTER_DATA_AREA,H$2,FALSE)))</f>
        <v/>
      </c>
      <c r="F33" s="384" t="str">
        <f t="shared" si="27"/>
        <v/>
      </c>
      <c r="G33" s="384" t="str">
        <f t="shared" si="27"/>
        <v/>
      </c>
      <c r="H33" s="384" t="str">
        <f t="shared" si="27"/>
        <v/>
      </c>
      <c r="I33" s="384" t="str">
        <f t="shared" si="27"/>
        <v/>
      </c>
      <c r="J33" s="384" t="str">
        <f t="shared" si="27"/>
        <v/>
      </c>
      <c r="K33" s="385" t="str">
        <f t="shared" si="27"/>
        <v/>
      </c>
      <c r="L33" s="384" t="str">
        <f t="shared" si="27"/>
        <v/>
      </c>
      <c r="M33" s="384" t="str">
        <f t="shared" si="27"/>
        <v/>
      </c>
      <c r="N33" s="384" t="str">
        <f t="shared" si="27"/>
        <v/>
      </c>
      <c r="O33" s="384" t="str">
        <f t="shared" si="27"/>
        <v/>
      </c>
      <c r="P33" s="386" t="str">
        <f t="shared" si="27"/>
        <v/>
      </c>
      <c r="Q33" s="366"/>
      <c r="R33" s="367"/>
      <c r="S33" s="368"/>
      <c r="T33" s="382"/>
      <c r="U33" s="374"/>
      <c r="V33" s="98"/>
      <c r="W33" s="15">
        <f t="shared" ref="W33" si="28">IF(W32=0,0,1)</f>
        <v>0</v>
      </c>
    </row>
    <row r="34" spans="1:23" ht="14" hidden="1" thickBot="1">
      <c r="A34" s="98"/>
      <c r="B34" s="364">
        <v>10</v>
      </c>
      <c r="C34" s="363" t="str">
        <f>IF(ISNA(VLOOKUP($B34,SKIS_MASTER_DATA_AREA,3,FALSE)),"",VLOOKUP($B34,SKIS_MASTER_DATA_AREA,3,FALSE))</f>
        <v/>
      </c>
      <c r="D34" s="117" t="str">
        <f>IF(ISNA(VLOOKUP($B34,SKIS_MASTER_DATA_AREA,3,FALSE)),"",VLOOKUP($B34,SKIS_MASTER_DATA_AREA,4,FALSE))</f>
        <v/>
      </c>
      <c r="E34" s="112" t="str">
        <f t="shared" ref="E34:P34" si="29">IF(ISNA(VLOOKUP($B34,SKIS_MASTER_DATA_AREA,3,FALSE)),"",IF(VLOOKUP($B34,SKIS_MASTER_DATA_AREA,H$1,FALSE)=0,"",VLOOKUP($B34,SKIS_MASTER_DATA_AREA,H$1,FALSE)))</f>
        <v/>
      </c>
      <c r="F34" s="112" t="str">
        <f t="shared" si="29"/>
        <v/>
      </c>
      <c r="G34" s="112" t="str">
        <f t="shared" si="29"/>
        <v/>
      </c>
      <c r="H34" s="112" t="str">
        <f t="shared" si="29"/>
        <v/>
      </c>
      <c r="I34" s="112" t="str">
        <f t="shared" si="29"/>
        <v/>
      </c>
      <c r="J34" s="113" t="str">
        <f t="shared" si="29"/>
        <v/>
      </c>
      <c r="K34" s="112" t="str">
        <f t="shared" si="29"/>
        <v/>
      </c>
      <c r="L34" s="112" t="str">
        <f t="shared" si="29"/>
        <v/>
      </c>
      <c r="M34" s="112" t="str">
        <f t="shared" si="29"/>
        <v/>
      </c>
      <c r="N34" s="112" t="str">
        <f t="shared" si="29"/>
        <v/>
      </c>
      <c r="O34" s="112" t="str">
        <f t="shared" si="29"/>
        <v/>
      </c>
      <c r="P34" s="114" t="str">
        <f t="shared" si="29"/>
        <v/>
      </c>
      <c r="Q34" s="118" t="str">
        <f>IF(ISNA(VLOOKUP($B34,SKIS_MASTER_DATA_AREA,3,FALSE)),"",VLOOKUP($B34,SKIS_MASTER_DATA_AREA,5,FALSE))</f>
        <v/>
      </c>
      <c r="R34" s="119" t="str">
        <f>IF(ISNA(VLOOKUP($B34,SKIS_MASTER_DATA_AREA,3,FALSE)),"",VLOOKUP($B34,SKIS_MASTER_DATA_AREA,IF(SKI_DISCOUNT_TYPE=0,8,9),FALSE))</f>
        <v/>
      </c>
      <c r="S34" s="120" t="str">
        <f>IF(ISNA(VLOOKUP($B34,SKIS_MASTER_DATA_AREA,3,FALSE)),"",VLOOKUP($B34,SKIS_MASTER_DATA_AREA,7,FALSE))</f>
        <v/>
      </c>
      <c r="T34" s="115" t="str">
        <f>IF(SUM(E35:P35)=0,"",SUM(E35:P35))</f>
        <v/>
      </c>
      <c r="U34" s="116" t="str">
        <f>IF(ISNA(VLOOKUP($B34,SKIS_MASTER_DATA_AREA,3,FALSE)),"",VLOOKUP($B34,SKIS_MASTER_DATA_AREA,10,FALSE))</f>
        <v/>
      </c>
      <c r="V34" s="98"/>
      <c r="W34" s="15">
        <f>IF(C34="",0,1)</f>
        <v>0</v>
      </c>
    </row>
    <row r="35" spans="1:23" ht="14" hidden="1" thickBot="1">
      <c r="A35" s="98"/>
      <c r="B35" s="364"/>
      <c r="C35" s="365"/>
      <c r="D35" s="365"/>
      <c r="E35" s="383" t="str">
        <f t="shared" ref="E35:P35" si="30">IF(ISNA(VLOOKUP($B34,SKIS_MASTER_DATA_AREA,3,FALSE)),"",IF(VLOOKUP($B34,SKIS_MASTER_DATA_AREA,H$2,FALSE)=0,"",VLOOKUP($B34,SKIS_MASTER_DATA_AREA,H$2,FALSE)))</f>
        <v/>
      </c>
      <c r="F35" s="384" t="str">
        <f t="shared" si="30"/>
        <v/>
      </c>
      <c r="G35" s="384" t="str">
        <f t="shared" si="30"/>
        <v/>
      </c>
      <c r="H35" s="384" t="str">
        <f t="shared" si="30"/>
        <v/>
      </c>
      <c r="I35" s="384" t="str">
        <f t="shared" si="30"/>
        <v/>
      </c>
      <c r="J35" s="384" t="str">
        <f t="shared" si="30"/>
        <v/>
      </c>
      <c r="K35" s="385" t="str">
        <f t="shared" si="30"/>
        <v/>
      </c>
      <c r="L35" s="384" t="str">
        <f t="shared" si="30"/>
        <v/>
      </c>
      <c r="M35" s="384" t="str">
        <f t="shared" si="30"/>
        <v/>
      </c>
      <c r="N35" s="384" t="str">
        <f t="shared" si="30"/>
        <v/>
      </c>
      <c r="O35" s="384" t="str">
        <f t="shared" si="30"/>
        <v/>
      </c>
      <c r="P35" s="386" t="str">
        <f t="shared" si="30"/>
        <v/>
      </c>
      <c r="Q35" s="366"/>
      <c r="R35" s="367"/>
      <c r="S35" s="368"/>
      <c r="T35" s="382"/>
      <c r="U35" s="374"/>
      <c r="V35" s="98"/>
      <c r="W35" s="15">
        <f t="shared" ref="W35" si="31">IF(W34=0,0,1)</f>
        <v>0</v>
      </c>
    </row>
    <row r="36" spans="1:23" ht="14" hidden="1" thickBot="1">
      <c r="A36" s="98"/>
      <c r="B36" s="364">
        <v>11</v>
      </c>
      <c r="C36" s="363" t="str">
        <f>IF(ISNA(VLOOKUP($B36,SKIS_MASTER_DATA_AREA,3,FALSE)),"",VLOOKUP($B36,SKIS_MASTER_DATA_AREA,3,FALSE))</f>
        <v/>
      </c>
      <c r="D36" s="117" t="str">
        <f>IF(ISNA(VLOOKUP($B36,SKIS_MASTER_DATA_AREA,3,FALSE)),"",VLOOKUP($B36,SKIS_MASTER_DATA_AREA,4,FALSE))</f>
        <v/>
      </c>
      <c r="E36" s="112" t="str">
        <f t="shared" ref="E36:P36" si="32">IF(ISNA(VLOOKUP($B36,SKIS_MASTER_DATA_AREA,3,FALSE)),"",IF(VLOOKUP($B36,SKIS_MASTER_DATA_AREA,H$1,FALSE)=0,"",VLOOKUP($B36,SKIS_MASTER_DATA_AREA,H$1,FALSE)))</f>
        <v/>
      </c>
      <c r="F36" s="112" t="str">
        <f t="shared" si="32"/>
        <v/>
      </c>
      <c r="G36" s="112" t="str">
        <f t="shared" si="32"/>
        <v/>
      </c>
      <c r="H36" s="112" t="str">
        <f t="shared" si="32"/>
        <v/>
      </c>
      <c r="I36" s="112" t="str">
        <f t="shared" si="32"/>
        <v/>
      </c>
      <c r="J36" s="113" t="str">
        <f t="shared" si="32"/>
        <v/>
      </c>
      <c r="K36" s="112" t="str">
        <f t="shared" si="32"/>
        <v/>
      </c>
      <c r="L36" s="112" t="str">
        <f t="shared" si="32"/>
        <v/>
      </c>
      <c r="M36" s="112" t="str">
        <f t="shared" si="32"/>
        <v/>
      </c>
      <c r="N36" s="112" t="str">
        <f t="shared" si="32"/>
        <v/>
      </c>
      <c r="O36" s="112" t="str">
        <f t="shared" si="32"/>
        <v/>
      </c>
      <c r="P36" s="114" t="str">
        <f t="shared" si="32"/>
        <v/>
      </c>
      <c r="Q36" s="118" t="str">
        <f>IF(ISNA(VLOOKUP($B36,SKIS_MASTER_DATA_AREA,3,FALSE)),"",VLOOKUP($B36,SKIS_MASTER_DATA_AREA,5,FALSE))</f>
        <v/>
      </c>
      <c r="R36" s="119" t="str">
        <f>IF(ISNA(VLOOKUP($B36,SKIS_MASTER_DATA_AREA,3,FALSE)),"",VLOOKUP($B36,SKIS_MASTER_DATA_AREA,IF(SKI_DISCOUNT_TYPE=0,8,9),FALSE))</f>
        <v/>
      </c>
      <c r="S36" s="120" t="str">
        <f>IF(ISNA(VLOOKUP($B36,SKIS_MASTER_DATA_AREA,3,FALSE)),"",VLOOKUP($B36,SKIS_MASTER_DATA_AREA,7,FALSE))</f>
        <v/>
      </c>
      <c r="T36" s="115" t="str">
        <f>IF(SUM(E37:P37)=0,"",SUM(E37:P37))</f>
        <v/>
      </c>
      <c r="U36" s="116" t="str">
        <f>IF(ISNA(VLOOKUP($B36,SKIS_MASTER_DATA_AREA,3,FALSE)),"",VLOOKUP($B36,SKIS_MASTER_DATA_AREA,10,FALSE))</f>
        <v/>
      </c>
      <c r="V36" s="98"/>
      <c r="W36" s="15">
        <f>IF(C36="",0,1)</f>
        <v>0</v>
      </c>
    </row>
    <row r="37" spans="1:23" ht="14" hidden="1" thickBot="1">
      <c r="A37" s="98"/>
      <c r="B37" s="364"/>
      <c r="C37" s="365"/>
      <c r="D37" s="365"/>
      <c r="E37" s="383" t="str">
        <f t="shared" ref="E37:P37" si="33">IF(ISNA(VLOOKUP($B36,SKIS_MASTER_DATA_AREA,3,FALSE)),"",IF(VLOOKUP($B36,SKIS_MASTER_DATA_AREA,H$2,FALSE)=0,"",VLOOKUP($B36,SKIS_MASTER_DATA_AREA,H$2,FALSE)))</f>
        <v/>
      </c>
      <c r="F37" s="384" t="str">
        <f t="shared" si="33"/>
        <v/>
      </c>
      <c r="G37" s="384" t="str">
        <f t="shared" si="33"/>
        <v/>
      </c>
      <c r="H37" s="384" t="str">
        <f t="shared" si="33"/>
        <v/>
      </c>
      <c r="I37" s="384" t="str">
        <f t="shared" si="33"/>
        <v/>
      </c>
      <c r="J37" s="384" t="str">
        <f t="shared" si="33"/>
        <v/>
      </c>
      <c r="K37" s="385" t="str">
        <f t="shared" si="33"/>
        <v/>
      </c>
      <c r="L37" s="384" t="str">
        <f t="shared" si="33"/>
        <v/>
      </c>
      <c r="M37" s="384" t="str">
        <f t="shared" si="33"/>
        <v/>
      </c>
      <c r="N37" s="384" t="str">
        <f t="shared" si="33"/>
        <v/>
      </c>
      <c r="O37" s="384" t="str">
        <f t="shared" si="33"/>
        <v/>
      </c>
      <c r="P37" s="386" t="str">
        <f t="shared" si="33"/>
        <v/>
      </c>
      <c r="Q37" s="366"/>
      <c r="R37" s="367"/>
      <c r="S37" s="368"/>
      <c r="T37" s="382"/>
      <c r="U37" s="374"/>
      <c r="V37" s="98"/>
      <c r="W37" s="15">
        <f t="shared" ref="W37" si="34">IF(W36=0,0,1)</f>
        <v>0</v>
      </c>
    </row>
    <row r="38" spans="1:23" ht="14" hidden="1" thickBot="1">
      <c r="A38" s="98"/>
      <c r="B38" s="364">
        <v>12</v>
      </c>
      <c r="C38" s="363" t="str">
        <f>IF(ISNA(VLOOKUP($B38,SKIS_MASTER_DATA_AREA,3,FALSE)),"",VLOOKUP($B38,SKIS_MASTER_DATA_AREA,3,FALSE))</f>
        <v/>
      </c>
      <c r="D38" s="117" t="str">
        <f>IF(ISNA(VLOOKUP($B38,SKIS_MASTER_DATA_AREA,3,FALSE)),"",VLOOKUP($B38,SKIS_MASTER_DATA_AREA,4,FALSE))</f>
        <v/>
      </c>
      <c r="E38" s="112" t="str">
        <f t="shared" ref="E38:P38" si="35">IF(ISNA(VLOOKUP($B38,SKIS_MASTER_DATA_AREA,3,FALSE)),"",IF(VLOOKUP($B38,SKIS_MASTER_DATA_AREA,H$1,FALSE)=0,"",VLOOKUP($B38,SKIS_MASTER_DATA_AREA,H$1,FALSE)))</f>
        <v/>
      </c>
      <c r="F38" s="112" t="str">
        <f t="shared" si="35"/>
        <v/>
      </c>
      <c r="G38" s="112" t="str">
        <f t="shared" si="35"/>
        <v/>
      </c>
      <c r="H38" s="112" t="str">
        <f t="shared" si="35"/>
        <v/>
      </c>
      <c r="I38" s="112" t="str">
        <f t="shared" si="35"/>
        <v/>
      </c>
      <c r="J38" s="113" t="str">
        <f t="shared" si="35"/>
        <v/>
      </c>
      <c r="K38" s="112" t="str">
        <f t="shared" si="35"/>
        <v/>
      </c>
      <c r="L38" s="112" t="str">
        <f t="shared" si="35"/>
        <v/>
      </c>
      <c r="M38" s="112" t="str">
        <f t="shared" si="35"/>
        <v/>
      </c>
      <c r="N38" s="112" t="str">
        <f t="shared" si="35"/>
        <v/>
      </c>
      <c r="O38" s="112" t="str">
        <f t="shared" si="35"/>
        <v/>
      </c>
      <c r="P38" s="114" t="str">
        <f t="shared" si="35"/>
        <v/>
      </c>
      <c r="Q38" s="118" t="str">
        <f>IF(ISNA(VLOOKUP($B38,SKIS_MASTER_DATA_AREA,3,FALSE)),"",VLOOKUP($B38,SKIS_MASTER_DATA_AREA,5,FALSE))</f>
        <v/>
      </c>
      <c r="R38" s="119" t="str">
        <f>IF(ISNA(VLOOKUP($B38,SKIS_MASTER_DATA_AREA,3,FALSE)),"",VLOOKUP($B38,SKIS_MASTER_DATA_AREA,IF(SKI_DISCOUNT_TYPE=0,8,9),FALSE))</f>
        <v/>
      </c>
      <c r="S38" s="120" t="str">
        <f>IF(ISNA(VLOOKUP($B38,SKIS_MASTER_DATA_AREA,3,FALSE)),"",VLOOKUP($B38,SKIS_MASTER_DATA_AREA,7,FALSE))</f>
        <v/>
      </c>
      <c r="T38" s="115" t="str">
        <f>IF(SUM(E39:P39)=0,"",SUM(E39:P39))</f>
        <v/>
      </c>
      <c r="U38" s="116" t="str">
        <f>IF(ISNA(VLOOKUP($B38,SKIS_MASTER_DATA_AREA,3,FALSE)),"",VLOOKUP($B38,SKIS_MASTER_DATA_AREA,10,FALSE))</f>
        <v/>
      </c>
      <c r="V38" s="98"/>
      <c r="W38" s="15">
        <f>IF(C38="",0,1)</f>
        <v>0</v>
      </c>
    </row>
    <row r="39" spans="1:23" ht="14" hidden="1" thickBot="1">
      <c r="A39" s="98"/>
      <c r="B39" s="364"/>
      <c r="C39" s="365"/>
      <c r="D39" s="365"/>
      <c r="E39" s="383" t="str">
        <f t="shared" ref="E39:O39" si="36">IF(ISNA(VLOOKUP($B38,SKIS_MASTER_DATA_AREA,3,FALSE)),"",IF(VLOOKUP($B38,SKIS_MASTER_DATA_AREA,H$2,FALSE)=0,"",VLOOKUP($B38,SKIS_MASTER_DATA_AREA,H$2,FALSE)))</f>
        <v/>
      </c>
      <c r="F39" s="384" t="str">
        <f t="shared" si="36"/>
        <v/>
      </c>
      <c r="G39" s="384" t="str">
        <f t="shared" si="36"/>
        <v/>
      </c>
      <c r="H39" s="384" t="str">
        <f t="shared" si="36"/>
        <v/>
      </c>
      <c r="I39" s="384" t="str">
        <f t="shared" si="36"/>
        <v/>
      </c>
      <c r="J39" s="384" t="str">
        <f t="shared" si="36"/>
        <v/>
      </c>
      <c r="K39" s="385" t="str">
        <f t="shared" si="36"/>
        <v/>
      </c>
      <c r="L39" s="384" t="str">
        <f t="shared" si="36"/>
        <v/>
      </c>
      <c r="M39" s="384" t="str">
        <f t="shared" si="36"/>
        <v/>
      </c>
      <c r="N39" s="384" t="str">
        <f t="shared" si="36"/>
        <v/>
      </c>
      <c r="O39" s="384" t="str">
        <f t="shared" si="36"/>
        <v/>
      </c>
      <c r="P39" s="386" t="str">
        <f>IF(ISNA(VLOOKUP($B38,SKIS_MASTER_DATA_AREA,3,FALSE)),"",IF(VLOOKUP($B38,SKIS_MASTER_DATA_AREA,S$2,FALSE)=0,"",VLOOKUP($B38,SKIS_MASTER_DATA_AREA,S$2,FALSE)))</f>
        <v/>
      </c>
      <c r="Q39" s="366"/>
      <c r="R39" s="367"/>
      <c r="S39" s="368"/>
      <c r="T39" s="382"/>
      <c r="U39" s="374"/>
      <c r="V39" s="98"/>
      <c r="W39" s="15">
        <f t="shared" ref="W39" si="37">IF(W38=0,0,1)</f>
        <v>0</v>
      </c>
    </row>
    <row r="40" spans="1:23" ht="14" hidden="1" thickBot="1">
      <c r="A40" s="98"/>
      <c r="B40" s="364">
        <v>13</v>
      </c>
      <c r="C40" s="363" t="str">
        <f>IF(ISNA(VLOOKUP($B40,SKIS_MASTER_DATA_AREA,3,FALSE)),"",VLOOKUP($B40,SKIS_MASTER_DATA_AREA,3,FALSE))</f>
        <v/>
      </c>
      <c r="D40" s="117" t="str">
        <f>IF(ISNA(VLOOKUP($B40,SKIS_MASTER_DATA_AREA,3,FALSE)),"",VLOOKUP($B40,SKIS_MASTER_DATA_AREA,4,FALSE))</f>
        <v/>
      </c>
      <c r="E40" s="112" t="str">
        <f t="shared" ref="E40:P40" si="38">IF(ISNA(VLOOKUP($B40,SKIS_MASTER_DATA_AREA,3,FALSE)),"",IF(VLOOKUP($B40,SKIS_MASTER_DATA_AREA,H$1,FALSE)=0,"",VLOOKUP($B40,SKIS_MASTER_DATA_AREA,H$1,FALSE)))</f>
        <v/>
      </c>
      <c r="F40" s="112" t="str">
        <f t="shared" si="38"/>
        <v/>
      </c>
      <c r="G40" s="112" t="str">
        <f t="shared" si="38"/>
        <v/>
      </c>
      <c r="H40" s="112" t="str">
        <f t="shared" si="38"/>
        <v/>
      </c>
      <c r="I40" s="112" t="str">
        <f t="shared" si="38"/>
        <v/>
      </c>
      <c r="J40" s="113" t="str">
        <f t="shared" si="38"/>
        <v/>
      </c>
      <c r="K40" s="112" t="str">
        <f t="shared" si="38"/>
        <v/>
      </c>
      <c r="L40" s="112" t="str">
        <f t="shared" si="38"/>
        <v/>
      </c>
      <c r="M40" s="112" t="str">
        <f t="shared" si="38"/>
        <v/>
      </c>
      <c r="N40" s="112" t="str">
        <f t="shared" si="38"/>
        <v/>
      </c>
      <c r="O40" s="112" t="str">
        <f t="shared" si="38"/>
        <v/>
      </c>
      <c r="P40" s="114" t="str">
        <f t="shared" si="38"/>
        <v/>
      </c>
      <c r="Q40" s="118" t="str">
        <f>IF(ISNA(VLOOKUP($B40,SKIS_MASTER_DATA_AREA,3,FALSE)),"",VLOOKUP($B40,SKIS_MASTER_DATA_AREA,5,FALSE))</f>
        <v/>
      </c>
      <c r="R40" s="119" t="str">
        <f>IF(ISNA(VLOOKUP($B40,SKIS_MASTER_DATA_AREA,3,FALSE)),"",VLOOKUP($B40,SKIS_MASTER_DATA_AREA,IF(SKI_DISCOUNT_TYPE=0,8,9),FALSE))</f>
        <v/>
      </c>
      <c r="S40" s="120" t="str">
        <f>IF(ISNA(VLOOKUP($B40,SKIS_MASTER_DATA_AREA,3,FALSE)),"",VLOOKUP($B40,SKIS_MASTER_DATA_AREA,7,FALSE))</f>
        <v/>
      </c>
      <c r="T40" s="115" t="str">
        <f>IF(SUM(E41:P41)=0,"",SUM(E41:P41))</f>
        <v/>
      </c>
      <c r="U40" s="116" t="str">
        <f>IF(ISNA(VLOOKUP($B40,SKIS_MASTER_DATA_AREA,3,FALSE)),"",VLOOKUP($B40,SKIS_MASTER_DATA_AREA,10,FALSE))</f>
        <v/>
      </c>
      <c r="V40" s="98"/>
      <c r="W40" s="15">
        <f>IF(C40="",0,1)</f>
        <v>0</v>
      </c>
    </row>
    <row r="41" spans="1:23" ht="14" hidden="1" thickBot="1">
      <c r="A41" s="98"/>
      <c r="B41" s="364"/>
      <c r="C41" s="365"/>
      <c r="D41" s="365"/>
      <c r="E41" s="383" t="str">
        <f t="shared" ref="E41:P41" si="39">IF(ISNA(VLOOKUP($B40,SKIS_MASTER_DATA_AREA,3,FALSE)),"",IF(VLOOKUP($B40,SKIS_MASTER_DATA_AREA,H$2,FALSE)=0,"",VLOOKUP($B40,SKIS_MASTER_DATA_AREA,H$2,FALSE)))</f>
        <v/>
      </c>
      <c r="F41" s="384" t="str">
        <f t="shared" si="39"/>
        <v/>
      </c>
      <c r="G41" s="384" t="str">
        <f t="shared" si="39"/>
        <v/>
      </c>
      <c r="H41" s="384" t="str">
        <f t="shared" si="39"/>
        <v/>
      </c>
      <c r="I41" s="384" t="str">
        <f t="shared" si="39"/>
        <v/>
      </c>
      <c r="J41" s="384" t="str">
        <f t="shared" si="39"/>
        <v/>
      </c>
      <c r="K41" s="385" t="str">
        <f t="shared" si="39"/>
        <v/>
      </c>
      <c r="L41" s="384" t="str">
        <f t="shared" si="39"/>
        <v/>
      </c>
      <c r="M41" s="384" t="str">
        <f t="shared" si="39"/>
        <v/>
      </c>
      <c r="N41" s="384" t="str">
        <f t="shared" si="39"/>
        <v/>
      </c>
      <c r="O41" s="384" t="str">
        <f t="shared" si="39"/>
        <v/>
      </c>
      <c r="P41" s="386" t="str">
        <f t="shared" si="39"/>
        <v/>
      </c>
      <c r="Q41" s="366"/>
      <c r="R41" s="367"/>
      <c r="S41" s="368"/>
      <c r="T41" s="382"/>
      <c r="U41" s="374"/>
      <c r="V41" s="98"/>
      <c r="W41" s="15">
        <f t="shared" ref="W41" si="40">IF(W40=0,0,1)</f>
        <v>0</v>
      </c>
    </row>
    <row r="42" spans="1:23" ht="14" hidden="1" thickBot="1">
      <c r="A42" s="98"/>
      <c r="B42" s="364">
        <v>14</v>
      </c>
      <c r="C42" s="363" t="str">
        <f>IF(ISNA(VLOOKUP($B42,SKIS_MASTER_DATA_AREA,3,FALSE)),"",VLOOKUP($B42,SKIS_MASTER_DATA_AREA,3,FALSE))</f>
        <v/>
      </c>
      <c r="D42" s="117" t="str">
        <f>IF(ISNA(VLOOKUP($B42,SKIS_MASTER_DATA_AREA,3,FALSE)),"",VLOOKUP($B42,SKIS_MASTER_DATA_AREA,4,FALSE))</f>
        <v/>
      </c>
      <c r="E42" s="112" t="str">
        <f t="shared" ref="E42:P42" si="41">IF(ISNA(VLOOKUP($B42,SKIS_MASTER_DATA_AREA,3,FALSE)),"",IF(VLOOKUP($B42,SKIS_MASTER_DATA_AREA,H$1,FALSE)=0,"",VLOOKUP($B42,SKIS_MASTER_DATA_AREA,H$1,FALSE)))</f>
        <v/>
      </c>
      <c r="F42" s="112" t="str">
        <f t="shared" si="41"/>
        <v/>
      </c>
      <c r="G42" s="112" t="str">
        <f t="shared" si="41"/>
        <v/>
      </c>
      <c r="H42" s="112" t="str">
        <f t="shared" si="41"/>
        <v/>
      </c>
      <c r="I42" s="112" t="str">
        <f t="shared" si="41"/>
        <v/>
      </c>
      <c r="J42" s="113" t="str">
        <f t="shared" si="41"/>
        <v/>
      </c>
      <c r="K42" s="112" t="str">
        <f t="shared" si="41"/>
        <v/>
      </c>
      <c r="L42" s="112" t="str">
        <f t="shared" si="41"/>
        <v/>
      </c>
      <c r="M42" s="112" t="str">
        <f t="shared" si="41"/>
        <v/>
      </c>
      <c r="N42" s="112" t="str">
        <f t="shared" si="41"/>
        <v/>
      </c>
      <c r="O42" s="112" t="str">
        <f t="shared" si="41"/>
        <v/>
      </c>
      <c r="P42" s="114" t="str">
        <f t="shared" si="41"/>
        <v/>
      </c>
      <c r="Q42" s="118" t="str">
        <f>IF(ISNA(VLOOKUP($B42,SKIS_MASTER_DATA_AREA,3,FALSE)),"",VLOOKUP($B42,SKIS_MASTER_DATA_AREA,5,FALSE))</f>
        <v/>
      </c>
      <c r="R42" s="119" t="str">
        <f>IF(ISNA(VLOOKUP($B42,SKIS_MASTER_DATA_AREA,3,FALSE)),"",VLOOKUP($B42,SKIS_MASTER_DATA_AREA,IF(SKI_DISCOUNT_TYPE=0,8,9),FALSE))</f>
        <v/>
      </c>
      <c r="S42" s="120" t="str">
        <f>IF(ISNA(VLOOKUP($B42,SKIS_MASTER_DATA_AREA,3,FALSE)),"",VLOOKUP($B42,SKIS_MASTER_DATA_AREA,7,FALSE))</f>
        <v/>
      </c>
      <c r="T42" s="115" t="str">
        <f>IF(SUM(E43:P43)=0,"",SUM(E43:P43))</f>
        <v/>
      </c>
      <c r="U42" s="116" t="str">
        <f>IF(ISNA(VLOOKUP($B42,SKIS_MASTER_DATA_AREA,3,FALSE)),"",VLOOKUP($B42,SKIS_MASTER_DATA_AREA,10,FALSE))</f>
        <v/>
      </c>
      <c r="V42" s="98"/>
      <c r="W42" s="15">
        <f>IF(C42="",0,1)</f>
        <v>0</v>
      </c>
    </row>
    <row r="43" spans="1:23" ht="14" hidden="1" thickBot="1">
      <c r="A43" s="98"/>
      <c r="B43" s="364"/>
      <c r="C43" s="365"/>
      <c r="D43" s="365"/>
      <c r="E43" s="383" t="str">
        <f t="shared" ref="E43:P43" si="42">IF(ISNA(VLOOKUP($B42,SKIS_MASTER_DATA_AREA,3,FALSE)),"",IF(VLOOKUP($B42,SKIS_MASTER_DATA_AREA,H$2,FALSE)=0,"",VLOOKUP($B42,SKIS_MASTER_DATA_AREA,H$2,FALSE)))</f>
        <v/>
      </c>
      <c r="F43" s="384" t="str">
        <f t="shared" si="42"/>
        <v/>
      </c>
      <c r="G43" s="384" t="str">
        <f t="shared" si="42"/>
        <v/>
      </c>
      <c r="H43" s="384" t="str">
        <f t="shared" si="42"/>
        <v/>
      </c>
      <c r="I43" s="384" t="str">
        <f t="shared" si="42"/>
        <v/>
      </c>
      <c r="J43" s="384" t="str">
        <f t="shared" si="42"/>
        <v/>
      </c>
      <c r="K43" s="385" t="str">
        <f t="shared" si="42"/>
        <v/>
      </c>
      <c r="L43" s="384" t="str">
        <f t="shared" si="42"/>
        <v/>
      </c>
      <c r="M43" s="384" t="str">
        <f t="shared" si="42"/>
        <v/>
      </c>
      <c r="N43" s="384" t="str">
        <f t="shared" si="42"/>
        <v/>
      </c>
      <c r="O43" s="384" t="str">
        <f t="shared" si="42"/>
        <v/>
      </c>
      <c r="P43" s="386" t="str">
        <f t="shared" si="42"/>
        <v/>
      </c>
      <c r="Q43" s="366"/>
      <c r="R43" s="367"/>
      <c r="S43" s="368"/>
      <c r="T43" s="382"/>
      <c r="U43" s="374"/>
      <c r="V43" s="98"/>
      <c r="W43" s="15">
        <f t="shared" ref="W43" si="43">IF(W42=0,0,1)</f>
        <v>0</v>
      </c>
    </row>
    <row r="44" spans="1:23" ht="14" hidden="1" thickBot="1">
      <c r="A44" s="98"/>
      <c r="B44" s="364">
        <v>15</v>
      </c>
      <c r="C44" s="363" t="str">
        <f>IF(ISNA(VLOOKUP($B44,SKIS_MASTER_DATA_AREA,3,FALSE)),"",VLOOKUP($B44,SKIS_MASTER_DATA_AREA,3,FALSE))</f>
        <v/>
      </c>
      <c r="D44" s="117" t="str">
        <f>IF(ISNA(VLOOKUP($B44,SKIS_MASTER_DATA_AREA,3,FALSE)),"",VLOOKUP($B44,SKIS_MASTER_DATA_AREA,4,FALSE))</f>
        <v/>
      </c>
      <c r="E44" s="112" t="str">
        <f t="shared" ref="E44:P44" si="44">IF(ISNA(VLOOKUP($B44,SKIS_MASTER_DATA_AREA,3,FALSE)),"",IF(VLOOKUP($B44,SKIS_MASTER_DATA_AREA,H$1,FALSE)=0,"",VLOOKUP($B44,SKIS_MASTER_DATA_AREA,H$1,FALSE)))</f>
        <v/>
      </c>
      <c r="F44" s="112" t="str">
        <f t="shared" si="44"/>
        <v/>
      </c>
      <c r="G44" s="112" t="str">
        <f t="shared" si="44"/>
        <v/>
      </c>
      <c r="H44" s="112" t="str">
        <f t="shared" si="44"/>
        <v/>
      </c>
      <c r="I44" s="112" t="str">
        <f t="shared" si="44"/>
        <v/>
      </c>
      <c r="J44" s="113" t="str">
        <f t="shared" si="44"/>
        <v/>
      </c>
      <c r="K44" s="112" t="str">
        <f t="shared" si="44"/>
        <v/>
      </c>
      <c r="L44" s="112" t="str">
        <f t="shared" si="44"/>
        <v/>
      </c>
      <c r="M44" s="112" t="str">
        <f t="shared" si="44"/>
        <v/>
      </c>
      <c r="N44" s="112" t="str">
        <f t="shared" si="44"/>
        <v/>
      </c>
      <c r="O44" s="112" t="str">
        <f t="shared" si="44"/>
        <v/>
      </c>
      <c r="P44" s="114" t="str">
        <f t="shared" si="44"/>
        <v/>
      </c>
      <c r="Q44" s="118" t="str">
        <f>IF(ISNA(VLOOKUP($B44,SKIS_MASTER_DATA_AREA,3,FALSE)),"",VLOOKUP($B44,SKIS_MASTER_DATA_AREA,5,FALSE))</f>
        <v/>
      </c>
      <c r="R44" s="119" t="str">
        <f>IF(ISNA(VLOOKUP($B44,SKIS_MASTER_DATA_AREA,3,FALSE)),"",VLOOKUP($B44,SKIS_MASTER_DATA_AREA,IF(SKI_DISCOUNT_TYPE=0,8,9),FALSE))</f>
        <v/>
      </c>
      <c r="S44" s="120" t="str">
        <f>IF(ISNA(VLOOKUP($B44,SKIS_MASTER_DATA_AREA,3,FALSE)),"",VLOOKUP($B44,SKIS_MASTER_DATA_AREA,7,FALSE))</f>
        <v/>
      </c>
      <c r="T44" s="115" t="str">
        <f>IF(SUM(E45:P45)=0,"",SUM(E45:P45))</f>
        <v/>
      </c>
      <c r="U44" s="116" t="str">
        <f>IF(ISNA(VLOOKUP($B44,SKIS_MASTER_DATA_AREA,3,FALSE)),"",VLOOKUP($B44,SKIS_MASTER_DATA_AREA,10,FALSE))</f>
        <v/>
      </c>
      <c r="V44" s="98"/>
      <c r="W44" s="15">
        <f>IF(C44="",0,1)</f>
        <v>0</v>
      </c>
    </row>
    <row r="45" spans="1:23" ht="14" hidden="1" thickBot="1">
      <c r="A45" s="98"/>
      <c r="B45" s="364"/>
      <c r="C45" s="365"/>
      <c r="D45" s="365"/>
      <c r="E45" s="383" t="str">
        <f t="shared" ref="E45:P45" si="45">IF(ISNA(VLOOKUP($B44,SKIS_MASTER_DATA_AREA,3,FALSE)),"",IF(VLOOKUP($B44,SKIS_MASTER_DATA_AREA,H$2,FALSE)=0,"",VLOOKUP($B44,SKIS_MASTER_DATA_AREA,H$2,FALSE)))</f>
        <v/>
      </c>
      <c r="F45" s="384" t="str">
        <f t="shared" si="45"/>
        <v/>
      </c>
      <c r="G45" s="384" t="str">
        <f t="shared" si="45"/>
        <v/>
      </c>
      <c r="H45" s="384" t="str">
        <f t="shared" si="45"/>
        <v/>
      </c>
      <c r="I45" s="384" t="str">
        <f t="shared" si="45"/>
        <v/>
      </c>
      <c r="J45" s="384" t="str">
        <f t="shared" si="45"/>
        <v/>
      </c>
      <c r="K45" s="385" t="str">
        <f t="shared" si="45"/>
        <v/>
      </c>
      <c r="L45" s="384" t="str">
        <f t="shared" si="45"/>
        <v/>
      </c>
      <c r="M45" s="384" t="str">
        <f t="shared" si="45"/>
        <v/>
      </c>
      <c r="N45" s="384" t="str">
        <f t="shared" si="45"/>
        <v/>
      </c>
      <c r="O45" s="384" t="str">
        <f t="shared" si="45"/>
        <v/>
      </c>
      <c r="P45" s="386" t="str">
        <f t="shared" si="45"/>
        <v/>
      </c>
      <c r="Q45" s="366"/>
      <c r="R45" s="367"/>
      <c r="S45" s="368"/>
      <c r="T45" s="382"/>
      <c r="U45" s="374"/>
      <c r="V45" s="98"/>
      <c r="W45" s="15">
        <f t="shared" ref="W45" si="46">IF(W44=0,0,1)</f>
        <v>0</v>
      </c>
    </row>
    <row r="46" spans="1:23" ht="14" hidden="1" thickBot="1">
      <c r="A46" s="98"/>
      <c r="B46" s="364">
        <v>16</v>
      </c>
      <c r="C46" s="363" t="str">
        <f>IF(ISNA(VLOOKUP($B46,SKIS_MASTER_DATA_AREA,3,FALSE)),"",VLOOKUP($B46,SKIS_MASTER_DATA_AREA,3,FALSE))</f>
        <v/>
      </c>
      <c r="D46" s="117" t="str">
        <f>IF(ISNA(VLOOKUP($B46,SKIS_MASTER_DATA_AREA,3,FALSE)),"",VLOOKUP($B46,SKIS_MASTER_DATA_AREA,4,FALSE))</f>
        <v/>
      </c>
      <c r="E46" s="112" t="str">
        <f t="shared" ref="E46:P46" si="47">IF(ISNA(VLOOKUP($B46,SKIS_MASTER_DATA_AREA,3,FALSE)),"",IF(VLOOKUP($B46,SKIS_MASTER_DATA_AREA,H$1,FALSE)=0,"",VLOOKUP($B46,SKIS_MASTER_DATA_AREA,H$1,FALSE)))</f>
        <v/>
      </c>
      <c r="F46" s="112" t="str">
        <f t="shared" si="47"/>
        <v/>
      </c>
      <c r="G46" s="112" t="str">
        <f t="shared" si="47"/>
        <v/>
      </c>
      <c r="H46" s="112" t="str">
        <f t="shared" si="47"/>
        <v/>
      </c>
      <c r="I46" s="112" t="str">
        <f t="shared" si="47"/>
        <v/>
      </c>
      <c r="J46" s="113" t="str">
        <f t="shared" si="47"/>
        <v/>
      </c>
      <c r="K46" s="112" t="str">
        <f t="shared" si="47"/>
        <v/>
      </c>
      <c r="L46" s="112" t="str">
        <f t="shared" si="47"/>
        <v/>
      </c>
      <c r="M46" s="112" t="str">
        <f t="shared" si="47"/>
        <v/>
      </c>
      <c r="N46" s="112" t="str">
        <f t="shared" si="47"/>
        <v/>
      </c>
      <c r="O46" s="112" t="str">
        <f t="shared" si="47"/>
        <v/>
      </c>
      <c r="P46" s="114" t="str">
        <f t="shared" si="47"/>
        <v/>
      </c>
      <c r="Q46" s="118" t="str">
        <f>IF(ISNA(VLOOKUP($B46,SKIS_MASTER_DATA_AREA,3,FALSE)),"",VLOOKUP($B46,SKIS_MASTER_DATA_AREA,5,FALSE))</f>
        <v/>
      </c>
      <c r="R46" s="119" t="str">
        <f>IF(ISNA(VLOOKUP($B46,SKIS_MASTER_DATA_AREA,3,FALSE)),"",VLOOKUP($B46,SKIS_MASTER_DATA_AREA,IF(SKI_DISCOUNT_TYPE=0,8,9),FALSE))</f>
        <v/>
      </c>
      <c r="S46" s="120" t="str">
        <f>IF(ISNA(VLOOKUP($B46,SKIS_MASTER_DATA_AREA,3,FALSE)),"",VLOOKUP($B46,SKIS_MASTER_DATA_AREA,7,FALSE))</f>
        <v/>
      </c>
      <c r="T46" s="115" t="str">
        <f>IF(SUM(E47:P47)=0,"",SUM(E47:P47))</f>
        <v/>
      </c>
      <c r="U46" s="116" t="str">
        <f>IF(ISNA(VLOOKUP($B46,SKIS_MASTER_DATA_AREA,3,FALSE)),"",VLOOKUP($B46,SKIS_MASTER_DATA_AREA,10,FALSE))</f>
        <v/>
      </c>
      <c r="V46" s="98"/>
      <c r="W46" s="15">
        <f>IF(C46="",0,1)</f>
        <v>0</v>
      </c>
    </row>
    <row r="47" spans="1:23" ht="14" hidden="1" thickBot="1">
      <c r="A47" s="98"/>
      <c r="B47" s="364"/>
      <c r="C47" s="365"/>
      <c r="D47" s="365"/>
      <c r="E47" s="383" t="str">
        <f t="shared" ref="E47:P47" si="48">IF(ISNA(VLOOKUP($B46,SKIS_MASTER_DATA_AREA,3,FALSE)),"",IF(VLOOKUP($B46,SKIS_MASTER_DATA_AREA,H$2,FALSE)=0,"",VLOOKUP($B46,SKIS_MASTER_DATA_AREA,H$2,FALSE)))</f>
        <v/>
      </c>
      <c r="F47" s="384" t="str">
        <f t="shared" si="48"/>
        <v/>
      </c>
      <c r="G47" s="384" t="str">
        <f t="shared" si="48"/>
        <v/>
      </c>
      <c r="H47" s="384" t="str">
        <f t="shared" si="48"/>
        <v/>
      </c>
      <c r="I47" s="384" t="str">
        <f t="shared" si="48"/>
        <v/>
      </c>
      <c r="J47" s="384" t="str">
        <f t="shared" si="48"/>
        <v/>
      </c>
      <c r="K47" s="385" t="str">
        <f t="shared" si="48"/>
        <v/>
      </c>
      <c r="L47" s="384" t="str">
        <f t="shared" si="48"/>
        <v/>
      </c>
      <c r="M47" s="384" t="str">
        <f t="shared" si="48"/>
        <v/>
      </c>
      <c r="N47" s="384" t="str">
        <f t="shared" si="48"/>
        <v/>
      </c>
      <c r="O47" s="384" t="str">
        <f t="shared" si="48"/>
        <v/>
      </c>
      <c r="P47" s="386" t="str">
        <f t="shared" si="48"/>
        <v/>
      </c>
      <c r="Q47" s="366"/>
      <c r="R47" s="367"/>
      <c r="S47" s="368"/>
      <c r="T47" s="382"/>
      <c r="U47" s="374"/>
      <c r="V47" s="98"/>
      <c r="W47" s="15">
        <f t="shared" ref="W47" si="49">IF(W46=0,0,1)</f>
        <v>0</v>
      </c>
    </row>
    <row r="48" spans="1:23" ht="14" hidden="1" thickBot="1">
      <c r="A48" s="98"/>
      <c r="B48" s="364">
        <v>17</v>
      </c>
      <c r="C48" s="363" t="str">
        <f>IF(ISNA(VLOOKUP($B48,SKIS_MASTER_DATA_AREA,3,FALSE)),"",VLOOKUP($B48,SKIS_MASTER_DATA_AREA,3,FALSE))</f>
        <v/>
      </c>
      <c r="D48" s="117" t="str">
        <f>IF(ISNA(VLOOKUP($B48,SKIS_MASTER_DATA_AREA,3,FALSE)),"",VLOOKUP($B48,SKIS_MASTER_DATA_AREA,4,FALSE))</f>
        <v/>
      </c>
      <c r="E48" s="112" t="str">
        <f t="shared" ref="E48:P48" si="50">IF(ISNA(VLOOKUP($B48,SKIS_MASTER_DATA_AREA,3,FALSE)),"",IF(VLOOKUP($B48,SKIS_MASTER_DATA_AREA,H$1,FALSE)=0,"",VLOOKUP($B48,SKIS_MASTER_DATA_AREA,H$1,FALSE)))</f>
        <v/>
      </c>
      <c r="F48" s="112" t="str">
        <f t="shared" si="50"/>
        <v/>
      </c>
      <c r="G48" s="112" t="str">
        <f t="shared" si="50"/>
        <v/>
      </c>
      <c r="H48" s="112" t="str">
        <f t="shared" si="50"/>
        <v/>
      </c>
      <c r="I48" s="112" t="str">
        <f t="shared" si="50"/>
        <v/>
      </c>
      <c r="J48" s="113" t="str">
        <f t="shared" si="50"/>
        <v/>
      </c>
      <c r="K48" s="112" t="str">
        <f t="shared" si="50"/>
        <v/>
      </c>
      <c r="L48" s="112" t="str">
        <f t="shared" si="50"/>
        <v/>
      </c>
      <c r="M48" s="112" t="str">
        <f t="shared" si="50"/>
        <v/>
      </c>
      <c r="N48" s="112" t="str">
        <f t="shared" si="50"/>
        <v/>
      </c>
      <c r="O48" s="112" t="str">
        <f t="shared" si="50"/>
        <v/>
      </c>
      <c r="P48" s="114" t="str">
        <f t="shared" si="50"/>
        <v/>
      </c>
      <c r="Q48" s="118" t="str">
        <f>IF(ISNA(VLOOKUP($B48,SKIS_MASTER_DATA_AREA,3,FALSE)),"",VLOOKUP($B48,SKIS_MASTER_DATA_AREA,5,FALSE))</f>
        <v/>
      </c>
      <c r="R48" s="119" t="str">
        <f>IF(ISNA(VLOOKUP($B48,SKIS_MASTER_DATA_AREA,3,FALSE)),"",VLOOKUP($B48,SKIS_MASTER_DATA_AREA,IF(SKI_DISCOUNT_TYPE=0,8,9),FALSE))</f>
        <v/>
      </c>
      <c r="S48" s="120" t="str">
        <f>IF(ISNA(VLOOKUP($B48,SKIS_MASTER_DATA_AREA,3,FALSE)),"",VLOOKUP($B48,SKIS_MASTER_DATA_AREA,7,FALSE))</f>
        <v/>
      </c>
      <c r="T48" s="115" t="str">
        <f>IF(SUM(E49:P49)=0,"",SUM(E49:P49))</f>
        <v/>
      </c>
      <c r="U48" s="116" t="str">
        <f>IF(ISNA(VLOOKUP($B48,SKIS_MASTER_DATA_AREA,3,FALSE)),"",VLOOKUP($B48,SKIS_MASTER_DATA_AREA,10,FALSE))</f>
        <v/>
      </c>
      <c r="V48" s="98"/>
      <c r="W48" s="15">
        <f>IF(C48="",0,1)</f>
        <v>0</v>
      </c>
    </row>
    <row r="49" spans="1:23" ht="14" hidden="1" thickBot="1">
      <c r="A49" s="98"/>
      <c r="B49" s="364"/>
      <c r="C49" s="365"/>
      <c r="D49" s="365"/>
      <c r="E49" s="383" t="str">
        <f t="shared" ref="E49:P49" si="51">IF(ISNA(VLOOKUP($B48,SKIS_MASTER_DATA_AREA,3,FALSE)),"",IF(VLOOKUP($B48,SKIS_MASTER_DATA_AREA,H$2,FALSE)=0,"",VLOOKUP($B48,SKIS_MASTER_DATA_AREA,H$2,FALSE)))</f>
        <v/>
      </c>
      <c r="F49" s="384" t="str">
        <f t="shared" si="51"/>
        <v/>
      </c>
      <c r="G49" s="384" t="str">
        <f t="shared" si="51"/>
        <v/>
      </c>
      <c r="H49" s="384" t="str">
        <f t="shared" si="51"/>
        <v/>
      </c>
      <c r="I49" s="384" t="str">
        <f t="shared" si="51"/>
        <v/>
      </c>
      <c r="J49" s="384" t="str">
        <f t="shared" si="51"/>
        <v/>
      </c>
      <c r="K49" s="385" t="str">
        <f t="shared" si="51"/>
        <v/>
      </c>
      <c r="L49" s="384" t="str">
        <f t="shared" si="51"/>
        <v/>
      </c>
      <c r="M49" s="384" t="str">
        <f t="shared" si="51"/>
        <v/>
      </c>
      <c r="N49" s="384" t="str">
        <f t="shared" si="51"/>
        <v/>
      </c>
      <c r="O49" s="384" t="str">
        <f t="shared" si="51"/>
        <v/>
      </c>
      <c r="P49" s="386" t="str">
        <f t="shared" si="51"/>
        <v/>
      </c>
      <c r="Q49" s="366"/>
      <c r="R49" s="367"/>
      <c r="S49" s="368"/>
      <c r="T49" s="382"/>
      <c r="U49" s="374"/>
      <c r="V49" s="98"/>
      <c r="W49" s="15">
        <f t="shared" ref="W49" si="52">IF(W48=0,0,1)</f>
        <v>0</v>
      </c>
    </row>
    <row r="50" spans="1:23" ht="14" hidden="1" thickBot="1">
      <c r="A50" s="98"/>
      <c r="B50" s="364">
        <v>18</v>
      </c>
      <c r="C50" s="363" t="str">
        <f>IF(ISNA(VLOOKUP($B50,SKIS_MASTER_DATA_AREA,3,FALSE)),"",VLOOKUP($B50,SKIS_MASTER_DATA_AREA,3,FALSE))</f>
        <v/>
      </c>
      <c r="D50" s="117" t="str">
        <f>IF(ISNA(VLOOKUP($B50,SKIS_MASTER_DATA_AREA,3,FALSE)),"",VLOOKUP($B50,SKIS_MASTER_DATA_AREA,4,FALSE))</f>
        <v/>
      </c>
      <c r="E50" s="112" t="str">
        <f t="shared" ref="E50:P50" si="53">IF(ISNA(VLOOKUP($B50,SKIS_MASTER_DATA_AREA,3,FALSE)),"",IF(VLOOKUP($B50,SKIS_MASTER_DATA_AREA,H$1,FALSE)=0,"",VLOOKUP($B50,SKIS_MASTER_DATA_AREA,H$1,FALSE)))</f>
        <v/>
      </c>
      <c r="F50" s="112" t="str">
        <f t="shared" si="53"/>
        <v/>
      </c>
      <c r="G50" s="112" t="str">
        <f t="shared" si="53"/>
        <v/>
      </c>
      <c r="H50" s="112" t="str">
        <f t="shared" si="53"/>
        <v/>
      </c>
      <c r="I50" s="112" t="str">
        <f t="shared" si="53"/>
        <v/>
      </c>
      <c r="J50" s="113" t="str">
        <f t="shared" si="53"/>
        <v/>
      </c>
      <c r="K50" s="112" t="str">
        <f t="shared" si="53"/>
        <v/>
      </c>
      <c r="L50" s="112" t="str">
        <f t="shared" si="53"/>
        <v/>
      </c>
      <c r="M50" s="112" t="str">
        <f t="shared" si="53"/>
        <v/>
      </c>
      <c r="N50" s="112" t="str">
        <f t="shared" si="53"/>
        <v/>
      </c>
      <c r="O50" s="112" t="str">
        <f t="shared" si="53"/>
        <v/>
      </c>
      <c r="P50" s="114" t="str">
        <f t="shared" si="53"/>
        <v/>
      </c>
      <c r="Q50" s="118" t="str">
        <f>IF(ISNA(VLOOKUP($B50,SKIS_MASTER_DATA_AREA,3,FALSE)),"",VLOOKUP($B50,SKIS_MASTER_DATA_AREA,5,FALSE))</f>
        <v/>
      </c>
      <c r="R50" s="119" t="str">
        <f>IF(ISNA(VLOOKUP($B50,SKIS_MASTER_DATA_AREA,3,FALSE)),"",VLOOKUP($B50,SKIS_MASTER_DATA_AREA,IF(SKI_DISCOUNT_TYPE=0,8,9),FALSE))</f>
        <v/>
      </c>
      <c r="S50" s="120" t="str">
        <f>IF(ISNA(VLOOKUP($B50,SKIS_MASTER_DATA_AREA,3,FALSE)),"",VLOOKUP($B50,SKIS_MASTER_DATA_AREA,7,FALSE))</f>
        <v/>
      </c>
      <c r="T50" s="115" t="str">
        <f>IF(SUM(E51:P51)=0,"",SUM(E51:P51))</f>
        <v/>
      </c>
      <c r="U50" s="116" t="str">
        <f>IF(ISNA(VLOOKUP($B50,SKIS_MASTER_DATA_AREA,3,FALSE)),"",VLOOKUP($B50,SKIS_MASTER_DATA_AREA,10,FALSE))</f>
        <v/>
      </c>
      <c r="V50" s="98"/>
      <c r="W50" s="15">
        <f>IF(C50="",0,1)</f>
        <v>0</v>
      </c>
    </row>
    <row r="51" spans="1:23" ht="14" hidden="1" thickBot="1">
      <c r="A51" s="98"/>
      <c r="B51" s="364"/>
      <c r="C51" s="365"/>
      <c r="D51" s="365"/>
      <c r="E51" s="383" t="str">
        <f t="shared" ref="E51:P51" si="54">IF(ISNA(VLOOKUP($B50,SKIS_MASTER_DATA_AREA,3,FALSE)),"",IF(VLOOKUP($B50,SKIS_MASTER_DATA_AREA,H$2,FALSE)=0,"",VLOOKUP($B50,SKIS_MASTER_DATA_AREA,H$2,FALSE)))</f>
        <v/>
      </c>
      <c r="F51" s="384" t="str">
        <f t="shared" si="54"/>
        <v/>
      </c>
      <c r="G51" s="384" t="str">
        <f t="shared" si="54"/>
        <v/>
      </c>
      <c r="H51" s="384" t="str">
        <f t="shared" si="54"/>
        <v/>
      </c>
      <c r="I51" s="384" t="str">
        <f t="shared" si="54"/>
        <v/>
      </c>
      <c r="J51" s="384" t="str">
        <f t="shared" si="54"/>
        <v/>
      </c>
      <c r="K51" s="385" t="str">
        <f t="shared" si="54"/>
        <v/>
      </c>
      <c r="L51" s="384" t="str">
        <f t="shared" si="54"/>
        <v/>
      </c>
      <c r="M51" s="384" t="str">
        <f t="shared" si="54"/>
        <v/>
      </c>
      <c r="N51" s="384" t="str">
        <f t="shared" si="54"/>
        <v/>
      </c>
      <c r="O51" s="384" t="str">
        <f t="shared" si="54"/>
        <v/>
      </c>
      <c r="P51" s="386" t="str">
        <f t="shared" si="54"/>
        <v/>
      </c>
      <c r="Q51" s="366"/>
      <c r="R51" s="367"/>
      <c r="S51" s="368"/>
      <c r="T51" s="382"/>
      <c r="U51" s="374"/>
      <c r="V51" s="98"/>
      <c r="W51" s="15">
        <f t="shared" ref="W51" si="55">IF(W50=0,0,1)</f>
        <v>0</v>
      </c>
    </row>
    <row r="52" spans="1:23" ht="14" hidden="1" thickBot="1">
      <c r="A52" s="98"/>
      <c r="B52" s="364">
        <v>19</v>
      </c>
      <c r="C52" s="363" t="str">
        <f>IF(ISNA(VLOOKUP($B52,SKIS_MASTER_DATA_AREA,3,FALSE)),"",VLOOKUP($B52,SKIS_MASTER_DATA_AREA,3,FALSE))</f>
        <v/>
      </c>
      <c r="D52" s="117" t="str">
        <f>IF(ISNA(VLOOKUP($B52,SKIS_MASTER_DATA_AREA,3,FALSE)),"",VLOOKUP($B52,SKIS_MASTER_DATA_AREA,4,FALSE))</f>
        <v/>
      </c>
      <c r="E52" s="112" t="str">
        <f t="shared" ref="E52:P52" si="56">IF(ISNA(VLOOKUP($B52,SKIS_MASTER_DATA_AREA,3,FALSE)),"",IF(VLOOKUP($B52,SKIS_MASTER_DATA_AREA,H$1,FALSE)=0,"",VLOOKUP($B52,SKIS_MASTER_DATA_AREA,H$1,FALSE)))</f>
        <v/>
      </c>
      <c r="F52" s="112" t="str">
        <f t="shared" si="56"/>
        <v/>
      </c>
      <c r="G52" s="112" t="str">
        <f t="shared" si="56"/>
        <v/>
      </c>
      <c r="H52" s="112" t="str">
        <f t="shared" si="56"/>
        <v/>
      </c>
      <c r="I52" s="112" t="str">
        <f t="shared" si="56"/>
        <v/>
      </c>
      <c r="J52" s="113" t="str">
        <f t="shared" si="56"/>
        <v/>
      </c>
      <c r="K52" s="112" t="str">
        <f t="shared" si="56"/>
        <v/>
      </c>
      <c r="L52" s="112" t="str">
        <f t="shared" si="56"/>
        <v/>
      </c>
      <c r="M52" s="112" t="str">
        <f t="shared" si="56"/>
        <v/>
      </c>
      <c r="N52" s="112" t="str">
        <f t="shared" si="56"/>
        <v/>
      </c>
      <c r="O52" s="112" t="str">
        <f t="shared" si="56"/>
        <v/>
      </c>
      <c r="P52" s="114" t="str">
        <f t="shared" si="56"/>
        <v/>
      </c>
      <c r="Q52" s="118" t="str">
        <f>IF(ISNA(VLOOKUP($B52,SKIS_MASTER_DATA_AREA,3,FALSE)),"",VLOOKUP($B52,SKIS_MASTER_DATA_AREA,5,FALSE))</f>
        <v/>
      </c>
      <c r="R52" s="119" t="str">
        <f>IF(ISNA(VLOOKUP($B52,SKIS_MASTER_DATA_AREA,3,FALSE)),"",VLOOKUP($B52,SKIS_MASTER_DATA_AREA,IF(SKI_DISCOUNT_TYPE=0,8,9),FALSE))</f>
        <v/>
      </c>
      <c r="S52" s="120" t="str">
        <f>IF(ISNA(VLOOKUP($B52,SKIS_MASTER_DATA_AREA,3,FALSE)),"",VLOOKUP($B52,SKIS_MASTER_DATA_AREA,7,FALSE))</f>
        <v/>
      </c>
      <c r="T52" s="115" t="str">
        <f>IF(SUM(E53:P53)=0,"",SUM(E53:P53))</f>
        <v/>
      </c>
      <c r="U52" s="116" t="str">
        <f>IF(ISNA(VLOOKUP($B52,SKIS_MASTER_DATA_AREA,3,FALSE)),"",VLOOKUP($B52,SKIS_MASTER_DATA_AREA,10,FALSE))</f>
        <v/>
      </c>
      <c r="V52" s="98"/>
      <c r="W52" s="15">
        <f>IF(C52="",0,1)</f>
        <v>0</v>
      </c>
    </row>
    <row r="53" spans="1:23" ht="14" hidden="1" thickBot="1">
      <c r="A53" s="98"/>
      <c r="B53" s="364"/>
      <c r="C53" s="365"/>
      <c r="D53" s="365"/>
      <c r="E53" s="383" t="str">
        <f t="shared" ref="E53:P53" si="57">IF(ISNA(VLOOKUP($B52,SKIS_MASTER_DATA_AREA,3,FALSE)),"",IF(VLOOKUP($B52,SKIS_MASTER_DATA_AREA,H$2,FALSE)=0,"",VLOOKUP($B52,SKIS_MASTER_DATA_AREA,H$2,FALSE)))</f>
        <v/>
      </c>
      <c r="F53" s="384" t="str">
        <f t="shared" si="57"/>
        <v/>
      </c>
      <c r="G53" s="384" t="str">
        <f t="shared" si="57"/>
        <v/>
      </c>
      <c r="H53" s="384" t="str">
        <f t="shared" si="57"/>
        <v/>
      </c>
      <c r="I53" s="384" t="str">
        <f t="shared" si="57"/>
        <v/>
      </c>
      <c r="J53" s="384" t="str">
        <f t="shared" si="57"/>
        <v/>
      </c>
      <c r="K53" s="385" t="str">
        <f t="shared" si="57"/>
        <v/>
      </c>
      <c r="L53" s="384" t="str">
        <f t="shared" si="57"/>
        <v/>
      </c>
      <c r="M53" s="384" t="str">
        <f t="shared" si="57"/>
        <v/>
      </c>
      <c r="N53" s="384" t="str">
        <f t="shared" si="57"/>
        <v/>
      </c>
      <c r="O53" s="384" t="str">
        <f t="shared" si="57"/>
        <v/>
      </c>
      <c r="P53" s="386" t="str">
        <f t="shared" si="57"/>
        <v/>
      </c>
      <c r="Q53" s="366"/>
      <c r="R53" s="367"/>
      <c r="S53" s="368"/>
      <c r="T53" s="382"/>
      <c r="U53" s="374"/>
      <c r="V53" s="98"/>
      <c r="W53" s="15">
        <f t="shared" ref="W53" si="58">IF(W52=0,0,1)</f>
        <v>0</v>
      </c>
    </row>
    <row r="54" spans="1:23" ht="14" hidden="1" thickBot="1">
      <c r="A54" s="98"/>
      <c r="B54" s="364">
        <v>20</v>
      </c>
      <c r="C54" s="363" t="str">
        <f>IF(ISNA(VLOOKUP($B54,SKIS_MASTER_DATA_AREA,3,FALSE)),"",VLOOKUP($B54,SKIS_MASTER_DATA_AREA,3,FALSE))</f>
        <v/>
      </c>
      <c r="D54" s="117" t="str">
        <f>IF(ISNA(VLOOKUP($B54,SKIS_MASTER_DATA_AREA,3,FALSE)),"",VLOOKUP($B54,SKIS_MASTER_DATA_AREA,4,FALSE))</f>
        <v/>
      </c>
      <c r="E54" s="112" t="str">
        <f t="shared" ref="E54:P54" si="59">IF(ISNA(VLOOKUP($B54,SKIS_MASTER_DATA_AREA,3,FALSE)),"",IF(VLOOKUP($B54,SKIS_MASTER_DATA_AREA,H$1,FALSE)=0,"",VLOOKUP($B54,SKIS_MASTER_DATA_AREA,H$1,FALSE)))</f>
        <v/>
      </c>
      <c r="F54" s="112" t="str">
        <f t="shared" si="59"/>
        <v/>
      </c>
      <c r="G54" s="112" t="str">
        <f t="shared" si="59"/>
        <v/>
      </c>
      <c r="H54" s="112" t="str">
        <f t="shared" si="59"/>
        <v/>
      </c>
      <c r="I54" s="112" t="str">
        <f t="shared" si="59"/>
        <v/>
      </c>
      <c r="J54" s="113" t="str">
        <f t="shared" si="59"/>
        <v/>
      </c>
      <c r="K54" s="112" t="str">
        <f t="shared" si="59"/>
        <v/>
      </c>
      <c r="L54" s="112" t="str">
        <f t="shared" si="59"/>
        <v/>
      </c>
      <c r="M54" s="112" t="str">
        <f t="shared" si="59"/>
        <v/>
      </c>
      <c r="N54" s="112" t="str">
        <f t="shared" si="59"/>
        <v/>
      </c>
      <c r="O54" s="112" t="str">
        <f t="shared" si="59"/>
        <v/>
      </c>
      <c r="P54" s="114" t="str">
        <f t="shared" si="59"/>
        <v/>
      </c>
      <c r="Q54" s="118" t="str">
        <f>IF(ISNA(VLOOKUP($B54,SKIS_MASTER_DATA_AREA,3,FALSE)),"",VLOOKUP($B54,SKIS_MASTER_DATA_AREA,5,FALSE))</f>
        <v/>
      </c>
      <c r="R54" s="119" t="str">
        <f>IF(ISNA(VLOOKUP($B54,SKIS_MASTER_DATA_AREA,3,FALSE)),"",VLOOKUP($B54,SKIS_MASTER_DATA_AREA,IF(SKI_DISCOUNT_TYPE=0,8,9),FALSE))</f>
        <v/>
      </c>
      <c r="S54" s="120" t="str">
        <f>IF(ISNA(VLOOKUP($B54,SKIS_MASTER_DATA_AREA,3,FALSE)),"",VLOOKUP($B54,SKIS_MASTER_DATA_AREA,7,FALSE))</f>
        <v/>
      </c>
      <c r="T54" s="115" t="str">
        <f>IF(SUM(E55:P55)=0,"",SUM(E55:P55))</f>
        <v/>
      </c>
      <c r="U54" s="116" t="str">
        <f>IF(ISNA(VLOOKUP($B54,SKIS_MASTER_DATA_AREA,3,FALSE)),"",VLOOKUP($B54,SKIS_MASTER_DATA_AREA,10,FALSE))</f>
        <v/>
      </c>
      <c r="V54" s="98"/>
      <c r="W54" s="15">
        <f>IF(C54="",0,1)</f>
        <v>0</v>
      </c>
    </row>
    <row r="55" spans="1:23" ht="14" hidden="1" thickBot="1">
      <c r="A55" s="98"/>
      <c r="B55" s="364"/>
      <c r="C55" s="365"/>
      <c r="D55" s="365"/>
      <c r="E55" s="383" t="str">
        <f t="shared" ref="E55:P55" si="60">IF(ISNA(VLOOKUP($B54,SKIS_MASTER_DATA_AREA,3,FALSE)),"",IF(VLOOKUP($B54,SKIS_MASTER_DATA_AREA,H$2,FALSE)=0,"",VLOOKUP($B54,SKIS_MASTER_DATA_AREA,H$2,FALSE)))</f>
        <v/>
      </c>
      <c r="F55" s="384" t="str">
        <f t="shared" si="60"/>
        <v/>
      </c>
      <c r="G55" s="384" t="str">
        <f t="shared" si="60"/>
        <v/>
      </c>
      <c r="H55" s="384" t="str">
        <f t="shared" si="60"/>
        <v/>
      </c>
      <c r="I55" s="384" t="str">
        <f t="shared" si="60"/>
        <v/>
      </c>
      <c r="J55" s="384" t="str">
        <f t="shared" si="60"/>
        <v/>
      </c>
      <c r="K55" s="385" t="str">
        <f t="shared" si="60"/>
        <v/>
      </c>
      <c r="L55" s="384" t="str">
        <f t="shared" si="60"/>
        <v/>
      </c>
      <c r="M55" s="384" t="str">
        <f t="shared" si="60"/>
        <v/>
      </c>
      <c r="N55" s="384" t="str">
        <f t="shared" si="60"/>
        <v/>
      </c>
      <c r="O55" s="384" t="str">
        <f t="shared" si="60"/>
        <v/>
      </c>
      <c r="P55" s="386" t="str">
        <f t="shared" si="60"/>
        <v/>
      </c>
      <c r="Q55" s="366"/>
      <c r="R55" s="367"/>
      <c r="S55" s="368"/>
      <c r="T55" s="382"/>
      <c r="U55" s="374"/>
      <c r="V55" s="98"/>
      <c r="W55" s="15">
        <f t="shared" ref="W55" si="61">IF(W54=0,0,1)</f>
        <v>0</v>
      </c>
    </row>
    <row r="56" spans="1:23" ht="14" hidden="1" thickBot="1">
      <c r="A56" s="98"/>
      <c r="B56" s="364">
        <v>21</v>
      </c>
      <c r="C56" s="363" t="str">
        <f>IF(ISNA(VLOOKUP($B56,SKIS_MASTER_DATA_AREA,3,FALSE)),"",VLOOKUP($B56,SKIS_MASTER_DATA_AREA,3,FALSE))</f>
        <v/>
      </c>
      <c r="D56" s="117" t="str">
        <f>IF(ISNA(VLOOKUP($B56,SKIS_MASTER_DATA_AREA,3,FALSE)),"",VLOOKUP($B56,SKIS_MASTER_DATA_AREA,4,FALSE))</f>
        <v/>
      </c>
      <c r="E56" s="112" t="str">
        <f t="shared" ref="E56:P56" si="62">IF(ISNA(VLOOKUP($B56,SKIS_MASTER_DATA_AREA,3,FALSE)),"",IF(VLOOKUP($B56,SKIS_MASTER_DATA_AREA,H$1,FALSE)=0,"",VLOOKUP($B56,SKIS_MASTER_DATA_AREA,H$1,FALSE)))</f>
        <v/>
      </c>
      <c r="F56" s="112" t="str">
        <f t="shared" si="62"/>
        <v/>
      </c>
      <c r="G56" s="112" t="str">
        <f t="shared" si="62"/>
        <v/>
      </c>
      <c r="H56" s="112" t="str">
        <f t="shared" si="62"/>
        <v/>
      </c>
      <c r="I56" s="112" t="str">
        <f t="shared" si="62"/>
        <v/>
      </c>
      <c r="J56" s="113" t="str">
        <f t="shared" si="62"/>
        <v/>
      </c>
      <c r="K56" s="112" t="str">
        <f t="shared" si="62"/>
        <v/>
      </c>
      <c r="L56" s="112" t="str">
        <f t="shared" si="62"/>
        <v/>
      </c>
      <c r="M56" s="112" t="str">
        <f t="shared" si="62"/>
        <v/>
      </c>
      <c r="N56" s="112" t="str">
        <f t="shared" si="62"/>
        <v/>
      </c>
      <c r="O56" s="112" t="str">
        <f t="shared" si="62"/>
        <v/>
      </c>
      <c r="P56" s="114" t="str">
        <f t="shared" si="62"/>
        <v/>
      </c>
      <c r="Q56" s="118" t="str">
        <f>IF(ISNA(VLOOKUP($B56,SKIS_MASTER_DATA_AREA,3,FALSE)),"",VLOOKUP($B56,SKIS_MASTER_DATA_AREA,5,FALSE))</f>
        <v/>
      </c>
      <c r="R56" s="119" t="str">
        <f>IF(ISNA(VLOOKUP($B56,SKIS_MASTER_DATA_AREA,3,FALSE)),"",VLOOKUP($B56,SKIS_MASTER_DATA_AREA,IF(SKI_DISCOUNT_TYPE=0,8,9),FALSE))</f>
        <v/>
      </c>
      <c r="S56" s="120" t="str">
        <f>IF(ISNA(VLOOKUP($B56,SKIS_MASTER_DATA_AREA,3,FALSE)),"",VLOOKUP($B56,SKIS_MASTER_DATA_AREA,7,FALSE))</f>
        <v/>
      </c>
      <c r="T56" s="115" t="str">
        <f>IF(SUM(E57:P57)=0,"",SUM(E57:P57))</f>
        <v/>
      </c>
      <c r="U56" s="116" t="str">
        <f>IF(ISNA(VLOOKUP($B56,SKIS_MASTER_DATA_AREA,3,FALSE)),"",VLOOKUP($B56,SKIS_MASTER_DATA_AREA,10,FALSE))</f>
        <v/>
      </c>
      <c r="V56" s="98"/>
      <c r="W56" s="15">
        <f>IF(C56="",0,1)</f>
        <v>0</v>
      </c>
    </row>
    <row r="57" spans="1:23" ht="14" hidden="1" thickBot="1">
      <c r="A57" s="98"/>
      <c r="B57" s="364"/>
      <c r="C57" s="365"/>
      <c r="D57" s="365"/>
      <c r="E57" s="383" t="str">
        <f t="shared" ref="E57:P57" si="63">IF(ISNA(VLOOKUP($B56,SKIS_MASTER_DATA_AREA,3,FALSE)),"",IF(VLOOKUP($B56,SKIS_MASTER_DATA_AREA,H$2,FALSE)=0,"",VLOOKUP($B56,SKIS_MASTER_DATA_AREA,H$2,FALSE)))</f>
        <v/>
      </c>
      <c r="F57" s="384" t="str">
        <f t="shared" si="63"/>
        <v/>
      </c>
      <c r="G57" s="384" t="str">
        <f t="shared" si="63"/>
        <v/>
      </c>
      <c r="H57" s="384" t="str">
        <f t="shared" si="63"/>
        <v/>
      </c>
      <c r="I57" s="384" t="str">
        <f t="shared" si="63"/>
        <v/>
      </c>
      <c r="J57" s="384" t="str">
        <f t="shared" si="63"/>
        <v/>
      </c>
      <c r="K57" s="385" t="str">
        <f t="shared" si="63"/>
        <v/>
      </c>
      <c r="L57" s="384" t="str">
        <f t="shared" si="63"/>
        <v/>
      </c>
      <c r="M57" s="384" t="str">
        <f t="shared" si="63"/>
        <v/>
      </c>
      <c r="N57" s="384" t="str">
        <f t="shared" si="63"/>
        <v/>
      </c>
      <c r="O57" s="384" t="str">
        <f t="shared" si="63"/>
        <v/>
      </c>
      <c r="P57" s="386" t="str">
        <f t="shared" si="63"/>
        <v/>
      </c>
      <c r="Q57" s="366"/>
      <c r="R57" s="367"/>
      <c r="S57" s="368"/>
      <c r="T57" s="382"/>
      <c r="U57" s="374"/>
      <c r="V57" s="98"/>
      <c r="W57" s="15">
        <f t="shared" ref="W57" si="64">IF(W56=0,0,1)</f>
        <v>0</v>
      </c>
    </row>
    <row r="58" spans="1:23" ht="14" hidden="1" thickBot="1">
      <c r="A58" s="98"/>
      <c r="B58" s="364">
        <v>22</v>
      </c>
      <c r="C58" s="363" t="str">
        <f>IF(ISNA(VLOOKUP($B58,SKIS_MASTER_DATA_AREA,3,FALSE)),"",VLOOKUP($B58,SKIS_MASTER_DATA_AREA,3,FALSE))</f>
        <v/>
      </c>
      <c r="D58" s="117" t="str">
        <f>IF(ISNA(VLOOKUP($B58,SKIS_MASTER_DATA_AREA,3,FALSE)),"",VLOOKUP($B58,SKIS_MASTER_DATA_AREA,4,FALSE))</f>
        <v/>
      </c>
      <c r="E58" s="112" t="str">
        <f t="shared" ref="E58:P58" si="65">IF(ISNA(VLOOKUP($B58,SKIS_MASTER_DATA_AREA,3,FALSE)),"",IF(VLOOKUP($B58,SKIS_MASTER_DATA_AREA,H$1,FALSE)=0,"",VLOOKUP($B58,SKIS_MASTER_DATA_AREA,H$1,FALSE)))</f>
        <v/>
      </c>
      <c r="F58" s="112" t="str">
        <f t="shared" si="65"/>
        <v/>
      </c>
      <c r="G58" s="112" t="str">
        <f t="shared" si="65"/>
        <v/>
      </c>
      <c r="H58" s="112" t="str">
        <f t="shared" si="65"/>
        <v/>
      </c>
      <c r="I58" s="112" t="str">
        <f t="shared" si="65"/>
        <v/>
      </c>
      <c r="J58" s="113" t="str">
        <f t="shared" si="65"/>
        <v/>
      </c>
      <c r="K58" s="112" t="str">
        <f t="shared" si="65"/>
        <v/>
      </c>
      <c r="L58" s="112" t="str">
        <f t="shared" si="65"/>
        <v/>
      </c>
      <c r="M58" s="112" t="str">
        <f t="shared" si="65"/>
        <v/>
      </c>
      <c r="N58" s="112" t="str">
        <f t="shared" si="65"/>
        <v/>
      </c>
      <c r="O58" s="112" t="str">
        <f t="shared" si="65"/>
        <v/>
      </c>
      <c r="P58" s="114" t="str">
        <f t="shared" si="65"/>
        <v/>
      </c>
      <c r="Q58" s="118" t="str">
        <f>IF(ISNA(VLOOKUP($B58,SKIS_MASTER_DATA_AREA,3,FALSE)),"",VLOOKUP($B58,SKIS_MASTER_DATA_AREA,5,FALSE))</f>
        <v/>
      </c>
      <c r="R58" s="119" t="str">
        <f>IF(ISNA(VLOOKUP($B58,SKIS_MASTER_DATA_AREA,3,FALSE)),"",VLOOKUP($B58,SKIS_MASTER_DATA_AREA,IF(SKI_DISCOUNT_TYPE=0,8,9),FALSE))</f>
        <v/>
      </c>
      <c r="S58" s="120" t="str">
        <f>IF(ISNA(VLOOKUP($B58,SKIS_MASTER_DATA_AREA,3,FALSE)),"",VLOOKUP($B58,SKIS_MASTER_DATA_AREA,7,FALSE))</f>
        <v/>
      </c>
      <c r="T58" s="115" t="str">
        <f>IF(SUM(E59:P59)=0,"",SUM(E59:P59))</f>
        <v/>
      </c>
      <c r="U58" s="116" t="str">
        <f>IF(ISNA(VLOOKUP($B58,SKIS_MASTER_DATA_AREA,3,FALSE)),"",VLOOKUP($B58,SKIS_MASTER_DATA_AREA,10,FALSE))</f>
        <v/>
      </c>
      <c r="V58" s="98"/>
      <c r="W58" s="15">
        <f>IF(C58="",0,1)</f>
        <v>0</v>
      </c>
    </row>
    <row r="59" spans="1:23" ht="14" hidden="1" thickBot="1">
      <c r="A59" s="98"/>
      <c r="B59" s="364"/>
      <c r="C59" s="365"/>
      <c r="D59" s="365"/>
      <c r="E59" s="383" t="str">
        <f t="shared" ref="E59:P59" si="66">IF(ISNA(VLOOKUP($B58,SKIS_MASTER_DATA_AREA,3,FALSE)),"",IF(VLOOKUP($B58,SKIS_MASTER_DATA_AREA,H$2,FALSE)=0,"",VLOOKUP($B58,SKIS_MASTER_DATA_AREA,H$2,FALSE)))</f>
        <v/>
      </c>
      <c r="F59" s="384" t="str">
        <f t="shared" si="66"/>
        <v/>
      </c>
      <c r="G59" s="384" t="str">
        <f t="shared" si="66"/>
        <v/>
      </c>
      <c r="H59" s="384" t="str">
        <f t="shared" si="66"/>
        <v/>
      </c>
      <c r="I59" s="384" t="str">
        <f t="shared" si="66"/>
        <v/>
      </c>
      <c r="J59" s="384" t="str">
        <f t="shared" si="66"/>
        <v/>
      </c>
      <c r="K59" s="385" t="str">
        <f t="shared" si="66"/>
        <v/>
      </c>
      <c r="L59" s="384" t="str">
        <f t="shared" si="66"/>
        <v/>
      </c>
      <c r="M59" s="384" t="str">
        <f t="shared" si="66"/>
        <v/>
      </c>
      <c r="N59" s="384" t="str">
        <f t="shared" si="66"/>
        <v/>
      </c>
      <c r="O59" s="384" t="str">
        <f t="shared" si="66"/>
        <v/>
      </c>
      <c r="P59" s="386" t="str">
        <f t="shared" si="66"/>
        <v/>
      </c>
      <c r="Q59" s="366"/>
      <c r="R59" s="367"/>
      <c r="S59" s="368"/>
      <c r="T59" s="382"/>
      <c r="U59" s="374"/>
      <c r="V59" s="98"/>
      <c r="W59" s="15">
        <f t="shared" ref="W59" si="67">IF(W58=0,0,1)</f>
        <v>0</v>
      </c>
    </row>
    <row r="60" spans="1:23" ht="14" hidden="1" thickBot="1">
      <c r="A60" s="98"/>
      <c r="B60" s="364">
        <v>23</v>
      </c>
      <c r="C60" s="363" t="str">
        <f>IF(ISNA(VLOOKUP($B60,SKIS_MASTER_DATA_AREA,3,FALSE)),"",VLOOKUP($B60,SKIS_MASTER_DATA_AREA,3,FALSE))</f>
        <v/>
      </c>
      <c r="D60" s="117" t="str">
        <f>IF(ISNA(VLOOKUP($B60,SKIS_MASTER_DATA_AREA,3,FALSE)),"",VLOOKUP($B60,SKIS_MASTER_DATA_AREA,4,FALSE))</f>
        <v/>
      </c>
      <c r="E60" s="112" t="str">
        <f t="shared" ref="E60:P60" si="68">IF(ISNA(VLOOKUP($B60,SKIS_MASTER_DATA_AREA,3,FALSE)),"",IF(VLOOKUP($B60,SKIS_MASTER_DATA_AREA,H$1,FALSE)=0,"",VLOOKUP($B60,SKIS_MASTER_DATA_AREA,H$1,FALSE)))</f>
        <v/>
      </c>
      <c r="F60" s="112" t="str">
        <f t="shared" si="68"/>
        <v/>
      </c>
      <c r="G60" s="112" t="str">
        <f t="shared" si="68"/>
        <v/>
      </c>
      <c r="H60" s="112" t="str">
        <f t="shared" si="68"/>
        <v/>
      </c>
      <c r="I60" s="112" t="str">
        <f t="shared" si="68"/>
        <v/>
      </c>
      <c r="J60" s="113" t="str">
        <f t="shared" si="68"/>
        <v/>
      </c>
      <c r="K60" s="112" t="str">
        <f t="shared" si="68"/>
        <v/>
      </c>
      <c r="L60" s="112" t="str">
        <f t="shared" si="68"/>
        <v/>
      </c>
      <c r="M60" s="112" t="str">
        <f t="shared" si="68"/>
        <v/>
      </c>
      <c r="N60" s="112" t="str">
        <f t="shared" si="68"/>
        <v/>
      </c>
      <c r="O60" s="112" t="str">
        <f t="shared" si="68"/>
        <v/>
      </c>
      <c r="P60" s="114" t="str">
        <f t="shared" si="68"/>
        <v/>
      </c>
      <c r="Q60" s="118" t="str">
        <f>IF(ISNA(VLOOKUP($B60,SKIS_MASTER_DATA_AREA,3,FALSE)),"",VLOOKUP($B60,SKIS_MASTER_DATA_AREA,5,FALSE))</f>
        <v/>
      </c>
      <c r="R60" s="119" t="str">
        <f>IF(ISNA(VLOOKUP($B60,SKIS_MASTER_DATA_AREA,3,FALSE)),"",VLOOKUP($B60,SKIS_MASTER_DATA_AREA,IF(SKI_DISCOUNT_TYPE=0,8,9),FALSE))</f>
        <v/>
      </c>
      <c r="S60" s="120" t="str">
        <f>IF(ISNA(VLOOKUP($B60,SKIS_MASTER_DATA_AREA,3,FALSE)),"",VLOOKUP($B60,SKIS_MASTER_DATA_AREA,7,FALSE))</f>
        <v/>
      </c>
      <c r="T60" s="115" t="str">
        <f>IF(SUM(E61:P61)=0,"",SUM(E61:P61))</f>
        <v/>
      </c>
      <c r="U60" s="116" t="str">
        <f>IF(ISNA(VLOOKUP($B60,SKIS_MASTER_DATA_AREA,3,FALSE)),"",VLOOKUP($B60,SKIS_MASTER_DATA_AREA,10,FALSE))</f>
        <v/>
      </c>
      <c r="V60" s="98"/>
      <c r="W60" s="15">
        <f>IF(C60="",0,1)</f>
        <v>0</v>
      </c>
    </row>
    <row r="61" spans="1:23" ht="14" hidden="1" thickBot="1">
      <c r="A61" s="98"/>
      <c r="B61" s="364"/>
      <c r="C61" s="365"/>
      <c r="D61" s="365"/>
      <c r="E61" s="383" t="str">
        <f t="shared" ref="E61:P61" si="69">IF(ISNA(VLOOKUP($B60,SKIS_MASTER_DATA_AREA,3,FALSE)),"",IF(VLOOKUP($B60,SKIS_MASTER_DATA_AREA,H$2,FALSE)=0,"",VLOOKUP($B60,SKIS_MASTER_DATA_AREA,H$2,FALSE)))</f>
        <v/>
      </c>
      <c r="F61" s="384" t="str">
        <f t="shared" si="69"/>
        <v/>
      </c>
      <c r="G61" s="384" t="str">
        <f t="shared" si="69"/>
        <v/>
      </c>
      <c r="H61" s="384" t="str">
        <f t="shared" si="69"/>
        <v/>
      </c>
      <c r="I61" s="384" t="str">
        <f t="shared" si="69"/>
        <v/>
      </c>
      <c r="J61" s="384" t="str">
        <f t="shared" si="69"/>
        <v/>
      </c>
      <c r="K61" s="385" t="str">
        <f t="shared" si="69"/>
        <v/>
      </c>
      <c r="L61" s="384" t="str">
        <f t="shared" si="69"/>
        <v/>
      </c>
      <c r="M61" s="384" t="str">
        <f t="shared" si="69"/>
        <v/>
      </c>
      <c r="N61" s="384" t="str">
        <f t="shared" si="69"/>
        <v/>
      </c>
      <c r="O61" s="384" t="str">
        <f t="shared" si="69"/>
        <v/>
      </c>
      <c r="P61" s="386" t="str">
        <f t="shared" si="69"/>
        <v/>
      </c>
      <c r="Q61" s="366"/>
      <c r="R61" s="367"/>
      <c r="S61" s="368"/>
      <c r="T61" s="382"/>
      <c r="U61" s="374"/>
      <c r="V61" s="98"/>
      <c r="W61" s="15">
        <f t="shared" ref="W61" si="70">IF(W60=0,0,1)</f>
        <v>0</v>
      </c>
    </row>
    <row r="62" spans="1:23" ht="14" hidden="1" thickBot="1">
      <c r="A62" s="98"/>
      <c r="B62" s="364">
        <v>24</v>
      </c>
      <c r="C62" s="363" t="str">
        <f>IF(ISNA(VLOOKUP($B62,SKIS_MASTER_DATA_AREA,3,FALSE)),"",VLOOKUP($B62,SKIS_MASTER_DATA_AREA,3,FALSE))</f>
        <v/>
      </c>
      <c r="D62" s="117" t="str">
        <f>IF(ISNA(VLOOKUP($B62,SKIS_MASTER_DATA_AREA,3,FALSE)),"",VLOOKUP($B62,SKIS_MASTER_DATA_AREA,4,FALSE))</f>
        <v/>
      </c>
      <c r="E62" s="112" t="str">
        <f t="shared" ref="E62:P62" si="71">IF(ISNA(VLOOKUP($B62,SKIS_MASTER_DATA_AREA,3,FALSE)),"",IF(VLOOKUP($B62,SKIS_MASTER_DATA_AREA,H$1,FALSE)=0,"",VLOOKUP($B62,SKIS_MASTER_DATA_AREA,H$1,FALSE)))</f>
        <v/>
      </c>
      <c r="F62" s="112" t="str">
        <f t="shared" si="71"/>
        <v/>
      </c>
      <c r="G62" s="112" t="str">
        <f t="shared" si="71"/>
        <v/>
      </c>
      <c r="H62" s="112" t="str">
        <f t="shared" si="71"/>
        <v/>
      </c>
      <c r="I62" s="112" t="str">
        <f t="shared" si="71"/>
        <v/>
      </c>
      <c r="J62" s="113" t="str">
        <f t="shared" si="71"/>
        <v/>
      </c>
      <c r="K62" s="112" t="str">
        <f t="shared" si="71"/>
        <v/>
      </c>
      <c r="L62" s="112" t="str">
        <f t="shared" si="71"/>
        <v/>
      </c>
      <c r="M62" s="112" t="str">
        <f t="shared" si="71"/>
        <v/>
      </c>
      <c r="N62" s="112" t="str">
        <f t="shared" si="71"/>
        <v/>
      </c>
      <c r="O62" s="112" t="str">
        <f t="shared" si="71"/>
        <v/>
      </c>
      <c r="P62" s="114" t="str">
        <f t="shared" si="71"/>
        <v/>
      </c>
      <c r="Q62" s="118" t="str">
        <f>IF(ISNA(VLOOKUP($B62,SKIS_MASTER_DATA_AREA,3,FALSE)),"",VLOOKUP($B62,SKIS_MASTER_DATA_AREA,5,FALSE))</f>
        <v/>
      </c>
      <c r="R62" s="119" t="str">
        <f>IF(ISNA(VLOOKUP($B62,SKIS_MASTER_DATA_AREA,3,FALSE)),"",VLOOKUP($B62,SKIS_MASTER_DATA_AREA,IF(SKI_DISCOUNT_TYPE=0,8,9),FALSE))</f>
        <v/>
      </c>
      <c r="S62" s="120" t="str">
        <f>IF(ISNA(VLOOKUP($B62,SKIS_MASTER_DATA_AREA,3,FALSE)),"",VLOOKUP($B62,SKIS_MASTER_DATA_AREA,7,FALSE))</f>
        <v/>
      </c>
      <c r="T62" s="115" t="str">
        <f>IF(SUM(E63:P63)=0,"",SUM(E63:P63))</f>
        <v/>
      </c>
      <c r="U62" s="116" t="str">
        <f>IF(ISNA(VLOOKUP($B62,SKIS_MASTER_DATA_AREA,3,FALSE)),"",VLOOKUP($B62,SKIS_MASTER_DATA_AREA,10,FALSE))</f>
        <v/>
      </c>
      <c r="V62" s="98"/>
      <c r="W62" s="15">
        <f>IF(C62="",0,1)</f>
        <v>0</v>
      </c>
    </row>
    <row r="63" spans="1:23" ht="14" hidden="1" thickBot="1">
      <c r="A63" s="98"/>
      <c r="B63" s="364"/>
      <c r="C63" s="365"/>
      <c r="D63" s="365"/>
      <c r="E63" s="383" t="str">
        <f t="shared" ref="E63:P63" si="72">IF(ISNA(VLOOKUP($B62,SKIS_MASTER_DATA_AREA,3,FALSE)),"",IF(VLOOKUP($B62,SKIS_MASTER_DATA_AREA,H$2,FALSE)=0,"",VLOOKUP($B62,SKIS_MASTER_DATA_AREA,H$2,FALSE)))</f>
        <v/>
      </c>
      <c r="F63" s="384" t="str">
        <f t="shared" si="72"/>
        <v/>
      </c>
      <c r="G63" s="384" t="str">
        <f t="shared" si="72"/>
        <v/>
      </c>
      <c r="H63" s="384" t="str">
        <f t="shared" si="72"/>
        <v/>
      </c>
      <c r="I63" s="384" t="str">
        <f t="shared" si="72"/>
        <v/>
      </c>
      <c r="J63" s="384" t="str">
        <f t="shared" si="72"/>
        <v/>
      </c>
      <c r="K63" s="385" t="str">
        <f t="shared" si="72"/>
        <v/>
      </c>
      <c r="L63" s="384" t="str">
        <f t="shared" si="72"/>
        <v/>
      </c>
      <c r="M63" s="384" t="str">
        <f t="shared" si="72"/>
        <v/>
      </c>
      <c r="N63" s="384" t="str">
        <f t="shared" si="72"/>
        <v/>
      </c>
      <c r="O63" s="384" t="str">
        <f t="shared" si="72"/>
        <v/>
      </c>
      <c r="P63" s="386" t="str">
        <f t="shared" si="72"/>
        <v/>
      </c>
      <c r="Q63" s="366"/>
      <c r="R63" s="367"/>
      <c r="S63" s="368"/>
      <c r="T63" s="382"/>
      <c r="U63" s="374"/>
      <c r="V63" s="98"/>
      <c r="W63" s="15">
        <f t="shared" ref="W63" si="73">IF(W62=0,0,1)</f>
        <v>0</v>
      </c>
    </row>
    <row r="64" spans="1:23" ht="14" hidden="1" thickBot="1">
      <c r="A64" s="98"/>
      <c r="B64" s="364">
        <v>25</v>
      </c>
      <c r="C64" s="363" t="str">
        <f>IF(ISNA(VLOOKUP($B64,SKIS_MASTER_DATA_AREA,3,FALSE)),"",VLOOKUP($B64,SKIS_MASTER_DATA_AREA,3,FALSE))</f>
        <v/>
      </c>
      <c r="D64" s="117" t="str">
        <f>IF(ISNA(VLOOKUP($B64,SKIS_MASTER_DATA_AREA,3,FALSE)),"",VLOOKUP($B64,SKIS_MASTER_DATA_AREA,4,FALSE))</f>
        <v/>
      </c>
      <c r="E64" s="112" t="str">
        <f t="shared" ref="E64:P64" si="74">IF(ISNA(VLOOKUP($B64,SKIS_MASTER_DATA_AREA,3,FALSE)),"",IF(VLOOKUP($B64,SKIS_MASTER_DATA_AREA,H$1,FALSE)=0,"",VLOOKUP($B64,SKIS_MASTER_DATA_AREA,H$1,FALSE)))</f>
        <v/>
      </c>
      <c r="F64" s="112" t="str">
        <f t="shared" si="74"/>
        <v/>
      </c>
      <c r="G64" s="112" t="str">
        <f t="shared" si="74"/>
        <v/>
      </c>
      <c r="H64" s="112" t="str">
        <f t="shared" si="74"/>
        <v/>
      </c>
      <c r="I64" s="112" t="str">
        <f t="shared" si="74"/>
        <v/>
      </c>
      <c r="J64" s="113" t="str">
        <f t="shared" si="74"/>
        <v/>
      </c>
      <c r="K64" s="112" t="str">
        <f t="shared" si="74"/>
        <v/>
      </c>
      <c r="L64" s="112" t="str">
        <f t="shared" si="74"/>
        <v/>
      </c>
      <c r="M64" s="112" t="str">
        <f t="shared" si="74"/>
        <v/>
      </c>
      <c r="N64" s="112" t="str">
        <f t="shared" si="74"/>
        <v/>
      </c>
      <c r="O64" s="112" t="str">
        <f t="shared" si="74"/>
        <v/>
      </c>
      <c r="P64" s="114" t="str">
        <f t="shared" si="74"/>
        <v/>
      </c>
      <c r="Q64" s="118" t="str">
        <f>IF(ISNA(VLOOKUP($B64,SKIS_MASTER_DATA_AREA,3,FALSE)),"",VLOOKUP($B64,SKIS_MASTER_DATA_AREA,5,FALSE))</f>
        <v/>
      </c>
      <c r="R64" s="119" t="str">
        <f>IF(ISNA(VLOOKUP($B64,SKIS_MASTER_DATA_AREA,3,FALSE)),"",VLOOKUP($B64,SKIS_MASTER_DATA_AREA,IF(SKI_DISCOUNT_TYPE=0,8,9),FALSE))</f>
        <v/>
      </c>
      <c r="S64" s="120" t="str">
        <f>IF(ISNA(VLOOKUP($B64,SKIS_MASTER_DATA_AREA,3,FALSE)),"",VLOOKUP($B64,SKIS_MASTER_DATA_AREA,7,FALSE))</f>
        <v/>
      </c>
      <c r="T64" s="115" t="str">
        <f>IF(SUM(E65:P65)=0,"",SUM(E65:P65))</f>
        <v/>
      </c>
      <c r="U64" s="116" t="str">
        <f>IF(ISNA(VLOOKUP($B64,SKIS_MASTER_DATA_AREA,3,FALSE)),"",VLOOKUP($B64,SKIS_MASTER_DATA_AREA,10,FALSE))</f>
        <v/>
      </c>
      <c r="V64" s="98"/>
      <c r="W64" s="15">
        <f>IF(C64="",0,1)</f>
        <v>0</v>
      </c>
    </row>
    <row r="65" spans="1:23" ht="14" hidden="1" thickBot="1">
      <c r="A65" s="98"/>
      <c r="B65" s="364"/>
      <c r="C65" s="365"/>
      <c r="D65" s="365"/>
      <c r="E65" s="383" t="str">
        <f t="shared" ref="E65:P65" si="75">IF(ISNA(VLOOKUP($B64,SKIS_MASTER_DATA_AREA,3,FALSE)),"",IF(VLOOKUP($B64,SKIS_MASTER_DATA_AREA,H$2,FALSE)=0,"",VLOOKUP($B64,SKIS_MASTER_DATA_AREA,H$2,FALSE)))</f>
        <v/>
      </c>
      <c r="F65" s="384" t="str">
        <f t="shared" si="75"/>
        <v/>
      </c>
      <c r="G65" s="384" t="str">
        <f t="shared" si="75"/>
        <v/>
      </c>
      <c r="H65" s="384" t="str">
        <f t="shared" si="75"/>
        <v/>
      </c>
      <c r="I65" s="384" t="str">
        <f t="shared" si="75"/>
        <v/>
      </c>
      <c r="J65" s="384" t="str">
        <f t="shared" si="75"/>
        <v/>
      </c>
      <c r="K65" s="385" t="str">
        <f t="shared" si="75"/>
        <v/>
      </c>
      <c r="L65" s="384" t="str">
        <f t="shared" si="75"/>
        <v/>
      </c>
      <c r="M65" s="384" t="str">
        <f t="shared" si="75"/>
        <v/>
      </c>
      <c r="N65" s="384" t="str">
        <f t="shared" si="75"/>
        <v/>
      </c>
      <c r="O65" s="384" t="str">
        <f t="shared" si="75"/>
        <v/>
      </c>
      <c r="P65" s="386" t="str">
        <f t="shared" si="75"/>
        <v/>
      </c>
      <c r="Q65" s="366"/>
      <c r="R65" s="367"/>
      <c r="S65" s="368"/>
      <c r="T65" s="382"/>
      <c r="U65" s="374"/>
      <c r="V65" s="98"/>
      <c r="W65" s="15">
        <f t="shared" ref="W65" si="76">IF(W64=0,0,1)</f>
        <v>0</v>
      </c>
    </row>
    <row r="66" spans="1:23" ht="14" hidden="1" thickBot="1">
      <c r="A66" s="98"/>
      <c r="B66" s="364">
        <v>26</v>
      </c>
      <c r="C66" s="363" t="str">
        <f>IF(ISNA(VLOOKUP($B66,SKIS_MASTER_DATA_AREA,3,FALSE)),"",VLOOKUP($B66,SKIS_MASTER_DATA_AREA,3,FALSE))</f>
        <v/>
      </c>
      <c r="D66" s="117" t="str">
        <f>IF(ISNA(VLOOKUP($B66,SKIS_MASTER_DATA_AREA,3,FALSE)),"",VLOOKUP($B66,SKIS_MASTER_DATA_AREA,4,FALSE))</f>
        <v/>
      </c>
      <c r="E66" s="112" t="str">
        <f t="shared" ref="E66:P66" si="77">IF(ISNA(VLOOKUP($B66,SKIS_MASTER_DATA_AREA,3,FALSE)),"",IF(VLOOKUP($B66,SKIS_MASTER_DATA_AREA,H$1,FALSE)=0,"",VLOOKUP($B66,SKIS_MASTER_DATA_AREA,H$1,FALSE)))</f>
        <v/>
      </c>
      <c r="F66" s="112" t="str">
        <f t="shared" si="77"/>
        <v/>
      </c>
      <c r="G66" s="112" t="str">
        <f t="shared" si="77"/>
        <v/>
      </c>
      <c r="H66" s="112" t="str">
        <f t="shared" si="77"/>
        <v/>
      </c>
      <c r="I66" s="112" t="str">
        <f t="shared" si="77"/>
        <v/>
      </c>
      <c r="J66" s="113" t="str">
        <f t="shared" si="77"/>
        <v/>
      </c>
      <c r="K66" s="112" t="str">
        <f t="shared" si="77"/>
        <v/>
      </c>
      <c r="L66" s="112" t="str">
        <f t="shared" si="77"/>
        <v/>
      </c>
      <c r="M66" s="112" t="str">
        <f t="shared" si="77"/>
        <v/>
      </c>
      <c r="N66" s="112" t="str">
        <f t="shared" si="77"/>
        <v/>
      </c>
      <c r="O66" s="112" t="str">
        <f t="shared" si="77"/>
        <v/>
      </c>
      <c r="P66" s="114" t="str">
        <f t="shared" si="77"/>
        <v/>
      </c>
      <c r="Q66" s="118" t="str">
        <f>IF(ISNA(VLOOKUP($B66,SKIS_MASTER_DATA_AREA,3,FALSE)),"",VLOOKUP($B66,SKIS_MASTER_DATA_AREA,5,FALSE))</f>
        <v/>
      </c>
      <c r="R66" s="119" t="str">
        <f>IF(ISNA(VLOOKUP($B66,SKIS_MASTER_DATA_AREA,3,FALSE)),"",VLOOKUP($B66,SKIS_MASTER_DATA_AREA,IF(SKI_DISCOUNT_TYPE=0,8,9),FALSE))</f>
        <v/>
      </c>
      <c r="S66" s="120" t="str">
        <f>IF(ISNA(VLOOKUP($B66,SKIS_MASTER_DATA_AREA,3,FALSE)),"",VLOOKUP($B66,SKIS_MASTER_DATA_AREA,7,FALSE))</f>
        <v/>
      </c>
      <c r="T66" s="115" t="str">
        <f>IF(SUM(E67:P67)=0,"",SUM(E67:P67))</f>
        <v/>
      </c>
      <c r="U66" s="116" t="str">
        <f>IF(ISNA(VLOOKUP($B66,SKIS_MASTER_DATA_AREA,3,FALSE)),"",VLOOKUP($B66,SKIS_MASTER_DATA_AREA,10,FALSE))</f>
        <v/>
      </c>
      <c r="V66" s="98"/>
      <c r="W66" s="15">
        <f>IF(C66="",0,1)</f>
        <v>0</v>
      </c>
    </row>
    <row r="67" spans="1:23" ht="14" hidden="1" thickBot="1">
      <c r="A67" s="98"/>
      <c r="B67" s="364"/>
      <c r="C67" s="365"/>
      <c r="D67" s="365"/>
      <c r="E67" s="383" t="str">
        <f t="shared" ref="E67:P67" si="78">IF(ISNA(VLOOKUP($B66,SKIS_MASTER_DATA_AREA,3,FALSE)),"",IF(VLOOKUP($B66,SKIS_MASTER_DATA_AREA,H$2,FALSE)=0,"",VLOOKUP($B66,SKIS_MASTER_DATA_AREA,H$2,FALSE)))</f>
        <v/>
      </c>
      <c r="F67" s="384" t="str">
        <f t="shared" si="78"/>
        <v/>
      </c>
      <c r="G67" s="384" t="str">
        <f t="shared" si="78"/>
        <v/>
      </c>
      <c r="H67" s="384" t="str">
        <f t="shared" si="78"/>
        <v/>
      </c>
      <c r="I67" s="384" t="str">
        <f t="shared" si="78"/>
        <v/>
      </c>
      <c r="J67" s="384" t="str">
        <f t="shared" si="78"/>
        <v/>
      </c>
      <c r="K67" s="385" t="str">
        <f t="shared" si="78"/>
        <v/>
      </c>
      <c r="L67" s="384" t="str">
        <f t="shared" si="78"/>
        <v/>
      </c>
      <c r="M67" s="384" t="str">
        <f t="shared" si="78"/>
        <v/>
      </c>
      <c r="N67" s="384" t="str">
        <f t="shared" si="78"/>
        <v/>
      </c>
      <c r="O67" s="384" t="str">
        <f t="shared" si="78"/>
        <v/>
      </c>
      <c r="P67" s="386" t="str">
        <f t="shared" si="78"/>
        <v/>
      </c>
      <c r="Q67" s="366"/>
      <c r="R67" s="367"/>
      <c r="S67" s="368"/>
      <c r="T67" s="382"/>
      <c r="U67" s="374"/>
      <c r="V67" s="98"/>
      <c r="W67" s="15">
        <f t="shared" ref="W67" si="79">IF(W66=0,0,1)</f>
        <v>0</v>
      </c>
    </row>
    <row r="68" spans="1:23" ht="14" hidden="1" thickBot="1">
      <c r="A68" s="98"/>
      <c r="B68" s="364">
        <v>27</v>
      </c>
      <c r="C68" s="363" t="str">
        <f>IF(ISNA(VLOOKUP($B68,SKIS_MASTER_DATA_AREA,3,FALSE)),"",VLOOKUP($B68,SKIS_MASTER_DATA_AREA,3,FALSE))</f>
        <v/>
      </c>
      <c r="D68" s="117" t="str">
        <f>IF(ISNA(VLOOKUP($B68,SKIS_MASTER_DATA_AREA,3,FALSE)),"",VLOOKUP($B68,SKIS_MASTER_DATA_AREA,4,FALSE))</f>
        <v/>
      </c>
      <c r="E68" s="112" t="str">
        <f t="shared" ref="E68:P68" si="80">IF(ISNA(VLOOKUP($B68,SKIS_MASTER_DATA_AREA,3,FALSE)),"",IF(VLOOKUP($B68,SKIS_MASTER_DATA_AREA,H$1,FALSE)=0,"",VLOOKUP($B68,SKIS_MASTER_DATA_AREA,H$1,FALSE)))</f>
        <v/>
      </c>
      <c r="F68" s="112" t="str">
        <f t="shared" si="80"/>
        <v/>
      </c>
      <c r="G68" s="112" t="str">
        <f t="shared" si="80"/>
        <v/>
      </c>
      <c r="H68" s="112" t="str">
        <f t="shared" si="80"/>
        <v/>
      </c>
      <c r="I68" s="112" t="str">
        <f t="shared" si="80"/>
        <v/>
      </c>
      <c r="J68" s="113" t="str">
        <f t="shared" si="80"/>
        <v/>
      </c>
      <c r="K68" s="112" t="str">
        <f t="shared" si="80"/>
        <v/>
      </c>
      <c r="L68" s="112" t="str">
        <f t="shared" si="80"/>
        <v/>
      </c>
      <c r="M68" s="112" t="str">
        <f t="shared" si="80"/>
        <v/>
      </c>
      <c r="N68" s="112" t="str">
        <f t="shared" si="80"/>
        <v/>
      </c>
      <c r="O68" s="112" t="str">
        <f t="shared" si="80"/>
        <v/>
      </c>
      <c r="P68" s="114" t="str">
        <f t="shared" si="80"/>
        <v/>
      </c>
      <c r="Q68" s="118" t="str">
        <f>IF(ISNA(VLOOKUP($B68,SKIS_MASTER_DATA_AREA,3,FALSE)),"",VLOOKUP($B68,SKIS_MASTER_DATA_AREA,5,FALSE))</f>
        <v/>
      </c>
      <c r="R68" s="119" t="str">
        <f>IF(ISNA(VLOOKUP($B68,SKIS_MASTER_DATA_AREA,3,FALSE)),"",VLOOKUP($B68,SKIS_MASTER_DATA_AREA,IF(SKI_DISCOUNT_TYPE=0,8,9),FALSE))</f>
        <v/>
      </c>
      <c r="S68" s="120" t="str">
        <f>IF(ISNA(VLOOKUP($B68,SKIS_MASTER_DATA_AREA,3,FALSE)),"",VLOOKUP($B68,SKIS_MASTER_DATA_AREA,7,FALSE))</f>
        <v/>
      </c>
      <c r="T68" s="115" t="str">
        <f>IF(SUM(E69:P69)=0,"",SUM(E69:P69))</f>
        <v/>
      </c>
      <c r="U68" s="116" t="str">
        <f>IF(ISNA(VLOOKUP($B68,SKIS_MASTER_DATA_AREA,3,FALSE)),"",VLOOKUP($B68,SKIS_MASTER_DATA_AREA,10,FALSE))</f>
        <v/>
      </c>
      <c r="V68" s="98"/>
      <c r="W68" s="15">
        <f>IF(C68="",0,1)</f>
        <v>0</v>
      </c>
    </row>
    <row r="69" spans="1:23" ht="14" hidden="1" thickBot="1">
      <c r="A69" s="98"/>
      <c r="B69" s="364"/>
      <c r="C69" s="365"/>
      <c r="D69" s="365"/>
      <c r="E69" s="383" t="str">
        <f t="shared" ref="E69:P69" si="81">IF(ISNA(VLOOKUP($B68,SKIS_MASTER_DATA_AREA,3,FALSE)),"",IF(VLOOKUP($B68,SKIS_MASTER_DATA_AREA,H$2,FALSE)=0,"",VLOOKUP($B68,SKIS_MASTER_DATA_AREA,H$2,FALSE)))</f>
        <v/>
      </c>
      <c r="F69" s="384" t="str">
        <f t="shared" si="81"/>
        <v/>
      </c>
      <c r="G69" s="384" t="str">
        <f t="shared" si="81"/>
        <v/>
      </c>
      <c r="H69" s="384" t="str">
        <f t="shared" si="81"/>
        <v/>
      </c>
      <c r="I69" s="384" t="str">
        <f t="shared" si="81"/>
        <v/>
      </c>
      <c r="J69" s="384" t="str">
        <f t="shared" si="81"/>
        <v/>
      </c>
      <c r="K69" s="385" t="str">
        <f t="shared" si="81"/>
        <v/>
      </c>
      <c r="L69" s="384" t="str">
        <f t="shared" si="81"/>
        <v/>
      </c>
      <c r="M69" s="384" t="str">
        <f t="shared" si="81"/>
        <v/>
      </c>
      <c r="N69" s="384" t="str">
        <f t="shared" si="81"/>
        <v/>
      </c>
      <c r="O69" s="384" t="str">
        <f t="shared" si="81"/>
        <v/>
      </c>
      <c r="P69" s="386" t="str">
        <f t="shared" si="81"/>
        <v/>
      </c>
      <c r="Q69" s="366"/>
      <c r="R69" s="367"/>
      <c r="S69" s="368"/>
      <c r="T69" s="382"/>
      <c r="U69" s="374"/>
      <c r="V69" s="98"/>
      <c r="W69" s="15">
        <f t="shared" ref="W69" si="82">IF(W68=0,0,1)</f>
        <v>0</v>
      </c>
    </row>
    <row r="70" spans="1:23" ht="14" hidden="1" thickBot="1">
      <c r="A70" s="98"/>
      <c r="B70" s="364">
        <v>28</v>
      </c>
      <c r="C70" s="363" t="str">
        <f>IF(ISNA(VLOOKUP($B70,SKIS_MASTER_DATA_AREA,3,FALSE)),"",VLOOKUP($B70,SKIS_MASTER_DATA_AREA,3,FALSE))</f>
        <v/>
      </c>
      <c r="D70" s="117" t="str">
        <f>IF(ISNA(VLOOKUP($B70,SKIS_MASTER_DATA_AREA,3,FALSE)),"",VLOOKUP($B70,SKIS_MASTER_DATA_AREA,4,FALSE))</f>
        <v/>
      </c>
      <c r="E70" s="112" t="str">
        <f t="shared" ref="E70:P70" si="83">IF(ISNA(VLOOKUP($B70,SKIS_MASTER_DATA_AREA,3,FALSE)),"",IF(VLOOKUP($B70,SKIS_MASTER_DATA_AREA,H$1,FALSE)=0,"",VLOOKUP($B70,SKIS_MASTER_DATA_AREA,H$1,FALSE)))</f>
        <v/>
      </c>
      <c r="F70" s="112" t="str">
        <f t="shared" si="83"/>
        <v/>
      </c>
      <c r="G70" s="112" t="str">
        <f t="shared" si="83"/>
        <v/>
      </c>
      <c r="H70" s="112" t="str">
        <f t="shared" si="83"/>
        <v/>
      </c>
      <c r="I70" s="112" t="str">
        <f t="shared" si="83"/>
        <v/>
      </c>
      <c r="J70" s="113" t="str">
        <f t="shared" si="83"/>
        <v/>
      </c>
      <c r="K70" s="112" t="str">
        <f t="shared" si="83"/>
        <v/>
      </c>
      <c r="L70" s="112" t="str">
        <f t="shared" si="83"/>
        <v/>
      </c>
      <c r="M70" s="112" t="str">
        <f t="shared" si="83"/>
        <v/>
      </c>
      <c r="N70" s="112" t="str">
        <f t="shared" si="83"/>
        <v/>
      </c>
      <c r="O70" s="112" t="str">
        <f t="shared" si="83"/>
        <v/>
      </c>
      <c r="P70" s="114" t="str">
        <f t="shared" si="83"/>
        <v/>
      </c>
      <c r="Q70" s="118" t="str">
        <f>IF(ISNA(VLOOKUP($B70,SKIS_MASTER_DATA_AREA,3,FALSE)),"",VLOOKUP($B70,SKIS_MASTER_DATA_AREA,5,FALSE))</f>
        <v/>
      </c>
      <c r="R70" s="119" t="str">
        <f>IF(ISNA(VLOOKUP($B70,SKIS_MASTER_DATA_AREA,3,FALSE)),"",VLOOKUP($B70,SKIS_MASTER_DATA_AREA,IF(SKI_DISCOUNT_TYPE=0,8,9),FALSE))</f>
        <v/>
      </c>
      <c r="S70" s="120" t="str">
        <f>IF(ISNA(VLOOKUP($B70,SKIS_MASTER_DATA_AREA,3,FALSE)),"",VLOOKUP($B70,SKIS_MASTER_DATA_AREA,7,FALSE))</f>
        <v/>
      </c>
      <c r="T70" s="115" t="str">
        <f>IF(SUM(E71:P71)=0,"",SUM(E71:P71))</f>
        <v/>
      </c>
      <c r="U70" s="116" t="str">
        <f>IF(ISNA(VLOOKUP($B70,SKIS_MASTER_DATA_AREA,3,FALSE)),"",VLOOKUP($B70,SKIS_MASTER_DATA_AREA,10,FALSE))</f>
        <v/>
      </c>
      <c r="V70" s="98"/>
      <c r="W70" s="15">
        <f>IF(C70="",0,1)</f>
        <v>0</v>
      </c>
    </row>
    <row r="71" spans="1:23" ht="14" hidden="1" thickBot="1">
      <c r="A71" s="98"/>
      <c r="B71" s="364"/>
      <c r="C71" s="365"/>
      <c r="D71" s="365"/>
      <c r="E71" s="383" t="str">
        <f t="shared" ref="E71:P71" si="84">IF(ISNA(VLOOKUP($B70,SKIS_MASTER_DATA_AREA,3,FALSE)),"",IF(VLOOKUP($B70,SKIS_MASTER_DATA_AREA,H$2,FALSE)=0,"",VLOOKUP($B70,SKIS_MASTER_DATA_AREA,H$2,FALSE)))</f>
        <v/>
      </c>
      <c r="F71" s="384" t="str">
        <f t="shared" si="84"/>
        <v/>
      </c>
      <c r="G71" s="384" t="str">
        <f t="shared" si="84"/>
        <v/>
      </c>
      <c r="H71" s="384" t="str">
        <f t="shared" si="84"/>
        <v/>
      </c>
      <c r="I71" s="384" t="str">
        <f t="shared" si="84"/>
        <v/>
      </c>
      <c r="J71" s="384" t="str">
        <f t="shared" si="84"/>
        <v/>
      </c>
      <c r="K71" s="385" t="str">
        <f t="shared" si="84"/>
        <v/>
      </c>
      <c r="L71" s="384" t="str">
        <f t="shared" si="84"/>
        <v/>
      </c>
      <c r="M71" s="384" t="str">
        <f t="shared" si="84"/>
        <v/>
      </c>
      <c r="N71" s="384" t="str">
        <f t="shared" si="84"/>
        <v/>
      </c>
      <c r="O71" s="384" t="str">
        <f t="shared" si="84"/>
        <v/>
      </c>
      <c r="P71" s="386" t="str">
        <f t="shared" si="84"/>
        <v/>
      </c>
      <c r="Q71" s="366"/>
      <c r="R71" s="367"/>
      <c r="S71" s="368"/>
      <c r="T71" s="382"/>
      <c r="U71" s="374"/>
      <c r="V71" s="98"/>
      <c r="W71" s="15">
        <f t="shared" ref="W71" si="85">IF(W70=0,0,1)</f>
        <v>0</v>
      </c>
    </row>
    <row r="72" spans="1:23" ht="14" hidden="1" thickBot="1">
      <c r="A72" s="98"/>
      <c r="B72" s="364">
        <v>29</v>
      </c>
      <c r="C72" s="363" t="str">
        <f>IF(ISNA(VLOOKUP($B72,SKIS_MASTER_DATA_AREA,3,FALSE)),"",VLOOKUP($B72,SKIS_MASTER_DATA_AREA,3,FALSE))</f>
        <v/>
      </c>
      <c r="D72" s="117" t="str">
        <f>IF(ISNA(VLOOKUP($B72,SKIS_MASTER_DATA_AREA,3,FALSE)),"",VLOOKUP($B72,SKIS_MASTER_DATA_AREA,4,FALSE))</f>
        <v/>
      </c>
      <c r="E72" s="112" t="str">
        <f t="shared" ref="E72:P72" si="86">IF(ISNA(VLOOKUP($B72,SKIS_MASTER_DATA_AREA,3,FALSE)),"",IF(VLOOKUP($B72,SKIS_MASTER_DATA_AREA,H$1,FALSE)=0,"",VLOOKUP($B72,SKIS_MASTER_DATA_AREA,H$1,FALSE)))</f>
        <v/>
      </c>
      <c r="F72" s="112" t="str">
        <f t="shared" si="86"/>
        <v/>
      </c>
      <c r="G72" s="112" t="str">
        <f t="shared" si="86"/>
        <v/>
      </c>
      <c r="H72" s="112" t="str">
        <f t="shared" si="86"/>
        <v/>
      </c>
      <c r="I72" s="112" t="str">
        <f t="shared" si="86"/>
        <v/>
      </c>
      <c r="J72" s="113" t="str">
        <f t="shared" si="86"/>
        <v/>
      </c>
      <c r="K72" s="112" t="str">
        <f t="shared" si="86"/>
        <v/>
      </c>
      <c r="L72" s="112" t="str">
        <f t="shared" si="86"/>
        <v/>
      </c>
      <c r="M72" s="112" t="str">
        <f t="shared" si="86"/>
        <v/>
      </c>
      <c r="N72" s="112" t="str">
        <f t="shared" si="86"/>
        <v/>
      </c>
      <c r="O72" s="112" t="str">
        <f t="shared" si="86"/>
        <v/>
      </c>
      <c r="P72" s="114" t="str">
        <f t="shared" si="86"/>
        <v/>
      </c>
      <c r="Q72" s="118" t="str">
        <f>IF(ISNA(VLOOKUP($B72,SKIS_MASTER_DATA_AREA,3,FALSE)),"",VLOOKUP($B72,SKIS_MASTER_DATA_AREA,5,FALSE))</f>
        <v/>
      </c>
      <c r="R72" s="119" t="str">
        <f>IF(ISNA(VLOOKUP($B72,SKIS_MASTER_DATA_AREA,3,FALSE)),"",VLOOKUP($B72,SKIS_MASTER_DATA_AREA,IF(SKI_DISCOUNT_TYPE=0,8,9),FALSE))</f>
        <v/>
      </c>
      <c r="S72" s="120" t="str">
        <f>IF(ISNA(VLOOKUP($B72,SKIS_MASTER_DATA_AREA,3,FALSE)),"",VLOOKUP($B72,SKIS_MASTER_DATA_AREA,7,FALSE))</f>
        <v/>
      </c>
      <c r="T72" s="115" t="str">
        <f>IF(SUM(E73:P73)=0,"",SUM(E73:P73))</f>
        <v/>
      </c>
      <c r="U72" s="116" t="str">
        <f>IF(ISNA(VLOOKUP($B72,SKIS_MASTER_DATA_AREA,3,FALSE)),"",VLOOKUP($B72,SKIS_MASTER_DATA_AREA,10,FALSE))</f>
        <v/>
      </c>
      <c r="V72" s="98"/>
      <c r="W72" s="15">
        <f>IF(C72="",0,1)</f>
        <v>0</v>
      </c>
    </row>
    <row r="73" spans="1:23" ht="14" hidden="1" thickBot="1">
      <c r="A73" s="98"/>
      <c r="B73" s="364"/>
      <c r="C73" s="365"/>
      <c r="D73" s="365"/>
      <c r="E73" s="383" t="str">
        <f t="shared" ref="E73:P73" si="87">IF(ISNA(VLOOKUP($B72,SKIS_MASTER_DATA_AREA,3,FALSE)),"",IF(VLOOKUP($B72,SKIS_MASTER_DATA_AREA,H$2,FALSE)=0,"",VLOOKUP($B72,SKIS_MASTER_DATA_AREA,H$2,FALSE)))</f>
        <v/>
      </c>
      <c r="F73" s="384" t="str">
        <f t="shared" si="87"/>
        <v/>
      </c>
      <c r="G73" s="384" t="str">
        <f t="shared" si="87"/>
        <v/>
      </c>
      <c r="H73" s="384" t="str">
        <f t="shared" si="87"/>
        <v/>
      </c>
      <c r="I73" s="384" t="str">
        <f t="shared" si="87"/>
        <v/>
      </c>
      <c r="J73" s="384" t="str">
        <f t="shared" si="87"/>
        <v/>
      </c>
      <c r="K73" s="385" t="str">
        <f t="shared" si="87"/>
        <v/>
      </c>
      <c r="L73" s="384" t="str">
        <f t="shared" si="87"/>
        <v/>
      </c>
      <c r="M73" s="384" t="str">
        <f t="shared" si="87"/>
        <v/>
      </c>
      <c r="N73" s="384" t="str">
        <f t="shared" si="87"/>
        <v/>
      </c>
      <c r="O73" s="384" t="str">
        <f t="shared" si="87"/>
        <v/>
      </c>
      <c r="P73" s="386" t="str">
        <f t="shared" si="87"/>
        <v/>
      </c>
      <c r="Q73" s="366"/>
      <c r="R73" s="367"/>
      <c r="S73" s="368"/>
      <c r="T73" s="382"/>
      <c r="U73" s="374"/>
      <c r="V73" s="98"/>
      <c r="W73" s="15">
        <f t="shared" ref="W73" si="88">IF(W72=0,0,1)</f>
        <v>0</v>
      </c>
    </row>
    <row r="74" spans="1:23" ht="14" hidden="1" thickBot="1">
      <c r="A74" s="98"/>
      <c r="B74" s="364">
        <v>30</v>
      </c>
      <c r="C74" s="363" t="str">
        <f>IF(ISNA(VLOOKUP($B74,SKIS_MASTER_DATA_AREA,3,FALSE)),"",VLOOKUP($B74,SKIS_MASTER_DATA_AREA,3,FALSE))</f>
        <v/>
      </c>
      <c r="D74" s="117" t="str">
        <f>IF(ISNA(VLOOKUP($B74,SKIS_MASTER_DATA_AREA,3,FALSE)),"",VLOOKUP($B74,SKIS_MASTER_DATA_AREA,4,FALSE))</f>
        <v/>
      </c>
      <c r="E74" s="112" t="str">
        <f t="shared" ref="E74:P74" si="89">IF(ISNA(VLOOKUP($B74,SKIS_MASTER_DATA_AREA,3,FALSE)),"",IF(VLOOKUP($B74,SKIS_MASTER_DATA_AREA,H$1,FALSE)=0,"",VLOOKUP($B74,SKIS_MASTER_DATA_AREA,H$1,FALSE)))</f>
        <v/>
      </c>
      <c r="F74" s="112" t="str">
        <f t="shared" si="89"/>
        <v/>
      </c>
      <c r="G74" s="112" t="str">
        <f t="shared" si="89"/>
        <v/>
      </c>
      <c r="H74" s="112" t="str">
        <f t="shared" si="89"/>
        <v/>
      </c>
      <c r="I74" s="112" t="str">
        <f t="shared" si="89"/>
        <v/>
      </c>
      <c r="J74" s="113" t="str">
        <f t="shared" si="89"/>
        <v/>
      </c>
      <c r="K74" s="112" t="str">
        <f t="shared" si="89"/>
        <v/>
      </c>
      <c r="L74" s="112" t="str">
        <f t="shared" si="89"/>
        <v/>
      </c>
      <c r="M74" s="112" t="str">
        <f t="shared" si="89"/>
        <v/>
      </c>
      <c r="N74" s="112" t="str">
        <f t="shared" si="89"/>
        <v/>
      </c>
      <c r="O74" s="112" t="str">
        <f t="shared" si="89"/>
        <v/>
      </c>
      <c r="P74" s="114" t="str">
        <f t="shared" si="89"/>
        <v/>
      </c>
      <c r="Q74" s="118" t="str">
        <f>IF(ISNA(VLOOKUP($B74,SKIS_MASTER_DATA_AREA,3,FALSE)),"",VLOOKUP($B74,SKIS_MASTER_DATA_AREA,5,FALSE))</f>
        <v/>
      </c>
      <c r="R74" s="119" t="str">
        <f>IF(ISNA(VLOOKUP($B74,SKIS_MASTER_DATA_AREA,3,FALSE)),"",VLOOKUP($B74,SKIS_MASTER_DATA_AREA,IF(SKI_DISCOUNT_TYPE=0,8,9),FALSE))</f>
        <v/>
      </c>
      <c r="S74" s="120" t="str">
        <f>IF(ISNA(VLOOKUP($B74,SKIS_MASTER_DATA_AREA,3,FALSE)),"",VLOOKUP($B74,SKIS_MASTER_DATA_AREA,7,FALSE))</f>
        <v/>
      </c>
      <c r="T74" s="115" t="str">
        <f>IF(SUM(E75:P75)=0,"",SUM(E75:P75))</f>
        <v/>
      </c>
      <c r="U74" s="116" t="str">
        <f>IF(ISNA(VLOOKUP($B74,SKIS_MASTER_DATA_AREA,3,FALSE)),"",VLOOKUP($B74,SKIS_MASTER_DATA_AREA,10,FALSE))</f>
        <v/>
      </c>
      <c r="V74" s="98"/>
      <c r="W74" s="15">
        <f>IF(C74="",0,1)</f>
        <v>0</v>
      </c>
    </row>
    <row r="75" spans="1:23" ht="14" hidden="1" thickBot="1">
      <c r="A75" s="98"/>
      <c r="B75" s="364"/>
      <c r="C75" s="365"/>
      <c r="D75" s="365"/>
      <c r="E75" s="383" t="str">
        <f t="shared" ref="E75:P75" si="90">IF(ISNA(VLOOKUP($B74,SKIS_MASTER_DATA_AREA,3,FALSE)),"",IF(VLOOKUP($B74,SKIS_MASTER_DATA_AREA,H$2,FALSE)=0,"",VLOOKUP($B74,SKIS_MASTER_DATA_AREA,H$2,FALSE)))</f>
        <v/>
      </c>
      <c r="F75" s="384" t="str">
        <f t="shared" si="90"/>
        <v/>
      </c>
      <c r="G75" s="384" t="str">
        <f t="shared" si="90"/>
        <v/>
      </c>
      <c r="H75" s="384" t="str">
        <f t="shared" si="90"/>
        <v/>
      </c>
      <c r="I75" s="384" t="str">
        <f t="shared" si="90"/>
        <v/>
      </c>
      <c r="J75" s="384" t="str">
        <f t="shared" si="90"/>
        <v/>
      </c>
      <c r="K75" s="385" t="str">
        <f t="shared" si="90"/>
        <v/>
      </c>
      <c r="L75" s="384" t="str">
        <f t="shared" si="90"/>
        <v/>
      </c>
      <c r="M75" s="384" t="str">
        <f t="shared" si="90"/>
        <v/>
      </c>
      <c r="N75" s="384" t="str">
        <f t="shared" si="90"/>
        <v/>
      </c>
      <c r="O75" s="384" t="str">
        <f t="shared" si="90"/>
        <v/>
      </c>
      <c r="P75" s="386" t="str">
        <f t="shared" si="90"/>
        <v/>
      </c>
      <c r="Q75" s="366"/>
      <c r="R75" s="367"/>
      <c r="S75" s="368"/>
      <c r="T75" s="382"/>
      <c r="U75" s="374"/>
      <c r="V75" s="98"/>
      <c r="W75" s="15">
        <f t="shared" ref="W75" si="91">IF(W74=0,0,1)</f>
        <v>0</v>
      </c>
    </row>
    <row r="76" spans="1:23" ht="14" hidden="1" thickBot="1">
      <c r="A76" s="98"/>
      <c r="B76" s="364">
        <v>31</v>
      </c>
      <c r="C76" s="363" t="str">
        <f>IF(ISNA(VLOOKUP($B76,SKIS_MASTER_DATA_AREA,3,FALSE)),"",VLOOKUP($B76,SKIS_MASTER_DATA_AREA,3,FALSE))</f>
        <v/>
      </c>
      <c r="D76" s="117" t="str">
        <f>IF(ISNA(VLOOKUP($B76,SKIS_MASTER_DATA_AREA,3,FALSE)),"",VLOOKUP($B76,SKIS_MASTER_DATA_AREA,4,FALSE))</f>
        <v/>
      </c>
      <c r="E76" s="112" t="str">
        <f t="shared" ref="E76:P76" si="92">IF(ISNA(VLOOKUP($B76,SKIS_MASTER_DATA_AREA,3,FALSE)),"",IF(VLOOKUP($B76,SKIS_MASTER_DATA_AREA,H$1,FALSE)=0,"",VLOOKUP($B76,SKIS_MASTER_DATA_AREA,H$1,FALSE)))</f>
        <v/>
      </c>
      <c r="F76" s="112" t="str">
        <f t="shared" si="92"/>
        <v/>
      </c>
      <c r="G76" s="112" t="str">
        <f t="shared" si="92"/>
        <v/>
      </c>
      <c r="H76" s="112" t="str">
        <f t="shared" si="92"/>
        <v/>
      </c>
      <c r="I76" s="112" t="str">
        <f t="shared" si="92"/>
        <v/>
      </c>
      <c r="J76" s="113" t="str">
        <f t="shared" si="92"/>
        <v/>
      </c>
      <c r="K76" s="112" t="str">
        <f t="shared" si="92"/>
        <v/>
      </c>
      <c r="L76" s="112" t="str">
        <f t="shared" si="92"/>
        <v/>
      </c>
      <c r="M76" s="112" t="str">
        <f t="shared" si="92"/>
        <v/>
      </c>
      <c r="N76" s="112" t="str">
        <f t="shared" si="92"/>
        <v/>
      </c>
      <c r="O76" s="112" t="str">
        <f t="shared" si="92"/>
        <v/>
      </c>
      <c r="P76" s="114" t="str">
        <f t="shared" si="92"/>
        <v/>
      </c>
      <c r="Q76" s="118" t="str">
        <f>IF(ISNA(VLOOKUP($B76,SKIS_MASTER_DATA_AREA,3,FALSE)),"",VLOOKUP($B76,SKIS_MASTER_DATA_AREA,5,FALSE))</f>
        <v/>
      </c>
      <c r="R76" s="119" t="str">
        <f>IF(ISNA(VLOOKUP($B76,SKIS_MASTER_DATA_AREA,3,FALSE)),"",VLOOKUP($B76,SKIS_MASTER_DATA_AREA,IF(SKI_DISCOUNT_TYPE=0,8,9),FALSE))</f>
        <v/>
      </c>
      <c r="S76" s="120" t="str">
        <f>IF(ISNA(VLOOKUP($B76,SKIS_MASTER_DATA_AREA,3,FALSE)),"",VLOOKUP($B76,SKIS_MASTER_DATA_AREA,7,FALSE))</f>
        <v/>
      </c>
      <c r="T76" s="115" t="str">
        <f>IF(SUM(E77:P77)=0,"",SUM(E77:P77))</f>
        <v/>
      </c>
      <c r="U76" s="116" t="str">
        <f>IF(ISNA(VLOOKUP($B76,SKIS_MASTER_DATA_AREA,3,FALSE)),"",VLOOKUP($B76,SKIS_MASTER_DATA_AREA,10,FALSE))</f>
        <v/>
      </c>
      <c r="V76" s="98"/>
      <c r="W76" s="15">
        <f>IF(C76="",0,1)</f>
        <v>0</v>
      </c>
    </row>
    <row r="77" spans="1:23" ht="14" hidden="1" thickBot="1">
      <c r="A77" s="98"/>
      <c r="B77" s="364"/>
      <c r="C77" s="365"/>
      <c r="D77" s="365"/>
      <c r="E77" s="383" t="str">
        <f t="shared" ref="E77:P77" si="93">IF(ISNA(VLOOKUP($B76,SKIS_MASTER_DATA_AREA,3,FALSE)),"",IF(VLOOKUP($B76,SKIS_MASTER_DATA_AREA,H$2,FALSE)=0,"",VLOOKUP($B76,SKIS_MASTER_DATA_AREA,H$2,FALSE)))</f>
        <v/>
      </c>
      <c r="F77" s="384" t="str">
        <f t="shared" si="93"/>
        <v/>
      </c>
      <c r="G77" s="384" t="str">
        <f t="shared" si="93"/>
        <v/>
      </c>
      <c r="H77" s="384" t="str">
        <f t="shared" si="93"/>
        <v/>
      </c>
      <c r="I77" s="384" t="str">
        <f t="shared" si="93"/>
        <v/>
      </c>
      <c r="J77" s="384" t="str">
        <f t="shared" si="93"/>
        <v/>
      </c>
      <c r="K77" s="385" t="str">
        <f t="shared" si="93"/>
        <v/>
      </c>
      <c r="L77" s="384" t="str">
        <f t="shared" si="93"/>
        <v/>
      </c>
      <c r="M77" s="384" t="str">
        <f t="shared" si="93"/>
        <v/>
      </c>
      <c r="N77" s="384" t="str">
        <f t="shared" si="93"/>
        <v/>
      </c>
      <c r="O77" s="384" t="str">
        <f t="shared" si="93"/>
        <v/>
      </c>
      <c r="P77" s="386" t="str">
        <f t="shared" si="93"/>
        <v/>
      </c>
      <c r="Q77" s="366"/>
      <c r="R77" s="367"/>
      <c r="S77" s="368"/>
      <c r="T77" s="382"/>
      <c r="U77" s="374"/>
      <c r="V77" s="98"/>
      <c r="W77" s="15">
        <f t="shared" ref="W77" si="94">IF(W76=0,0,1)</f>
        <v>0</v>
      </c>
    </row>
    <row r="78" spans="1:23" ht="14" hidden="1" thickBot="1">
      <c r="A78" s="98"/>
      <c r="B78" s="364">
        <v>32</v>
      </c>
      <c r="C78" s="363" t="str">
        <f>IF(ISNA(VLOOKUP($B78,SKIS_MASTER_DATA_AREA,3,FALSE)),"",VLOOKUP($B78,SKIS_MASTER_DATA_AREA,3,FALSE))</f>
        <v/>
      </c>
      <c r="D78" s="117" t="str">
        <f>IF(ISNA(VLOOKUP($B78,SKIS_MASTER_DATA_AREA,3,FALSE)),"",VLOOKUP($B78,SKIS_MASTER_DATA_AREA,4,FALSE))</f>
        <v/>
      </c>
      <c r="E78" s="112" t="str">
        <f t="shared" ref="E78:P78" si="95">IF(ISNA(VLOOKUP($B78,SKIS_MASTER_DATA_AREA,3,FALSE)),"",IF(VLOOKUP($B78,SKIS_MASTER_DATA_AREA,H$1,FALSE)=0,"",VLOOKUP($B78,SKIS_MASTER_DATA_AREA,H$1,FALSE)))</f>
        <v/>
      </c>
      <c r="F78" s="112" t="str">
        <f t="shared" si="95"/>
        <v/>
      </c>
      <c r="G78" s="112" t="str">
        <f t="shared" si="95"/>
        <v/>
      </c>
      <c r="H78" s="112" t="str">
        <f t="shared" si="95"/>
        <v/>
      </c>
      <c r="I78" s="112" t="str">
        <f t="shared" si="95"/>
        <v/>
      </c>
      <c r="J78" s="113" t="str">
        <f t="shared" si="95"/>
        <v/>
      </c>
      <c r="K78" s="112" t="str">
        <f t="shared" si="95"/>
        <v/>
      </c>
      <c r="L78" s="112" t="str">
        <f t="shared" si="95"/>
        <v/>
      </c>
      <c r="M78" s="112" t="str">
        <f t="shared" si="95"/>
        <v/>
      </c>
      <c r="N78" s="112" t="str">
        <f t="shared" si="95"/>
        <v/>
      </c>
      <c r="O78" s="112" t="str">
        <f t="shared" si="95"/>
        <v/>
      </c>
      <c r="P78" s="114" t="str">
        <f t="shared" si="95"/>
        <v/>
      </c>
      <c r="Q78" s="118" t="str">
        <f>IF(ISNA(VLOOKUP($B78,SKIS_MASTER_DATA_AREA,3,FALSE)),"",VLOOKUP($B78,SKIS_MASTER_DATA_AREA,5,FALSE))</f>
        <v/>
      </c>
      <c r="R78" s="119" t="str">
        <f>IF(ISNA(VLOOKUP($B78,SKIS_MASTER_DATA_AREA,3,FALSE)),"",VLOOKUP($B78,SKIS_MASTER_DATA_AREA,IF(SKI_DISCOUNT_TYPE=0,8,9),FALSE))</f>
        <v/>
      </c>
      <c r="S78" s="120" t="str">
        <f>IF(ISNA(VLOOKUP($B78,SKIS_MASTER_DATA_AREA,3,FALSE)),"",VLOOKUP($B78,SKIS_MASTER_DATA_AREA,7,FALSE))</f>
        <v/>
      </c>
      <c r="T78" s="115" t="str">
        <f>IF(SUM(E79:P79)=0,"",SUM(E79:P79))</f>
        <v/>
      </c>
      <c r="U78" s="116" t="str">
        <f>IF(ISNA(VLOOKUP($B78,SKIS_MASTER_DATA_AREA,3,FALSE)),"",VLOOKUP($B78,SKIS_MASTER_DATA_AREA,10,FALSE))</f>
        <v/>
      </c>
      <c r="V78" s="98"/>
      <c r="W78" s="15">
        <f>IF(C78="",0,1)</f>
        <v>0</v>
      </c>
    </row>
    <row r="79" spans="1:23" ht="14" hidden="1" thickBot="1">
      <c r="A79" s="98"/>
      <c r="B79" s="364"/>
      <c r="C79" s="365"/>
      <c r="D79" s="365"/>
      <c r="E79" s="383" t="str">
        <f t="shared" ref="E79:P79" si="96">IF(ISNA(VLOOKUP($B78,SKIS_MASTER_DATA_AREA,3,FALSE)),"",IF(VLOOKUP($B78,SKIS_MASTER_DATA_AREA,H$2,FALSE)=0,"",VLOOKUP($B78,SKIS_MASTER_DATA_AREA,H$2,FALSE)))</f>
        <v/>
      </c>
      <c r="F79" s="384" t="str">
        <f t="shared" si="96"/>
        <v/>
      </c>
      <c r="G79" s="384" t="str">
        <f t="shared" si="96"/>
        <v/>
      </c>
      <c r="H79" s="384" t="str">
        <f t="shared" si="96"/>
        <v/>
      </c>
      <c r="I79" s="384" t="str">
        <f t="shared" si="96"/>
        <v/>
      </c>
      <c r="J79" s="384" t="str">
        <f t="shared" si="96"/>
        <v/>
      </c>
      <c r="K79" s="385" t="str">
        <f t="shared" si="96"/>
        <v/>
      </c>
      <c r="L79" s="384" t="str">
        <f t="shared" si="96"/>
        <v/>
      </c>
      <c r="M79" s="384" t="str">
        <f t="shared" si="96"/>
        <v/>
      </c>
      <c r="N79" s="384" t="str">
        <f t="shared" si="96"/>
        <v/>
      </c>
      <c r="O79" s="384" t="str">
        <f t="shared" si="96"/>
        <v/>
      </c>
      <c r="P79" s="386" t="str">
        <f t="shared" si="96"/>
        <v/>
      </c>
      <c r="Q79" s="366"/>
      <c r="R79" s="367"/>
      <c r="S79" s="368"/>
      <c r="T79" s="382"/>
      <c r="U79" s="374"/>
      <c r="V79" s="98"/>
      <c r="W79" s="15">
        <f t="shared" ref="W79" si="97">IF(W78=0,0,1)</f>
        <v>0</v>
      </c>
    </row>
    <row r="80" spans="1:23" ht="14" hidden="1" thickBot="1">
      <c r="A80" s="98"/>
      <c r="B80" s="364">
        <v>33</v>
      </c>
      <c r="C80" s="363" t="str">
        <f>IF(ISNA(VLOOKUP($B80,SKIS_MASTER_DATA_AREA,3,FALSE)),"",VLOOKUP($B80,SKIS_MASTER_DATA_AREA,3,FALSE))</f>
        <v/>
      </c>
      <c r="D80" s="117" t="str">
        <f>IF(ISNA(VLOOKUP($B80,SKIS_MASTER_DATA_AREA,3,FALSE)),"",VLOOKUP($B80,SKIS_MASTER_DATA_AREA,4,FALSE))</f>
        <v/>
      </c>
      <c r="E80" s="112" t="str">
        <f t="shared" ref="E80:P80" si="98">IF(ISNA(VLOOKUP($B80,SKIS_MASTER_DATA_AREA,3,FALSE)),"",IF(VLOOKUP($B80,SKIS_MASTER_DATA_AREA,H$1,FALSE)=0,"",VLOOKUP($B80,SKIS_MASTER_DATA_AREA,H$1,FALSE)))</f>
        <v/>
      </c>
      <c r="F80" s="112" t="str">
        <f t="shared" si="98"/>
        <v/>
      </c>
      <c r="G80" s="112" t="str">
        <f t="shared" si="98"/>
        <v/>
      </c>
      <c r="H80" s="112" t="str">
        <f t="shared" si="98"/>
        <v/>
      </c>
      <c r="I80" s="112" t="str">
        <f t="shared" si="98"/>
        <v/>
      </c>
      <c r="J80" s="113" t="str">
        <f t="shared" si="98"/>
        <v/>
      </c>
      <c r="K80" s="112" t="str">
        <f t="shared" si="98"/>
        <v/>
      </c>
      <c r="L80" s="112" t="str">
        <f t="shared" si="98"/>
        <v/>
      </c>
      <c r="M80" s="112" t="str">
        <f t="shared" si="98"/>
        <v/>
      </c>
      <c r="N80" s="112" t="str">
        <f t="shared" si="98"/>
        <v/>
      </c>
      <c r="O80" s="112" t="str">
        <f t="shared" si="98"/>
        <v/>
      </c>
      <c r="P80" s="114" t="str">
        <f t="shared" si="98"/>
        <v/>
      </c>
      <c r="Q80" s="118" t="str">
        <f>IF(ISNA(VLOOKUP($B80,SKIS_MASTER_DATA_AREA,3,FALSE)),"",VLOOKUP($B80,SKIS_MASTER_DATA_AREA,5,FALSE))</f>
        <v/>
      </c>
      <c r="R80" s="119" t="str">
        <f>IF(ISNA(VLOOKUP($B80,SKIS_MASTER_DATA_AREA,3,FALSE)),"",VLOOKUP($B80,SKIS_MASTER_DATA_AREA,IF(SKI_DISCOUNT_TYPE=0,8,9),FALSE))</f>
        <v/>
      </c>
      <c r="S80" s="120" t="str">
        <f>IF(ISNA(VLOOKUP($B80,SKIS_MASTER_DATA_AREA,3,FALSE)),"",VLOOKUP($B80,SKIS_MASTER_DATA_AREA,7,FALSE))</f>
        <v/>
      </c>
      <c r="T80" s="115" t="str">
        <f>IF(SUM(E81:P81)=0,"",SUM(E81:P81))</f>
        <v/>
      </c>
      <c r="U80" s="116" t="str">
        <f>IF(ISNA(VLOOKUP($B80,SKIS_MASTER_DATA_AREA,3,FALSE)),"",VLOOKUP($B80,SKIS_MASTER_DATA_AREA,10,FALSE))</f>
        <v/>
      </c>
      <c r="V80" s="98"/>
      <c r="W80" s="15">
        <f>IF(C80="",0,1)</f>
        <v>0</v>
      </c>
    </row>
    <row r="81" spans="1:23" ht="14" hidden="1" thickBot="1">
      <c r="A81" s="98"/>
      <c r="B81" s="364"/>
      <c r="C81" s="365"/>
      <c r="D81" s="365"/>
      <c r="E81" s="383" t="str">
        <f t="shared" ref="E81:P81" si="99">IF(ISNA(VLOOKUP($B80,SKIS_MASTER_DATA_AREA,3,FALSE)),"",IF(VLOOKUP($B80,SKIS_MASTER_DATA_AREA,H$2,FALSE)=0,"",VLOOKUP($B80,SKIS_MASTER_DATA_AREA,H$2,FALSE)))</f>
        <v/>
      </c>
      <c r="F81" s="384" t="str">
        <f t="shared" si="99"/>
        <v/>
      </c>
      <c r="G81" s="384" t="str">
        <f t="shared" si="99"/>
        <v/>
      </c>
      <c r="H81" s="384" t="str">
        <f t="shared" si="99"/>
        <v/>
      </c>
      <c r="I81" s="384" t="str">
        <f t="shared" si="99"/>
        <v/>
      </c>
      <c r="J81" s="384" t="str">
        <f t="shared" si="99"/>
        <v/>
      </c>
      <c r="K81" s="385" t="str">
        <f t="shared" si="99"/>
        <v/>
      </c>
      <c r="L81" s="384" t="str">
        <f t="shared" si="99"/>
        <v/>
      </c>
      <c r="M81" s="384" t="str">
        <f t="shared" si="99"/>
        <v/>
      </c>
      <c r="N81" s="384" t="str">
        <f t="shared" si="99"/>
        <v/>
      </c>
      <c r="O81" s="384" t="str">
        <f t="shared" si="99"/>
        <v/>
      </c>
      <c r="P81" s="386" t="str">
        <f t="shared" si="99"/>
        <v/>
      </c>
      <c r="Q81" s="366"/>
      <c r="R81" s="367"/>
      <c r="S81" s="368"/>
      <c r="T81" s="382"/>
      <c r="U81" s="374"/>
      <c r="V81" s="98"/>
      <c r="W81" s="15">
        <f t="shared" ref="W81" si="100">IF(W80=0,0,1)</f>
        <v>0</v>
      </c>
    </row>
    <row r="82" spans="1:23" ht="14" hidden="1" thickBot="1">
      <c r="A82" s="98"/>
      <c r="B82" s="364">
        <v>34</v>
      </c>
      <c r="C82" s="363" t="str">
        <f>IF(ISNA(VLOOKUP($B82,SKIS_MASTER_DATA_AREA,3,FALSE)),"",VLOOKUP($B82,SKIS_MASTER_DATA_AREA,3,FALSE))</f>
        <v/>
      </c>
      <c r="D82" s="117" t="str">
        <f>IF(ISNA(VLOOKUP($B82,SKIS_MASTER_DATA_AREA,3,FALSE)),"",VLOOKUP($B82,SKIS_MASTER_DATA_AREA,4,FALSE))</f>
        <v/>
      </c>
      <c r="E82" s="112" t="str">
        <f t="shared" ref="E82:P82" si="101">IF(ISNA(VLOOKUP($B82,SKIS_MASTER_DATA_AREA,3,FALSE)),"",IF(VLOOKUP($B82,SKIS_MASTER_DATA_AREA,H$1,FALSE)=0,"",VLOOKUP($B82,SKIS_MASTER_DATA_AREA,H$1,FALSE)))</f>
        <v/>
      </c>
      <c r="F82" s="112" t="str">
        <f t="shared" si="101"/>
        <v/>
      </c>
      <c r="G82" s="112" t="str">
        <f t="shared" si="101"/>
        <v/>
      </c>
      <c r="H82" s="112" t="str">
        <f t="shared" si="101"/>
        <v/>
      </c>
      <c r="I82" s="112" t="str">
        <f t="shared" si="101"/>
        <v/>
      </c>
      <c r="J82" s="113" t="str">
        <f t="shared" si="101"/>
        <v/>
      </c>
      <c r="K82" s="112" t="str">
        <f t="shared" si="101"/>
        <v/>
      </c>
      <c r="L82" s="112" t="str">
        <f t="shared" si="101"/>
        <v/>
      </c>
      <c r="M82" s="112" t="str">
        <f t="shared" si="101"/>
        <v/>
      </c>
      <c r="N82" s="112" t="str">
        <f t="shared" si="101"/>
        <v/>
      </c>
      <c r="O82" s="112" t="str">
        <f t="shared" si="101"/>
        <v/>
      </c>
      <c r="P82" s="114" t="str">
        <f t="shared" si="101"/>
        <v/>
      </c>
      <c r="Q82" s="118" t="str">
        <f>IF(ISNA(VLOOKUP($B82,SKIS_MASTER_DATA_AREA,3,FALSE)),"",VLOOKUP($B82,SKIS_MASTER_DATA_AREA,5,FALSE))</f>
        <v/>
      </c>
      <c r="R82" s="119" t="str">
        <f>IF(ISNA(VLOOKUP($B82,SKIS_MASTER_DATA_AREA,3,FALSE)),"",VLOOKUP($B82,SKIS_MASTER_DATA_AREA,IF(SKI_DISCOUNT_TYPE=0,8,9),FALSE))</f>
        <v/>
      </c>
      <c r="S82" s="120" t="str">
        <f>IF(ISNA(VLOOKUP($B82,SKIS_MASTER_DATA_AREA,3,FALSE)),"",VLOOKUP($B82,SKIS_MASTER_DATA_AREA,7,FALSE))</f>
        <v/>
      </c>
      <c r="T82" s="115" t="str">
        <f>IF(SUM(E83:P83)=0,"",SUM(E83:P83))</f>
        <v/>
      </c>
      <c r="U82" s="116" t="str">
        <f>IF(ISNA(VLOOKUP($B82,SKIS_MASTER_DATA_AREA,3,FALSE)),"",VLOOKUP($B82,SKIS_MASTER_DATA_AREA,10,FALSE))</f>
        <v/>
      </c>
      <c r="V82" s="98"/>
      <c r="W82" s="15">
        <f>IF(C82="",0,1)</f>
        <v>0</v>
      </c>
    </row>
    <row r="83" spans="1:23" ht="14" hidden="1" thickBot="1">
      <c r="A83" s="98"/>
      <c r="B83" s="364"/>
      <c r="C83" s="365"/>
      <c r="D83" s="365"/>
      <c r="E83" s="383" t="str">
        <f t="shared" ref="E83:P83" si="102">IF(ISNA(VLOOKUP($B82,SKIS_MASTER_DATA_AREA,3,FALSE)),"",IF(VLOOKUP($B82,SKIS_MASTER_DATA_AREA,H$2,FALSE)=0,"",VLOOKUP($B82,SKIS_MASTER_DATA_AREA,H$2,FALSE)))</f>
        <v/>
      </c>
      <c r="F83" s="384" t="str">
        <f t="shared" si="102"/>
        <v/>
      </c>
      <c r="G83" s="384" t="str">
        <f t="shared" si="102"/>
        <v/>
      </c>
      <c r="H83" s="384" t="str">
        <f t="shared" si="102"/>
        <v/>
      </c>
      <c r="I83" s="384" t="str">
        <f t="shared" si="102"/>
        <v/>
      </c>
      <c r="J83" s="384" t="str">
        <f t="shared" si="102"/>
        <v/>
      </c>
      <c r="K83" s="385" t="str">
        <f t="shared" si="102"/>
        <v/>
      </c>
      <c r="L83" s="384" t="str">
        <f t="shared" si="102"/>
        <v/>
      </c>
      <c r="M83" s="384" t="str">
        <f t="shared" si="102"/>
        <v/>
      </c>
      <c r="N83" s="384" t="str">
        <f t="shared" si="102"/>
        <v/>
      </c>
      <c r="O83" s="384" t="str">
        <f t="shared" si="102"/>
        <v/>
      </c>
      <c r="P83" s="386" t="str">
        <f t="shared" si="102"/>
        <v/>
      </c>
      <c r="Q83" s="366"/>
      <c r="R83" s="367"/>
      <c r="S83" s="368"/>
      <c r="T83" s="382"/>
      <c r="U83" s="374"/>
      <c r="V83" s="98"/>
      <c r="W83" s="15">
        <f t="shared" ref="W83" si="103">IF(W82=0,0,1)</f>
        <v>0</v>
      </c>
    </row>
    <row r="84" spans="1:23" ht="14" hidden="1" thickBot="1">
      <c r="A84" s="98"/>
      <c r="B84" s="364">
        <v>35</v>
      </c>
      <c r="C84" s="363" t="str">
        <f>IF(ISNA(VLOOKUP($B84,SKIS_MASTER_DATA_AREA,3,FALSE)),"",VLOOKUP($B84,SKIS_MASTER_DATA_AREA,3,FALSE))</f>
        <v/>
      </c>
      <c r="D84" s="117" t="str">
        <f>IF(ISNA(VLOOKUP($B84,SKIS_MASTER_DATA_AREA,3,FALSE)),"",VLOOKUP($B84,SKIS_MASTER_DATA_AREA,4,FALSE))</f>
        <v/>
      </c>
      <c r="E84" s="112" t="str">
        <f t="shared" ref="E84:P84" si="104">IF(ISNA(VLOOKUP($B84,SKIS_MASTER_DATA_AREA,3,FALSE)),"",IF(VLOOKUP($B84,SKIS_MASTER_DATA_AREA,H$1,FALSE)=0,"",VLOOKUP($B84,SKIS_MASTER_DATA_AREA,H$1,FALSE)))</f>
        <v/>
      </c>
      <c r="F84" s="112" t="str">
        <f t="shared" si="104"/>
        <v/>
      </c>
      <c r="G84" s="112" t="str">
        <f t="shared" si="104"/>
        <v/>
      </c>
      <c r="H84" s="112" t="str">
        <f t="shared" si="104"/>
        <v/>
      </c>
      <c r="I84" s="112" t="str">
        <f t="shared" si="104"/>
        <v/>
      </c>
      <c r="J84" s="113" t="str">
        <f t="shared" si="104"/>
        <v/>
      </c>
      <c r="K84" s="112" t="str">
        <f t="shared" si="104"/>
        <v/>
      </c>
      <c r="L84" s="112" t="str">
        <f t="shared" si="104"/>
        <v/>
      </c>
      <c r="M84" s="112" t="str">
        <f t="shared" si="104"/>
        <v/>
      </c>
      <c r="N84" s="112" t="str">
        <f t="shared" si="104"/>
        <v/>
      </c>
      <c r="O84" s="112" t="str">
        <f t="shared" si="104"/>
        <v/>
      </c>
      <c r="P84" s="114" t="str">
        <f t="shared" si="104"/>
        <v/>
      </c>
      <c r="Q84" s="118" t="str">
        <f>IF(ISNA(VLOOKUP($B84,SKIS_MASTER_DATA_AREA,3,FALSE)),"",VLOOKUP($B84,SKIS_MASTER_DATA_AREA,5,FALSE))</f>
        <v/>
      </c>
      <c r="R84" s="119" t="str">
        <f>IF(ISNA(VLOOKUP($B84,SKIS_MASTER_DATA_AREA,3,FALSE)),"",VLOOKUP($B84,SKIS_MASTER_DATA_AREA,IF(SKI_DISCOUNT_TYPE=0,8,9),FALSE))</f>
        <v/>
      </c>
      <c r="S84" s="120" t="str">
        <f>IF(ISNA(VLOOKUP($B84,SKIS_MASTER_DATA_AREA,3,FALSE)),"",VLOOKUP($B84,SKIS_MASTER_DATA_AREA,7,FALSE))</f>
        <v/>
      </c>
      <c r="T84" s="115" t="str">
        <f>IF(SUM(E85:P85)=0,"",SUM(E85:P85))</f>
        <v/>
      </c>
      <c r="U84" s="116" t="str">
        <f>IF(ISNA(VLOOKUP($B84,SKIS_MASTER_DATA_AREA,3,FALSE)),"",VLOOKUP($B84,SKIS_MASTER_DATA_AREA,10,FALSE))</f>
        <v/>
      </c>
      <c r="V84" s="98"/>
      <c r="W84" s="15">
        <f>IF(C84="",0,1)</f>
        <v>0</v>
      </c>
    </row>
    <row r="85" spans="1:23" ht="14" hidden="1" thickBot="1">
      <c r="A85" s="98"/>
      <c r="B85" s="364"/>
      <c r="C85" s="365"/>
      <c r="D85" s="365"/>
      <c r="E85" s="383" t="str">
        <f t="shared" ref="E85:P85" si="105">IF(ISNA(VLOOKUP($B84,SKIS_MASTER_DATA_AREA,3,FALSE)),"",IF(VLOOKUP($B84,SKIS_MASTER_DATA_AREA,H$2,FALSE)=0,"",VLOOKUP($B84,SKIS_MASTER_DATA_AREA,H$2,FALSE)))</f>
        <v/>
      </c>
      <c r="F85" s="384" t="str">
        <f t="shared" si="105"/>
        <v/>
      </c>
      <c r="G85" s="384" t="str">
        <f t="shared" si="105"/>
        <v/>
      </c>
      <c r="H85" s="384" t="str">
        <f t="shared" si="105"/>
        <v/>
      </c>
      <c r="I85" s="384" t="str">
        <f t="shared" si="105"/>
        <v/>
      </c>
      <c r="J85" s="384" t="str">
        <f t="shared" si="105"/>
        <v/>
      </c>
      <c r="K85" s="385" t="str">
        <f t="shared" si="105"/>
        <v/>
      </c>
      <c r="L85" s="384" t="str">
        <f t="shared" si="105"/>
        <v/>
      </c>
      <c r="M85" s="384" t="str">
        <f t="shared" si="105"/>
        <v/>
      </c>
      <c r="N85" s="384" t="str">
        <f t="shared" si="105"/>
        <v/>
      </c>
      <c r="O85" s="384" t="str">
        <f t="shared" si="105"/>
        <v/>
      </c>
      <c r="P85" s="386" t="str">
        <f t="shared" si="105"/>
        <v/>
      </c>
      <c r="Q85" s="366"/>
      <c r="R85" s="367"/>
      <c r="S85" s="368"/>
      <c r="T85" s="382"/>
      <c r="U85" s="374"/>
      <c r="V85" s="98"/>
      <c r="W85" s="15">
        <f t="shared" ref="W85" si="106">IF(W84=0,0,1)</f>
        <v>0</v>
      </c>
    </row>
    <row r="86" spans="1:23" ht="14" hidden="1" thickBot="1">
      <c r="A86" s="98"/>
      <c r="B86" s="364">
        <v>36</v>
      </c>
      <c r="C86" s="363" t="str">
        <f>IF(ISNA(VLOOKUP($B86,SKIS_MASTER_DATA_AREA,3,FALSE)),"",VLOOKUP($B86,SKIS_MASTER_DATA_AREA,3,FALSE))</f>
        <v/>
      </c>
      <c r="D86" s="117" t="str">
        <f>IF(ISNA(VLOOKUP($B86,SKIS_MASTER_DATA_AREA,3,FALSE)),"",VLOOKUP($B86,SKIS_MASTER_DATA_AREA,4,FALSE))</f>
        <v/>
      </c>
      <c r="E86" s="112" t="str">
        <f t="shared" ref="E86:P86" si="107">IF(ISNA(VLOOKUP($B86,SKIS_MASTER_DATA_AREA,3,FALSE)),"",IF(VLOOKUP($B86,SKIS_MASTER_DATA_AREA,H$1,FALSE)=0,"",VLOOKUP($B86,SKIS_MASTER_DATA_AREA,H$1,FALSE)))</f>
        <v/>
      </c>
      <c r="F86" s="112" t="str">
        <f t="shared" si="107"/>
        <v/>
      </c>
      <c r="G86" s="112" t="str">
        <f t="shared" si="107"/>
        <v/>
      </c>
      <c r="H86" s="112" t="str">
        <f t="shared" si="107"/>
        <v/>
      </c>
      <c r="I86" s="112" t="str">
        <f t="shared" si="107"/>
        <v/>
      </c>
      <c r="J86" s="113" t="str">
        <f t="shared" si="107"/>
        <v/>
      </c>
      <c r="K86" s="112" t="str">
        <f t="shared" si="107"/>
        <v/>
      </c>
      <c r="L86" s="112" t="str">
        <f t="shared" si="107"/>
        <v/>
      </c>
      <c r="M86" s="112" t="str">
        <f t="shared" si="107"/>
        <v/>
      </c>
      <c r="N86" s="112" t="str">
        <f t="shared" si="107"/>
        <v/>
      </c>
      <c r="O86" s="112" t="str">
        <f t="shared" si="107"/>
        <v/>
      </c>
      <c r="P86" s="114" t="str">
        <f t="shared" si="107"/>
        <v/>
      </c>
      <c r="Q86" s="118" t="str">
        <f>IF(ISNA(VLOOKUP($B86,SKIS_MASTER_DATA_AREA,3,FALSE)),"",VLOOKUP($B86,SKIS_MASTER_DATA_AREA,5,FALSE))</f>
        <v/>
      </c>
      <c r="R86" s="119" t="str">
        <f>IF(ISNA(VLOOKUP($B86,SKIS_MASTER_DATA_AREA,3,FALSE)),"",VLOOKUP($B86,SKIS_MASTER_DATA_AREA,IF(SKI_DISCOUNT_TYPE=0,8,9),FALSE))</f>
        <v/>
      </c>
      <c r="S86" s="120" t="str">
        <f>IF(ISNA(VLOOKUP($B86,SKIS_MASTER_DATA_AREA,3,FALSE)),"",VLOOKUP($B86,SKIS_MASTER_DATA_AREA,7,FALSE))</f>
        <v/>
      </c>
      <c r="T86" s="115" t="str">
        <f>IF(SUM(E87:P87)=0,"",SUM(E87:P87))</f>
        <v/>
      </c>
      <c r="U86" s="116" t="str">
        <f>IF(ISNA(VLOOKUP($B86,SKIS_MASTER_DATA_AREA,3,FALSE)),"",VLOOKUP($B86,SKIS_MASTER_DATA_AREA,10,FALSE))</f>
        <v/>
      </c>
      <c r="V86" s="98"/>
      <c r="W86" s="15">
        <f>IF(C86="",0,1)</f>
        <v>0</v>
      </c>
    </row>
    <row r="87" spans="1:23" ht="14" hidden="1" thickBot="1">
      <c r="A87" s="98"/>
      <c r="B87" s="364"/>
      <c r="C87" s="365"/>
      <c r="D87" s="365"/>
      <c r="E87" s="383" t="str">
        <f t="shared" ref="E87:P87" si="108">IF(ISNA(VLOOKUP($B86,SKIS_MASTER_DATA_AREA,3,FALSE)),"",IF(VLOOKUP($B86,SKIS_MASTER_DATA_AREA,H$2,FALSE)=0,"",VLOOKUP($B86,SKIS_MASTER_DATA_AREA,H$2,FALSE)))</f>
        <v/>
      </c>
      <c r="F87" s="384" t="str">
        <f t="shared" si="108"/>
        <v/>
      </c>
      <c r="G87" s="384" t="str">
        <f t="shared" si="108"/>
        <v/>
      </c>
      <c r="H87" s="384" t="str">
        <f t="shared" si="108"/>
        <v/>
      </c>
      <c r="I87" s="384" t="str">
        <f t="shared" si="108"/>
        <v/>
      </c>
      <c r="J87" s="384" t="str">
        <f t="shared" si="108"/>
        <v/>
      </c>
      <c r="K87" s="385" t="str">
        <f t="shared" si="108"/>
        <v/>
      </c>
      <c r="L87" s="384" t="str">
        <f t="shared" si="108"/>
        <v/>
      </c>
      <c r="M87" s="384" t="str">
        <f t="shared" si="108"/>
        <v/>
      </c>
      <c r="N87" s="384" t="str">
        <f t="shared" si="108"/>
        <v/>
      </c>
      <c r="O87" s="384" t="str">
        <f t="shared" si="108"/>
        <v/>
      </c>
      <c r="P87" s="386" t="str">
        <f t="shared" si="108"/>
        <v/>
      </c>
      <c r="Q87" s="366"/>
      <c r="R87" s="367"/>
      <c r="S87" s="368"/>
      <c r="T87" s="382"/>
      <c r="U87" s="374"/>
      <c r="V87" s="98"/>
      <c r="W87" s="15">
        <f t="shared" ref="W87" si="109">IF(W86=0,0,1)</f>
        <v>0</v>
      </c>
    </row>
    <row r="88" spans="1:23" ht="14" hidden="1" thickBot="1">
      <c r="A88" s="98"/>
      <c r="B88" s="364">
        <v>37</v>
      </c>
      <c r="C88" s="363" t="str">
        <f>IF(ISNA(VLOOKUP($B88,SKIS_MASTER_DATA_AREA,3,FALSE)),"",VLOOKUP($B88,SKIS_MASTER_DATA_AREA,3,FALSE))</f>
        <v/>
      </c>
      <c r="D88" s="117" t="str">
        <f>IF(ISNA(VLOOKUP($B88,SKIS_MASTER_DATA_AREA,3,FALSE)),"",VLOOKUP($B88,SKIS_MASTER_DATA_AREA,4,FALSE))</f>
        <v/>
      </c>
      <c r="E88" s="112" t="str">
        <f t="shared" ref="E88:P88" si="110">IF(ISNA(VLOOKUP($B88,SKIS_MASTER_DATA_AREA,3,FALSE)),"",IF(VLOOKUP($B88,SKIS_MASTER_DATA_AREA,H$1,FALSE)=0,"",VLOOKUP($B88,SKIS_MASTER_DATA_AREA,H$1,FALSE)))</f>
        <v/>
      </c>
      <c r="F88" s="112" t="str">
        <f t="shared" si="110"/>
        <v/>
      </c>
      <c r="G88" s="112" t="str">
        <f t="shared" si="110"/>
        <v/>
      </c>
      <c r="H88" s="112" t="str">
        <f t="shared" si="110"/>
        <v/>
      </c>
      <c r="I88" s="112" t="str">
        <f t="shared" si="110"/>
        <v/>
      </c>
      <c r="J88" s="113" t="str">
        <f t="shared" si="110"/>
        <v/>
      </c>
      <c r="K88" s="112" t="str">
        <f t="shared" si="110"/>
        <v/>
      </c>
      <c r="L88" s="112" t="str">
        <f t="shared" si="110"/>
        <v/>
      </c>
      <c r="M88" s="112" t="str">
        <f t="shared" si="110"/>
        <v/>
      </c>
      <c r="N88" s="112" t="str">
        <f t="shared" si="110"/>
        <v/>
      </c>
      <c r="O88" s="112" t="str">
        <f t="shared" si="110"/>
        <v/>
      </c>
      <c r="P88" s="114" t="str">
        <f t="shared" si="110"/>
        <v/>
      </c>
      <c r="Q88" s="118" t="str">
        <f>IF(ISNA(VLOOKUP($B88,SKIS_MASTER_DATA_AREA,3,FALSE)),"",VLOOKUP($B88,SKIS_MASTER_DATA_AREA,5,FALSE))</f>
        <v/>
      </c>
      <c r="R88" s="119" t="str">
        <f>IF(ISNA(VLOOKUP($B88,SKIS_MASTER_DATA_AREA,3,FALSE)),"",VLOOKUP($B88,SKIS_MASTER_DATA_AREA,IF(SKI_DISCOUNT_TYPE=0,8,9),FALSE))</f>
        <v/>
      </c>
      <c r="S88" s="120" t="str">
        <f>IF(ISNA(VLOOKUP($B88,SKIS_MASTER_DATA_AREA,3,FALSE)),"",VLOOKUP($B88,SKIS_MASTER_DATA_AREA,7,FALSE))</f>
        <v/>
      </c>
      <c r="T88" s="115" t="str">
        <f>IF(SUM(E89:P89)=0,"",SUM(E89:P89))</f>
        <v/>
      </c>
      <c r="U88" s="116" t="str">
        <f>IF(ISNA(VLOOKUP($B88,SKIS_MASTER_DATA_AREA,3,FALSE)),"",VLOOKUP($B88,SKIS_MASTER_DATA_AREA,10,FALSE))</f>
        <v/>
      </c>
      <c r="V88" s="98"/>
      <c r="W88" s="15">
        <f>IF(C88="",0,1)</f>
        <v>0</v>
      </c>
    </row>
    <row r="89" spans="1:23" ht="14" hidden="1" thickBot="1">
      <c r="A89" s="98"/>
      <c r="B89" s="364"/>
      <c r="C89" s="365"/>
      <c r="D89" s="365"/>
      <c r="E89" s="383" t="str">
        <f t="shared" ref="E89:P89" si="111">IF(ISNA(VLOOKUP($B88,SKIS_MASTER_DATA_AREA,3,FALSE)),"",IF(VLOOKUP($B88,SKIS_MASTER_DATA_AREA,H$2,FALSE)=0,"",VLOOKUP($B88,SKIS_MASTER_DATA_AREA,H$2,FALSE)))</f>
        <v/>
      </c>
      <c r="F89" s="384" t="str">
        <f t="shared" si="111"/>
        <v/>
      </c>
      <c r="G89" s="384" t="str">
        <f t="shared" si="111"/>
        <v/>
      </c>
      <c r="H89" s="384" t="str">
        <f t="shared" si="111"/>
        <v/>
      </c>
      <c r="I89" s="384" t="str">
        <f t="shared" si="111"/>
        <v/>
      </c>
      <c r="J89" s="384" t="str">
        <f t="shared" si="111"/>
        <v/>
      </c>
      <c r="K89" s="385" t="str">
        <f t="shared" si="111"/>
        <v/>
      </c>
      <c r="L89" s="384" t="str">
        <f t="shared" si="111"/>
        <v/>
      </c>
      <c r="M89" s="384" t="str">
        <f t="shared" si="111"/>
        <v/>
      </c>
      <c r="N89" s="384" t="str">
        <f t="shared" si="111"/>
        <v/>
      </c>
      <c r="O89" s="384" t="str">
        <f t="shared" si="111"/>
        <v/>
      </c>
      <c r="P89" s="386" t="str">
        <f t="shared" si="111"/>
        <v/>
      </c>
      <c r="Q89" s="366"/>
      <c r="R89" s="367"/>
      <c r="S89" s="368"/>
      <c r="T89" s="382"/>
      <c r="U89" s="374"/>
      <c r="V89" s="98"/>
      <c r="W89" s="15">
        <f t="shared" ref="W89:W105" si="112">IF(W88=0,0,1)</f>
        <v>0</v>
      </c>
    </row>
    <row r="90" spans="1:23" ht="14" hidden="1" thickBot="1">
      <c r="A90" s="98"/>
      <c r="B90" s="364">
        <v>38</v>
      </c>
      <c r="C90" s="363" t="str">
        <f>IF(ISNA(VLOOKUP($B90,SKIS_MASTER_DATA_AREA,3,FALSE)),"",VLOOKUP($B90,SKIS_MASTER_DATA_AREA,3,FALSE))</f>
        <v/>
      </c>
      <c r="D90" s="117" t="str">
        <f>IF(ISNA(VLOOKUP($B90,SKIS_MASTER_DATA_AREA,3,FALSE)),"",VLOOKUP($B90,SKIS_MASTER_DATA_AREA,4,FALSE))</f>
        <v/>
      </c>
      <c r="E90" s="112" t="str">
        <f t="shared" ref="E90:P90" si="113">IF(ISNA(VLOOKUP($B90,SKIS_MASTER_DATA_AREA,3,FALSE)),"",IF(VLOOKUP($B90,SKIS_MASTER_DATA_AREA,H$1,FALSE)=0,"",VLOOKUP($B90,SKIS_MASTER_DATA_AREA,H$1,FALSE)))</f>
        <v/>
      </c>
      <c r="F90" s="112" t="str">
        <f t="shared" si="113"/>
        <v/>
      </c>
      <c r="G90" s="112" t="str">
        <f t="shared" si="113"/>
        <v/>
      </c>
      <c r="H90" s="112" t="str">
        <f t="shared" si="113"/>
        <v/>
      </c>
      <c r="I90" s="112" t="str">
        <f t="shared" si="113"/>
        <v/>
      </c>
      <c r="J90" s="113" t="str">
        <f t="shared" si="113"/>
        <v/>
      </c>
      <c r="K90" s="112" t="str">
        <f t="shared" si="113"/>
        <v/>
      </c>
      <c r="L90" s="112" t="str">
        <f t="shared" si="113"/>
        <v/>
      </c>
      <c r="M90" s="112" t="str">
        <f t="shared" si="113"/>
        <v/>
      </c>
      <c r="N90" s="112" t="str">
        <f t="shared" si="113"/>
        <v/>
      </c>
      <c r="O90" s="112" t="str">
        <f t="shared" si="113"/>
        <v/>
      </c>
      <c r="P90" s="114" t="str">
        <f t="shared" si="113"/>
        <v/>
      </c>
      <c r="Q90" s="118" t="str">
        <f>IF(ISNA(VLOOKUP($B90,SKIS_MASTER_DATA_AREA,3,FALSE)),"",VLOOKUP($B90,SKIS_MASTER_DATA_AREA,5,FALSE))</f>
        <v/>
      </c>
      <c r="R90" s="119" t="str">
        <f>IF(ISNA(VLOOKUP($B90,SKIS_MASTER_DATA_AREA,3,FALSE)),"",VLOOKUP($B90,SKIS_MASTER_DATA_AREA,IF(SKI_DISCOUNT_TYPE=0,8,9),FALSE))</f>
        <v/>
      </c>
      <c r="S90" s="120" t="str">
        <f>IF(ISNA(VLOOKUP($B90,SKIS_MASTER_DATA_AREA,3,FALSE)),"",VLOOKUP($B90,SKIS_MASTER_DATA_AREA,7,FALSE))</f>
        <v/>
      </c>
      <c r="T90" s="115" t="str">
        <f>IF(SUM(E91:P91)=0,"",SUM(E91:P91))</f>
        <v/>
      </c>
      <c r="U90" s="116" t="str">
        <f>IF(ISNA(VLOOKUP($B90,SKIS_MASTER_DATA_AREA,3,FALSE)),"",VLOOKUP($B90,SKIS_MASTER_DATA_AREA,10,FALSE))</f>
        <v/>
      </c>
      <c r="V90" s="98"/>
      <c r="W90" s="15">
        <f>IF(C90="",0,1)</f>
        <v>0</v>
      </c>
    </row>
    <row r="91" spans="1:23" ht="14" hidden="1" thickBot="1">
      <c r="A91" s="98"/>
      <c r="B91" s="364"/>
      <c r="C91" s="365"/>
      <c r="D91" s="365"/>
      <c r="E91" s="383" t="str">
        <f t="shared" ref="E91:P91" si="114">IF(ISNA(VLOOKUP($B90,SKIS_MASTER_DATA_AREA,3,FALSE)),"",IF(VLOOKUP($B90,SKIS_MASTER_DATA_AREA,H$2,FALSE)=0,"",VLOOKUP($B90,SKIS_MASTER_DATA_AREA,H$2,FALSE)))</f>
        <v/>
      </c>
      <c r="F91" s="384" t="str">
        <f t="shared" si="114"/>
        <v/>
      </c>
      <c r="G91" s="384" t="str">
        <f t="shared" si="114"/>
        <v/>
      </c>
      <c r="H91" s="384" t="str">
        <f t="shared" si="114"/>
        <v/>
      </c>
      <c r="I91" s="384" t="str">
        <f t="shared" si="114"/>
        <v/>
      </c>
      <c r="J91" s="384" t="str">
        <f t="shared" si="114"/>
        <v/>
      </c>
      <c r="K91" s="385" t="str">
        <f t="shared" si="114"/>
        <v/>
      </c>
      <c r="L91" s="384" t="str">
        <f t="shared" si="114"/>
        <v/>
      </c>
      <c r="M91" s="384" t="str">
        <f t="shared" si="114"/>
        <v/>
      </c>
      <c r="N91" s="384" t="str">
        <f t="shared" si="114"/>
        <v/>
      </c>
      <c r="O91" s="384" t="str">
        <f t="shared" si="114"/>
        <v/>
      </c>
      <c r="P91" s="386" t="str">
        <f t="shared" si="114"/>
        <v/>
      </c>
      <c r="Q91" s="366"/>
      <c r="R91" s="367"/>
      <c r="S91" s="368"/>
      <c r="T91" s="382"/>
      <c r="U91" s="374"/>
      <c r="V91" s="98"/>
      <c r="W91" s="15">
        <f t="shared" si="112"/>
        <v>0</v>
      </c>
    </row>
    <row r="92" spans="1:23" ht="14" hidden="1" thickBot="1">
      <c r="A92" s="98"/>
      <c r="B92" s="364">
        <v>39</v>
      </c>
      <c r="C92" s="363" t="str">
        <f>IF(ISNA(VLOOKUP($B92,SKIS_MASTER_DATA_AREA,3,FALSE)),"",VLOOKUP($B92,SKIS_MASTER_DATA_AREA,3,FALSE))</f>
        <v/>
      </c>
      <c r="D92" s="117" t="str">
        <f>IF(ISNA(VLOOKUP($B92,SKIS_MASTER_DATA_AREA,3,FALSE)),"",VLOOKUP($B92,SKIS_MASTER_DATA_AREA,4,FALSE))</f>
        <v/>
      </c>
      <c r="E92" s="112" t="str">
        <f t="shared" ref="E92:P92" si="115">IF(ISNA(VLOOKUP($B92,SKIS_MASTER_DATA_AREA,3,FALSE)),"",IF(VLOOKUP($B92,SKIS_MASTER_DATA_AREA,H$1,FALSE)=0,"",VLOOKUP($B92,SKIS_MASTER_DATA_AREA,H$1,FALSE)))</f>
        <v/>
      </c>
      <c r="F92" s="112" t="str">
        <f t="shared" si="115"/>
        <v/>
      </c>
      <c r="G92" s="112" t="str">
        <f t="shared" si="115"/>
        <v/>
      </c>
      <c r="H92" s="112" t="str">
        <f t="shared" si="115"/>
        <v/>
      </c>
      <c r="I92" s="112" t="str">
        <f t="shared" si="115"/>
        <v/>
      </c>
      <c r="J92" s="113" t="str">
        <f t="shared" si="115"/>
        <v/>
      </c>
      <c r="K92" s="112" t="str">
        <f t="shared" si="115"/>
        <v/>
      </c>
      <c r="L92" s="112" t="str">
        <f t="shared" si="115"/>
        <v/>
      </c>
      <c r="M92" s="112" t="str">
        <f t="shared" si="115"/>
        <v/>
      </c>
      <c r="N92" s="112" t="str">
        <f t="shared" si="115"/>
        <v/>
      </c>
      <c r="O92" s="112" t="str">
        <f t="shared" si="115"/>
        <v/>
      </c>
      <c r="P92" s="114" t="str">
        <f t="shared" si="115"/>
        <v/>
      </c>
      <c r="Q92" s="118" t="str">
        <f>IF(ISNA(VLOOKUP($B92,SKIS_MASTER_DATA_AREA,3,FALSE)),"",VLOOKUP($B92,SKIS_MASTER_DATA_AREA,5,FALSE))</f>
        <v/>
      </c>
      <c r="R92" s="119" t="str">
        <f>IF(ISNA(VLOOKUP($B92,SKIS_MASTER_DATA_AREA,3,FALSE)),"",VLOOKUP($B92,SKIS_MASTER_DATA_AREA,IF(SKI_DISCOUNT_TYPE=0,8,9),FALSE))</f>
        <v/>
      </c>
      <c r="S92" s="120" t="str">
        <f>IF(ISNA(VLOOKUP($B92,SKIS_MASTER_DATA_AREA,3,FALSE)),"",VLOOKUP($B92,SKIS_MASTER_DATA_AREA,7,FALSE))</f>
        <v/>
      </c>
      <c r="T92" s="115" t="str">
        <f>IF(SUM(E93:P93)=0,"",SUM(E93:P93))</f>
        <v/>
      </c>
      <c r="U92" s="116" t="str">
        <f>IF(ISNA(VLOOKUP($B92,SKIS_MASTER_DATA_AREA,3,FALSE)),"",VLOOKUP($B92,SKIS_MASTER_DATA_AREA,10,FALSE))</f>
        <v/>
      </c>
      <c r="V92" s="98"/>
      <c r="W92" s="15">
        <f>IF(C92="",0,1)</f>
        <v>0</v>
      </c>
    </row>
    <row r="93" spans="1:23" ht="14" hidden="1" thickBot="1">
      <c r="A93" s="98"/>
      <c r="B93" s="364"/>
      <c r="C93" s="365"/>
      <c r="D93" s="365"/>
      <c r="E93" s="383" t="str">
        <f t="shared" ref="E93:P93" si="116">IF(ISNA(VLOOKUP($B92,SKIS_MASTER_DATA_AREA,3,FALSE)),"",IF(VLOOKUP($B92,SKIS_MASTER_DATA_AREA,H$2,FALSE)=0,"",VLOOKUP($B92,SKIS_MASTER_DATA_AREA,H$2,FALSE)))</f>
        <v/>
      </c>
      <c r="F93" s="384" t="str">
        <f t="shared" si="116"/>
        <v/>
      </c>
      <c r="G93" s="384" t="str">
        <f t="shared" si="116"/>
        <v/>
      </c>
      <c r="H93" s="384" t="str">
        <f t="shared" si="116"/>
        <v/>
      </c>
      <c r="I93" s="384" t="str">
        <f t="shared" si="116"/>
        <v/>
      </c>
      <c r="J93" s="384" t="str">
        <f t="shared" si="116"/>
        <v/>
      </c>
      <c r="K93" s="385" t="str">
        <f t="shared" si="116"/>
        <v/>
      </c>
      <c r="L93" s="384" t="str">
        <f t="shared" si="116"/>
        <v/>
      </c>
      <c r="M93" s="384" t="str">
        <f t="shared" si="116"/>
        <v/>
      </c>
      <c r="N93" s="384" t="str">
        <f t="shared" si="116"/>
        <v/>
      </c>
      <c r="O93" s="384" t="str">
        <f t="shared" si="116"/>
        <v/>
      </c>
      <c r="P93" s="386" t="str">
        <f t="shared" si="116"/>
        <v/>
      </c>
      <c r="Q93" s="366"/>
      <c r="R93" s="367"/>
      <c r="S93" s="368"/>
      <c r="T93" s="382"/>
      <c r="U93" s="374"/>
      <c r="V93" s="98"/>
      <c r="W93" s="15">
        <f t="shared" si="112"/>
        <v>0</v>
      </c>
    </row>
    <row r="94" spans="1:23" ht="14" hidden="1" thickBot="1">
      <c r="A94" s="98"/>
      <c r="B94" s="364">
        <v>40</v>
      </c>
      <c r="C94" s="363" t="str">
        <f>IF(ISNA(VLOOKUP($B94,SKIS_MASTER_DATA_AREA,3,FALSE)),"",VLOOKUP($B94,SKIS_MASTER_DATA_AREA,3,FALSE))</f>
        <v/>
      </c>
      <c r="D94" s="117" t="str">
        <f>IF(ISNA(VLOOKUP($B94,SKIS_MASTER_DATA_AREA,3,FALSE)),"",VLOOKUP($B94,SKIS_MASTER_DATA_AREA,4,FALSE))</f>
        <v/>
      </c>
      <c r="E94" s="112" t="str">
        <f t="shared" ref="E94:P94" si="117">IF(ISNA(VLOOKUP($B94,SKIS_MASTER_DATA_AREA,3,FALSE)),"",IF(VLOOKUP($B94,SKIS_MASTER_DATA_AREA,H$1,FALSE)=0,"",VLOOKUP($B94,SKIS_MASTER_DATA_AREA,H$1,FALSE)))</f>
        <v/>
      </c>
      <c r="F94" s="112" t="str">
        <f t="shared" si="117"/>
        <v/>
      </c>
      <c r="G94" s="112" t="str">
        <f t="shared" si="117"/>
        <v/>
      </c>
      <c r="H94" s="112" t="str">
        <f t="shared" si="117"/>
        <v/>
      </c>
      <c r="I94" s="112" t="str">
        <f t="shared" si="117"/>
        <v/>
      </c>
      <c r="J94" s="113" t="str">
        <f t="shared" si="117"/>
        <v/>
      </c>
      <c r="K94" s="112" t="str">
        <f t="shared" si="117"/>
        <v/>
      </c>
      <c r="L94" s="112" t="str">
        <f t="shared" si="117"/>
        <v/>
      </c>
      <c r="M94" s="112" t="str">
        <f t="shared" si="117"/>
        <v/>
      </c>
      <c r="N94" s="112" t="str">
        <f t="shared" si="117"/>
        <v/>
      </c>
      <c r="O94" s="112" t="str">
        <f t="shared" si="117"/>
        <v/>
      </c>
      <c r="P94" s="114" t="str">
        <f t="shared" si="117"/>
        <v/>
      </c>
      <c r="Q94" s="118" t="str">
        <f>IF(ISNA(VLOOKUP($B94,SKIS_MASTER_DATA_AREA,3,FALSE)),"",VLOOKUP($B94,SKIS_MASTER_DATA_AREA,5,FALSE))</f>
        <v/>
      </c>
      <c r="R94" s="119" t="str">
        <f>IF(ISNA(VLOOKUP($B94,SKIS_MASTER_DATA_AREA,3,FALSE)),"",VLOOKUP($B94,SKIS_MASTER_DATA_AREA,IF(SKI_DISCOUNT_TYPE=0,8,9),FALSE))</f>
        <v/>
      </c>
      <c r="S94" s="120" t="str">
        <f>IF(ISNA(VLOOKUP($B94,SKIS_MASTER_DATA_AREA,3,FALSE)),"",VLOOKUP($B94,SKIS_MASTER_DATA_AREA,7,FALSE))</f>
        <v/>
      </c>
      <c r="T94" s="115" t="str">
        <f>IF(SUM(E95:P95)=0,"",SUM(E95:P95))</f>
        <v/>
      </c>
      <c r="U94" s="116" t="str">
        <f>IF(ISNA(VLOOKUP($B94,SKIS_MASTER_DATA_AREA,3,FALSE)),"",VLOOKUP($B94,SKIS_MASTER_DATA_AREA,10,FALSE))</f>
        <v/>
      </c>
      <c r="V94" s="98"/>
      <c r="W94" s="15">
        <f>IF(C94="",0,1)</f>
        <v>0</v>
      </c>
    </row>
    <row r="95" spans="1:23" ht="14" hidden="1" thickBot="1">
      <c r="A95" s="98"/>
      <c r="B95" s="364"/>
      <c r="C95" s="365"/>
      <c r="D95" s="365"/>
      <c r="E95" s="383" t="str">
        <f t="shared" ref="E95:P95" si="118">IF(ISNA(VLOOKUP($B94,SKIS_MASTER_DATA_AREA,3,FALSE)),"",IF(VLOOKUP($B94,SKIS_MASTER_DATA_AREA,H$2,FALSE)=0,"",VLOOKUP($B94,SKIS_MASTER_DATA_AREA,H$2,FALSE)))</f>
        <v/>
      </c>
      <c r="F95" s="384" t="str">
        <f t="shared" si="118"/>
        <v/>
      </c>
      <c r="G95" s="384" t="str">
        <f t="shared" si="118"/>
        <v/>
      </c>
      <c r="H95" s="384" t="str">
        <f t="shared" si="118"/>
        <v/>
      </c>
      <c r="I95" s="384" t="str">
        <f t="shared" si="118"/>
        <v/>
      </c>
      <c r="J95" s="384" t="str">
        <f t="shared" si="118"/>
        <v/>
      </c>
      <c r="K95" s="385" t="str">
        <f t="shared" si="118"/>
        <v/>
      </c>
      <c r="L95" s="384" t="str">
        <f t="shared" si="118"/>
        <v/>
      </c>
      <c r="M95" s="384" t="str">
        <f t="shared" si="118"/>
        <v/>
      </c>
      <c r="N95" s="384" t="str">
        <f t="shared" si="118"/>
        <v/>
      </c>
      <c r="O95" s="384" t="str">
        <f t="shared" si="118"/>
        <v/>
      </c>
      <c r="P95" s="386" t="str">
        <f t="shared" si="118"/>
        <v/>
      </c>
      <c r="Q95" s="366"/>
      <c r="R95" s="367"/>
      <c r="S95" s="368"/>
      <c r="T95" s="382"/>
      <c r="U95" s="374"/>
      <c r="V95" s="98"/>
      <c r="W95" s="15">
        <f t="shared" si="112"/>
        <v>0</v>
      </c>
    </row>
    <row r="96" spans="1:23" ht="14" hidden="1" thickBot="1">
      <c r="A96" s="98"/>
      <c r="B96" s="364">
        <v>41</v>
      </c>
      <c r="C96" s="363" t="str">
        <f>IF(ISNA(VLOOKUP($B96,SKIS_MASTER_DATA_AREA,3,FALSE)),"",VLOOKUP($B96,SKIS_MASTER_DATA_AREA,3,FALSE))</f>
        <v/>
      </c>
      <c r="D96" s="117" t="str">
        <f>IF(ISNA(VLOOKUP($B96,SKIS_MASTER_DATA_AREA,3,FALSE)),"",VLOOKUP($B96,SKIS_MASTER_DATA_AREA,4,FALSE))</f>
        <v/>
      </c>
      <c r="E96" s="112" t="str">
        <f t="shared" ref="E96:P96" si="119">IF(ISNA(VLOOKUP($B96,SKIS_MASTER_DATA_AREA,3,FALSE)),"",IF(VLOOKUP($B96,SKIS_MASTER_DATA_AREA,H$1,FALSE)=0,"",VLOOKUP($B96,SKIS_MASTER_DATA_AREA,H$1,FALSE)))</f>
        <v/>
      </c>
      <c r="F96" s="112" t="str">
        <f t="shared" si="119"/>
        <v/>
      </c>
      <c r="G96" s="112" t="str">
        <f t="shared" si="119"/>
        <v/>
      </c>
      <c r="H96" s="112" t="str">
        <f t="shared" si="119"/>
        <v/>
      </c>
      <c r="I96" s="112" t="str">
        <f t="shared" si="119"/>
        <v/>
      </c>
      <c r="J96" s="113" t="str">
        <f t="shared" si="119"/>
        <v/>
      </c>
      <c r="K96" s="112" t="str">
        <f t="shared" si="119"/>
        <v/>
      </c>
      <c r="L96" s="112" t="str">
        <f t="shared" si="119"/>
        <v/>
      </c>
      <c r="M96" s="112" t="str">
        <f t="shared" si="119"/>
        <v/>
      </c>
      <c r="N96" s="112" t="str">
        <f t="shared" si="119"/>
        <v/>
      </c>
      <c r="O96" s="112" t="str">
        <f t="shared" si="119"/>
        <v/>
      </c>
      <c r="P96" s="114" t="str">
        <f t="shared" si="119"/>
        <v/>
      </c>
      <c r="Q96" s="118" t="str">
        <f>IF(ISNA(VLOOKUP($B96,SKIS_MASTER_DATA_AREA,3,FALSE)),"",VLOOKUP($B96,SKIS_MASTER_DATA_AREA,5,FALSE))</f>
        <v/>
      </c>
      <c r="R96" s="119" t="str">
        <f>IF(ISNA(VLOOKUP($B96,SKIS_MASTER_DATA_AREA,3,FALSE)),"",VLOOKUP($B96,SKIS_MASTER_DATA_AREA,IF(SKI_DISCOUNT_TYPE=0,8,9),FALSE))</f>
        <v/>
      </c>
      <c r="S96" s="120" t="str">
        <f>IF(ISNA(VLOOKUP($B96,SKIS_MASTER_DATA_AREA,3,FALSE)),"",VLOOKUP($B96,SKIS_MASTER_DATA_AREA,7,FALSE))</f>
        <v/>
      </c>
      <c r="T96" s="115" t="str">
        <f>IF(SUM(E97:P97)=0,"",SUM(E97:P97))</f>
        <v/>
      </c>
      <c r="U96" s="116" t="str">
        <f>IF(ISNA(VLOOKUP($B96,SKIS_MASTER_DATA_AREA,3,FALSE)),"",VLOOKUP($B96,SKIS_MASTER_DATA_AREA,10,FALSE))</f>
        <v/>
      </c>
      <c r="V96" s="98"/>
      <c r="W96" s="15">
        <f>IF(C96="",0,1)</f>
        <v>0</v>
      </c>
    </row>
    <row r="97" spans="1:23" ht="14" hidden="1" thickBot="1">
      <c r="A97" s="98"/>
      <c r="B97" s="364"/>
      <c r="C97" s="365"/>
      <c r="D97" s="365"/>
      <c r="E97" s="383" t="str">
        <f t="shared" ref="E97:P97" si="120">IF(ISNA(VLOOKUP($B96,SKIS_MASTER_DATA_AREA,3,FALSE)),"",IF(VLOOKUP($B96,SKIS_MASTER_DATA_AREA,H$2,FALSE)=0,"",VLOOKUP($B96,SKIS_MASTER_DATA_AREA,H$2,FALSE)))</f>
        <v/>
      </c>
      <c r="F97" s="384" t="str">
        <f t="shared" si="120"/>
        <v/>
      </c>
      <c r="G97" s="384" t="str">
        <f t="shared" si="120"/>
        <v/>
      </c>
      <c r="H97" s="384" t="str">
        <f t="shared" si="120"/>
        <v/>
      </c>
      <c r="I97" s="384" t="str">
        <f t="shared" si="120"/>
        <v/>
      </c>
      <c r="J97" s="384" t="str">
        <f t="shared" si="120"/>
        <v/>
      </c>
      <c r="K97" s="385" t="str">
        <f t="shared" si="120"/>
        <v/>
      </c>
      <c r="L97" s="384" t="str">
        <f t="shared" si="120"/>
        <v/>
      </c>
      <c r="M97" s="384" t="str">
        <f t="shared" si="120"/>
        <v/>
      </c>
      <c r="N97" s="384" t="str">
        <f t="shared" si="120"/>
        <v/>
      </c>
      <c r="O97" s="384" t="str">
        <f t="shared" si="120"/>
        <v/>
      </c>
      <c r="P97" s="386" t="str">
        <f t="shared" si="120"/>
        <v/>
      </c>
      <c r="Q97" s="366"/>
      <c r="R97" s="367"/>
      <c r="S97" s="368"/>
      <c r="T97" s="382"/>
      <c r="U97" s="374"/>
      <c r="V97" s="98"/>
      <c r="W97" s="15">
        <f t="shared" si="112"/>
        <v>0</v>
      </c>
    </row>
    <row r="98" spans="1:23" ht="14" hidden="1" thickBot="1">
      <c r="A98" s="98"/>
      <c r="B98" s="364">
        <v>42</v>
      </c>
      <c r="C98" s="363" t="str">
        <f>IF(ISNA(VLOOKUP($B98,SKIS_MASTER_DATA_AREA,3,FALSE)),"",VLOOKUP($B98,SKIS_MASTER_DATA_AREA,3,FALSE))</f>
        <v/>
      </c>
      <c r="D98" s="117" t="str">
        <f>IF(ISNA(VLOOKUP($B98,SKIS_MASTER_DATA_AREA,3,FALSE)),"",VLOOKUP($B98,SKIS_MASTER_DATA_AREA,4,FALSE))</f>
        <v/>
      </c>
      <c r="E98" s="112" t="str">
        <f t="shared" ref="E98:P98" si="121">IF(ISNA(VLOOKUP($B98,SKIS_MASTER_DATA_AREA,3,FALSE)),"",IF(VLOOKUP($B98,SKIS_MASTER_DATA_AREA,H$1,FALSE)=0,"",VLOOKUP($B98,SKIS_MASTER_DATA_AREA,H$1,FALSE)))</f>
        <v/>
      </c>
      <c r="F98" s="112" t="str">
        <f t="shared" si="121"/>
        <v/>
      </c>
      <c r="G98" s="112" t="str">
        <f t="shared" si="121"/>
        <v/>
      </c>
      <c r="H98" s="112" t="str">
        <f t="shared" si="121"/>
        <v/>
      </c>
      <c r="I98" s="112" t="str">
        <f t="shared" si="121"/>
        <v/>
      </c>
      <c r="J98" s="113" t="str">
        <f t="shared" si="121"/>
        <v/>
      </c>
      <c r="K98" s="112" t="str">
        <f t="shared" si="121"/>
        <v/>
      </c>
      <c r="L98" s="112" t="str">
        <f t="shared" si="121"/>
        <v/>
      </c>
      <c r="M98" s="112" t="str">
        <f t="shared" si="121"/>
        <v/>
      </c>
      <c r="N98" s="112" t="str">
        <f t="shared" si="121"/>
        <v/>
      </c>
      <c r="O98" s="112" t="str">
        <f t="shared" si="121"/>
        <v/>
      </c>
      <c r="P98" s="114" t="str">
        <f t="shared" si="121"/>
        <v/>
      </c>
      <c r="Q98" s="118" t="str">
        <f>IF(ISNA(VLOOKUP($B98,SKIS_MASTER_DATA_AREA,3,FALSE)),"",VLOOKUP($B98,SKIS_MASTER_DATA_AREA,5,FALSE))</f>
        <v/>
      </c>
      <c r="R98" s="119" t="str">
        <f>IF(ISNA(VLOOKUP($B98,SKIS_MASTER_DATA_AREA,3,FALSE)),"",VLOOKUP($B98,SKIS_MASTER_DATA_AREA,IF(SKI_DISCOUNT_TYPE=0,8,9),FALSE))</f>
        <v/>
      </c>
      <c r="S98" s="120" t="str">
        <f>IF(ISNA(VLOOKUP($B98,SKIS_MASTER_DATA_AREA,3,FALSE)),"",VLOOKUP($B98,SKIS_MASTER_DATA_AREA,7,FALSE))</f>
        <v/>
      </c>
      <c r="T98" s="115" t="str">
        <f>IF(SUM(E99:P99)=0,"",SUM(E99:P99))</f>
        <v/>
      </c>
      <c r="U98" s="116" t="str">
        <f>IF(ISNA(VLOOKUP($B98,SKIS_MASTER_DATA_AREA,3,FALSE)),"",VLOOKUP($B98,SKIS_MASTER_DATA_AREA,10,FALSE))</f>
        <v/>
      </c>
      <c r="V98" s="98"/>
      <c r="W98" s="15">
        <f>IF(C98="",0,1)</f>
        <v>0</v>
      </c>
    </row>
    <row r="99" spans="1:23" ht="14" hidden="1" thickBot="1">
      <c r="A99" s="98"/>
      <c r="B99" s="364"/>
      <c r="C99" s="365"/>
      <c r="D99" s="365"/>
      <c r="E99" s="383" t="str">
        <f t="shared" ref="E99:P99" si="122">IF(ISNA(VLOOKUP($B98,SKIS_MASTER_DATA_AREA,3,FALSE)),"",IF(VLOOKUP($B98,SKIS_MASTER_DATA_AREA,H$2,FALSE)=0,"",VLOOKUP($B98,SKIS_MASTER_DATA_AREA,H$2,FALSE)))</f>
        <v/>
      </c>
      <c r="F99" s="384" t="str">
        <f t="shared" si="122"/>
        <v/>
      </c>
      <c r="G99" s="384" t="str">
        <f t="shared" si="122"/>
        <v/>
      </c>
      <c r="H99" s="384" t="str">
        <f t="shared" si="122"/>
        <v/>
      </c>
      <c r="I99" s="384" t="str">
        <f t="shared" si="122"/>
        <v/>
      </c>
      <c r="J99" s="384" t="str">
        <f t="shared" si="122"/>
        <v/>
      </c>
      <c r="K99" s="385" t="str">
        <f t="shared" si="122"/>
        <v/>
      </c>
      <c r="L99" s="384" t="str">
        <f t="shared" si="122"/>
        <v/>
      </c>
      <c r="M99" s="384" t="str">
        <f t="shared" si="122"/>
        <v/>
      </c>
      <c r="N99" s="384" t="str">
        <f t="shared" si="122"/>
        <v/>
      </c>
      <c r="O99" s="384" t="str">
        <f t="shared" si="122"/>
        <v/>
      </c>
      <c r="P99" s="386" t="str">
        <f t="shared" si="122"/>
        <v/>
      </c>
      <c r="Q99" s="366"/>
      <c r="R99" s="367"/>
      <c r="S99" s="368"/>
      <c r="T99" s="382"/>
      <c r="U99" s="374"/>
      <c r="V99" s="98"/>
      <c r="W99" s="15">
        <f t="shared" si="112"/>
        <v>0</v>
      </c>
    </row>
    <row r="100" spans="1:23" ht="14" hidden="1" thickBot="1">
      <c r="A100" s="98"/>
      <c r="B100" s="364">
        <v>43</v>
      </c>
      <c r="C100" s="363" t="str">
        <f>IF(ISNA(VLOOKUP($B100,SKIS_MASTER_DATA_AREA,3,FALSE)),"",VLOOKUP($B100,SKIS_MASTER_DATA_AREA,3,FALSE))</f>
        <v/>
      </c>
      <c r="D100" s="117" t="str">
        <f>IF(ISNA(VLOOKUP($B100,SKIS_MASTER_DATA_AREA,3,FALSE)),"",VLOOKUP($B100,SKIS_MASTER_DATA_AREA,4,FALSE))</f>
        <v/>
      </c>
      <c r="E100" s="112" t="str">
        <f t="shared" ref="E100:P100" si="123">IF(ISNA(VLOOKUP($B100,SKIS_MASTER_DATA_AREA,3,FALSE)),"",IF(VLOOKUP($B100,SKIS_MASTER_DATA_AREA,H$1,FALSE)=0,"",VLOOKUP($B100,SKIS_MASTER_DATA_AREA,H$1,FALSE)))</f>
        <v/>
      </c>
      <c r="F100" s="112" t="str">
        <f t="shared" si="123"/>
        <v/>
      </c>
      <c r="G100" s="112" t="str">
        <f t="shared" si="123"/>
        <v/>
      </c>
      <c r="H100" s="112" t="str">
        <f t="shared" si="123"/>
        <v/>
      </c>
      <c r="I100" s="112" t="str">
        <f t="shared" si="123"/>
        <v/>
      </c>
      <c r="J100" s="113" t="str">
        <f t="shared" si="123"/>
        <v/>
      </c>
      <c r="K100" s="112" t="str">
        <f t="shared" si="123"/>
        <v/>
      </c>
      <c r="L100" s="112" t="str">
        <f t="shared" si="123"/>
        <v/>
      </c>
      <c r="M100" s="112" t="str">
        <f t="shared" si="123"/>
        <v/>
      </c>
      <c r="N100" s="112" t="str">
        <f t="shared" si="123"/>
        <v/>
      </c>
      <c r="O100" s="112" t="str">
        <f t="shared" si="123"/>
        <v/>
      </c>
      <c r="P100" s="114" t="str">
        <f t="shared" si="123"/>
        <v/>
      </c>
      <c r="Q100" s="118" t="str">
        <f>IF(ISNA(VLOOKUP($B100,SKIS_MASTER_DATA_AREA,3,FALSE)),"",VLOOKUP($B100,SKIS_MASTER_DATA_AREA,5,FALSE))</f>
        <v/>
      </c>
      <c r="R100" s="119" t="str">
        <f>IF(ISNA(VLOOKUP($B100,SKIS_MASTER_DATA_AREA,3,FALSE)),"",VLOOKUP($B100,SKIS_MASTER_DATA_AREA,IF(SKI_DISCOUNT_TYPE=0,8,9),FALSE))</f>
        <v/>
      </c>
      <c r="S100" s="120" t="str">
        <f>IF(ISNA(VLOOKUP($B100,SKIS_MASTER_DATA_AREA,3,FALSE)),"",VLOOKUP($B100,SKIS_MASTER_DATA_AREA,7,FALSE))</f>
        <v/>
      </c>
      <c r="T100" s="115" t="str">
        <f>IF(SUM(E101:P101)=0,"",SUM(E101:P101))</f>
        <v/>
      </c>
      <c r="U100" s="116" t="str">
        <f>IF(ISNA(VLOOKUP($B100,SKIS_MASTER_DATA_AREA,3,FALSE)),"",VLOOKUP($B100,SKIS_MASTER_DATA_AREA,10,FALSE))</f>
        <v/>
      </c>
      <c r="V100" s="98"/>
      <c r="W100" s="15">
        <f>IF(C100="",0,1)</f>
        <v>0</v>
      </c>
    </row>
    <row r="101" spans="1:23" ht="14" hidden="1" thickBot="1">
      <c r="A101" s="98"/>
      <c r="B101" s="364"/>
      <c r="C101" s="365"/>
      <c r="D101" s="365"/>
      <c r="E101" s="383" t="str">
        <f t="shared" ref="E101:P101" si="124">IF(ISNA(VLOOKUP($B100,SKIS_MASTER_DATA_AREA,3,FALSE)),"",IF(VLOOKUP($B100,SKIS_MASTER_DATA_AREA,H$2,FALSE)=0,"",VLOOKUP($B100,SKIS_MASTER_DATA_AREA,H$2,FALSE)))</f>
        <v/>
      </c>
      <c r="F101" s="384" t="str">
        <f t="shared" si="124"/>
        <v/>
      </c>
      <c r="G101" s="384" t="str">
        <f t="shared" si="124"/>
        <v/>
      </c>
      <c r="H101" s="384" t="str">
        <f t="shared" si="124"/>
        <v/>
      </c>
      <c r="I101" s="384" t="str">
        <f t="shared" si="124"/>
        <v/>
      </c>
      <c r="J101" s="384" t="str">
        <f t="shared" si="124"/>
        <v/>
      </c>
      <c r="K101" s="385" t="str">
        <f t="shared" si="124"/>
        <v/>
      </c>
      <c r="L101" s="384" t="str">
        <f t="shared" si="124"/>
        <v/>
      </c>
      <c r="M101" s="384" t="str">
        <f t="shared" si="124"/>
        <v/>
      </c>
      <c r="N101" s="384" t="str">
        <f t="shared" si="124"/>
        <v/>
      </c>
      <c r="O101" s="384" t="str">
        <f t="shared" si="124"/>
        <v/>
      </c>
      <c r="P101" s="386" t="str">
        <f t="shared" si="124"/>
        <v/>
      </c>
      <c r="Q101" s="366"/>
      <c r="R101" s="367"/>
      <c r="S101" s="368"/>
      <c r="T101" s="382"/>
      <c r="U101" s="374"/>
      <c r="V101" s="98"/>
      <c r="W101" s="15">
        <f t="shared" si="112"/>
        <v>0</v>
      </c>
    </row>
    <row r="102" spans="1:23" ht="14" hidden="1" thickBot="1">
      <c r="A102" s="98"/>
      <c r="B102" s="364">
        <v>44</v>
      </c>
      <c r="C102" s="363" t="str">
        <f>IF(ISNA(VLOOKUP($B102,SKIS_MASTER_DATA_AREA,3,FALSE)),"",VLOOKUP($B102,SKIS_MASTER_DATA_AREA,3,FALSE))</f>
        <v/>
      </c>
      <c r="D102" s="117" t="str">
        <f>IF(ISNA(VLOOKUP($B102,SKIS_MASTER_DATA_AREA,3,FALSE)),"",VLOOKUP($B102,SKIS_MASTER_DATA_AREA,4,FALSE))</f>
        <v/>
      </c>
      <c r="E102" s="112" t="str">
        <f t="shared" ref="E102:P102" si="125">IF(ISNA(VLOOKUP($B102,SKIS_MASTER_DATA_AREA,3,FALSE)),"",IF(VLOOKUP($B102,SKIS_MASTER_DATA_AREA,H$1,FALSE)=0,"",VLOOKUP($B102,SKIS_MASTER_DATA_AREA,H$1,FALSE)))</f>
        <v/>
      </c>
      <c r="F102" s="112" t="str">
        <f t="shared" si="125"/>
        <v/>
      </c>
      <c r="G102" s="112" t="str">
        <f t="shared" si="125"/>
        <v/>
      </c>
      <c r="H102" s="112" t="str">
        <f t="shared" si="125"/>
        <v/>
      </c>
      <c r="I102" s="112" t="str">
        <f t="shared" si="125"/>
        <v/>
      </c>
      <c r="J102" s="113" t="str">
        <f t="shared" si="125"/>
        <v/>
      </c>
      <c r="K102" s="112" t="str">
        <f t="shared" si="125"/>
        <v/>
      </c>
      <c r="L102" s="112" t="str">
        <f t="shared" si="125"/>
        <v/>
      </c>
      <c r="M102" s="112" t="str">
        <f t="shared" si="125"/>
        <v/>
      </c>
      <c r="N102" s="112" t="str">
        <f t="shared" si="125"/>
        <v/>
      </c>
      <c r="O102" s="112" t="str">
        <f t="shared" si="125"/>
        <v/>
      </c>
      <c r="P102" s="114" t="str">
        <f t="shared" si="125"/>
        <v/>
      </c>
      <c r="Q102" s="118" t="str">
        <f>IF(ISNA(VLOOKUP($B102,SKIS_MASTER_DATA_AREA,3,FALSE)),"",VLOOKUP($B102,SKIS_MASTER_DATA_AREA,5,FALSE))</f>
        <v/>
      </c>
      <c r="R102" s="119" t="str">
        <f>IF(ISNA(VLOOKUP($B102,SKIS_MASTER_DATA_AREA,3,FALSE)),"",VLOOKUP($B102,SKIS_MASTER_DATA_AREA,IF(SKI_DISCOUNT_TYPE=0,8,9),FALSE))</f>
        <v/>
      </c>
      <c r="S102" s="120" t="str">
        <f>IF(ISNA(VLOOKUP($B102,SKIS_MASTER_DATA_AREA,3,FALSE)),"",VLOOKUP($B102,SKIS_MASTER_DATA_AREA,7,FALSE))</f>
        <v/>
      </c>
      <c r="T102" s="115" t="str">
        <f>IF(SUM(E103:P103)=0,"",SUM(E103:P103))</f>
        <v/>
      </c>
      <c r="U102" s="116" t="str">
        <f>IF(ISNA(VLOOKUP($B102,SKIS_MASTER_DATA_AREA,3,FALSE)),"",VLOOKUP($B102,SKIS_MASTER_DATA_AREA,10,FALSE))</f>
        <v/>
      </c>
      <c r="V102" s="98"/>
      <c r="W102" s="15">
        <f>IF(C102="",0,1)</f>
        <v>0</v>
      </c>
    </row>
    <row r="103" spans="1:23" ht="14" hidden="1" thickBot="1">
      <c r="A103" s="98"/>
      <c r="B103" s="364"/>
      <c r="C103" s="365"/>
      <c r="D103" s="365"/>
      <c r="E103" s="383" t="str">
        <f t="shared" ref="E103:P103" si="126">IF(ISNA(VLOOKUP($B102,SKIS_MASTER_DATA_AREA,3,FALSE)),"",IF(VLOOKUP($B102,SKIS_MASTER_DATA_AREA,H$2,FALSE)=0,"",VLOOKUP($B102,SKIS_MASTER_DATA_AREA,H$2,FALSE)))</f>
        <v/>
      </c>
      <c r="F103" s="384" t="str">
        <f t="shared" si="126"/>
        <v/>
      </c>
      <c r="G103" s="384" t="str">
        <f t="shared" si="126"/>
        <v/>
      </c>
      <c r="H103" s="384" t="str">
        <f t="shared" si="126"/>
        <v/>
      </c>
      <c r="I103" s="384" t="str">
        <f t="shared" si="126"/>
        <v/>
      </c>
      <c r="J103" s="384" t="str">
        <f t="shared" si="126"/>
        <v/>
      </c>
      <c r="K103" s="385" t="str">
        <f t="shared" si="126"/>
        <v/>
      </c>
      <c r="L103" s="384" t="str">
        <f t="shared" si="126"/>
        <v/>
      </c>
      <c r="M103" s="384" t="str">
        <f t="shared" si="126"/>
        <v/>
      </c>
      <c r="N103" s="384" t="str">
        <f t="shared" si="126"/>
        <v/>
      </c>
      <c r="O103" s="384" t="str">
        <f t="shared" si="126"/>
        <v/>
      </c>
      <c r="P103" s="386" t="str">
        <f t="shared" si="126"/>
        <v/>
      </c>
      <c r="Q103" s="366"/>
      <c r="R103" s="367"/>
      <c r="S103" s="368"/>
      <c r="T103" s="382"/>
      <c r="U103" s="374"/>
      <c r="V103" s="98"/>
      <c r="W103" s="15">
        <f t="shared" si="112"/>
        <v>0</v>
      </c>
    </row>
    <row r="104" spans="1:23" ht="14" hidden="1" thickBot="1">
      <c r="A104" s="98"/>
      <c r="B104" s="364">
        <v>45</v>
      </c>
      <c r="C104" s="363" t="str">
        <f>IF(ISNA(VLOOKUP($B104,SKIS_MASTER_DATA_AREA,3,FALSE)),"",VLOOKUP($B104,SKIS_MASTER_DATA_AREA,3,FALSE))</f>
        <v/>
      </c>
      <c r="D104" s="117" t="str">
        <f>IF(ISNA(VLOOKUP($B104,SKIS_MASTER_DATA_AREA,3,FALSE)),"",VLOOKUP($B104,SKIS_MASTER_DATA_AREA,4,FALSE))</f>
        <v/>
      </c>
      <c r="E104" s="112" t="str">
        <f t="shared" ref="E104:P104" si="127">IF(ISNA(VLOOKUP($B104,SKIS_MASTER_DATA_AREA,3,FALSE)),"",IF(VLOOKUP($B104,SKIS_MASTER_DATA_AREA,H$1,FALSE)=0,"",VLOOKUP($B104,SKIS_MASTER_DATA_AREA,H$1,FALSE)))</f>
        <v/>
      </c>
      <c r="F104" s="112" t="str">
        <f t="shared" si="127"/>
        <v/>
      </c>
      <c r="G104" s="112" t="str">
        <f t="shared" si="127"/>
        <v/>
      </c>
      <c r="H104" s="112" t="str">
        <f t="shared" si="127"/>
        <v/>
      </c>
      <c r="I104" s="112" t="str">
        <f t="shared" si="127"/>
        <v/>
      </c>
      <c r="J104" s="113" t="str">
        <f t="shared" si="127"/>
        <v/>
      </c>
      <c r="K104" s="112" t="str">
        <f t="shared" si="127"/>
        <v/>
      </c>
      <c r="L104" s="112" t="str">
        <f t="shared" si="127"/>
        <v/>
      </c>
      <c r="M104" s="112" t="str">
        <f t="shared" si="127"/>
        <v/>
      </c>
      <c r="N104" s="112" t="str">
        <f t="shared" si="127"/>
        <v/>
      </c>
      <c r="O104" s="112" t="str">
        <f t="shared" si="127"/>
        <v/>
      </c>
      <c r="P104" s="114" t="str">
        <f t="shared" si="127"/>
        <v/>
      </c>
      <c r="Q104" s="118" t="str">
        <f>IF(ISNA(VLOOKUP($B104,SKIS_MASTER_DATA_AREA,3,FALSE)),"",VLOOKUP($B104,SKIS_MASTER_DATA_AREA,5,FALSE))</f>
        <v/>
      </c>
      <c r="R104" s="119" t="str">
        <f>IF(ISNA(VLOOKUP($B104,SKIS_MASTER_DATA_AREA,3,FALSE)),"",VLOOKUP($B104,SKIS_MASTER_DATA_AREA,IF(SKI_DISCOUNT_TYPE=0,8,9),FALSE))</f>
        <v/>
      </c>
      <c r="S104" s="120" t="str">
        <f>IF(ISNA(VLOOKUP($B104,SKIS_MASTER_DATA_AREA,3,FALSE)),"",VLOOKUP($B104,SKIS_MASTER_DATA_AREA,7,FALSE))</f>
        <v/>
      </c>
      <c r="T104" s="115" t="str">
        <f>IF(SUM(E105:P105)=0,"",SUM(E105:P105))</f>
        <v/>
      </c>
      <c r="U104" s="116" t="str">
        <f>IF(ISNA(VLOOKUP($B104,SKIS_MASTER_DATA_AREA,3,FALSE)),"",VLOOKUP($B104,SKIS_MASTER_DATA_AREA,10,FALSE))</f>
        <v/>
      </c>
      <c r="V104" s="98"/>
      <c r="W104" s="15">
        <f>IF(C104="",0,1)</f>
        <v>0</v>
      </c>
    </row>
    <row r="105" spans="1:23" ht="14" hidden="1" thickBot="1">
      <c r="A105" s="98"/>
      <c r="B105" s="364"/>
      <c r="C105" s="365"/>
      <c r="D105" s="365"/>
      <c r="E105" s="383" t="str">
        <f t="shared" ref="E105:P105" si="128">IF(ISNA(VLOOKUP($B104,SKIS_MASTER_DATA_AREA,3,FALSE)),"",IF(VLOOKUP($B104,SKIS_MASTER_DATA_AREA,H$2,FALSE)=0,"",VLOOKUP($B104,SKIS_MASTER_DATA_AREA,H$2,FALSE)))</f>
        <v/>
      </c>
      <c r="F105" s="384" t="str">
        <f t="shared" si="128"/>
        <v/>
      </c>
      <c r="G105" s="384" t="str">
        <f t="shared" si="128"/>
        <v/>
      </c>
      <c r="H105" s="384" t="str">
        <f t="shared" si="128"/>
        <v/>
      </c>
      <c r="I105" s="384" t="str">
        <f t="shared" si="128"/>
        <v/>
      </c>
      <c r="J105" s="384" t="str">
        <f t="shared" si="128"/>
        <v/>
      </c>
      <c r="K105" s="385" t="str">
        <f t="shared" si="128"/>
        <v/>
      </c>
      <c r="L105" s="384" t="str">
        <f t="shared" si="128"/>
        <v/>
      </c>
      <c r="M105" s="384" t="str">
        <f t="shared" si="128"/>
        <v/>
      </c>
      <c r="N105" s="384" t="str">
        <f t="shared" si="128"/>
        <v/>
      </c>
      <c r="O105" s="384" t="str">
        <f t="shared" si="128"/>
        <v/>
      </c>
      <c r="P105" s="386" t="str">
        <f t="shared" si="128"/>
        <v/>
      </c>
      <c r="Q105" s="366"/>
      <c r="R105" s="367"/>
      <c r="S105" s="368"/>
      <c r="T105" s="382"/>
      <c r="U105" s="374"/>
      <c r="V105" s="98"/>
      <c r="W105" s="15">
        <f t="shared" si="112"/>
        <v>0</v>
      </c>
    </row>
    <row r="106" spans="1:23" ht="14" hidden="1" thickBot="1">
      <c r="A106" s="98"/>
      <c r="B106" s="364">
        <v>46</v>
      </c>
      <c r="C106" s="363" t="str">
        <f>IF(ISNA(VLOOKUP($B106,SKIS_MASTER_DATA_AREA,3,FALSE)),"",VLOOKUP($B106,SKIS_MASTER_DATA_AREA,3,FALSE))</f>
        <v/>
      </c>
      <c r="D106" s="117" t="str">
        <f>IF(ISNA(VLOOKUP($B106,SKIS_MASTER_DATA_AREA,3,FALSE)),"",VLOOKUP($B106,SKIS_MASTER_DATA_AREA,4,FALSE))</f>
        <v/>
      </c>
      <c r="E106" s="112" t="str">
        <f t="shared" ref="E106:P106" si="129">IF(ISNA(VLOOKUP($B106,SKIS_MASTER_DATA_AREA,3,FALSE)),"",IF(VLOOKUP($B106,SKIS_MASTER_DATA_AREA,H$1,FALSE)=0,"",VLOOKUP($B106,SKIS_MASTER_DATA_AREA,H$1,FALSE)))</f>
        <v/>
      </c>
      <c r="F106" s="112" t="str">
        <f t="shared" si="129"/>
        <v/>
      </c>
      <c r="G106" s="112" t="str">
        <f t="shared" si="129"/>
        <v/>
      </c>
      <c r="H106" s="112" t="str">
        <f t="shared" si="129"/>
        <v/>
      </c>
      <c r="I106" s="112" t="str">
        <f t="shared" si="129"/>
        <v/>
      </c>
      <c r="J106" s="113" t="str">
        <f t="shared" si="129"/>
        <v/>
      </c>
      <c r="K106" s="112" t="str">
        <f t="shared" si="129"/>
        <v/>
      </c>
      <c r="L106" s="112" t="str">
        <f t="shared" si="129"/>
        <v/>
      </c>
      <c r="M106" s="112" t="str">
        <f t="shared" si="129"/>
        <v/>
      </c>
      <c r="N106" s="112" t="str">
        <f t="shared" si="129"/>
        <v/>
      </c>
      <c r="O106" s="112" t="str">
        <f t="shared" si="129"/>
        <v/>
      </c>
      <c r="P106" s="114" t="str">
        <f t="shared" si="129"/>
        <v/>
      </c>
      <c r="Q106" s="118" t="str">
        <f>IF(ISNA(VLOOKUP($B106,SKIS_MASTER_DATA_AREA,3,FALSE)),"",VLOOKUP($B106,SKIS_MASTER_DATA_AREA,5,FALSE))</f>
        <v/>
      </c>
      <c r="R106" s="119" t="str">
        <f>IF(ISNA(VLOOKUP($B106,SKIS_MASTER_DATA_AREA,3,FALSE)),"",VLOOKUP($B106,SKIS_MASTER_DATA_AREA,IF(SKI_DISCOUNT_TYPE=0,8,9),FALSE))</f>
        <v/>
      </c>
      <c r="S106" s="120" t="str">
        <f>IF(ISNA(VLOOKUP($B106,SKIS_MASTER_DATA_AREA,3,FALSE)),"",VLOOKUP($B106,SKIS_MASTER_DATA_AREA,7,FALSE))</f>
        <v/>
      </c>
      <c r="T106" s="115" t="str">
        <f>IF(SUM(E107:P107)=0,"",SUM(E107:P107))</f>
        <v/>
      </c>
      <c r="U106" s="116" t="str">
        <f>IF(ISNA(VLOOKUP($B106,SKIS_MASTER_DATA_AREA,3,FALSE)),"",VLOOKUP($B106,SKIS_MASTER_DATA_AREA,10,FALSE))</f>
        <v/>
      </c>
      <c r="V106" s="98"/>
      <c r="W106" s="15">
        <f>IF(C106="",0,1)</f>
        <v>0</v>
      </c>
    </row>
    <row r="107" spans="1:23" ht="14" hidden="1" thickBot="1">
      <c r="A107" s="98"/>
      <c r="B107" s="364"/>
      <c r="C107" s="365"/>
      <c r="D107" s="365"/>
      <c r="E107" s="383" t="str">
        <f t="shared" ref="E107:P107" si="130">IF(ISNA(VLOOKUP($B106,SKIS_MASTER_DATA_AREA,3,FALSE)),"",IF(VLOOKUP($B106,SKIS_MASTER_DATA_AREA,H$2,FALSE)=0,"",VLOOKUP($B106,SKIS_MASTER_DATA_AREA,H$2,FALSE)))</f>
        <v/>
      </c>
      <c r="F107" s="384" t="str">
        <f t="shared" si="130"/>
        <v/>
      </c>
      <c r="G107" s="384" t="str">
        <f t="shared" si="130"/>
        <v/>
      </c>
      <c r="H107" s="384" t="str">
        <f t="shared" si="130"/>
        <v/>
      </c>
      <c r="I107" s="384" t="str">
        <f t="shared" si="130"/>
        <v/>
      </c>
      <c r="J107" s="384" t="str">
        <f t="shared" si="130"/>
        <v/>
      </c>
      <c r="K107" s="385" t="str">
        <f t="shared" si="130"/>
        <v/>
      </c>
      <c r="L107" s="384" t="str">
        <f t="shared" si="130"/>
        <v/>
      </c>
      <c r="M107" s="384" t="str">
        <f t="shared" si="130"/>
        <v/>
      </c>
      <c r="N107" s="384" t="str">
        <f t="shared" si="130"/>
        <v/>
      </c>
      <c r="O107" s="384" t="str">
        <f t="shared" si="130"/>
        <v/>
      </c>
      <c r="P107" s="386" t="str">
        <f t="shared" si="130"/>
        <v/>
      </c>
      <c r="Q107" s="366"/>
      <c r="R107" s="367"/>
      <c r="S107" s="368"/>
      <c r="T107" s="382"/>
      <c r="U107" s="374"/>
      <c r="V107" s="98"/>
      <c r="W107" s="15">
        <f>IF(W106=0,0,1)</f>
        <v>0</v>
      </c>
    </row>
    <row r="108" spans="1:23" ht="12.75" customHeight="1">
      <c r="A108" s="98"/>
      <c r="C108" s="918" t="s">
        <v>55</v>
      </c>
      <c r="D108" s="919"/>
      <c r="E108" s="919"/>
      <c r="F108" s="919"/>
      <c r="G108" s="919"/>
      <c r="H108" s="919"/>
      <c r="I108" s="919"/>
      <c r="J108" s="919"/>
      <c r="K108" s="919"/>
      <c r="L108" s="919"/>
      <c r="M108" s="919"/>
      <c r="N108" s="919"/>
      <c r="O108" s="919"/>
      <c r="P108" s="919"/>
      <c r="Q108" s="919"/>
      <c r="R108" s="919"/>
      <c r="S108" s="919"/>
      <c r="T108" s="919"/>
      <c r="U108" s="920"/>
      <c r="V108" s="98"/>
    </row>
    <row r="109" spans="1:23" ht="13.5" customHeight="1" thickBot="1">
      <c r="A109" s="98"/>
      <c r="C109" s="921"/>
      <c r="D109" s="922"/>
      <c r="E109" s="922"/>
      <c r="F109" s="922"/>
      <c r="G109" s="922"/>
      <c r="H109" s="922"/>
      <c r="I109" s="922"/>
      <c r="J109" s="922"/>
      <c r="K109" s="922"/>
      <c r="L109" s="922"/>
      <c r="M109" s="922"/>
      <c r="N109" s="922"/>
      <c r="O109" s="922"/>
      <c r="P109" s="922"/>
      <c r="Q109" s="922"/>
      <c r="R109" s="922"/>
      <c r="S109" s="922"/>
      <c r="T109" s="922"/>
      <c r="U109" s="923"/>
      <c r="V109" s="98"/>
    </row>
    <row r="110" spans="1:23" ht="15" thickTop="1" thickBot="1">
      <c r="A110" s="98"/>
      <c r="B110" s="60"/>
      <c r="C110" s="362" t="s">
        <v>48</v>
      </c>
      <c r="D110" s="102" t="s">
        <v>49</v>
      </c>
      <c r="E110" s="901" t="s">
        <v>51</v>
      </c>
      <c r="F110" s="902"/>
      <c r="G110" s="902"/>
      <c r="H110" s="902"/>
      <c r="I110" s="902"/>
      <c r="J110" s="902"/>
      <c r="K110" s="902"/>
      <c r="L110" s="902"/>
      <c r="M110" s="902"/>
      <c r="N110" s="902"/>
      <c r="O110" s="902"/>
      <c r="P110" s="903"/>
      <c r="Q110" s="103" t="s">
        <v>43</v>
      </c>
      <c r="R110" s="104" t="s">
        <v>21</v>
      </c>
      <c r="S110" s="103" t="s">
        <v>102</v>
      </c>
      <c r="T110" s="105" t="s">
        <v>52</v>
      </c>
      <c r="U110" s="106" t="s">
        <v>124</v>
      </c>
      <c r="V110" s="98"/>
    </row>
    <row r="111" spans="1:23" ht="14" hidden="1" thickBot="1">
      <c r="A111" s="98"/>
      <c r="B111" s="364">
        <v>1</v>
      </c>
      <c r="C111" s="124" t="str">
        <f>IF(ISNA(VLOOKUP($B111,SNOWBOARDS_MASTER_DATA_AREA,3,FALSE)),"",VLOOKUP($B111,SNOWBOARDS_MASTER_DATA_AREA,3,FALSE))</f>
        <v/>
      </c>
      <c r="D111" s="117" t="str">
        <f>IF(ISNA(VLOOKUP($B111,SNOWBOARDS_MASTER_DATA_AREA,3,FALSE)),"",VLOOKUP($B111,SNOWBOARDS_MASTER_DATA_AREA,4,FALSE))</f>
        <v/>
      </c>
      <c r="E111" s="121" t="str">
        <f t="shared" ref="E111:O111" si="131">IF(ISNA(VLOOKUP($B111,SNOWBOARDS_MASTER_DATA_AREA,3,FALSE)),"",IF(VLOOKUP($B111,SNOWBOARDS_MASTER_DATA_AREA,H$3,FALSE)=0,"",VLOOKUP($B111,SNOWBOARDS_MASTER_DATA_AREA,H$3,FALSE)))</f>
        <v/>
      </c>
      <c r="F111" s="122" t="str">
        <f t="shared" si="131"/>
        <v/>
      </c>
      <c r="G111" s="122" t="str">
        <f t="shared" si="131"/>
        <v/>
      </c>
      <c r="H111" s="122" t="str">
        <f t="shared" si="131"/>
        <v/>
      </c>
      <c r="I111" s="122" t="str">
        <f t="shared" si="131"/>
        <v/>
      </c>
      <c r="J111" s="122" t="str">
        <f t="shared" si="131"/>
        <v/>
      </c>
      <c r="K111" s="123" t="str">
        <f t="shared" si="131"/>
        <v/>
      </c>
      <c r="L111" s="122" t="str">
        <f t="shared" si="131"/>
        <v/>
      </c>
      <c r="M111" s="122" t="str">
        <f t="shared" si="131"/>
        <v/>
      </c>
      <c r="N111" s="122" t="str">
        <f t="shared" si="131"/>
        <v/>
      </c>
      <c r="O111" s="122" t="str">
        <f t="shared" si="131"/>
        <v/>
      </c>
      <c r="P111" s="125"/>
      <c r="Q111" s="118" t="str">
        <f>IF(ISNA(VLOOKUP($B111,SNOWBOARDS_MASTER_DATA_AREA,3,FALSE)),"",VLOOKUP($B111,SNOWBOARDS_MASTER_DATA_AREA,5,FALSE))</f>
        <v/>
      </c>
      <c r="R111" s="119" t="str">
        <f>IF(ISNA(VLOOKUP($B111,SNOWBOARDS_MASTER_DATA_AREA,3,FALSE)),"",VLOOKUP($B111,SNOWBOARDS_MASTER_DATA_AREA,IF(SNOWBOARD_DISCOUNT_TYPE=0,8,9),FALSE))</f>
        <v/>
      </c>
      <c r="S111" s="120" t="str">
        <f>IF(ISNA(VLOOKUP($B111,SNOWBOARDS_MASTER_DATA_AREA,3,FALSE)),"",VLOOKUP($B111,SNOWBOARDS_MASTER_DATA_AREA,7,FALSE))</f>
        <v/>
      </c>
      <c r="T111" s="115" t="str">
        <f>IF(SUM(E112:P112)=0,"",SUM(E112:P112))</f>
        <v/>
      </c>
      <c r="U111" s="116" t="str">
        <f>IF(ISNA(VLOOKUP($B111,SNOWBOARDS_MASTER_DATA_AREA,3,FALSE)),"",VLOOKUP($B111,SNOWBOARDS_MASTER_DATA_AREA,10,FALSE))</f>
        <v/>
      </c>
      <c r="V111" s="98"/>
      <c r="W111" s="15">
        <f>IF(C111="",0,1)</f>
        <v>0</v>
      </c>
    </row>
    <row r="112" spans="1:23" ht="14" hidden="1" thickBot="1">
      <c r="A112" s="98"/>
      <c r="B112" s="364"/>
      <c r="C112" s="369"/>
      <c r="D112" s="365"/>
      <c r="E112" s="383" t="str">
        <f t="shared" ref="E112:O112" si="132">IF(ISNA(VLOOKUP($B111,SNOWBOARDS_MASTER_DATA_AREA,3,FALSE)),"",IF(VLOOKUP($B111,SNOWBOARDS_MASTER_DATA_AREA,H$4,FALSE)=0,"",VLOOKUP($B111,SNOWBOARDS_MASTER_DATA_AREA,H$4,FALSE)))</f>
        <v/>
      </c>
      <c r="F112" s="384" t="str">
        <f t="shared" si="132"/>
        <v/>
      </c>
      <c r="G112" s="384" t="str">
        <f t="shared" si="132"/>
        <v/>
      </c>
      <c r="H112" s="384" t="str">
        <f t="shared" si="132"/>
        <v/>
      </c>
      <c r="I112" s="384" t="str">
        <f t="shared" si="132"/>
        <v/>
      </c>
      <c r="J112" s="384" t="str">
        <f t="shared" si="132"/>
        <v/>
      </c>
      <c r="K112" s="385" t="str">
        <f t="shared" si="132"/>
        <v/>
      </c>
      <c r="L112" s="384" t="str">
        <f t="shared" si="132"/>
        <v/>
      </c>
      <c r="M112" s="384" t="str">
        <f t="shared" si="132"/>
        <v/>
      </c>
      <c r="N112" s="384" t="str">
        <f t="shared" si="132"/>
        <v/>
      </c>
      <c r="O112" s="384" t="str">
        <f t="shared" si="132"/>
        <v/>
      </c>
      <c r="P112" s="386"/>
      <c r="Q112" s="366"/>
      <c r="R112" s="367"/>
      <c r="S112" s="368"/>
      <c r="T112" s="382"/>
      <c r="U112" s="374"/>
      <c r="V112" s="98"/>
      <c r="W112" s="15">
        <f>IF(W111=0,0,1)</f>
        <v>0</v>
      </c>
    </row>
    <row r="113" spans="1:23" ht="14" hidden="1" thickBot="1">
      <c r="A113" s="98"/>
      <c r="B113" s="364">
        <v>2</v>
      </c>
      <c r="C113" s="124" t="str">
        <f>IF(ISNA(VLOOKUP($B113,SNOWBOARDS_MASTER_DATA_AREA,3,FALSE)),"",VLOOKUP($B113,SNOWBOARDS_MASTER_DATA_AREA,3,FALSE))</f>
        <v/>
      </c>
      <c r="D113" s="117" t="str">
        <f>IF(ISNA(VLOOKUP($B113,SNOWBOARDS_MASTER_DATA_AREA,3,FALSE)),"",VLOOKUP($B113,SNOWBOARDS_MASTER_DATA_AREA,4,FALSE))</f>
        <v/>
      </c>
      <c r="E113" s="121" t="str">
        <f t="shared" ref="E113:O113" si="133">IF(ISNA(VLOOKUP($B113,SNOWBOARDS_MASTER_DATA_AREA,3,FALSE)),"",IF(VLOOKUP($B113,SNOWBOARDS_MASTER_DATA_AREA,H$3,FALSE)=0,"",VLOOKUP($B113,SNOWBOARDS_MASTER_DATA_AREA,H$3,FALSE)))</f>
        <v/>
      </c>
      <c r="F113" s="122" t="str">
        <f t="shared" si="133"/>
        <v/>
      </c>
      <c r="G113" s="122" t="str">
        <f t="shared" si="133"/>
        <v/>
      </c>
      <c r="H113" s="122" t="str">
        <f t="shared" si="133"/>
        <v/>
      </c>
      <c r="I113" s="122" t="str">
        <f t="shared" si="133"/>
        <v/>
      </c>
      <c r="J113" s="122" t="str">
        <f t="shared" si="133"/>
        <v/>
      </c>
      <c r="K113" s="123" t="str">
        <f t="shared" si="133"/>
        <v/>
      </c>
      <c r="L113" s="122" t="str">
        <f t="shared" si="133"/>
        <v/>
      </c>
      <c r="M113" s="122" t="str">
        <f t="shared" si="133"/>
        <v/>
      </c>
      <c r="N113" s="122" t="str">
        <f t="shared" si="133"/>
        <v/>
      </c>
      <c r="O113" s="122" t="str">
        <f t="shared" si="133"/>
        <v/>
      </c>
      <c r="P113" s="125"/>
      <c r="Q113" s="118" t="str">
        <f>IF(ISNA(VLOOKUP($B113,SNOWBOARDS_MASTER_DATA_AREA,3,FALSE)),"",VLOOKUP($B113,SNOWBOARDS_MASTER_DATA_AREA,5,FALSE))</f>
        <v/>
      </c>
      <c r="R113" s="119" t="str">
        <f>IF(ISNA(VLOOKUP($B113,SNOWBOARDS_MASTER_DATA_AREA,3,FALSE)),"",VLOOKUP($B113,SNOWBOARDS_MASTER_DATA_AREA,IF(SNOWBOARD_DISCOUNT_TYPE=0,8,9),FALSE))</f>
        <v/>
      </c>
      <c r="S113" s="120" t="str">
        <f>IF(ISNA(VLOOKUP($B113,SNOWBOARDS_MASTER_DATA_AREA,3,FALSE)),"",VLOOKUP($B113,SNOWBOARDS_MASTER_DATA_AREA,7,FALSE))</f>
        <v/>
      </c>
      <c r="T113" s="115" t="str">
        <f>IF(SUM(E114:P114)=0,"",SUM(E114:P114))</f>
        <v/>
      </c>
      <c r="U113" s="116" t="str">
        <f>IF(ISNA(VLOOKUP($B113,SNOWBOARDS_MASTER_DATA_AREA,3,FALSE)),"",VLOOKUP($B113,SNOWBOARDS_MASTER_DATA_AREA,10,FALSE))</f>
        <v/>
      </c>
      <c r="V113" s="98"/>
      <c r="W113" s="15">
        <f>IF(C113="",0,1)</f>
        <v>0</v>
      </c>
    </row>
    <row r="114" spans="1:23" ht="14" hidden="1" thickBot="1">
      <c r="A114" s="98"/>
      <c r="B114" s="364"/>
      <c r="C114" s="369"/>
      <c r="D114" s="365"/>
      <c r="E114" s="383" t="str">
        <f t="shared" ref="E114:O114" si="134">IF(ISNA(VLOOKUP($B113,SNOWBOARDS_MASTER_DATA_AREA,3,FALSE)),"",IF(VLOOKUP($B113,SNOWBOARDS_MASTER_DATA_AREA,H$4,FALSE)=0,"",VLOOKUP($B113,SNOWBOARDS_MASTER_DATA_AREA,H$4,FALSE)))</f>
        <v/>
      </c>
      <c r="F114" s="384" t="str">
        <f t="shared" si="134"/>
        <v/>
      </c>
      <c r="G114" s="384" t="str">
        <f t="shared" si="134"/>
        <v/>
      </c>
      <c r="H114" s="384" t="str">
        <f t="shared" si="134"/>
        <v/>
      </c>
      <c r="I114" s="384" t="str">
        <f t="shared" si="134"/>
        <v/>
      </c>
      <c r="J114" s="384" t="str">
        <f t="shared" si="134"/>
        <v/>
      </c>
      <c r="K114" s="385" t="str">
        <f t="shared" si="134"/>
        <v/>
      </c>
      <c r="L114" s="384" t="str">
        <f t="shared" si="134"/>
        <v/>
      </c>
      <c r="M114" s="384" t="str">
        <f t="shared" si="134"/>
        <v/>
      </c>
      <c r="N114" s="384" t="str">
        <f t="shared" si="134"/>
        <v/>
      </c>
      <c r="O114" s="384" t="str">
        <f t="shared" si="134"/>
        <v/>
      </c>
      <c r="P114" s="386"/>
      <c r="Q114" s="366"/>
      <c r="R114" s="367"/>
      <c r="S114" s="368"/>
      <c r="T114" s="382"/>
      <c r="U114" s="374"/>
      <c r="V114" s="98"/>
      <c r="W114" s="15">
        <f>IF(W113=0,0,1)</f>
        <v>0</v>
      </c>
    </row>
    <row r="115" spans="1:23" ht="14" hidden="1" thickBot="1">
      <c r="A115" s="98"/>
      <c r="B115" s="364">
        <v>3</v>
      </c>
      <c r="C115" s="124" t="str">
        <f>IF(ISNA(VLOOKUP($B115,SNOWBOARDS_MASTER_DATA_AREA,3,FALSE)),"",VLOOKUP($B115,SNOWBOARDS_MASTER_DATA_AREA,3,FALSE))</f>
        <v/>
      </c>
      <c r="D115" s="117" t="str">
        <f>IF(ISNA(VLOOKUP($B115,SNOWBOARDS_MASTER_DATA_AREA,3,FALSE)),"",VLOOKUP($B115,SNOWBOARDS_MASTER_DATA_AREA,4,FALSE))</f>
        <v/>
      </c>
      <c r="E115" s="121" t="str">
        <f t="shared" ref="E115:O115" si="135">IF(ISNA(VLOOKUP($B115,SNOWBOARDS_MASTER_DATA_AREA,3,FALSE)),"",IF(VLOOKUP($B115,SNOWBOARDS_MASTER_DATA_AREA,H$3,FALSE)=0,"",VLOOKUP($B115,SNOWBOARDS_MASTER_DATA_AREA,H$3,FALSE)))</f>
        <v/>
      </c>
      <c r="F115" s="122" t="str">
        <f t="shared" si="135"/>
        <v/>
      </c>
      <c r="G115" s="122" t="str">
        <f t="shared" si="135"/>
        <v/>
      </c>
      <c r="H115" s="122" t="str">
        <f t="shared" si="135"/>
        <v/>
      </c>
      <c r="I115" s="122" t="str">
        <f t="shared" si="135"/>
        <v/>
      </c>
      <c r="J115" s="122" t="str">
        <f t="shared" si="135"/>
        <v/>
      </c>
      <c r="K115" s="123" t="str">
        <f t="shared" si="135"/>
        <v/>
      </c>
      <c r="L115" s="122" t="str">
        <f t="shared" si="135"/>
        <v/>
      </c>
      <c r="M115" s="122" t="str">
        <f t="shared" si="135"/>
        <v/>
      </c>
      <c r="N115" s="122" t="str">
        <f t="shared" si="135"/>
        <v/>
      </c>
      <c r="O115" s="122" t="str">
        <f t="shared" si="135"/>
        <v/>
      </c>
      <c r="P115" s="125"/>
      <c r="Q115" s="118" t="str">
        <f>IF(ISNA(VLOOKUP($B115,SNOWBOARDS_MASTER_DATA_AREA,3,FALSE)),"",VLOOKUP($B115,SNOWBOARDS_MASTER_DATA_AREA,5,FALSE))</f>
        <v/>
      </c>
      <c r="R115" s="119" t="str">
        <f>IF(ISNA(VLOOKUP($B115,SNOWBOARDS_MASTER_DATA_AREA,3,FALSE)),"",VLOOKUP($B115,SNOWBOARDS_MASTER_DATA_AREA,IF(SNOWBOARD_DISCOUNT_TYPE=0,8,9),FALSE))</f>
        <v/>
      </c>
      <c r="S115" s="120" t="str">
        <f>IF(ISNA(VLOOKUP($B115,SNOWBOARDS_MASTER_DATA_AREA,3,FALSE)),"",VLOOKUP($B115,SNOWBOARDS_MASTER_DATA_AREA,7,FALSE))</f>
        <v/>
      </c>
      <c r="T115" s="115" t="str">
        <f>IF(SUM(E116:P116)=0,"",SUM(E116:P116))</f>
        <v/>
      </c>
      <c r="U115" s="116" t="str">
        <f>IF(ISNA(VLOOKUP($B115,SNOWBOARDS_MASTER_DATA_AREA,3,FALSE)),"",VLOOKUP($B115,SNOWBOARDS_MASTER_DATA_AREA,10,FALSE))</f>
        <v/>
      </c>
      <c r="V115" s="98"/>
      <c r="W115" s="15">
        <f>IF(C115="",0,1)</f>
        <v>0</v>
      </c>
    </row>
    <row r="116" spans="1:23" ht="14" hidden="1" thickBot="1">
      <c r="A116" s="98"/>
      <c r="B116" s="364"/>
      <c r="C116" s="369"/>
      <c r="D116" s="365"/>
      <c r="E116" s="383" t="str">
        <f t="shared" ref="E116:O116" si="136">IF(ISNA(VLOOKUP($B115,SNOWBOARDS_MASTER_DATA_AREA,3,FALSE)),"",IF(VLOOKUP($B115,SNOWBOARDS_MASTER_DATA_AREA,H$4,FALSE)=0,"",VLOOKUP($B115,SNOWBOARDS_MASTER_DATA_AREA,H$4,FALSE)))</f>
        <v/>
      </c>
      <c r="F116" s="384" t="str">
        <f t="shared" si="136"/>
        <v/>
      </c>
      <c r="G116" s="384" t="str">
        <f t="shared" si="136"/>
        <v/>
      </c>
      <c r="H116" s="384" t="str">
        <f t="shared" si="136"/>
        <v/>
      </c>
      <c r="I116" s="384" t="str">
        <f t="shared" si="136"/>
        <v/>
      </c>
      <c r="J116" s="384" t="str">
        <f t="shared" si="136"/>
        <v/>
      </c>
      <c r="K116" s="385" t="str">
        <f t="shared" si="136"/>
        <v/>
      </c>
      <c r="L116" s="384" t="str">
        <f t="shared" si="136"/>
        <v/>
      </c>
      <c r="M116" s="384" t="str">
        <f t="shared" si="136"/>
        <v/>
      </c>
      <c r="N116" s="384" t="str">
        <f t="shared" si="136"/>
        <v/>
      </c>
      <c r="O116" s="384" t="str">
        <f t="shared" si="136"/>
        <v/>
      </c>
      <c r="P116" s="386"/>
      <c r="Q116" s="366"/>
      <c r="R116" s="367"/>
      <c r="S116" s="368"/>
      <c r="T116" s="382"/>
      <c r="U116" s="374"/>
      <c r="V116" s="98"/>
      <c r="W116" s="15">
        <f>IF(W115=0,0,1)</f>
        <v>0</v>
      </c>
    </row>
    <row r="117" spans="1:23" ht="14" hidden="1" thickBot="1">
      <c r="A117" s="98"/>
      <c r="B117" s="364">
        <v>4</v>
      </c>
      <c r="C117" s="124" t="str">
        <f>IF(ISNA(VLOOKUP($B117,SNOWBOARDS_MASTER_DATA_AREA,3,FALSE)),"",VLOOKUP($B117,SNOWBOARDS_MASTER_DATA_AREA,3,FALSE))</f>
        <v/>
      </c>
      <c r="D117" s="117" t="str">
        <f>IF(ISNA(VLOOKUP($B117,SNOWBOARDS_MASTER_DATA_AREA,3,FALSE)),"",VLOOKUP($B117,SNOWBOARDS_MASTER_DATA_AREA,4,FALSE))</f>
        <v/>
      </c>
      <c r="E117" s="121" t="str">
        <f t="shared" ref="E117:O117" si="137">IF(ISNA(VLOOKUP($B117,SNOWBOARDS_MASTER_DATA_AREA,3,FALSE)),"",IF(VLOOKUP($B117,SNOWBOARDS_MASTER_DATA_AREA,H$3,FALSE)=0,"",VLOOKUP($B117,SNOWBOARDS_MASTER_DATA_AREA,H$3,FALSE)))</f>
        <v/>
      </c>
      <c r="F117" s="122" t="str">
        <f t="shared" si="137"/>
        <v/>
      </c>
      <c r="G117" s="122" t="str">
        <f t="shared" si="137"/>
        <v/>
      </c>
      <c r="H117" s="122" t="str">
        <f t="shared" si="137"/>
        <v/>
      </c>
      <c r="I117" s="122" t="str">
        <f t="shared" si="137"/>
        <v/>
      </c>
      <c r="J117" s="122" t="str">
        <f t="shared" si="137"/>
        <v/>
      </c>
      <c r="K117" s="123" t="str">
        <f t="shared" si="137"/>
        <v/>
      </c>
      <c r="L117" s="122" t="str">
        <f t="shared" si="137"/>
        <v/>
      </c>
      <c r="M117" s="122" t="str">
        <f t="shared" si="137"/>
        <v/>
      </c>
      <c r="N117" s="122" t="str">
        <f t="shared" si="137"/>
        <v/>
      </c>
      <c r="O117" s="122" t="str">
        <f t="shared" si="137"/>
        <v/>
      </c>
      <c r="P117" s="125"/>
      <c r="Q117" s="118" t="str">
        <f>IF(ISNA(VLOOKUP($B117,SNOWBOARDS_MASTER_DATA_AREA,3,FALSE)),"",VLOOKUP($B117,SNOWBOARDS_MASTER_DATA_AREA,5,FALSE))</f>
        <v/>
      </c>
      <c r="R117" s="119" t="str">
        <f>IF(ISNA(VLOOKUP($B117,SNOWBOARDS_MASTER_DATA_AREA,3,FALSE)),"",VLOOKUP($B117,SNOWBOARDS_MASTER_DATA_AREA,IF(SNOWBOARD_DISCOUNT_TYPE=0,8,9),FALSE))</f>
        <v/>
      </c>
      <c r="S117" s="120" t="str">
        <f>IF(ISNA(VLOOKUP($B117,SNOWBOARDS_MASTER_DATA_AREA,3,FALSE)),"",VLOOKUP($B117,SNOWBOARDS_MASTER_DATA_AREA,7,FALSE))</f>
        <v/>
      </c>
      <c r="T117" s="115" t="str">
        <f>IF(SUM(E118:P118)=0,"",SUM(E118:P118))</f>
        <v/>
      </c>
      <c r="U117" s="116" t="str">
        <f>IF(ISNA(VLOOKUP($B117,SNOWBOARDS_MASTER_DATA_AREA,3,FALSE)),"",VLOOKUP($B117,SNOWBOARDS_MASTER_DATA_AREA,10,FALSE))</f>
        <v/>
      </c>
      <c r="V117" s="98"/>
      <c r="W117" s="15">
        <f>IF(C117="",0,1)</f>
        <v>0</v>
      </c>
    </row>
    <row r="118" spans="1:23" ht="14" hidden="1" thickBot="1">
      <c r="A118" s="98"/>
      <c r="B118" s="364"/>
      <c r="C118" s="369"/>
      <c r="D118" s="365"/>
      <c r="E118" s="383" t="str">
        <f t="shared" ref="E118:O118" si="138">IF(ISNA(VLOOKUP($B117,SNOWBOARDS_MASTER_DATA_AREA,3,FALSE)),"",IF(VLOOKUP($B117,SNOWBOARDS_MASTER_DATA_AREA,H$4,FALSE)=0,"",VLOOKUP($B117,SNOWBOARDS_MASTER_DATA_AREA,H$4,FALSE)))</f>
        <v/>
      </c>
      <c r="F118" s="384" t="str">
        <f t="shared" si="138"/>
        <v/>
      </c>
      <c r="G118" s="384" t="str">
        <f t="shared" si="138"/>
        <v/>
      </c>
      <c r="H118" s="384" t="str">
        <f t="shared" si="138"/>
        <v/>
      </c>
      <c r="I118" s="384" t="str">
        <f t="shared" si="138"/>
        <v/>
      </c>
      <c r="J118" s="384" t="str">
        <f t="shared" si="138"/>
        <v/>
      </c>
      <c r="K118" s="385" t="str">
        <f t="shared" si="138"/>
        <v/>
      </c>
      <c r="L118" s="384" t="str">
        <f t="shared" si="138"/>
        <v/>
      </c>
      <c r="M118" s="384" t="str">
        <f t="shared" si="138"/>
        <v/>
      </c>
      <c r="N118" s="384" t="str">
        <f t="shared" si="138"/>
        <v/>
      </c>
      <c r="O118" s="384" t="str">
        <f t="shared" si="138"/>
        <v/>
      </c>
      <c r="P118" s="386"/>
      <c r="Q118" s="366"/>
      <c r="R118" s="367"/>
      <c r="S118" s="368"/>
      <c r="T118" s="382"/>
      <c r="U118" s="374"/>
      <c r="V118" s="98"/>
      <c r="W118" s="15">
        <f>IF(W117=0,0,1)</f>
        <v>0</v>
      </c>
    </row>
    <row r="119" spans="1:23" ht="14" hidden="1" thickBot="1">
      <c r="A119" s="98"/>
      <c r="B119" s="364">
        <v>5</v>
      </c>
      <c r="C119" s="124" t="str">
        <f>IF(ISNA(VLOOKUP($B119,SNOWBOARDS_MASTER_DATA_AREA,3,FALSE)),"",VLOOKUP($B119,SNOWBOARDS_MASTER_DATA_AREA,3,FALSE))</f>
        <v/>
      </c>
      <c r="D119" s="117" t="str">
        <f>IF(ISNA(VLOOKUP($B119,SNOWBOARDS_MASTER_DATA_AREA,3,FALSE)),"",VLOOKUP($B119,SNOWBOARDS_MASTER_DATA_AREA,4,FALSE))</f>
        <v/>
      </c>
      <c r="E119" s="121" t="str">
        <f t="shared" ref="E119:O119" si="139">IF(ISNA(VLOOKUP($B119,SNOWBOARDS_MASTER_DATA_AREA,3,FALSE)),"",IF(VLOOKUP($B119,SNOWBOARDS_MASTER_DATA_AREA,H$3,FALSE)=0,"",VLOOKUP($B119,SNOWBOARDS_MASTER_DATA_AREA,H$3,FALSE)))</f>
        <v/>
      </c>
      <c r="F119" s="122" t="str">
        <f t="shared" si="139"/>
        <v/>
      </c>
      <c r="G119" s="122" t="str">
        <f t="shared" si="139"/>
        <v/>
      </c>
      <c r="H119" s="122" t="str">
        <f t="shared" si="139"/>
        <v/>
      </c>
      <c r="I119" s="122" t="str">
        <f t="shared" si="139"/>
        <v/>
      </c>
      <c r="J119" s="122" t="str">
        <f t="shared" si="139"/>
        <v/>
      </c>
      <c r="K119" s="123" t="str">
        <f t="shared" si="139"/>
        <v/>
      </c>
      <c r="L119" s="122" t="str">
        <f t="shared" si="139"/>
        <v/>
      </c>
      <c r="M119" s="122" t="str">
        <f t="shared" si="139"/>
        <v/>
      </c>
      <c r="N119" s="122" t="str">
        <f t="shared" si="139"/>
        <v/>
      </c>
      <c r="O119" s="122" t="str">
        <f t="shared" si="139"/>
        <v/>
      </c>
      <c r="P119" s="125"/>
      <c r="Q119" s="118" t="str">
        <f>IF(ISNA(VLOOKUP($B119,SNOWBOARDS_MASTER_DATA_AREA,3,FALSE)),"",VLOOKUP($B119,SNOWBOARDS_MASTER_DATA_AREA,5,FALSE))</f>
        <v/>
      </c>
      <c r="R119" s="119" t="str">
        <f>IF(ISNA(VLOOKUP($B119,SNOWBOARDS_MASTER_DATA_AREA,3,FALSE)),"",VLOOKUP($B119,SNOWBOARDS_MASTER_DATA_AREA,IF(SNOWBOARD_DISCOUNT_TYPE=0,8,9),FALSE))</f>
        <v/>
      </c>
      <c r="S119" s="120" t="str">
        <f>IF(ISNA(VLOOKUP($B119,SNOWBOARDS_MASTER_DATA_AREA,3,FALSE)),"",VLOOKUP($B119,SNOWBOARDS_MASTER_DATA_AREA,7,FALSE))</f>
        <v/>
      </c>
      <c r="T119" s="115" t="str">
        <f>IF(SUM(E120:P120)=0,"",SUM(E120:P120))</f>
        <v/>
      </c>
      <c r="U119" s="116" t="str">
        <f>IF(ISNA(VLOOKUP($B119,SNOWBOARDS_MASTER_DATA_AREA,3,FALSE)),"",VLOOKUP($B119,SNOWBOARDS_MASTER_DATA_AREA,10,FALSE))</f>
        <v/>
      </c>
      <c r="V119" s="98"/>
      <c r="W119" s="15">
        <f>IF(C119="",0,1)</f>
        <v>0</v>
      </c>
    </row>
    <row r="120" spans="1:23" ht="14" hidden="1" thickBot="1">
      <c r="A120" s="98"/>
      <c r="B120" s="364"/>
      <c r="C120" s="369"/>
      <c r="D120" s="365"/>
      <c r="E120" s="383" t="str">
        <f t="shared" ref="E120:O120" si="140">IF(ISNA(VLOOKUP($B119,SNOWBOARDS_MASTER_DATA_AREA,3,FALSE)),"",IF(VLOOKUP($B119,SNOWBOARDS_MASTER_DATA_AREA,H$4,FALSE)=0,"",VLOOKUP($B119,SNOWBOARDS_MASTER_DATA_AREA,H$4,FALSE)))</f>
        <v/>
      </c>
      <c r="F120" s="384" t="str">
        <f t="shared" si="140"/>
        <v/>
      </c>
      <c r="G120" s="384" t="str">
        <f t="shared" si="140"/>
        <v/>
      </c>
      <c r="H120" s="384" t="str">
        <f t="shared" si="140"/>
        <v/>
      </c>
      <c r="I120" s="384" t="str">
        <f t="shared" si="140"/>
        <v/>
      </c>
      <c r="J120" s="384" t="str">
        <f t="shared" si="140"/>
        <v/>
      </c>
      <c r="K120" s="385" t="str">
        <f t="shared" si="140"/>
        <v/>
      </c>
      <c r="L120" s="384" t="str">
        <f t="shared" si="140"/>
        <v/>
      </c>
      <c r="M120" s="384" t="str">
        <f t="shared" si="140"/>
        <v/>
      </c>
      <c r="N120" s="384" t="str">
        <f t="shared" si="140"/>
        <v/>
      </c>
      <c r="O120" s="384" t="str">
        <f t="shared" si="140"/>
        <v/>
      </c>
      <c r="P120" s="386"/>
      <c r="Q120" s="366"/>
      <c r="R120" s="367"/>
      <c r="S120" s="368"/>
      <c r="T120" s="382"/>
      <c r="U120" s="374"/>
      <c r="V120" s="98"/>
      <c r="W120" s="15">
        <f t="shared" ref="W120" si="141">IF(W119=0,0,1)</f>
        <v>0</v>
      </c>
    </row>
    <row r="121" spans="1:23" ht="14" hidden="1" thickBot="1">
      <c r="A121" s="98"/>
      <c r="B121" s="364">
        <v>6</v>
      </c>
      <c r="C121" s="124" t="str">
        <f>IF(ISNA(VLOOKUP($B121,SNOWBOARDS_MASTER_DATA_AREA,3,FALSE)),"",VLOOKUP($B121,SNOWBOARDS_MASTER_DATA_AREA,3,FALSE))</f>
        <v/>
      </c>
      <c r="D121" s="117" t="str">
        <f>IF(ISNA(VLOOKUP($B121,SNOWBOARDS_MASTER_DATA_AREA,3,FALSE)),"",VLOOKUP($B121,SNOWBOARDS_MASTER_DATA_AREA,4,FALSE))</f>
        <v/>
      </c>
      <c r="E121" s="121" t="str">
        <f t="shared" ref="E121:O121" si="142">IF(ISNA(VLOOKUP($B121,SNOWBOARDS_MASTER_DATA_AREA,3,FALSE)),"",IF(VLOOKUP($B121,SNOWBOARDS_MASTER_DATA_AREA,H$3,FALSE)=0,"",VLOOKUP($B121,SNOWBOARDS_MASTER_DATA_AREA,H$3,FALSE)))</f>
        <v/>
      </c>
      <c r="F121" s="122" t="str">
        <f t="shared" si="142"/>
        <v/>
      </c>
      <c r="G121" s="122" t="str">
        <f t="shared" si="142"/>
        <v/>
      </c>
      <c r="H121" s="122" t="str">
        <f t="shared" si="142"/>
        <v/>
      </c>
      <c r="I121" s="122" t="str">
        <f t="shared" si="142"/>
        <v/>
      </c>
      <c r="J121" s="122" t="str">
        <f t="shared" si="142"/>
        <v/>
      </c>
      <c r="K121" s="123" t="str">
        <f t="shared" si="142"/>
        <v/>
      </c>
      <c r="L121" s="122" t="str">
        <f t="shared" si="142"/>
        <v/>
      </c>
      <c r="M121" s="122" t="str">
        <f t="shared" si="142"/>
        <v/>
      </c>
      <c r="N121" s="122" t="str">
        <f t="shared" si="142"/>
        <v/>
      </c>
      <c r="O121" s="122" t="str">
        <f t="shared" si="142"/>
        <v/>
      </c>
      <c r="P121" s="125"/>
      <c r="Q121" s="118" t="str">
        <f>IF(ISNA(VLOOKUP($B121,SNOWBOARDS_MASTER_DATA_AREA,3,FALSE)),"",VLOOKUP($B121,SNOWBOARDS_MASTER_DATA_AREA,5,FALSE))</f>
        <v/>
      </c>
      <c r="R121" s="119" t="str">
        <f>IF(ISNA(VLOOKUP($B121,SNOWBOARDS_MASTER_DATA_AREA,3,FALSE)),"",VLOOKUP($B121,SNOWBOARDS_MASTER_DATA_AREA,IF(SNOWBOARD_DISCOUNT_TYPE=0,8,9),FALSE))</f>
        <v/>
      </c>
      <c r="S121" s="120" t="str">
        <f>IF(ISNA(VLOOKUP($B121,SNOWBOARDS_MASTER_DATA_AREA,3,FALSE)),"",VLOOKUP($B121,SNOWBOARDS_MASTER_DATA_AREA,7,FALSE))</f>
        <v/>
      </c>
      <c r="T121" s="115" t="str">
        <f>IF(SUM(E122:P122)=0,"",SUM(E122:P122))</f>
        <v/>
      </c>
      <c r="U121" s="116" t="str">
        <f>IF(ISNA(VLOOKUP($B121,SNOWBOARDS_MASTER_DATA_AREA,3,FALSE)),"",VLOOKUP($B121,SNOWBOARDS_MASTER_DATA_AREA,10,FALSE))</f>
        <v/>
      </c>
      <c r="V121" s="98"/>
      <c r="W121" s="15">
        <f>IF(C121="",0,1)</f>
        <v>0</v>
      </c>
    </row>
    <row r="122" spans="1:23" ht="14" hidden="1" thickBot="1">
      <c r="A122" s="98"/>
      <c r="B122" s="364"/>
      <c r="C122" s="369"/>
      <c r="D122" s="365"/>
      <c r="E122" s="383" t="str">
        <f t="shared" ref="E122:O122" si="143">IF(ISNA(VLOOKUP($B121,SNOWBOARDS_MASTER_DATA_AREA,3,FALSE)),"",IF(VLOOKUP($B121,SNOWBOARDS_MASTER_DATA_AREA,H$4,FALSE)=0,"",VLOOKUP($B121,SNOWBOARDS_MASTER_DATA_AREA,H$4,FALSE)))</f>
        <v/>
      </c>
      <c r="F122" s="384" t="str">
        <f t="shared" si="143"/>
        <v/>
      </c>
      <c r="G122" s="384" t="str">
        <f t="shared" si="143"/>
        <v/>
      </c>
      <c r="H122" s="384" t="str">
        <f t="shared" si="143"/>
        <v/>
      </c>
      <c r="I122" s="384" t="str">
        <f t="shared" si="143"/>
        <v/>
      </c>
      <c r="J122" s="384" t="str">
        <f t="shared" si="143"/>
        <v/>
      </c>
      <c r="K122" s="385" t="str">
        <f t="shared" si="143"/>
        <v/>
      </c>
      <c r="L122" s="384" t="str">
        <f t="shared" si="143"/>
        <v/>
      </c>
      <c r="M122" s="384" t="str">
        <f t="shared" si="143"/>
        <v/>
      </c>
      <c r="N122" s="384" t="str">
        <f t="shared" si="143"/>
        <v/>
      </c>
      <c r="O122" s="384" t="str">
        <f t="shared" si="143"/>
        <v/>
      </c>
      <c r="P122" s="386"/>
      <c r="Q122" s="366"/>
      <c r="R122" s="367"/>
      <c r="S122" s="368"/>
      <c r="T122" s="382"/>
      <c r="U122" s="374"/>
      <c r="V122" s="98"/>
      <c r="W122" s="15">
        <f t="shared" ref="W122" si="144">IF(W121=0,0,1)</f>
        <v>0</v>
      </c>
    </row>
    <row r="123" spans="1:23" ht="14" hidden="1" thickBot="1">
      <c r="A123" s="98"/>
      <c r="B123" s="364">
        <v>7</v>
      </c>
      <c r="C123" s="124" t="str">
        <f>IF(ISNA(VLOOKUP($B123,SNOWBOARDS_MASTER_DATA_AREA,3,FALSE)),"",VLOOKUP($B123,SNOWBOARDS_MASTER_DATA_AREA,3,FALSE))</f>
        <v/>
      </c>
      <c r="D123" s="117" t="str">
        <f>IF(ISNA(VLOOKUP($B123,SNOWBOARDS_MASTER_DATA_AREA,3,FALSE)),"",VLOOKUP($B123,SNOWBOARDS_MASTER_DATA_AREA,4,FALSE))</f>
        <v/>
      </c>
      <c r="E123" s="121" t="str">
        <f t="shared" ref="E123:O123" si="145">IF(ISNA(VLOOKUP($B123,SNOWBOARDS_MASTER_DATA_AREA,3,FALSE)),"",IF(VLOOKUP($B123,SNOWBOARDS_MASTER_DATA_AREA,H$3,FALSE)=0,"",VLOOKUP($B123,SNOWBOARDS_MASTER_DATA_AREA,H$3,FALSE)))</f>
        <v/>
      </c>
      <c r="F123" s="122" t="str">
        <f t="shared" si="145"/>
        <v/>
      </c>
      <c r="G123" s="122" t="str">
        <f t="shared" si="145"/>
        <v/>
      </c>
      <c r="H123" s="122" t="str">
        <f t="shared" si="145"/>
        <v/>
      </c>
      <c r="I123" s="122" t="str">
        <f t="shared" si="145"/>
        <v/>
      </c>
      <c r="J123" s="122" t="str">
        <f t="shared" si="145"/>
        <v/>
      </c>
      <c r="K123" s="123" t="str">
        <f t="shared" si="145"/>
        <v/>
      </c>
      <c r="L123" s="122" t="str">
        <f t="shared" si="145"/>
        <v/>
      </c>
      <c r="M123" s="122" t="str">
        <f t="shared" si="145"/>
        <v/>
      </c>
      <c r="N123" s="122" t="str">
        <f t="shared" si="145"/>
        <v/>
      </c>
      <c r="O123" s="122" t="str">
        <f t="shared" si="145"/>
        <v/>
      </c>
      <c r="P123" s="125"/>
      <c r="Q123" s="118" t="str">
        <f>IF(ISNA(VLOOKUP($B123,SNOWBOARDS_MASTER_DATA_AREA,3,FALSE)),"",VLOOKUP($B123,SNOWBOARDS_MASTER_DATA_AREA,5,FALSE))</f>
        <v/>
      </c>
      <c r="R123" s="119" t="str">
        <f>IF(ISNA(VLOOKUP($B123,SNOWBOARDS_MASTER_DATA_AREA,3,FALSE)),"",VLOOKUP($B123,SNOWBOARDS_MASTER_DATA_AREA,IF(SNOWBOARD_DISCOUNT_TYPE=0,8,9),FALSE))</f>
        <v/>
      </c>
      <c r="S123" s="120" t="str">
        <f>IF(ISNA(VLOOKUP($B123,SNOWBOARDS_MASTER_DATA_AREA,3,FALSE)),"",VLOOKUP($B123,SNOWBOARDS_MASTER_DATA_AREA,7,FALSE))</f>
        <v/>
      </c>
      <c r="T123" s="115" t="str">
        <f>IF(SUM(E124:P124)=0,"",SUM(E124:P124))</f>
        <v/>
      </c>
      <c r="U123" s="116" t="str">
        <f>IF(ISNA(VLOOKUP($B123,SNOWBOARDS_MASTER_DATA_AREA,3,FALSE)),"",VLOOKUP($B123,SNOWBOARDS_MASTER_DATA_AREA,10,FALSE))</f>
        <v/>
      </c>
      <c r="V123" s="98"/>
      <c r="W123" s="15">
        <f>IF(C123="",0,1)</f>
        <v>0</v>
      </c>
    </row>
    <row r="124" spans="1:23" ht="14" hidden="1" thickBot="1">
      <c r="A124" s="98"/>
      <c r="B124" s="364"/>
      <c r="C124" s="369"/>
      <c r="D124" s="365"/>
      <c r="E124" s="383" t="str">
        <f t="shared" ref="E124:O124" si="146">IF(ISNA(VLOOKUP($B123,SNOWBOARDS_MASTER_DATA_AREA,3,FALSE)),"",IF(VLOOKUP($B123,SNOWBOARDS_MASTER_DATA_AREA,H$4,FALSE)=0,"",VLOOKUP($B123,SNOWBOARDS_MASTER_DATA_AREA,H$4,FALSE)))</f>
        <v/>
      </c>
      <c r="F124" s="384" t="str">
        <f t="shared" si="146"/>
        <v/>
      </c>
      <c r="G124" s="384" t="str">
        <f t="shared" si="146"/>
        <v/>
      </c>
      <c r="H124" s="384" t="str">
        <f t="shared" si="146"/>
        <v/>
      </c>
      <c r="I124" s="384" t="str">
        <f t="shared" si="146"/>
        <v/>
      </c>
      <c r="J124" s="384" t="str">
        <f t="shared" si="146"/>
        <v/>
      </c>
      <c r="K124" s="385" t="str">
        <f t="shared" si="146"/>
        <v/>
      </c>
      <c r="L124" s="384" t="str">
        <f t="shared" si="146"/>
        <v/>
      </c>
      <c r="M124" s="384" t="str">
        <f t="shared" si="146"/>
        <v/>
      </c>
      <c r="N124" s="384" t="str">
        <f t="shared" si="146"/>
        <v/>
      </c>
      <c r="O124" s="384" t="str">
        <f t="shared" si="146"/>
        <v/>
      </c>
      <c r="P124" s="386"/>
      <c r="Q124" s="366"/>
      <c r="R124" s="367"/>
      <c r="S124" s="368"/>
      <c r="T124" s="382"/>
      <c r="U124" s="374"/>
      <c r="V124" s="98"/>
      <c r="W124" s="15">
        <f t="shared" ref="W124" si="147">IF(W123=0,0,1)</f>
        <v>0</v>
      </c>
    </row>
    <row r="125" spans="1:23" ht="14" hidden="1" thickBot="1">
      <c r="A125" s="98"/>
      <c r="B125" s="364">
        <v>8</v>
      </c>
      <c r="C125" s="124" t="str">
        <f>IF(ISNA(VLOOKUP($B125,SNOWBOARDS_MASTER_DATA_AREA,3,FALSE)),"",VLOOKUP($B125,SNOWBOARDS_MASTER_DATA_AREA,3,FALSE))</f>
        <v/>
      </c>
      <c r="D125" s="117" t="str">
        <f>IF(ISNA(VLOOKUP($B125,SNOWBOARDS_MASTER_DATA_AREA,3,FALSE)),"",VLOOKUP($B125,SNOWBOARDS_MASTER_DATA_AREA,4,FALSE))</f>
        <v/>
      </c>
      <c r="E125" s="121" t="str">
        <f t="shared" ref="E125:O125" si="148">IF(ISNA(VLOOKUP($B125,SNOWBOARDS_MASTER_DATA_AREA,3,FALSE)),"",IF(VLOOKUP($B125,SNOWBOARDS_MASTER_DATA_AREA,H$3,FALSE)=0,"",VLOOKUP($B125,SNOWBOARDS_MASTER_DATA_AREA,H$3,FALSE)))</f>
        <v/>
      </c>
      <c r="F125" s="122" t="str">
        <f t="shared" si="148"/>
        <v/>
      </c>
      <c r="G125" s="122" t="str">
        <f t="shared" si="148"/>
        <v/>
      </c>
      <c r="H125" s="122" t="str">
        <f t="shared" si="148"/>
        <v/>
      </c>
      <c r="I125" s="122" t="str">
        <f t="shared" si="148"/>
        <v/>
      </c>
      <c r="J125" s="122" t="str">
        <f t="shared" si="148"/>
        <v/>
      </c>
      <c r="K125" s="123" t="str">
        <f t="shared" si="148"/>
        <v/>
      </c>
      <c r="L125" s="122" t="str">
        <f t="shared" si="148"/>
        <v/>
      </c>
      <c r="M125" s="122" t="str">
        <f t="shared" si="148"/>
        <v/>
      </c>
      <c r="N125" s="122" t="str">
        <f t="shared" si="148"/>
        <v/>
      </c>
      <c r="O125" s="122" t="str">
        <f t="shared" si="148"/>
        <v/>
      </c>
      <c r="P125" s="125"/>
      <c r="Q125" s="118" t="str">
        <f>IF(ISNA(VLOOKUP($B125,SNOWBOARDS_MASTER_DATA_AREA,3,FALSE)),"",VLOOKUP($B125,SNOWBOARDS_MASTER_DATA_AREA,5,FALSE))</f>
        <v/>
      </c>
      <c r="R125" s="119" t="str">
        <f>IF(ISNA(VLOOKUP($B125,SNOWBOARDS_MASTER_DATA_AREA,3,FALSE)),"",VLOOKUP($B125,SNOWBOARDS_MASTER_DATA_AREA,IF(SNOWBOARD_DISCOUNT_TYPE=0,8,9),FALSE))</f>
        <v/>
      </c>
      <c r="S125" s="120" t="str">
        <f>IF(ISNA(VLOOKUP($B125,SNOWBOARDS_MASTER_DATA_AREA,3,FALSE)),"",VLOOKUP($B125,SNOWBOARDS_MASTER_DATA_AREA,7,FALSE))</f>
        <v/>
      </c>
      <c r="T125" s="115" t="str">
        <f>IF(SUM(E126:P126)=0,"",SUM(E126:P126))</f>
        <v/>
      </c>
      <c r="U125" s="116" t="str">
        <f>IF(ISNA(VLOOKUP($B125,SNOWBOARDS_MASTER_DATA_AREA,3,FALSE)),"",VLOOKUP($B125,SNOWBOARDS_MASTER_DATA_AREA,10,FALSE))</f>
        <v/>
      </c>
      <c r="V125" s="98"/>
      <c r="W125" s="15">
        <f>IF(C125="",0,1)</f>
        <v>0</v>
      </c>
    </row>
    <row r="126" spans="1:23" ht="14" hidden="1" thickBot="1">
      <c r="A126" s="98"/>
      <c r="B126" s="364"/>
      <c r="C126" s="369"/>
      <c r="D126" s="365"/>
      <c r="E126" s="383" t="str">
        <f t="shared" ref="E126:O126" si="149">IF(ISNA(VLOOKUP($B125,SNOWBOARDS_MASTER_DATA_AREA,3,FALSE)),"",IF(VLOOKUP($B125,SNOWBOARDS_MASTER_DATA_AREA,H$4,FALSE)=0,"",VLOOKUP($B125,SNOWBOARDS_MASTER_DATA_AREA,H$4,FALSE)))</f>
        <v/>
      </c>
      <c r="F126" s="384" t="str">
        <f t="shared" si="149"/>
        <v/>
      </c>
      <c r="G126" s="384" t="str">
        <f t="shared" si="149"/>
        <v/>
      </c>
      <c r="H126" s="384" t="str">
        <f t="shared" si="149"/>
        <v/>
      </c>
      <c r="I126" s="384" t="str">
        <f t="shared" si="149"/>
        <v/>
      </c>
      <c r="J126" s="384" t="str">
        <f t="shared" si="149"/>
        <v/>
      </c>
      <c r="K126" s="385" t="str">
        <f t="shared" si="149"/>
        <v/>
      </c>
      <c r="L126" s="384" t="str">
        <f t="shared" si="149"/>
        <v/>
      </c>
      <c r="M126" s="384" t="str">
        <f t="shared" si="149"/>
        <v/>
      </c>
      <c r="N126" s="384" t="str">
        <f t="shared" si="149"/>
        <v/>
      </c>
      <c r="O126" s="384" t="str">
        <f t="shared" si="149"/>
        <v/>
      </c>
      <c r="P126" s="386"/>
      <c r="Q126" s="366"/>
      <c r="R126" s="367"/>
      <c r="S126" s="368"/>
      <c r="T126" s="382"/>
      <c r="U126" s="374"/>
      <c r="V126" s="98"/>
      <c r="W126" s="15">
        <f t="shared" ref="W126" si="150">IF(W125=0,0,1)</f>
        <v>0</v>
      </c>
    </row>
    <row r="127" spans="1:23" ht="14" hidden="1" thickBot="1">
      <c r="A127" s="98"/>
      <c r="B127" s="364">
        <v>9</v>
      </c>
      <c r="C127" s="124" t="str">
        <f>IF(ISNA(VLOOKUP($B127,SNOWBOARDS_MASTER_DATA_AREA,3,FALSE)),"",VLOOKUP($B127,SNOWBOARDS_MASTER_DATA_AREA,3,FALSE))</f>
        <v/>
      </c>
      <c r="D127" s="117" t="str">
        <f>IF(ISNA(VLOOKUP($B127,SNOWBOARDS_MASTER_DATA_AREA,3,FALSE)),"",VLOOKUP($B127,SNOWBOARDS_MASTER_DATA_AREA,4,FALSE))</f>
        <v/>
      </c>
      <c r="E127" s="121" t="str">
        <f t="shared" ref="E127:O127" si="151">IF(ISNA(VLOOKUP($B127,SNOWBOARDS_MASTER_DATA_AREA,3,FALSE)),"",IF(VLOOKUP($B127,SNOWBOARDS_MASTER_DATA_AREA,H$3,FALSE)=0,"",VLOOKUP($B127,SNOWBOARDS_MASTER_DATA_AREA,H$3,FALSE)))</f>
        <v/>
      </c>
      <c r="F127" s="122" t="str">
        <f t="shared" si="151"/>
        <v/>
      </c>
      <c r="G127" s="122" t="str">
        <f t="shared" si="151"/>
        <v/>
      </c>
      <c r="H127" s="122" t="str">
        <f t="shared" si="151"/>
        <v/>
      </c>
      <c r="I127" s="122" t="str">
        <f t="shared" si="151"/>
        <v/>
      </c>
      <c r="J127" s="122" t="str">
        <f t="shared" si="151"/>
        <v/>
      </c>
      <c r="K127" s="123" t="str">
        <f t="shared" si="151"/>
        <v/>
      </c>
      <c r="L127" s="122" t="str">
        <f t="shared" si="151"/>
        <v/>
      </c>
      <c r="M127" s="122" t="str">
        <f t="shared" si="151"/>
        <v/>
      </c>
      <c r="N127" s="122" t="str">
        <f t="shared" si="151"/>
        <v/>
      </c>
      <c r="O127" s="122" t="str">
        <f t="shared" si="151"/>
        <v/>
      </c>
      <c r="P127" s="125"/>
      <c r="Q127" s="118" t="str">
        <f>IF(ISNA(VLOOKUP($B127,SNOWBOARDS_MASTER_DATA_AREA,3,FALSE)),"",VLOOKUP($B127,SNOWBOARDS_MASTER_DATA_AREA,5,FALSE))</f>
        <v/>
      </c>
      <c r="R127" s="119" t="str">
        <f>IF(ISNA(VLOOKUP($B127,SNOWBOARDS_MASTER_DATA_AREA,3,FALSE)),"",VLOOKUP($B127,SNOWBOARDS_MASTER_DATA_AREA,IF(SNOWBOARD_DISCOUNT_TYPE=0,8,9),FALSE))</f>
        <v/>
      </c>
      <c r="S127" s="120" t="str">
        <f>IF(ISNA(VLOOKUP($B127,SNOWBOARDS_MASTER_DATA_AREA,3,FALSE)),"",VLOOKUP($B127,SNOWBOARDS_MASTER_DATA_AREA,7,FALSE))</f>
        <v/>
      </c>
      <c r="T127" s="115" t="str">
        <f>IF(SUM(E128:P128)=0,"",SUM(E128:P128))</f>
        <v/>
      </c>
      <c r="U127" s="116" t="str">
        <f>IF(ISNA(VLOOKUP($B127,SNOWBOARDS_MASTER_DATA_AREA,3,FALSE)),"",VLOOKUP($B127,SNOWBOARDS_MASTER_DATA_AREA,10,FALSE))</f>
        <v/>
      </c>
      <c r="V127" s="98"/>
      <c r="W127" s="15">
        <f>IF(C127="",0,1)</f>
        <v>0</v>
      </c>
    </row>
    <row r="128" spans="1:23" ht="14" hidden="1" thickBot="1">
      <c r="A128" s="98"/>
      <c r="B128" s="364"/>
      <c r="C128" s="369"/>
      <c r="D128" s="365"/>
      <c r="E128" s="383" t="str">
        <f t="shared" ref="E128:O128" si="152">IF(ISNA(VLOOKUP($B127,SNOWBOARDS_MASTER_DATA_AREA,3,FALSE)),"",IF(VLOOKUP($B127,SNOWBOARDS_MASTER_DATA_AREA,H$4,FALSE)=0,"",VLOOKUP($B127,SNOWBOARDS_MASTER_DATA_AREA,H$4,FALSE)))</f>
        <v/>
      </c>
      <c r="F128" s="384" t="str">
        <f t="shared" si="152"/>
        <v/>
      </c>
      <c r="G128" s="384" t="str">
        <f t="shared" si="152"/>
        <v/>
      </c>
      <c r="H128" s="384" t="str">
        <f t="shared" si="152"/>
        <v/>
      </c>
      <c r="I128" s="384" t="str">
        <f t="shared" si="152"/>
        <v/>
      </c>
      <c r="J128" s="384" t="str">
        <f t="shared" si="152"/>
        <v/>
      </c>
      <c r="K128" s="385" t="str">
        <f t="shared" si="152"/>
        <v/>
      </c>
      <c r="L128" s="384" t="str">
        <f t="shared" si="152"/>
        <v/>
      </c>
      <c r="M128" s="384" t="str">
        <f t="shared" si="152"/>
        <v/>
      </c>
      <c r="N128" s="384" t="str">
        <f t="shared" si="152"/>
        <v/>
      </c>
      <c r="O128" s="384" t="str">
        <f t="shared" si="152"/>
        <v/>
      </c>
      <c r="P128" s="386"/>
      <c r="Q128" s="366"/>
      <c r="R128" s="367"/>
      <c r="S128" s="368"/>
      <c r="T128" s="382"/>
      <c r="U128" s="374"/>
      <c r="V128" s="98"/>
      <c r="W128" s="15">
        <f t="shared" ref="W128" si="153">IF(W127=0,0,1)</f>
        <v>0</v>
      </c>
    </row>
    <row r="129" spans="1:23" ht="14" hidden="1" thickBot="1">
      <c r="A129" s="98"/>
      <c r="B129" s="364">
        <v>10</v>
      </c>
      <c r="C129" s="124" t="str">
        <f>IF(ISNA(VLOOKUP($B129,SNOWBOARDS_MASTER_DATA_AREA,3,FALSE)),"",VLOOKUP($B129,SNOWBOARDS_MASTER_DATA_AREA,3,FALSE))</f>
        <v/>
      </c>
      <c r="D129" s="117" t="str">
        <f>IF(ISNA(VLOOKUP($B129,SNOWBOARDS_MASTER_DATA_AREA,3,FALSE)),"",VLOOKUP($B129,SNOWBOARDS_MASTER_DATA_AREA,4,FALSE))</f>
        <v/>
      </c>
      <c r="E129" s="121" t="str">
        <f t="shared" ref="E129:O129" si="154">IF(ISNA(VLOOKUP($B129,SNOWBOARDS_MASTER_DATA_AREA,3,FALSE)),"",IF(VLOOKUP($B129,SNOWBOARDS_MASTER_DATA_AREA,H$3,FALSE)=0,"",VLOOKUP($B129,SNOWBOARDS_MASTER_DATA_AREA,H$3,FALSE)))</f>
        <v/>
      </c>
      <c r="F129" s="122" t="str">
        <f t="shared" si="154"/>
        <v/>
      </c>
      <c r="G129" s="122" t="str">
        <f t="shared" si="154"/>
        <v/>
      </c>
      <c r="H129" s="122" t="str">
        <f t="shared" si="154"/>
        <v/>
      </c>
      <c r="I129" s="122" t="str">
        <f t="shared" si="154"/>
        <v/>
      </c>
      <c r="J129" s="122" t="str">
        <f t="shared" si="154"/>
        <v/>
      </c>
      <c r="K129" s="123" t="str">
        <f t="shared" si="154"/>
        <v/>
      </c>
      <c r="L129" s="122" t="str">
        <f t="shared" si="154"/>
        <v/>
      </c>
      <c r="M129" s="122" t="str">
        <f t="shared" si="154"/>
        <v/>
      </c>
      <c r="N129" s="122" t="str">
        <f t="shared" si="154"/>
        <v/>
      </c>
      <c r="O129" s="122" t="str">
        <f t="shared" si="154"/>
        <v/>
      </c>
      <c r="P129" s="125"/>
      <c r="Q129" s="118" t="str">
        <f>IF(ISNA(VLOOKUP($B129,SNOWBOARDS_MASTER_DATA_AREA,3,FALSE)),"",VLOOKUP($B129,SNOWBOARDS_MASTER_DATA_AREA,5,FALSE))</f>
        <v/>
      </c>
      <c r="R129" s="119" t="str">
        <f>IF(ISNA(VLOOKUP($B129,SNOWBOARDS_MASTER_DATA_AREA,3,FALSE)),"",VLOOKUP($B129,SNOWBOARDS_MASTER_DATA_AREA,IF(SNOWBOARD_DISCOUNT_TYPE=0,8,9),FALSE))</f>
        <v/>
      </c>
      <c r="S129" s="120" t="str">
        <f>IF(ISNA(VLOOKUP($B129,SNOWBOARDS_MASTER_DATA_AREA,3,FALSE)),"",VLOOKUP($B129,SNOWBOARDS_MASTER_DATA_AREA,7,FALSE))</f>
        <v/>
      </c>
      <c r="T129" s="115" t="str">
        <f>IF(SUM(E130:P130)=0,"",SUM(E130:P130))</f>
        <v/>
      </c>
      <c r="U129" s="116" t="str">
        <f>IF(ISNA(VLOOKUP($B129,SNOWBOARDS_MASTER_DATA_AREA,3,FALSE)),"",VLOOKUP($B129,SNOWBOARDS_MASTER_DATA_AREA,10,FALSE))</f>
        <v/>
      </c>
      <c r="V129" s="98"/>
      <c r="W129" s="15">
        <f>IF(C129="",0,1)</f>
        <v>0</v>
      </c>
    </row>
    <row r="130" spans="1:23" ht="14" hidden="1" thickBot="1">
      <c r="A130" s="98"/>
      <c r="B130" s="364"/>
      <c r="C130" s="369"/>
      <c r="D130" s="365"/>
      <c r="E130" s="383" t="str">
        <f t="shared" ref="E130:O130" si="155">IF(ISNA(VLOOKUP($B129,SNOWBOARDS_MASTER_DATA_AREA,3,FALSE)),"",IF(VLOOKUP($B129,SNOWBOARDS_MASTER_DATA_AREA,H$4,FALSE)=0,"",VLOOKUP($B129,SNOWBOARDS_MASTER_DATA_AREA,H$4,FALSE)))</f>
        <v/>
      </c>
      <c r="F130" s="384" t="str">
        <f t="shared" si="155"/>
        <v/>
      </c>
      <c r="G130" s="384" t="str">
        <f t="shared" si="155"/>
        <v/>
      </c>
      <c r="H130" s="384" t="str">
        <f t="shared" si="155"/>
        <v/>
      </c>
      <c r="I130" s="384" t="str">
        <f t="shared" si="155"/>
        <v/>
      </c>
      <c r="J130" s="384" t="str">
        <f t="shared" si="155"/>
        <v/>
      </c>
      <c r="K130" s="385" t="str">
        <f t="shared" si="155"/>
        <v/>
      </c>
      <c r="L130" s="384" t="str">
        <f t="shared" si="155"/>
        <v/>
      </c>
      <c r="M130" s="384" t="str">
        <f t="shared" si="155"/>
        <v/>
      </c>
      <c r="N130" s="384" t="str">
        <f t="shared" si="155"/>
        <v/>
      </c>
      <c r="O130" s="384" t="str">
        <f t="shared" si="155"/>
        <v/>
      </c>
      <c r="P130" s="386"/>
      <c r="Q130" s="366"/>
      <c r="R130" s="367"/>
      <c r="S130" s="368"/>
      <c r="T130" s="382"/>
      <c r="U130" s="374"/>
      <c r="V130" s="98"/>
      <c r="W130" s="15">
        <f t="shared" ref="W130" si="156">IF(W129=0,0,1)</f>
        <v>0</v>
      </c>
    </row>
    <row r="131" spans="1:23" ht="14" hidden="1" thickBot="1">
      <c r="A131" s="98"/>
      <c r="B131" s="364">
        <v>11</v>
      </c>
      <c r="C131" s="124" t="str">
        <f>IF(ISNA(VLOOKUP($B131,SNOWBOARDS_MASTER_DATA_AREA,3,FALSE)),"",VLOOKUP($B131,SNOWBOARDS_MASTER_DATA_AREA,3,FALSE))</f>
        <v/>
      </c>
      <c r="D131" s="117" t="str">
        <f>IF(ISNA(VLOOKUP($B131,SNOWBOARDS_MASTER_DATA_AREA,3,FALSE)),"",VLOOKUP($B131,SNOWBOARDS_MASTER_DATA_AREA,4,FALSE))</f>
        <v/>
      </c>
      <c r="E131" s="121" t="str">
        <f t="shared" ref="E131:O131" si="157">IF(ISNA(VLOOKUP($B131,SNOWBOARDS_MASTER_DATA_AREA,3,FALSE)),"",IF(VLOOKUP($B131,SNOWBOARDS_MASTER_DATA_AREA,H$3,FALSE)=0,"",VLOOKUP($B131,SNOWBOARDS_MASTER_DATA_AREA,H$3,FALSE)))</f>
        <v/>
      </c>
      <c r="F131" s="122" t="str">
        <f t="shared" si="157"/>
        <v/>
      </c>
      <c r="G131" s="122" t="str">
        <f t="shared" si="157"/>
        <v/>
      </c>
      <c r="H131" s="122" t="str">
        <f t="shared" si="157"/>
        <v/>
      </c>
      <c r="I131" s="122" t="str">
        <f t="shared" si="157"/>
        <v/>
      </c>
      <c r="J131" s="122" t="str">
        <f t="shared" si="157"/>
        <v/>
      </c>
      <c r="K131" s="123" t="str">
        <f t="shared" si="157"/>
        <v/>
      </c>
      <c r="L131" s="122" t="str">
        <f t="shared" si="157"/>
        <v/>
      </c>
      <c r="M131" s="122" t="str">
        <f t="shared" si="157"/>
        <v/>
      </c>
      <c r="N131" s="122" t="str">
        <f t="shared" si="157"/>
        <v/>
      </c>
      <c r="O131" s="122" t="str">
        <f t="shared" si="157"/>
        <v/>
      </c>
      <c r="P131" s="125"/>
      <c r="Q131" s="118" t="str">
        <f>IF(ISNA(VLOOKUP($B131,SNOWBOARDS_MASTER_DATA_AREA,3,FALSE)),"",VLOOKUP($B131,SNOWBOARDS_MASTER_DATA_AREA,5,FALSE))</f>
        <v/>
      </c>
      <c r="R131" s="119" t="str">
        <f>IF(ISNA(VLOOKUP($B131,SNOWBOARDS_MASTER_DATA_AREA,3,FALSE)),"",VLOOKUP($B131,SNOWBOARDS_MASTER_DATA_AREA,IF(SNOWBOARD_DISCOUNT_TYPE=0,8,9),FALSE))</f>
        <v/>
      </c>
      <c r="S131" s="120" t="str">
        <f>IF(ISNA(VLOOKUP($B131,SNOWBOARDS_MASTER_DATA_AREA,3,FALSE)),"",VLOOKUP($B131,SNOWBOARDS_MASTER_DATA_AREA,7,FALSE))</f>
        <v/>
      </c>
      <c r="T131" s="115" t="str">
        <f>IF(SUM(E132:P132)=0,"",SUM(E132:P132))</f>
        <v/>
      </c>
      <c r="U131" s="116" t="str">
        <f>IF(ISNA(VLOOKUP($B131,SNOWBOARDS_MASTER_DATA_AREA,3,FALSE)),"",VLOOKUP($B131,SNOWBOARDS_MASTER_DATA_AREA,10,FALSE))</f>
        <v/>
      </c>
      <c r="V131" s="98"/>
      <c r="W131" s="15">
        <f>IF(C131="",0,1)</f>
        <v>0</v>
      </c>
    </row>
    <row r="132" spans="1:23" ht="14" hidden="1" thickBot="1">
      <c r="A132" s="98"/>
      <c r="B132" s="364"/>
      <c r="C132" s="369"/>
      <c r="D132" s="365"/>
      <c r="E132" s="383" t="str">
        <f t="shared" ref="E132:O132" si="158">IF(ISNA(VLOOKUP($B131,SNOWBOARDS_MASTER_DATA_AREA,3,FALSE)),"",IF(VLOOKUP($B131,SNOWBOARDS_MASTER_DATA_AREA,H$4,FALSE)=0,"",VLOOKUP($B131,SNOWBOARDS_MASTER_DATA_AREA,H$4,FALSE)))</f>
        <v/>
      </c>
      <c r="F132" s="384" t="str">
        <f t="shared" si="158"/>
        <v/>
      </c>
      <c r="G132" s="384" t="str">
        <f t="shared" si="158"/>
        <v/>
      </c>
      <c r="H132" s="384" t="str">
        <f t="shared" si="158"/>
        <v/>
      </c>
      <c r="I132" s="384" t="str">
        <f t="shared" si="158"/>
        <v/>
      </c>
      <c r="J132" s="384" t="str">
        <f t="shared" si="158"/>
        <v/>
      </c>
      <c r="K132" s="385" t="str">
        <f t="shared" si="158"/>
        <v/>
      </c>
      <c r="L132" s="384" t="str">
        <f t="shared" si="158"/>
        <v/>
      </c>
      <c r="M132" s="384" t="str">
        <f t="shared" si="158"/>
        <v/>
      </c>
      <c r="N132" s="384" t="str">
        <f t="shared" si="158"/>
        <v/>
      </c>
      <c r="O132" s="384" t="str">
        <f t="shared" si="158"/>
        <v/>
      </c>
      <c r="P132" s="386"/>
      <c r="Q132" s="366"/>
      <c r="R132" s="367"/>
      <c r="S132" s="368"/>
      <c r="T132" s="382"/>
      <c r="U132" s="374"/>
      <c r="V132" s="98"/>
      <c r="W132" s="15">
        <f>IF(W131=0,0,1)</f>
        <v>0</v>
      </c>
    </row>
    <row r="133" spans="1:23" ht="14" hidden="1" thickBot="1">
      <c r="A133" s="98"/>
      <c r="B133" s="364">
        <v>12</v>
      </c>
      <c r="C133" s="124" t="str">
        <f>IF(ISNA(VLOOKUP($B133,SNOWBOARDS_MASTER_DATA_AREA,3,FALSE)),"",VLOOKUP($B133,SNOWBOARDS_MASTER_DATA_AREA,3,FALSE))</f>
        <v/>
      </c>
      <c r="D133" s="117" t="str">
        <f>IF(ISNA(VLOOKUP($B133,SNOWBOARDS_MASTER_DATA_AREA,3,FALSE)),"",VLOOKUP($B133,SNOWBOARDS_MASTER_DATA_AREA,4,FALSE))</f>
        <v/>
      </c>
      <c r="E133" s="121" t="str">
        <f t="shared" ref="E133:O133" si="159">IF(ISNA(VLOOKUP($B133,SNOWBOARDS_MASTER_DATA_AREA,3,FALSE)),"",IF(VLOOKUP($B133,SNOWBOARDS_MASTER_DATA_AREA,H$3,FALSE)=0,"",VLOOKUP($B133,SNOWBOARDS_MASTER_DATA_AREA,H$3,FALSE)))</f>
        <v/>
      </c>
      <c r="F133" s="122" t="str">
        <f t="shared" si="159"/>
        <v/>
      </c>
      <c r="G133" s="122" t="str">
        <f t="shared" si="159"/>
        <v/>
      </c>
      <c r="H133" s="122" t="str">
        <f t="shared" si="159"/>
        <v/>
      </c>
      <c r="I133" s="122" t="str">
        <f t="shared" si="159"/>
        <v/>
      </c>
      <c r="J133" s="122" t="str">
        <f t="shared" si="159"/>
        <v/>
      </c>
      <c r="K133" s="123" t="str">
        <f t="shared" si="159"/>
        <v/>
      </c>
      <c r="L133" s="122" t="str">
        <f t="shared" si="159"/>
        <v/>
      </c>
      <c r="M133" s="122" t="str">
        <f t="shared" si="159"/>
        <v/>
      </c>
      <c r="N133" s="122" t="str">
        <f t="shared" si="159"/>
        <v/>
      </c>
      <c r="O133" s="122" t="str">
        <f t="shared" si="159"/>
        <v/>
      </c>
      <c r="P133" s="125"/>
      <c r="Q133" s="118" t="str">
        <f>IF(ISNA(VLOOKUP($B133,SNOWBOARDS_MASTER_DATA_AREA,3,FALSE)),"",VLOOKUP($B133,SNOWBOARDS_MASTER_DATA_AREA,5,FALSE))</f>
        <v/>
      </c>
      <c r="R133" s="119" t="str">
        <f>IF(ISNA(VLOOKUP($B133,SNOWBOARDS_MASTER_DATA_AREA,3,FALSE)),"",VLOOKUP($B133,SNOWBOARDS_MASTER_DATA_AREA,IF(SNOWBOARD_DISCOUNT_TYPE=0,8,9),FALSE))</f>
        <v/>
      </c>
      <c r="S133" s="120" t="str">
        <f>IF(ISNA(VLOOKUP($B133,SNOWBOARDS_MASTER_DATA_AREA,3,FALSE)),"",VLOOKUP($B133,SNOWBOARDS_MASTER_DATA_AREA,7,FALSE))</f>
        <v/>
      </c>
      <c r="T133" s="115" t="str">
        <f>IF(SUM(E134:P134)=0,"",SUM(E134:P134))</f>
        <v/>
      </c>
      <c r="U133" s="116" t="str">
        <f>IF(ISNA(VLOOKUP($B133,SNOWBOARDS_MASTER_DATA_AREA,3,FALSE)),"",VLOOKUP($B133,SNOWBOARDS_MASTER_DATA_AREA,10,FALSE))</f>
        <v/>
      </c>
      <c r="V133" s="98"/>
      <c r="W133" s="15">
        <f>IF(C133="",0,1)</f>
        <v>0</v>
      </c>
    </row>
    <row r="134" spans="1:23" ht="14" hidden="1" thickBot="1">
      <c r="A134" s="98"/>
      <c r="B134" s="364"/>
      <c r="C134" s="369"/>
      <c r="D134" s="365"/>
      <c r="E134" s="383" t="str">
        <f t="shared" ref="E134:O134" si="160">IF(ISNA(VLOOKUP($B133,SNOWBOARDS_MASTER_DATA_AREA,3,FALSE)),"",IF(VLOOKUP($B133,SNOWBOARDS_MASTER_DATA_AREA,H$4,FALSE)=0,"",VLOOKUP($B133,SNOWBOARDS_MASTER_DATA_AREA,H$4,FALSE)))</f>
        <v/>
      </c>
      <c r="F134" s="384" t="str">
        <f t="shared" si="160"/>
        <v/>
      </c>
      <c r="G134" s="384" t="str">
        <f t="shared" si="160"/>
        <v/>
      </c>
      <c r="H134" s="384" t="str">
        <f t="shared" si="160"/>
        <v/>
      </c>
      <c r="I134" s="384" t="str">
        <f t="shared" si="160"/>
        <v/>
      </c>
      <c r="J134" s="384" t="str">
        <f t="shared" si="160"/>
        <v/>
      </c>
      <c r="K134" s="385" t="str">
        <f t="shared" si="160"/>
        <v/>
      </c>
      <c r="L134" s="384" t="str">
        <f t="shared" si="160"/>
        <v/>
      </c>
      <c r="M134" s="384" t="str">
        <f t="shared" si="160"/>
        <v/>
      </c>
      <c r="N134" s="384" t="str">
        <f t="shared" si="160"/>
        <v/>
      </c>
      <c r="O134" s="384" t="str">
        <f t="shared" si="160"/>
        <v/>
      </c>
      <c r="P134" s="386"/>
      <c r="Q134" s="366"/>
      <c r="R134" s="367"/>
      <c r="S134" s="368"/>
      <c r="T134" s="382"/>
      <c r="U134" s="374"/>
      <c r="V134" s="98"/>
      <c r="W134" s="15">
        <f t="shared" ref="W134" si="161">IF(W133=0,0,1)</f>
        <v>0</v>
      </c>
    </row>
    <row r="135" spans="1:23" ht="14" hidden="1" thickBot="1">
      <c r="A135" s="98"/>
      <c r="B135" s="364">
        <v>13</v>
      </c>
      <c r="C135" s="124" t="str">
        <f>IF(ISNA(VLOOKUP($B135,SNOWBOARDS_MASTER_DATA_AREA,3,FALSE)),"",VLOOKUP($B135,SNOWBOARDS_MASTER_DATA_AREA,3,FALSE))</f>
        <v/>
      </c>
      <c r="D135" s="117" t="str">
        <f>IF(ISNA(VLOOKUP($B135,SNOWBOARDS_MASTER_DATA_AREA,3,FALSE)),"",VLOOKUP($B135,SNOWBOARDS_MASTER_DATA_AREA,4,FALSE))</f>
        <v/>
      </c>
      <c r="E135" s="121" t="str">
        <f t="shared" ref="E135:O135" si="162">IF(ISNA(VLOOKUP($B135,SNOWBOARDS_MASTER_DATA_AREA,3,FALSE)),"",IF(VLOOKUP($B135,SNOWBOARDS_MASTER_DATA_AREA,H$3,FALSE)=0,"",VLOOKUP($B135,SNOWBOARDS_MASTER_DATA_AREA,H$3,FALSE)))</f>
        <v/>
      </c>
      <c r="F135" s="122" t="str">
        <f t="shared" si="162"/>
        <v/>
      </c>
      <c r="G135" s="122" t="str">
        <f t="shared" si="162"/>
        <v/>
      </c>
      <c r="H135" s="122" t="str">
        <f t="shared" si="162"/>
        <v/>
      </c>
      <c r="I135" s="122" t="str">
        <f t="shared" si="162"/>
        <v/>
      </c>
      <c r="J135" s="122" t="str">
        <f t="shared" si="162"/>
        <v/>
      </c>
      <c r="K135" s="123" t="str">
        <f t="shared" si="162"/>
        <v/>
      </c>
      <c r="L135" s="122" t="str">
        <f t="shared" si="162"/>
        <v/>
      </c>
      <c r="M135" s="122" t="str">
        <f t="shared" si="162"/>
        <v/>
      </c>
      <c r="N135" s="122" t="str">
        <f t="shared" si="162"/>
        <v/>
      </c>
      <c r="O135" s="122" t="str">
        <f t="shared" si="162"/>
        <v/>
      </c>
      <c r="P135" s="125"/>
      <c r="Q135" s="118" t="str">
        <f>IF(ISNA(VLOOKUP($B135,SNOWBOARDS_MASTER_DATA_AREA,3,FALSE)),"",VLOOKUP($B135,SNOWBOARDS_MASTER_DATA_AREA,5,FALSE))</f>
        <v/>
      </c>
      <c r="R135" s="119" t="str">
        <f>IF(ISNA(VLOOKUP($B135,SNOWBOARDS_MASTER_DATA_AREA,3,FALSE)),"",VLOOKUP($B135,SNOWBOARDS_MASTER_DATA_AREA,IF(SNOWBOARD_DISCOUNT_TYPE=0,8,9),FALSE))</f>
        <v/>
      </c>
      <c r="S135" s="120" t="str">
        <f>IF(ISNA(VLOOKUP($B135,SNOWBOARDS_MASTER_DATA_AREA,3,FALSE)),"",VLOOKUP($B135,SNOWBOARDS_MASTER_DATA_AREA,7,FALSE))</f>
        <v/>
      </c>
      <c r="T135" s="115" t="str">
        <f>IF(SUM(E136:P136)=0,"",SUM(E136:P136))</f>
        <v/>
      </c>
      <c r="U135" s="116" t="str">
        <f>IF(ISNA(VLOOKUP($B135,SNOWBOARDS_MASTER_DATA_AREA,3,FALSE)),"",VLOOKUP($B135,SNOWBOARDS_MASTER_DATA_AREA,10,FALSE))</f>
        <v/>
      </c>
      <c r="V135" s="98"/>
      <c r="W135" s="15">
        <f>IF(C135="",0,1)</f>
        <v>0</v>
      </c>
    </row>
    <row r="136" spans="1:23" ht="14" hidden="1" thickBot="1">
      <c r="A136" s="98"/>
      <c r="B136" s="364"/>
      <c r="C136" s="369"/>
      <c r="D136" s="365"/>
      <c r="E136" s="383" t="str">
        <f t="shared" ref="E136:O136" si="163">IF(ISNA(VLOOKUP($B135,SNOWBOARDS_MASTER_DATA_AREA,3,FALSE)),"",IF(VLOOKUP($B135,SNOWBOARDS_MASTER_DATA_AREA,H$4,FALSE)=0,"",VLOOKUP($B135,SNOWBOARDS_MASTER_DATA_AREA,H$4,FALSE)))</f>
        <v/>
      </c>
      <c r="F136" s="384" t="str">
        <f t="shared" si="163"/>
        <v/>
      </c>
      <c r="G136" s="384" t="str">
        <f t="shared" si="163"/>
        <v/>
      </c>
      <c r="H136" s="384" t="str">
        <f t="shared" si="163"/>
        <v/>
      </c>
      <c r="I136" s="384" t="str">
        <f t="shared" si="163"/>
        <v/>
      </c>
      <c r="J136" s="384" t="str">
        <f t="shared" si="163"/>
        <v/>
      </c>
      <c r="K136" s="385" t="str">
        <f t="shared" si="163"/>
        <v/>
      </c>
      <c r="L136" s="384" t="str">
        <f t="shared" si="163"/>
        <v/>
      </c>
      <c r="M136" s="384" t="str">
        <f t="shared" si="163"/>
        <v/>
      </c>
      <c r="N136" s="384" t="str">
        <f t="shared" si="163"/>
        <v/>
      </c>
      <c r="O136" s="384" t="str">
        <f t="shared" si="163"/>
        <v/>
      </c>
      <c r="P136" s="386"/>
      <c r="Q136" s="366"/>
      <c r="R136" s="367"/>
      <c r="S136" s="368"/>
      <c r="T136" s="382"/>
      <c r="U136" s="374"/>
      <c r="V136" s="98"/>
      <c r="W136" s="15">
        <f>IF(W135=0,0,1)</f>
        <v>0</v>
      </c>
    </row>
    <row r="137" spans="1:23" ht="14" hidden="1" thickBot="1">
      <c r="A137" s="98"/>
      <c r="B137" s="364">
        <v>14</v>
      </c>
      <c r="C137" s="124" t="str">
        <f>IF(ISNA(VLOOKUP($B137,SNOWBOARDS_MASTER_DATA_AREA,3,FALSE)),"",VLOOKUP($B137,SNOWBOARDS_MASTER_DATA_AREA,3,FALSE))</f>
        <v/>
      </c>
      <c r="D137" s="117" t="str">
        <f>IF(ISNA(VLOOKUP($B137,SNOWBOARDS_MASTER_DATA_AREA,3,FALSE)),"",VLOOKUP($B137,SNOWBOARDS_MASTER_DATA_AREA,4,FALSE))</f>
        <v/>
      </c>
      <c r="E137" s="121" t="str">
        <f t="shared" ref="E137:O137" si="164">IF(ISNA(VLOOKUP($B137,SNOWBOARDS_MASTER_DATA_AREA,3,FALSE)),"",IF(VLOOKUP($B137,SNOWBOARDS_MASTER_DATA_AREA,H$3,FALSE)=0,"",VLOOKUP($B137,SNOWBOARDS_MASTER_DATA_AREA,H$3,FALSE)))</f>
        <v/>
      </c>
      <c r="F137" s="122" t="str">
        <f t="shared" si="164"/>
        <v/>
      </c>
      <c r="G137" s="122" t="str">
        <f t="shared" si="164"/>
        <v/>
      </c>
      <c r="H137" s="122" t="str">
        <f t="shared" si="164"/>
        <v/>
      </c>
      <c r="I137" s="122" t="str">
        <f t="shared" si="164"/>
        <v/>
      </c>
      <c r="J137" s="122" t="str">
        <f t="shared" si="164"/>
        <v/>
      </c>
      <c r="K137" s="123" t="str">
        <f t="shared" si="164"/>
        <v/>
      </c>
      <c r="L137" s="122" t="str">
        <f t="shared" si="164"/>
        <v/>
      </c>
      <c r="M137" s="122" t="str">
        <f t="shared" si="164"/>
        <v/>
      </c>
      <c r="N137" s="122" t="str">
        <f t="shared" si="164"/>
        <v/>
      </c>
      <c r="O137" s="122" t="str">
        <f t="shared" si="164"/>
        <v/>
      </c>
      <c r="P137" s="125"/>
      <c r="Q137" s="118" t="str">
        <f>IF(ISNA(VLOOKUP($B137,SNOWBOARDS_MASTER_DATA_AREA,3,FALSE)),"",VLOOKUP($B137,SNOWBOARDS_MASTER_DATA_AREA,5,FALSE))</f>
        <v/>
      </c>
      <c r="R137" s="119" t="str">
        <f>IF(ISNA(VLOOKUP($B137,SNOWBOARDS_MASTER_DATA_AREA,3,FALSE)),"",VLOOKUP($B137,SNOWBOARDS_MASTER_DATA_AREA,IF(SNOWBOARD_DISCOUNT_TYPE=0,8,9),FALSE))</f>
        <v/>
      </c>
      <c r="S137" s="120" t="str">
        <f>IF(ISNA(VLOOKUP($B137,SNOWBOARDS_MASTER_DATA_AREA,3,FALSE)),"",VLOOKUP($B137,SNOWBOARDS_MASTER_DATA_AREA,7,FALSE))</f>
        <v/>
      </c>
      <c r="T137" s="115" t="str">
        <f>IF(SUM(E138:P138)=0,"",SUM(E138:P138))</f>
        <v/>
      </c>
      <c r="U137" s="116" t="str">
        <f>IF(ISNA(VLOOKUP($B137,SNOWBOARDS_MASTER_DATA_AREA,3,FALSE)),"",VLOOKUP($B137,SNOWBOARDS_MASTER_DATA_AREA,10,FALSE))</f>
        <v/>
      </c>
      <c r="V137" s="98"/>
      <c r="W137" s="15">
        <f>IF(C137="",0,1)</f>
        <v>0</v>
      </c>
    </row>
    <row r="138" spans="1:23" ht="14" hidden="1" thickBot="1">
      <c r="A138" s="98"/>
      <c r="B138" s="364"/>
      <c r="C138" s="369"/>
      <c r="D138" s="365"/>
      <c r="E138" s="383" t="str">
        <f t="shared" ref="E138:O138" si="165">IF(ISNA(VLOOKUP($B137,SNOWBOARDS_MASTER_DATA_AREA,3,FALSE)),"",IF(VLOOKUP($B137,SNOWBOARDS_MASTER_DATA_AREA,H$4,FALSE)=0,"",VLOOKUP($B137,SNOWBOARDS_MASTER_DATA_AREA,H$4,FALSE)))</f>
        <v/>
      </c>
      <c r="F138" s="384" t="str">
        <f t="shared" si="165"/>
        <v/>
      </c>
      <c r="G138" s="384" t="str">
        <f t="shared" si="165"/>
        <v/>
      </c>
      <c r="H138" s="384" t="str">
        <f t="shared" si="165"/>
        <v/>
      </c>
      <c r="I138" s="384" t="str">
        <f t="shared" si="165"/>
        <v/>
      </c>
      <c r="J138" s="384" t="str">
        <f t="shared" si="165"/>
        <v/>
      </c>
      <c r="K138" s="385" t="str">
        <f t="shared" si="165"/>
        <v/>
      </c>
      <c r="L138" s="384" t="str">
        <f t="shared" si="165"/>
        <v/>
      </c>
      <c r="M138" s="384" t="str">
        <f t="shared" si="165"/>
        <v/>
      </c>
      <c r="N138" s="384" t="str">
        <f t="shared" si="165"/>
        <v/>
      </c>
      <c r="O138" s="384" t="str">
        <f t="shared" si="165"/>
        <v/>
      </c>
      <c r="P138" s="386"/>
      <c r="Q138" s="366"/>
      <c r="R138" s="367"/>
      <c r="S138" s="368"/>
      <c r="T138" s="382"/>
      <c r="U138" s="374"/>
      <c r="V138" s="98"/>
      <c r="W138" s="15">
        <f>IF(W137=0,0,1)</f>
        <v>0</v>
      </c>
    </row>
    <row r="139" spans="1:23" ht="14" hidden="1" thickBot="1">
      <c r="A139" s="98"/>
      <c r="B139" s="364">
        <v>15</v>
      </c>
      <c r="C139" s="124" t="str">
        <f>IF(ISNA(VLOOKUP($B139,SNOWBOARDS_MASTER_DATA_AREA,3,FALSE)),"",VLOOKUP($B139,SNOWBOARDS_MASTER_DATA_AREA,3,FALSE))</f>
        <v/>
      </c>
      <c r="D139" s="117" t="str">
        <f>IF(ISNA(VLOOKUP($B139,SNOWBOARDS_MASTER_DATA_AREA,3,FALSE)),"",VLOOKUP($B139,SNOWBOARDS_MASTER_DATA_AREA,4,FALSE))</f>
        <v/>
      </c>
      <c r="E139" s="121" t="str">
        <f t="shared" ref="E139:O139" si="166">IF(ISNA(VLOOKUP($B139,SNOWBOARDS_MASTER_DATA_AREA,3,FALSE)),"",IF(VLOOKUP($B139,SNOWBOARDS_MASTER_DATA_AREA,H$3,FALSE)=0,"",VLOOKUP($B139,SNOWBOARDS_MASTER_DATA_AREA,H$3,FALSE)))</f>
        <v/>
      </c>
      <c r="F139" s="122" t="str">
        <f t="shared" si="166"/>
        <v/>
      </c>
      <c r="G139" s="122" t="str">
        <f t="shared" si="166"/>
        <v/>
      </c>
      <c r="H139" s="122" t="str">
        <f t="shared" si="166"/>
        <v/>
      </c>
      <c r="I139" s="122" t="str">
        <f t="shared" si="166"/>
        <v/>
      </c>
      <c r="J139" s="122" t="str">
        <f t="shared" si="166"/>
        <v/>
      </c>
      <c r="K139" s="123" t="str">
        <f t="shared" si="166"/>
        <v/>
      </c>
      <c r="L139" s="122" t="str">
        <f t="shared" si="166"/>
        <v/>
      </c>
      <c r="M139" s="122" t="str">
        <f t="shared" si="166"/>
        <v/>
      </c>
      <c r="N139" s="122" t="str">
        <f t="shared" si="166"/>
        <v/>
      </c>
      <c r="O139" s="122" t="str">
        <f t="shared" si="166"/>
        <v/>
      </c>
      <c r="P139" s="125"/>
      <c r="Q139" s="118" t="str">
        <f>IF(ISNA(VLOOKUP($B139,SNOWBOARDS_MASTER_DATA_AREA,3,FALSE)),"",VLOOKUP($B139,SNOWBOARDS_MASTER_DATA_AREA,5,FALSE))</f>
        <v/>
      </c>
      <c r="R139" s="119" t="str">
        <f>IF(ISNA(VLOOKUP($B139,SNOWBOARDS_MASTER_DATA_AREA,3,FALSE)),"",VLOOKUP($B139,SNOWBOARDS_MASTER_DATA_AREA,IF(SNOWBOARD_DISCOUNT_TYPE=0,8,9),FALSE))</f>
        <v/>
      </c>
      <c r="S139" s="120" t="str">
        <f>IF(ISNA(VLOOKUP($B139,SNOWBOARDS_MASTER_DATA_AREA,3,FALSE)),"",VLOOKUP($B139,SNOWBOARDS_MASTER_DATA_AREA,7,FALSE))</f>
        <v/>
      </c>
      <c r="T139" s="115" t="str">
        <f>IF(SUM(E140:P140)=0,"",SUM(E140:P140))</f>
        <v/>
      </c>
      <c r="U139" s="116" t="str">
        <f>IF(ISNA(VLOOKUP($B139,SNOWBOARDS_MASTER_DATA_AREA,3,FALSE)),"",VLOOKUP($B139,SNOWBOARDS_MASTER_DATA_AREA,10,FALSE))</f>
        <v/>
      </c>
      <c r="V139" s="98"/>
      <c r="W139" s="15">
        <f>IF(C139="",0,1)</f>
        <v>0</v>
      </c>
    </row>
    <row r="140" spans="1:23" ht="14" hidden="1" thickBot="1">
      <c r="A140" s="98"/>
      <c r="B140" s="364"/>
      <c r="C140" s="369"/>
      <c r="D140" s="365"/>
      <c r="E140" s="383" t="str">
        <f t="shared" ref="E140:O140" si="167">IF(ISNA(VLOOKUP($B139,SNOWBOARDS_MASTER_DATA_AREA,3,FALSE)),"",IF(VLOOKUP($B139,SNOWBOARDS_MASTER_DATA_AREA,H$4,FALSE)=0,"",VLOOKUP($B139,SNOWBOARDS_MASTER_DATA_AREA,H$4,FALSE)))</f>
        <v/>
      </c>
      <c r="F140" s="384" t="str">
        <f t="shared" si="167"/>
        <v/>
      </c>
      <c r="G140" s="384" t="str">
        <f t="shared" si="167"/>
        <v/>
      </c>
      <c r="H140" s="384" t="str">
        <f t="shared" si="167"/>
        <v/>
      </c>
      <c r="I140" s="384" t="str">
        <f t="shared" si="167"/>
        <v/>
      </c>
      <c r="J140" s="384" t="str">
        <f t="shared" si="167"/>
        <v/>
      </c>
      <c r="K140" s="385" t="str">
        <f t="shared" si="167"/>
        <v/>
      </c>
      <c r="L140" s="384" t="str">
        <f t="shared" si="167"/>
        <v/>
      </c>
      <c r="M140" s="384" t="str">
        <f t="shared" si="167"/>
        <v/>
      </c>
      <c r="N140" s="384" t="str">
        <f t="shared" si="167"/>
        <v/>
      </c>
      <c r="O140" s="384" t="str">
        <f t="shared" si="167"/>
        <v/>
      </c>
      <c r="P140" s="386"/>
      <c r="Q140" s="366"/>
      <c r="R140" s="367"/>
      <c r="S140" s="368"/>
      <c r="T140" s="382"/>
      <c r="U140" s="374"/>
      <c r="V140" s="98"/>
      <c r="W140" s="15">
        <f t="shared" ref="W140:W154" si="168">IF(W139=0,0,1)</f>
        <v>0</v>
      </c>
    </row>
    <row r="141" spans="1:23" ht="14" hidden="1" thickBot="1">
      <c r="A141" s="98"/>
      <c r="B141" s="364">
        <v>16</v>
      </c>
      <c r="C141" s="124" t="str">
        <f>IF(ISNA(VLOOKUP($B141,SNOWBOARDS_MASTER_DATA_AREA,3,FALSE)),"",VLOOKUP($B141,SNOWBOARDS_MASTER_DATA_AREA,3,FALSE))</f>
        <v/>
      </c>
      <c r="D141" s="117" t="str">
        <f>IF(ISNA(VLOOKUP($B141,SNOWBOARDS_MASTER_DATA_AREA,3,FALSE)),"",VLOOKUP($B141,SNOWBOARDS_MASTER_DATA_AREA,4,FALSE))</f>
        <v/>
      </c>
      <c r="E141" s="121" t="str">
        <f t="shared" ref="E141:O141" si="169">IF(ISNA(VLOOKUP($B141,SNOWBOARDS_MASTER_DATA_AREA,3,FALSE)),"",IF(VLOOKUP($B141,SNOWBOARDS_MASTER_DATA_AREA,H$3,FALSE)=0,"",VLOOKUP($B141,SNOWBOARDS_MASTER_DATA_AREA,H$3,FALSE)))</f>
        <v/>
      </c>
      <c r="F141" s="122" t="str">
        <f t="shared" si="169"/>
        <v/>
      </c>
      <c r="G141" s="122" t="str">
        <f t="shared" si="169"/>
        <v/>
      </c>
      <c r="H141" s="122" t="str">
        <f t="shared" si="169"/>
        <v/>
      </c>
      <c r="I141" s="122" t="str">
        <f t="shared" si="169"/>
        <v/>
      </c>
      <c r="J141" s="122" t="str">
        <f t="shared" si="169"/>
        <v/>
      </c>
      <c r="K141" s="123" t="str">
        <f t="shared" si="169"/>
        <v/>
      </c>
      <c r="L141" s="122" t="str">
        <f t="shared" si="169"/>
        <v/>
      </c>
      <c r="M141" s="122" t="str">
        <f t="shared" si="169"/>
        <v/>
      </c>
      <c r="N141" s="122" t="str">
        <f t="shared" si="169"/>
        <v/>
      </c>
      <c r="O141" s="122" t="str">
        <f t="shared" si="169"/>
        <v/>
      </c>
      <c r="P141" s="125"/>
      <c r="Q141" s="118" t="str">
        <f>IF(ISNA(VLOOKUP($B141,SNOWBOARDS_MASTER_DATA_AREA,3,FALSE)),"",VLOOKUP($B141,SNOWBOARDS_MASTER_DATA_AREA,5,FALSE))</f>
        <v/>
      </c>
      <c r="R141" s="119" t="str">
        <f>IF(ISNA(VLOOKUP($B141,SNOWBOARDS_MASTER_DATA_AREA,3,FALSE)),"",VLOOKUP($B141,SNOWBOARDS_MASTER_DATA_AREA,IF(SNOWBOARD_DISCOUNT_TYPE=0,8,9),FALSE))</f>
        <v/>
      </c>
      <c r="S141" s="120" t="str">
        <f>IF(ISNA(VLOOKUP($B141,SNOWBOARDS_MASTER_DATA_AREA,3,FALSE)),"",VLOOKUP($B141,SNOWBOARDS_MASTER_DATA_AREA,7,FALSE))</f>
        <v/>
      </c>
      <c r="T141" s="115" t="str">
        <f>IF(SUM(E142:P142)=0,"",SUM(E142:P142))</f>
        <v/>
      </c>
      <c r="U141" s="116" t="str">
        <f>IF(ISNA(VLOOKUP($B141,SNOWBOARDS_MASTER_DATA_AREA,3,FALSE)),"",VLOOKUP($B141,SNOWBOARDS_MASTER_DATA_AREA,10,FALSE))</f>
        <v/>
      </c>
      <c r="V141" s="98"/>
      <c r="W141" s="15">
        <f>IF(C141="",0,1)</f>
        <v>0</v>
      </c>
    </row>
    <row r="142" spans="1:23" ht="14" hidden="1" thickBot="1">
      <c r="A142" s="98"/>
      <c r="B142" s="364"/>
      <c r="C142" s="369"/>
      <c r="D142" s="365"/>
      <c r="E142" s="383" t="str">
        <f t="shared" ref="E142:O142" si="170">IF(ISNA(VLOOKUP($B141,SNOWBOARDS_MASTER_DATA_AREA,3,FALSE)),"",IF(VLOOKUP($B141,SNOWBOARDS_MASTER_DATA_AREA,H$4,FALSE)=0,"",VLOOKUP($B141,SNOWBOARDS_MASTER_DATA_AREA,H$4,FALSE)))</f>
        <v/>
      </c>
      <c r="F142" s="384" t="str">
        <f t="shared" si="170"/>
        <v/>
      </c>
      <c r="G142" s="384" t="str">
        <f t="shared" si="170"/>
        <v/>
      </c>
      <c r="H142" s="384" t="str">
        <f t="shared" si="170"/>
        <v/>
      </c>
      <c r="I142" s="384" t="str">
        <f t="shared" si="170"/>
        <v/>
      </c>
      <c r="J142" s="384" t="str">
        <f t="shared" si="170"/>
        <v/>
      </c>
      <c r="K142" s="385" t="str">
        <f t="shared" si="170"/>
        <v/>
      </c>
      <c r="L142" s="384" t="str">
        <f t="shared" si="170"/>
        <v/>
      </c>
      <c r="M142" s="384" t="str">
        <f t="shared" si="170"/>
        <v/>
      </c>
      <c r="N142" s="384" t="str">
        <f t="shared" si="170"/>
        <v/>
      </c>
      <c r="O142" s="384" t="str">
        <f t="shared" si="170"/>
        <v/>
      </c>
      <c r="P142" s="386"/>
      <c r="Q142" s="366"/>
      <c r="R142" s="367"/>
      <c r="S142" s="368"/>
      <c r="T142" s="382"/>
      <c r="U142" s="374"/>
      <c r="V142" s="98"/>
      <c r="W142" s="15">
        <f t="shared" si="168"/>
        <v>0</v>
      </c>
    </row>
    <row r="143" spans="1:23" ht="14" hidden="1" thickBot="1">
      <c r="A143" s="98"/>
      <c r="B143" s="364">
        <v>17</v>
      </c>
      <c r="C143" s="124" t="str">
        <f>IF(ISNA(VLOOKUP($B143,SNOWBOARDS_MASTER_DATA_AREA,3,FALSE)),"",VLOOKUP($B143,SNOWBOARDS_MASTER_DATA_AREA,3,FALSE))</f>
        <v/>
      </c>
      <c r="D143" s="117" t="str">
        <f>IF(ISNA(VLOOKUP($B143,SNOWBOARDS_MASTER_DATA_AREA,3,FALSE)),"",VLOOKUP($B143,SNOWBOARDS_MASTER_DATA_AREA,4,FALSE))</f>
        <v/>
      </c>
      <c r="E143" s="121" t="str">
        <f t="shared" ref="E143:O143" si="171">IF(ISNA(VLOOKUP($B143,SNOWBOARDS_MASTER_DATA_AREA,3,FALSE)),"",IF(VLOOKUP($B143,SNOWBOARDS_MASTER_DATA_AREA,H$3,FALSE)=0,"",VLOOKUP($B143,SNOWBOARDS_MASTER_DATA_AREA,H$3,FALSE)))</f>
        <v/>
      </c>
      <c r="F143" s="122" t="str">
        <f t="shared" si="171"/>
        <v/>
      </c>
      <c r="G143" s="122" t="str">
        <f t="shared" si="171"/>
        <v/>
      </c>
      <c r="H143" s="122" t="str">
        <f t="shared" si="171"/>
        <v/>
      </c>
      <c r="I143" s="122" t="str">
        <f t="shared" si="171"/>
        <v/>
      </c>
      <c r="J143" s="122" t="str">
        <f t="shared" si="171"/>
        <v/>
      </c>
      <c r="K143" s="123" t="str">
        <f t="shared" si="171"/>
        <v/>
      </c>
      <c r="L143" s="122" t="str">
        <f t="shared" si="171"/>
        <v/>
      </c>
      <c r="M143" s="122" t="str">
        <f t="shared" si="171"/>
        <v/>
      </c>
      <c r="N143" s="122" t="str">
        <f t="shared" si="171"/>
        <v/>
      </c>
      <c r="O143" s="122" t="str">
        <f t="shared" si="171"/>
        <v/>
      </c>
      <c r="P143" s="125"/>
      <c r="Q143" s="118" t="str">
        <f>IF(ISNA(VLOOKUP($B143,SNOWBOARDS_MASTER_DATA_AREA,3,FALSE)),"",VLOOKUP($B143,SNOWBOARDS_MASTER_DATA_AREA,5,FALSE))</f>
        <v/>
      </c>
      <c r="R143" s="119" t="str">
        <f>IF(ISNA(VLOOKUP($B143,SNOWBOARDS_MASTER_DATA_AREA,3,FALSE)),"",VLOOKUP($B143,SNOWBOARDS_MASTER_DATA_AREA,IF(SNOWBOARD_DISCOUNT_TYPE=0,8,9),FALSE))</f>
        <v/>
      </c>
      <c r="S143" s="120" t="str">
        <f>IF(ISNA(VLOOKUP($B143,SNOWBOARDS_MASTER_DATA_AREA,3,FALSE)),"",VLOOKUP($B143,SNOWBOARDS_MASTER_DATA_AREA,7,FALSE))</f>
        <v/>
      </c>
      <c r="T143" s="115" t="str">
        <f>IF(SUM(E144:P144)=0,"",SUM(E144:P144))</f>
        <v/>
      </c>
      <c r="U143" s="116" t="str">
        <f>IF(ISNA(VLOOKUP($B143,SNOWBOARDS_MASTER_DATA_AREA,3,FALSE)),"",VLOOKUP($B143,SNOWBOARDS_MASTER_DATA_AREA,10,FALSE))</f>
        <v/>
      </c>
      <c r="V143" s="98"/>
      <c r="W143" s="15">
        <f>IF(C143="",0,1)</f>
        <v>0</v>
      </c>
    </row>
    <row r="144" spans="1:23" ht="14" hidden="1" thickBot="1">
      <c r="A144" s="98"/>
      <c r="B144" s="364"/>
      <c r="C144" s="369"/>
      <c r="D144" s="365"/>
      <c r="E144" s="383" t="str">
        <f t="shared" ref="E144:O144" si="172">IF(ISNA(VLOOKUP($B143,SNOWBOARDS_MASTER_DATA_AREA,3,FALSE)),"",IF(VLOOKUP($B143,SNOWBOARDS_MASTER_DATA_AREA,H$4,FALSE)=0,"",VLOOKUP($B143,SNOWBOARDS_MASTER_DATA_AREA,H$4,FALSE)))</f>
        <v/>
      </c>
      <c r="F144" s="384" t="str">
        <f t="shared" si="172"/>
        <v/>
      </c>
      <c r="G144" s="384" t="str">
        <f t="shared" si="172"/>
        <v/>
      </c>
      <c r="H144" s="384" t="str">
        <f t="shared" si="172"/>
        <v/>
      </c>
      <c r="I144" s="384" t="str">
        <f t="shared" si="172"/>
        <v/>
      </c>
      <c r="J144" s="384" t="str">
        <f t="shared" si="172"/>
        <v/>
      </c>
      <c r="K144" s="385" t="str">
        <f t="shared" si="172"/>
        <v/>
      </c>
      <c r="L144" s="384" t="str">
        <f t="shared" si="172"/>
        <v/>
      </c>
      <c r="M144" s="384" t="str">
        <f t="shared" si="172"/>
        <v/>
      </c>
      <c r="N144" s="384" t="str">
        <f t="shared" si="172"/>
        <v/>
      </c>
      <c r="O144" s="384" t="str">
        <f t="shared" si="172"/>
        <v/>
      </c>
      <c r="P144" s="386"/>
      <c r="Q144" s="366"/>
      <c r="R144" s="367"/>
      <c r="S144" s="368"/>
      <c r="T144" s="382"/>
      <c r="U144" s="374"/>
      <c r="V144" s="98"/>
      <c r="W144" s="15">
        <f t="shared" si="168"/>
        <v>0</v>
      </c>
    </row>
    <row r="145" spans="1:23" ht="14" hidden="1" thickBot="1">
      <c r="A145" s="98"/>
      <c r="B145" s="364">
        <v>18</v>
      </c>
      <c r="C145" s="124" t="str">
        <f>IF(ISNA(VLOOKUP($B145,SNOWBOARDS_MASTER_DATA_AREA,3,FALSE)),"",VLOOKUP($B145,SNOWBOARDS_MASTER_DATA_AREA,3,FALSE))</f>
        <v/>
      </c>
      <c r="D145" s="117" t="str">
        <f>IF(ISNA(VLOOKUP($B145,SNOWBOARDS_MASTER_DATA_AREA,3,FALSE)),"",VLOOKUP($B145,SNOWBOARDS_MASTER_DATA_AREA,4,FALSE))</f>
        <v/>
      </c>
      <c r="E145" s="121" t="str">
        <f t="shared" ref="E145:O145" si="173">IF(ISNA(VLOOKUP($B145,SNOWBOARDS_MASTER_DATA_AREA,3,FALSE)),"",IF(VLOOKUP($B145,SNOWBOARDS_MASTER_DATA_AREA,H$3,FALSE)=0,"",VLOOKUP($B145,SNOWBOARDS_MASTER_DATA_AREA,H$3,FALSE)))</f>
        <v/>
      </c>
      <c r="F145" s="122" t="str">
        <f t="shared" si="173"/>
        <v/>
      </c>
      <c r="G145" s="122" t="str">
        <f t="shared" si="173"/>
        <v/>
      </c>
      <c r="H145" s="122" t="str">
        <f t="shared" si="173"/>
        <v/>
      </c>
      <c r="I145" s="122" t="str">
        <f t="shared" si="173"/>
        <v/>
      </c>
      <c r="J145" s="122" t="str">
        <f t="shared" si="173"/>
        <v/>
      </c>
      <c r="K145" s="123" t="str">
        <f t="shared" si="173"/>
        <v/>
      </c>
      <c r="L145" s="122" t="str">
        <f t="shared" si="173"/>
        <v/>
      </c>
      <c r="M145" s="122" t="str">
        <f t="shared" si="173"/>
        <v/>
      </c>
      <c r="N145" s="122" t="str">
        <f t="shared" si="173"/>
        <v/>
      </c>
      <c r="O145" s="122" t="str">
        <f t="shared" si="173"/>
        <v/>
      </c>
      <c r="P145" s="125"/>
      <c r="Q145" s="118" t="str">
        <f>IF(ISNA(VLOOKUP($B145,SNOWBOARDS_MASTER_DATA_AREA,3,FALSE)),"",VLOOKUP($B145,SNOWBOARDS_MASTER_DATA_AREA,5,FALSE))</f>
        <v/>
      </c>
      <c r="R145" s="119" t="str">
        <f>IF(ISNA(VLOOKUP($B145,SNOWBOARDS_MASTER_DATA_AREA,3,FALSE)),"",VLOOKUP($B145,SNOWBOARDS_MASTER_DATA_AREA,IF(SNOWBOARD_DISCOUNT_TYPE=0,8,9),FALSE))</f>
        <v/>
      </c>
      <c r="S145" s="120" t="str">
        <f>IF(ISNA(VLOOKUP($B145,SNOWBOARDS_MASTER_DATA_AREA,3,FALSE)),"",VLOOKUP($B145,SNOWBOARDS_MASTER_DATA_AREA,7,FALSE))</f>
        <v/>
      </c>
      <c r="T145" s="115" t="str">
        <f>IF(SUM(E146:P146)=0,"",SUM(E146:P146))</f>
        <v/>
      </c>
      <c r="U145" s="116" t="str">
        <f>IF(ISNA(VLOOKUP($B145,SNOWBOARDS_MASTER_DATA_AREA,3,FALSE)),"",VLOOKUP($B145,SNOWBOARDS_MASTER_DATA_AREA,10,FALSE))</f>
        <v/>
      </c>
      <c r="V145" s="98"/>
      <c r="W145" s="15">
        <f>IF(C145="",0,1)</f>
        <v>0</v>
      </c>
    </row>
    <row r="146" spans="1:23" ht="14" hidden="1" thickBot="1">
      <c r="A146" s="98"/>
      <c r="B146" s="364"/>
      <c r="C146" s="369"/>
      <c r="D146" s="365"/>
      <c r="E146" s="383" t="str">
        <f t="shared" ref="E146:O146" si="174">IF(ISNA(VLOOKUP($B145,SNOWBOARDS_MASTER_DATA_AREA,3,FALSE)),"",IF(VLOOKUP($B145,SNOWBOARDS_MASTER_DATA_AREA,H$4,FALSE)=0,"",VLOOKUP($B145,SNOWBOARDS_MASTER_DATA_AREA,H$4,FALSE)))</f>
        <v/>
      </c>
      <c r="F146" s="384" t="str">
        <f t="shared" si="174"/>
        <v/>
      </c>
      <c r="G146" s="384" t="str">
        <f t="shared" si="174"/>
        <v/>
      </c>
      <c r="H146" s="384" t="str">
        <f t="shared" si="174"/>
        <v/>
      </c>
      <c r="I146" s="384" t="str">
        <f t="shared" si="174"/>
        <v/>
      </c>
      <c r="J146" s="384" t="str">
        <f t="shared" si="174"/>
        <v/>
      </c>
      <c r="K146" s="385" t="str">
        <f t="shared" si="174"/>
        <v/>
      </c>
      <c r="L146" s="384" t="str">
        <f t="shared" si="174"/>
        <v/>
      </c>
      <c r="M146" s="384" t="str">
        <f t="shared" si="174"/>
        <v/>
      </c>
      <c r="N146" s="384" t="str">
        <f t="shared" si="174"/>
        <v/>
      </c>
      <c r="O146" s="384" t="str">
        <f t="shared" si="174"/>
        <v/>
      </c>
      <c r="P146" s="386"/>
      <c r="Q146" s="366"/>
      <c r="R146" s="367"/>
      <c r="S146" s="368"/>
      <c r="T146" s="382"/>
      <c r="U146" s="374"/>
      <c r="V146" s="98"/>
      <c r="W146" s="15">
        <f t="shared" si="168"/>
        <v>0</v>
      </c>
    </row>
    <row r="147" spans="1:23" ht="14" hidden="1" thickBot="1">
      <c r="A147" s="98"/>
      <c r="B147" s="364">
        <v>19</v>
      </c>
      <c r="C147" s="124" t="str">
        <f>IF(ISNA(VLOOKUP($B147,SNOWBOARDS_MASTER_DATA_AREA,3,FALSE)),"",VLOOKUP($B147,SNOWBOARDS_MASTER_DATA_AREA,3,FALSE))</f>
        <v/>
      </c>
      <c r="D147" s="117" t="str">
        <f>IF(ISNA(VLOOKUP($B147,SNOWBOARDS_MASTER_DATA_AREA,3,FALSE)),"",VLOOKUP($B147,SNOWBOARDS_MASTER_DATA_AREA,4,FALSE))</f>
        <v/>
      </c>
      <c r="E147" s="121" t="str">
        <f t="shared" ref="E147:O147" si="175">IF(ISNA(VLOOKUP($B147,SNOWBOARDS_MASTER_DATA_AREA,3,FALSE)),"",IF(VLOOKUP($B147,SNOWBOARDS_MASTER_DATA_AREA,H$3,FALSE)=0,"",VLOOKUP($B147,SNOWBOARDS_MASTER_DATA_AREA,H$3,FALSE)))</f>
        <v/>
      </c>
      <c r="F147" s="122" t="str">
        <f t="shared" si="175"/>
        <v/>
      </c>
      <c r="G147" s="122" t="str">
        <f t="shared" si="175"/>
        <v/>
      </c>
      <c r="H147" s="122" t="str">
        <f t="shared" si="175"/>
        <v/>
      </c>
      <c r="I147" s="122" t="str">
        <f t="shared" si="175"/>
        <v/>
      </c>
      <c r="J147" s="122" t="str">
        <f t="shared" si="175"/>
        <v/>
      </c>
      <c r="K147" s="123" t="str">
        <f t="shared" si="175"/>
        <v/>
      </c>
      <c r="L147" s="122" t="str">
        <f t="shared" si="175"/>
        <v/>
      </c>
      <c r="M147" s="122" t="str">
        <f t="shared" si="175"/>
        <v/>
      </c>
      <c r="N147" s="122" t="str">
        <f t="shared" si="175"/>
        <v/>
      </c>
      <c r="O147" s="122" t="str">
        <f t="shared" si="175"/>
        <v/>
      </c>
      <c r="P147" s="125"/>
      <c r="Q147" s="118" t="str">
        <f>IF(ISNA(VLOOKUP($B147,SNOWBOARDS_MASTER_DATA_AREA,3,FALSE)),"",VLOOKUP($B147,SNOWBOARDS_MASTER_DATA_AREA,5,FALSE))</f>
        <v/>
      </c>
      <c r="R147" s="119" t="str">
        <f>IF(ISNA(VLOOKUP($B147,SNOWBOARDS_MASTER_DATA_AREA,3,FALSE)),"",VLOOKUP($B147,SNOWBOARDS_MASTER_DATA_AREA,IF(SNOWBOARD_DISCOUNT_TYPE=0,8,9),FALSE))</f>
        <v/>
      </c>
      <c r="S147" s="120" t="str">
        <f>IF(ISNA(VLOOKUP($B147,SNOWBOARDS_MASTER_DATA_AREA,3,FALSE)),"",VLOOKUP($B147,SNOWBOARDS_MASTER_DATA_AREA,7,FALSE))</f>
        <v/>
      </c>
      <c r="T147" s="115" t="str">
        <f>IF(SUM(E148:P148)=0,"",SUM(E148:P148))</f>
        <v/>
      </c>
      <c r="U147" s="116" t="str">
        <f>IF(ISNA(VLOOKUP($B147,SNOWBOARDS_MASTER_DATA_AREA,3,FALSE)),"",VLOOKUP($B147,SNOWBOARDS_MASTER_DATA_AREA,10,FALSE))</f>
        <v/>
      </c>
      <c r="V147" s="98"/>
      <c r="W147" s="15">
        <f>IF(C147="",0,1)</f>
        <v>0</v>
      </c>
    </row>
    <row r="148" spans="1:23" ht="14" hidden="1" thickBot="1">
      <c r="A148" s="98"/>
      <c r="B148" s="364"/>
      <c r="C148" s="369"/>
      <c r="D148" s="365"/>
      <c r="E148" s="383" t="str">
        <f t="shared" ref="E148:O148" si="176">IF(ISNA(VLOOKUP($B147,SNOWBOARDS_MASTER_DATA_AREA,3,FALSE)),"",IF(VLOOKUP($B147,SNOWBOARDS_MASTER_DATA_AREA,H$4,FALSE)=0,"",VLOOKUP($B147,SNOWBOARDS_MASTER_DATA_AREA,H$4,FALSE)))</f>
        <v/>
      </c>
      <c r="F148" s="384" t="str">
        <f t="shared" si="176"/>
        <v/>
      </c>
      <c r="G148" s="384" t="str">
        <f t="shared" si="176"/>
        <v/>
      </c>
      <c r="H148" s="384" t="str">
        <f t="shared" si="176"/>
        <v/>
      </c>
      <c r="I148" s="384" t="str">
        <f t="shared" si="176"/>
        <v/>
      </c>
      <c r="J148" s="384" t="str">
        <f t="shared" si="176"/>
        <v/>
      </c>
      <c r="K148" s="385" t="str">
        <f t="shared" si="176"/>
        <v/>
      </c>
      <c r="L148" s="384" t="str">
        <f t="shared" si="176"/>
        <v/>
      </c>
      <c r="M148" s="384" t="str">
        <f t="shared" si="176"/>
        <v/>
      </c>
      <c r="N148" s="384" t="str">
        <f t="shared" si="176"/>
        <v/>
      </c>
      <c r="O148" s="384" t="str">
        <f t="shared" si="176"/>
        <v/>
      </c>
      <c r="P148" s="386"/>
      <c r="Q148" s="366"/>
      <c r="R148" s="367"/>
      <c r="S148" s="368"/>
      <c r="T148" s="382"/>
      <c r="U148" s="374"/>
      <c r="V148" s="98"/>
      <c r="W148" s="15">
        <f t="shared" si="168"/>
        <v>0</v>
      </c>
    </row>
    <row r="149" spans="1:23" ht="14" hidden="1" thickBot="1">
      <c r="A149" s="98"/>
      <c r="B149" s="364">
        <v>20</v>
      </c>
      <c r="C149" s="124" t="str">
        <f>IF(ISNA(VLOOKUP($B149,SNOWBOARDS_MASTER_DATA_AREA,3,FALSE)),"",VLOOKUP($B149,SNOWBOARDS_MASTER_DATA_AREA,3,FALSE))</f>
        <v/>
      </c>
      <c r="D149" s="117" t="str">
        <f>IF(ISNA(VLOOKUP($B149,SNOWBOARDS_MASTER_DATA_AREA,3,FALSE)),"",VLOOKUP($B149,SNOWBOARDS_MASTER_DATA_AREA,4,FALSE))</f>
        <v/>
      </c>
      <c r="E149" s="121" t="str">
        <f t="shared" ref="E149:O149" si="177">IF(ISNA(VLOOKUP($B149,SNOWBOARDS_MASTER_DATA_AREA,3,FALSE)),"",IF(VLOOKUP($B149,SNOWBOARDS_MASTER_DATA_AREA,H$3,FALSE)=0,"",VLOOKUP($B149,SNOWBOARDS_MASTER_DATA_AREA,H$3,FALSE)))</f>
        <v/>
      </c>
      <c r="F149" s="122" t="str">
        <f t="shared" si="177"/>
        <v/>
      </c>
      <c r="G149" s="122" t="str">
        <f t="shared" si="177"/>
        <v/>
      </c>
      <c r="H149" s="122" t="str">
        <f t="shared" si="177"/>
        <v/>
      </c>
      <c r="I149" s="122" t="str">
        <f t="shared" si="177"/>
        <v/>
      </c>
      <c r="J149" s="122" t="str">
        <f t="shared" si="177"/>
        <v/>
      </c>
      <c r="K149" s="123" t="str">
        <f t="shared" si="177"/>
        <v/>
      </c>
      <c r="L149" s="122" t="str">
        <f t="shared" si="177"/>
        <v/>
      </c>
      <c r="M149" s="122" t="str">
        <f t="shared" si="177"/>
        <v/>
      </c>
      <c r="N149" s="122" t="str">
        <f t="shared" si="177"/>
        <v/>
      </c>
      <c r="O149" s="122" t="str">
        <f t="shared" si="177"/>
        <v/>
      </c>
      <c r="P149" s="125"/>
      <c r="Q149" s="118" t="str">
        <f>IF(ISNA(VLOOKUP($B149,SNOWBOARDS_MASTER_DATA_AREA,3,FALSE)),"",VLOOKUP($B149,SNOWBOARDS_MASTER_DATA_AREA,5,FALSE))</f>
        <v/>
      </c>
      <c r="R149" s="119" t="str">
        <f>IF(ISNA(VLOOKUP($B149,SNOWBOARDS_MASTER_DATA_AREA,3,FALSE)),"",VLOOKUP($B149,SNOWBOARDS_MASTER_DATA_AREA,IF(SNOWBOARD_DISCOUNT_TYPE=0,8,9),FALSE))</f>
        <v/>
      </c>
      <c r="S149" s="120" t="str">
        <f>IF(ISNA(VLOOKUP($B149,SNOWBOARDS_MASTER_DATA_AREA,3,FALSE)),"",VLOOKUP($B149,SNOWBOARDS_MASTER_DATA_AREA,7,FALSE))</f>
        <v/>
      </c>
      <c r="T149" s="115" t="str">
        <f>IF(SUM(E150:P150)=0,"",SUM(E150:P150))</f>
        <v/>
      </c>
      <c r="U149" s="116" t="str">
        <f>IF(ISNA(VLOOKUP($B149,SNOWBOARDS_MASTER_DATA_AREA,3,FALSE)),"",VLOOKUP($B149,SNOWBOARDS_MASTER_DATA_AREA,10,FALSE))</f>
        <v/>
      </c>
      <c r="V149" s="98"/>
      <c r="W149" s="15">
        <f>IF(C149="",0,1)</f>
        <v>0</v>
      </c>
    </row>
    <row r="150" spans="1:23" ht="14" hidden="1" thickBot="1">
      <c r="A150" s="98"/>
      <c r="B150" s="364"/>
      <c r="C150" s="369"/>
      <c r="D150" s="365"/>
      <c r="E150" s="383" t="str">
        <f t="shared" ref="E150:O150" si="178">IF(ISNA(VLOOKUP($B149,SNOWBOARDS_MASTER_DATA_AREA,3,FALSE)),"",IF(VLOOKUP($B149,SNOWBOARDS_MASTER_DATA_AREA,H$4,FALSE)=0,"",VLOOKUP($B149,SNOWBOARDS_MASTER_DATA_AREA,H$4,FALSE)))</f>
        <v/>
      </c>
      <c r="F150" s="384" t="str">
        <f t="shared" si="178"/>
        <v/>
      </c>
      <c r="G150" s="384" t="str">
        <f t="shared" si="178"/>
        <v/>
      </c>
      <c r="H150" s="384" t="str">
        <f t="shared" si="178"/>
        <v/>
      </c>
      <c r="I150" s="384" t="str">
        <f t="shared" si="178"/>
        <v/>
      </c>
      <c r="J150" s="384" t="str">
        <f t="shared" si="178"/>
        <v/>
      </c>
      <c r="K150" s="385" t="str">
        <f t="shared" si="178"/>
        <v/>
      </c>
      <c r="L150" s="384" t="str">
        <f t="shared" si="178"/>
        <v/>
      </c>
      <c r="M150" s="384" t="str">
        <f t="shared" si="178"/>
        <v/>
      </c>
      <c r="N150" s="384" t="str">
        <f t="shared" si="178"/>
        <v/>
      </c>
      <c r="O150" s="384" t="str">
        <f t="shared" si="178"/>
        <v/>
      </c>
      <c r="P150" s="386"/>
      <c r="Q150" s="366"/>
      <c r="R150" s="367"/>
      <c r="S150" s="368"/>
      <c r="T150" s="382"/>
      <c r="U150" s="374"/>
      <c r="V150" s="98"/>
      <c r="W150" s="15">
        <f t="shared" si="168"/>
        <v>0</v>
      </c>
    </row>
    <row r="151" spans="1:23" ht="14" hidden="1" thickBot="1">
      <c r="A151" s="98"/>
      <c r="B151" s="364">
        <v>21</v>
      </c>
      <c r="C151" s="124" t="str">
        <f>IF(ISNA(VLOOKUP($B151,SNOWBOARDS_MASTER_DATA_AREA,3,FALSE)),"",VLOOKUP($B151,SNOWBOARDS_MASTER_DATA_AREA,3,FALSE))</f>
        <v/>
      </c>
      <c r="D151" s="117" t="str">
        <f>IF(ISNA(VLOOKUP($B151,SNOWBOARDS_MASTER_DATA_AREA,3,FALSE)),"",VLOOKUP($B151,SNOWBOARDS_MASTER_DATA_AREA,4,FALSE))</f>
        <v/>
      </c>
      <c r="E151" s="121" t="str">
        <f t="shared" ref="E151:O151" si="179">IF(ISNA(VLOOKUP($B151,SNOWBOARDS_MASTER_DATA_AREA,3,FALSE)),"",IF(VLOOKUP($B151,SNOWBOARDS_MASTER_DATA_AREA,H$3,FALSE)=0,"",VLOOKUP($B151,SNOWBOARDS_MASTER_DATA_AREA,H$3,FALSE)))</f>
        <v/>
      </c>
      <c r="F151" s="122" t="str">
        <f t="shared" si="179"/>
        <v/>
      </c>
      <c r="G151" s="122" t="str">
        <f t="shared" si="179"/>
        <v/>
      </c>
      <c r="H151" s="122" t="str">
        <f t="shared" si="179"/>
        <v/>
      </c>
      <c r="I151" s="122" t="str">
        <f t="shared" si="179"/>
        <v/>
      </c>
      <c r="J151" s="122" t="str">
        <f t="shared" si="179"/>
        <v/>
      </c>
      <c r="K151" s="123" t="str">
        <f t="shared" si="179"/>
        <v/>
      </c>
      <c r="L151" s="122" t="str">
        <f t="shared" si="179"/>
        <v/>
      </c>
      <c r="M151" s="122" t="str">
        <f t="shared" si="179"/>
        <v/>
      </c>
      <c r="N151" s="122" t="str">
        <f t="shared" si="179"/>
        <v/>
      </c>
      <c r="O151" s="122" t="str">
        <f t="shared" si="179"/>
        <v/>
      </c>
      <c r="P151" s="125"/>
      <c r="Q151" s="118" t="str">
        <f>IF(ISNA(VLOOKUP($B151,SNOWBOARDS_MASTER_DATA_AREA,3,FALSE)),"",VLOOKUP($B151,SNOWBOARDS_MASTER_DATA_AREA,5,FALSE))</f>
        <v/>
      </c>
      <c r="R151" s="119" t="str">
        <f>IF(ISNA(VLOOKUP($B151,SNOWBOARDS_MASTER_DATA_AREA,3,FALSE)),"",VLOOKUP($B151,SNOWBOARDS_MASTER_DATA_AREA,IF(SNOWBOARD_DISCOUNT_TYPE=0,8,9),FALSE))</f>
        <v/>
      </c>
      <c r="S151" s="120" t="str">
        <f>IF(ISNA(VLOOKUP($B151,SNOWBOARDS_MASTER_DATA_AREA,3,FALSE)),"",VLOOKUP($B151,SNOWBOARDS_MASTER_DATA_AREA,7,FALSE))</f>
        <v/>
      </c>
      <c r="T151" s="115" t="str">
        <f>IF(SUM(E152:P152)=0,"",SUM(E152:P152))</f>
        <v/>
      </c>
      <c r="U151" s="116" t="str">
        <f>IF(ISNA(VLOOKUP($B151,SNOWBOARDS_MASTER_DATA_AREA,3,FALSE)),"",VLOOKUP($B151,SNOWBOARDS_MASTER_DATA_AREA,10,FALSE))</f>
        <v/>
      </c>
      <c r="V151" s="98"/>
      <c r="W151" s="15">
        <f>IF(C151="",0,1)</f>
        <v>0</v>
      </c>
    </row>
    <row r="152" spans="1:23" ht="14" hidden="1" thickBot="1">
      <c r="A152" s="98"/>
      <c r="B152" s="364"/>
      <c r="C152" s="370"/>
      <c r="D152" s="370"/>
      <c r="E152" s="383" t="str">
        <f t="shared" ref="E152:O152" si="180">IF(ISNA(VLOOKUP($B151,SNOWBOARDS_MASTER_DATA_AREA,3,FALSE)),"",IF(VLOOKUP($B151,SNOWBOARDS_MASTER_DATA_AREA,H$4,FALSE)=0,"",VLOOKUP($B151,SNOWBOARDS_MASTER_DATA_AREA,H$4,FALSE)))</f>
        <v/>
      </c>
      <c r="F152" s="384" t="str">
        <f t="shared" si="180"/>
        <v/>
      </c>
      <c r="G152" s="384" t="str">
        <f t="shared" si="180"/>
        <v/>
      </c>
      <c r="H152" s="384" t="str">
        <f t="shared" si="180"/>
        <v/>
      </c>
      <c r="I152" s="384" t="str">
        <f t="shared" si="180"/>
        <v/>
      </c>
      <c r="J152" s="384" t="str">
        <f t="shared" si="180"/>
        <v/>
      </c>
      <c r="K152" s="385" t="str">
        <f t="shared" si="180"/>
        <v/>
      </c>
      <c r="L152" s="384" t="str">
        <f t="shared" si="180"/>
        <v/>
      </c>
      <c r="M152" s="384" t="str">
        <f t="shared" si="180"/>
        <v/>
      </c>
      <c r="N152" s="384" t="str">
        <f t="shared" si="180"/>
        <v/>
      </c>
      <c r="O152" s="384" t="str">
        <f t="shared" si="180"/>
        <v/>
      </c>
      <c r="P152" s="386"/>
      <c r="Q152" s="371"/>
      <c r="R152" s="372"/>
      <c r="S152" s="373"/>
      <c r="T152" s="382"/>
      <c r="U152" s="374"/>
      <c r="V152" s="98"/>
      <c r="W152" s="15">
        <f t="shared" si="168"/>
        <v>0</v>
      </c>
    </row>
    <row r="153" spans="1:23" ht="14" hidden="1" thickBot="1">
      <c r="A153" s="98"/>
      <c r="B153" s="364">
        <v>22</v>
      </c>
      <c r="C153" s="124" t="str">
        <f>IF(ISNA(VLOOKUP($B153,SNOWBOARDS_MASTER_DATA_AREA,3,FALSE)),"",VLOOKUP($B153,SNOWBOARDS_MASTER_DATA_AREA,3,FALSE))</f>
        <v/>
      </c>
      <c r="D153" s="117" t="str">
        <f>IF(ISNA(VLOOKUP($B153,SNOWBOARDS_MASTER_DATA_AREA,3,FALSE)),"",VLOOKUP($B153,SNOWBOARDS_MASTER_DATA_AREA,4,FALSE))</f>
        <v/>
      </c>
      <c r="E153" s="121" t="str">
        <f t="shared" ref="E153:O153" si="181">IF(ISNA(VLOOKUP($B153,SNOWBOARDS_MASTER_DATA_AREA,3,FALSE)),"",IF(VLOOKUP($B153,SNOWBOARDS_MASTER_DATA_AREA,H$3,FALSE)=0,"",VLOOKUP($B153,SNOWBOARDS_MASTER_DATA_AREA,H$3,FALSE)))</f>
        <v/>
      </c>
      <c r="F153" s="122" t="str">
        <f t="shared" si="181"/>
        <v/>
      </c>
      <c r="G153" s="122" t="str">
        <f t="shared" si="181"/>
        <v/>
      </c>
      <c r="H153" s="122" t="str">
        <f t="shared" si="181"/>
        <v/>
      </c>
      <c r="I153" s="122" t="str">
        <f t="shared" si="181"/>
        <v/>
      </c>
      <c r="J153" s="122" t="str">
        <f t="shared" si="181"/>
        <v/>
      </c>
      <c r="K153" s="123" t="str">
        <f t="shared" si="181"/>
        <v/>
      </c>
      <c r="L153" s="122" t="str">
        <f t="shared" si="181"/>
        <v/>
      </c>
      <c r="M153" s="122" t="str">
        <f t="shared" si="181"/>
        <v/>
      </c>
      <c r="N153" s="122" t="str">
        <f t="shared" si="181"/>
        <v/>
      </c>
      <c r="O153" s="122" t="str">
        <f t="shared" si="181"/>
        <v/>
      </c>
      <c r="P153" s="125"/>
      <c r="Q153" s="118" t="str">
        <f>IF(ISNA(VLOOKUP($B153,SNOWBOARDS_MASTER_DATA_AREA,3,FALSE)),"",VLOOKUP($B153,SNOWBOARDS_MASTER_DATA_AREA,5,FALSE))</f>
        <v/>
      </c>
      <c r="R153" s="119" t="str">
        <f>IF(ISNA(VLOOKUP($B153,SNOWBOARDS_MASTER_DATA_AREA,3,FALSE)),"",VLOOKUP($B153,SNOWBOARDS_MASTER_DATA_AREA,IF(SNOWBOARD_DISCOUNT_TYPE=0,8,9),FALSE))</f>
        <v/>
      </c>
      <c r="S153" s="120" t="str">
        <f>IF(ISNA(VLOOKUP($B153,SNOWBOARDS_MASTER_DATA_AREA,3,FALSE)),"",VLOOKUP($B153,SNOWBOARDS_MASTER_DATA_AREA,7,FALSE))</f>
        <v/>
      </c>
      <c r="T153" s="115" t="str">
        <f>IF(SUM(E154:P154)=0,"",SUM(E154:P154))</f>
        <v/>
      </c>
      <c r="U153" s="116" t="str">
        <f>IF(ISNA(VLOOKUP($B153,SNOWBOARDS_MASTER_DATA_AREA,3,FALSE)),"",VLOOKUP($B153,SNOWBOARDS_MASTER_DATA_AREA,10,FALSE))</f>
        <v/>
      </c>
      <c r="V153" s="98"/>
      <c r="W153" s="15">
        <f>IF(C153="",0,1)</f>
        <v>0</v>
      </c>
    </row>
    <row r="154" spans="1:23" ht="14" hidden="1" thickBot="1">
      <c r="A154" s="98"/>
      <c r="B154" s="364"/>
      <c r="C154" s="370"/>
      <c r="D154" s="370"/>
      <c r="E154" s="383" t="str">
        <f t="shared" ref="E154:O154" si="182">IF(ISNA(VLOOKUP($B153,SNOWBOARDS_MASTER_DATA_AREA,3,FALSE)),"",IF(VLOOKUP($B153,SNOWBOARDS_MASTER_DATA_AREA,H$4,FALSE)=0,"",VLOOKUP($B153,SNOWBOARDS_MASTER_DATA_AREA,H$4,FALSE)))</f>
        <v/>
      </c>
      <c r="F154" s="384" t="str">
        <f t="shared" si="182"/>
        <v/>
      </c>
      <c r="G154" s="384" t="str">
        <f t="shared" si="182"/>
        <v/>
      </c>
      <c r="H154" s="384" t="str">
        <f t="shared" si="182"/>
        <v/>
      </c>
      <c r="I154" s="384" t="str">
        <f t="shared" si="182"/>
        <v/>
      </c>
      <c r="J154" s="384" t="str">
        <f t="shared" si="182"/>
        <v/>
      </c>
      <c r="K154" s="385" t="str">
        <f t="shared" si="182"/>
        <v/>
      </c>
      <c r="L154" s="384" t="str">
        <f t="shared" si="182"/>
        <v/>
      </c>
      <c r="M154" s="384" t="str">
        <f t="shared" si="182"/>
        <v/>
      </c>
      <c r="N154" s="384" t="str">
        <f t="shared" si="182"/>
        <v/>
      </c>
      <c r="O154" s="384" t="str">
        <f t="shared" si="182"/>
        <v/>
      </c>
      <c r="P154" s="386"/>
      <c r="Q154" s="371"/>
      <c r="R154" s="372"/>
      <c r="S154" s="373"/>
      <c r="T154" s="382"/>
      <c r="U154" s="374"/>
      <c r="V154" s="98"/>
      <c r="W154" s="15">
        <f t="shared" si="168"/>
        <v>0</v>
      </c>
    </row>
    <row r="155" spans="1:23" ht="3" customHeight="1">
      <c r="A155" s="98"/>
      <c r="B155" s="98"/>
      <c r="C155" s="98"/>
      <c r="D155" s="98"/>
      <c r="E155" s="98"/>
      <c r="F155" s="100"/>
      <c r="G155" s="98"/>
      <c r="H155" s="100"/>
      <c r="I155" s="100"/>
      <c r="J155" s="100"/>
      <c r="K155" s="100"/>
      <c r="L155" s="100"/>
      <c r="M155" s="100"/>
      <c r="N155" s="100"/>
      <c r="O155" s="100"/>
      <c r="P155" s="100"/>
      <c r="Q155" s="100"/>
      <c r="R155" s="100"/>
      <c r="S155" s="100"/>
      <c r="T155" s="98"/>
      <c r="U155" s="98"/>
      <c r="V155" s="98"/>
    </row>
  </sheetData>
  <sheetProtection algorithmName="SHA-512" hashValue="MFCww/LIUmfn/IxYMlLfj+2UBjnAePs3e5iWSywZ86XeXCqeKRalpKXZ4pLEUUehgiPbnAvR3MQMvXUcdz8WZg==" saltValue="hqr3Ct8D8Sw8f2r8nVNh/Q==" spinCount="100000" sheet="1" objects="1" scenarios="1"/>
  <mergeCells count="19">
    <mergeCell ref="C6:P6"/>
    <mergeCell ref="R7:S7"/>
    <mergeCell ref="E9:H9"/>
    <mergeCell ref="E10:H10"/>
    <mergeCell ref="C108:U109"/>
    <mergeCell ref="I8:P8"/>
    <mergeCell ref="I7:P7"/>
    <mergeCell ref="E7:H7"/>
    <mergeCell ref="E8:H8"/>
    <mergeCell ref="R8:S8"/>
    <mergeCell ref="I10:L10"/>
    <mergeCell ref="I9:L9"/>
    <mergeCell ref="M9:N9"/>
    <mergeCell ref="C13:U14"/>
    <mergeCell ref="E110:P110"/>
    <mergeCell ref="O9:P9"/>
    <mergeCell ref="M10:N10"/>
    <mergeCell ref="O10:P10"/>
    <mergeCell ref="E15:P15"/>
  </mergeCells>
  <pageMargins left="0.25" right="0.25" top="0.75" bottom="0.75" header="0.3" footer="0.3"/>
  <pageSetup paperSize="17" scale="33" orientation="portrait" r:id="rId1"/>
  <drawing r:id="rId2"/>
  <mc:AlternateContent xmlns:mc="http://schemas.openxmlformats.org/markup-compatibility/2006">
    <mc:Choice Requires="v">
      <legacyDrawing r:id="rId3"/>
    </mc:Choice>
  </mc:AlternateContent>
</worksheet>
</file>

<file path=xl/worksheets/sheet3.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CSkiCalc">
    <tabColor rgb="FFFF0000"/>
    <pageSetUpPr fitToPage="1"/>
  </sheetPr>
  <dimension ref="A1:BG128"/>
  <sheetViews>
    <sheetView showGridLines="0" topLeftCell="C1" workbookViewId="0">
      <selection activeCell="J7" sqref="J7"/>
    </sheetView>
  </sheetViews>
  <sheetFormatPr baseColWidth="10" defaultColWidth="7.6640625" defaultRowHeight="13"/>
  <cols>
    <col min="1" max="1" width="2.33203125" style="1" hidden="1" customWidth="1"/>
    <col min="2" max="2" width="1.83203125" style="2" hidden="1" customWidth="1"/>
    <col min="3" max="3" width="0.33203125" style="1" customWidth="1"/>
    <col min="4" max="4" width="9.6640625" style="2" customWidth="1"/>
    <col min="5" max="5" width="36.33203125" style="1" customWidth="1"/>
    <col min="6" max="6" width="10.6640625" style="1" hidden="1" customWidth="1"/>
    <col min="7" max="7" width="18.1640625" style="1" hidden="1" customWidth="1"/>
    <col min="8" max="8" width="8.6640625" style="3" customWidth="1"/>
    <col min="9" max="9" width="8.6640625" style="4" hidden="1" customWidth="1"/>
    <col min="10" max="10" width="8.6640625" style="5" customWidth="1"/>
    <col min="11" max="11" width="11.1640625" style="2" bestFit="1" customWidth="1"/>
    <col min="12" max="12" width="8.6640625" style="2" bestFit="1" customWidth="1"/>
    <col min="13" max="25" width="6.83203125" style="2" customWidth="1"/>
    <col min="26" max="30" width="6.83203125" style="1" customWidth="1"/>
    <col min="31" max="31" width="2.6640625" style="1" customWidth="1"/>
    <col min="32" max="32" width="0.33203125" style="1" customWidth="1"/>
    <col min="33" max="34" width="6.83203125" style="1" hidden="1" customWidth="1"/>
    <col min="35" max="35" width="4.1640625" style="41" hidden="1" customWidth="1"/>
    <col min="36" max="36" width="4.1640625" style="1" hidden="1" customWidth="1"/>
    <col min="37" max="37" width="4.1640625" style="41" hidden="1" customWidth="1"/>
    <col min="38" max="38" width="4.1640625" style="1" hidden="1" customWidth="1"/>
    <col min="39" max="39" width="4.1640625" style="41" hidden="1" customWidth="1"/>
    <col min="40" max="40" width="4.1640625" style="1" hidden="1" customWidth="1"/>
    <col min="41" max="41" width="4.1640625" style="41" hidden="1" customWidth="1"/>
    <col min="42" max="42" width="4.1640625" style="1" hidden="1" customWidth="1"/>
    <col min="43" max="43" width="4.1640625" style="41" hidden="1" customWidth="1"/>
    <col min="44" max="44" width="4.1640625" style="1" hidden="1" customWidth="1"/>
    <col min="45" max="45" width="4.1640625" style="41" hidden="1" customWidth="1"/>
    <col min="46" max="46" width="4.1640625" style="1" hidden="1" customWidth="1"/>
    <col min="47" max="47" width="4.1640625" style="41" hidden="1" customWidth="1"/>
    <col min="48" max="48" width="4.1640625" style="1" hidden="1" customWidth="1"/>
    <col min="49" max="49" width="4.1640625" style="41" hidden="1" customWidth="1"/>
    <col min="50" max="50" width="4.1640625" style="1" hidden="1" customWidth="1"/>
    <col min="51" max="51" width="4.1640625" style="41" hidden="1" customWidth="1"/>
    <col min="52" max="52" width="4.1640625" style="1" hidden="1" customWidth="1"/>
    <col min="53" max="53" width="4.1640625" style="41" hidden="1" customWidth="1"/>
    <col min="54" max="54" width="4.1640625" style="1" hidden="1" customWidth="1"/>
    <col min="55" max="55" width="4.1640625" style="41" hidden="1" customWidth="1"/>
    <col min="56" max="56" width="4.1640625" style="1" hidden="1" customWidth="1"/>
    <col min="57" max="57" width="4.1640625" style="41" hidden="1" customWidth="1"/>
    <col min="58" max="58" width="4.1640625" style="1" hidden="1" customWidth="1"/>
    <col min="59" max="16384" width="7.6640625" style="1"/>
  </cols>
  <sheetData>
    <row r="1" spans="1:59" ht="9" customHeight="1">
      <c r="B1" s="34" t="s">
        <v>42</v>
      </c>
      <c r="F1" s="34" t="s">
        <v>42</v>
      </c>
      <c r="G1" s="34" t="s">
        <v>42</v>
      </c>
      <c r="AG1" s="34" t="s">
        <v>42</v>
      </c>
      <c r="AH1" s="34" t="s">
        <v>42</v>
      </c>
      <c r="AI1" s="34" t="s">
        <v>42</v>
      </c>
      <c r="AJ1" s="34" t="s">
        <v>42</v>
      </c>
      <c r="AK1" s="34" t="s">
        <v>42</v>
      </c>
      <c r="AL1" s="34" t="s">
        <v>42</v>
      </c>
      <c r="AM1" s="34" t="s">
        <v>42</v>
      </c>
      <c r="AN1" s="34" t="s">
        <v>42</v>
      </c>
      <c r="AO1" s="34" t="s">
        <v>42</v>
      </c>
      <c r="AP1" s="34" t="s">
        <v>42</v>
      </c>
      <c r="AQ1" s="34" t="s">
        <v>42</v>
      </c>
      <c r="AR1" s="34" t="s">
        <v>42</v>
      </c>
      <c r="AS1" s="34" t="s">
        <v>42</v>
      </c>
      <c r="AT1" s="34" t="s">
        <v>42</v>
      </c>
      <c r="AU1" s="34" t="s">
        <v>42</v>
      </c>
      <c r="AV1" s="34" t="s">
        <v>42</v>
      </c>
      <c r="AW1" s="34" t="s">
        <v>42</v>
      </c>
      <c r="AX1" s="34" t="s">
        <v>42</v>
      </c>
      <c r="AY1" s="34" t="s">
        <v>42</v>
      </c>
      <c r="AZ1" s="34" t="s">
        <v>42</v>
      </c>
      <c r="BA1" s="34" t="s">
        <v>42</v>
      </c>
      <c r="BB1" s="34" t="s">
        <v>42</v>
      </c>
      <c r="BC1" s="34" t="s">
        <v>42</v>
      </c>
      <c r="BD1" s="34" t="s">
        <v>42</v>
      </c>
      <c r="BE1" s="34" t="s">
        <v>42</v>
      </c>
      <c r="BF1" s="34" t="s">
        <v>42</v>
      </c>
    </row>
    <row r="2" spans="1:59" ht="15.75" hidden="1" customHeight="1">
      <c r="A2" s="18" t="s">
        <v>42</v>
      </c>
      <c r="B2" s="17">
        <v>0</v>
      </c>
      <c r="D2" s="2">
        <v>1</v>
      </c>
      <c r="E2" s="8" t="s">
        <v>313</v>
      </c>
      <c r="H2" s="1"/>
      <c r="P2" s="19"/>
      <c r="Q2" s="19"/>
      <c r="R2" s="19"/>
      <c r="S2" s="19"/>
      <c r="AG2" s="8"/>
      <c r="AI2" s="1"/>
      <c r="AK2" s="1"/>
      <c r="AM2" s="1"/>
      <c r="AO2" s="1"/>
      <c r="AQ2" s="1"/>
      <c r="AS2" s="1"/>
      <c r="AU2" s="1"/>
      <c r="AW2" s="1"/>
      <c r="AY2" s="1"/>
      <c r="BA2" s="1"/>
      <c r="BC2" s="1"/>
      <c r="BE2" s="1"/>
    </row>
    <row r="3" spans="1:59" ht="3" customHeight="1">
      <c r="C3" s="10"/>
      <c r="D3" s="14"/>
      <c r="E3" s="10"/>
      <c r="F3" s="10"/>
      <c r="G3" s="10"/>
      <c r="H3" s="20"/>
      <c r="I3" s="21"/>
      <c r="J3" s="22"/>
      <c r="K3" s="14"/>
      <c r="L3" s="14"/>
      <c r="M3" s="14"/>
      <c r="N3" s="14"/>
      <c r="O3" s="14"/>
      <c r="P3" s="14"/>
      <c r="Q3" s="14"/>
      <c r="R3" s="14"/>
      <c r="S3" s="14"/>
      <c r="T3" s="14"/>
      <c r="U3" s="31"/>
      <c r="V3" s="31"/>
      <c r="W3" s="31"/>
      <c r="X3" s="31"/>
      <c r="Y3" s="31"/>
      <c r="Z3" s="31"/>
      <c r="AA3" s="10"/>
      <c r="AB3" s="10"/>
      <c r="AC3" s="23"/>
      <c r="AD3" s="23"/>
      <c r="AE3" s="23"/>
      <c r="AF3" s="376"/>
      <c r="AG3" s="8"/>
      <c r="AY3" s="1"/>
      <c r="BA3" s="1"/>
      <c r="BC3" s="1"/>
      <c r="BE3" s="1"/>
    </row>
    <row r="4" spans="1:59" ht="9" customHeight="1" thickBot="1">
      <c r="C4" s="23"/>
      <c r="O4" s="1"/>
      <c r="P4" s="1"/>
      <c r="Q4" s="1"/>
      <c r="R4" s="1"/>
      <c r="S4" s="1"/>
      <c r="T4" s="1"/>
      <c r="U4" s="1"/>
      <c r="V4" s="1"/>
      <c r="W4" s="1"/>
      <c r="X4" s="1"/>
      <c r="Y4" s="1"/>
      <c r="AF4" s="10"/>
      <c r="AG4" s="8"/>
      <c r="AI4" s="1"/>
      <c r="AK4" s="1"/>
      <c r="AM4" s="1"/>
      <c r="AO4" s="1"/>
      <c r="AQ4" s="1"/>
      <c r="AS4" s="1"/>
      <c r="AU4" s="1"/>
      <c r="AW4" s="1"/>
      <c r="AY4" s="1"/>
      <c r="BA4" s="1"/>
      <c r="BC4" s="1"/>
      <c r="BE4" s="1"/>
    </row>
    <row r="5" spans="1:59" ht="12.75" customHeight="1">
      <c r="C5" s="10"/>
      <c r="I5" s="16" t="s">
        <v>24</v>
      </c>
      <c r="J5" s="16" t="s">
        <v>24</v>
      </c>
      <c r="M5" s="947" t="s">
        <v>9</v>
      </c>
      <c r="N5" s="948"/>
      <c r="O5" s="948"/>
      <c r="P5" s="948"/>
      <c r="Q5" s="948"/>
      <c r="R5" s="948"/>
      <c r="S5" s="948"/>
      <c r="T5" s="948"/>
      <c r="U5" s="948"/>
      <c r="V5" s="948"/>
      <c r="W5" s="949"/>
      <c r="X5" s="375"/>
      <c r="Y5" s="375"/>
      <c r="Z5" s="375"/>
      <c r="AA5" s="375"/>
      <c r="AB5" s="375"/>
      <c r="AF5" s="10"/>
      <c r="AG5" s="8"/>
      <c r="AH5" s="41"/>
      <c r="AI5" s="1"/>
      <c r="AJ5" s="41"/>
      <c r="AK5" s="1"/>
      <c r="AL5" s="41"/>
      <c r="AM5" s="1"/>
      <c r="AN5" s="41"/>
      <c r="AO5" s="1"/>
      <c r="AP5" s="41"/>
      <c r="AQ5" s="1"/>
      <c r="AR5" s="41"/>
      <c r="AS5" s="1"/>
      <c r="AT5" s="41"/>
      <c r="AU5" s="1"/>
      <c r="AV5" s="41"/>
      <c r="AW5" s="1"/>
      <c r="AX5" s="41"/>
      <c r="AY5" s="1"/>
      <c r="AZ5" s="41"/>
      <c r="BA5" s="1"/>
      <c r="BB5" s="41"/>
      <c r="BC5" s="1"/>
      <c r="BE5" s="1"/>
    </row>
    <row r="6" spans="1:59" customFormat="1" ht="12.75" customHeight="1">
      <c r="B6" s="15"/>
      <c r="C6" s="11"/>
      <c r="I6" s="32" t="s">
        <v>47</v>
      </c>
      <c r="J6" s="32" t="s">
        <v>47</v>
      </c>
      <c r="K6" s="8"/>
      <c r="M6" s="950" t="str">
        <f>IF($B$2=0,'Hidden Data'!A19,'Hidden Data'!B19)</f>
        <v>1) Use this sheet to size out RENTAL alpine ski fleet.</v>
      </c>
      <c r="N6" s="951"/>
      <c r="O6" s="951"/>
      <c r="P6" s="951"/>
      <c r="Q6" s="951"/>
      <c r="R6" s="951"/>
      <c r="S6" s="951"/>
      <c r="T6" s="951"/>
      <c r="U6" s="951"/>
      <c r="V6" s="951"/>
      <c r="W6" s="952"/>
      <c r="X6" s="358"/>
      <c r="Y6" s="358"/>
      <c r="Z6" s="358"/>
      <c r="AA6" s="358"/>
      <c r="AB6" s="358"/>
      <c r="AF6" s="10"/>
      <c r="AG6" s="8"/>
      <c r="AP6" s="42"/>
      <c r="AR6" s="42"/>
      <c r="AT6" s="42"/>
      <c r="AV6" s="42"/>
      <c r="AX6" s="42"/>
      <c r="AZ6" s="42"/>
      <c r="BB6" s="42"/>
    </row>
    <row r="7" spans="1:59" customFormat="1" ht="12.75" customHeight="1" thickBot="1">
      <c r="B7" s="15"/>
      <c r="C7" s="11"/>
      <c r="I7" s="126">
        <f>IF(SKI_CALCULATOR_TYPE=0,SUBTOTAL(1,I16:I23,I27:I31,I35:I37),SUBTOTAL(1,I69:I76,I80:I84,I88:I90))</f>
        <v>6.2500000000000003E-3</v>
      </c>
      <c r="J7" s="454">
        <v>0</v>
      </c>
      <c r="M7" s="962" t="str">
        <f>IF($B$2=0,'Hidden Data'!A20,'Hidden Data'!B20)</f>
        <v>2) Enter units needed per item &amp; discounts (yellow cells).</v>
      </c>
      <c r="N7" s="963"/>
      <c r="O7" s="963"/>
      <c r="P7" s="963"/>
      <c r="Q7" s="963"/>
      <c r="R7" s="963"/>
      <c r="S7" s="963"/>
      <c r="T7" s="963"/>
      <c r="U7" s="963"/>
      <c r="V7" s="963"/>
      <c r="W7" s="964"/>
      <c r="X7" s="358"/>
      <c r="Y7" s="358"/>
      <c r="Z7" s="358"/>
      <c r="AA7" s="358"/>
      <c r="AB7" s="358"/>
      <c r="AF7" s="10"/>
      <c r="AG7" s="8"/>
      <c r="AH7" s="42"/>
      <c r="AJ7" s="42"/>
      <c r="AL7" s="42"/>
      <c r="AN7" s="42"/>
      <c r="AP7" s="42"/>
      <c r="AR7" s="42"/>
      <c r="AT7" s="42"/>
      <c r="AV7" s="42"/>
      <c r="AX7" s="42"/>
      <c r="AZ7" s="42"/>
      <c r="BB7" s="42"/>
    </row>
    <row r="8" spans="1:59" customFormat="1" ht="12.75" customHeight="1">
      <c r="B8" s="15"/>
      <c r="C8" s="11"/>
      <c r="I8" s="16" t="s">
        <v>25</v>
      </c>
      <c r="J8" s="16" t="s">
        <v>25</v>
      </c>
      <c r="K8" s="319"/>
      <c r="M8" s="962" t="str">
        <f>IF($B$2=0,'Hidden Data'!A21,'Hidden Data'!B21)</f>
        <v>3) Size run &amp; cost will automatically generate for each item.</v>
      </c>
      <c r="N8" s="963"/>
      <c r="O8" s="963"/>
      <c r="P8" s="963"/>
      <c r="Q8" s="963"/>
      <c r="R8" s="963"/>
      <c r="S8" s="963"/>
      <c r="T8" s="963"/>
      <c r="U8" s="963"/>
      <c r="V8" s="963"/>
      <c r="W8" s="964"/>
      <c r="X8" s="358"/>
      <c r="Y8" s="358"/>
      <c r="Z8" s="358"/>
      <c r="AA8" s="358"/>
      <c r="AB8" s="358"/>
      <c r="AF8" s="10"/>
      <c r="AG8" s="8"/>
      <c r="AH8" s="42"/>
      <c r="AJ8" s="42"/>
      <c r="AL8" s="42"/>
      <c r="AN8" s="42"/>
      <c r="AP8" s="42"/>
      <c r="AR8" s="42"/>
      <c r="AT8" s="42"/>
      <c r="AV8" s="42"/>
      <c r="AX8" s="42"/>
      <c r="AZ8" s="42"/>
      <c r="BB8" s="42"/>
    </row>
    <row r="9" spans="1:59" customFormat="1" ht="12.75" customHeight="1">
      <c r="B9" s="15"/>
      <c r="C9" s="11"/>
      <c r="I9" s="32" t="s">
        <v>47</v>
      </c>
      <c r="J9" s="32" t="s">
        <v>47</v>
      </c>
      <c r="K9" s="319"/>
      <c r="M9" s="962" t="str">
        <f>IF($B$2=0,'Hidden Data'!A22,'Hidden Data'!B22)</f>
        <v>4) Grand total quantities &amp; cost will automatically update below.</v>
      </c>
      <c r="N9" s="963"/>
      <c r="O9" s="963"/>
      <c r="P9" s="963"/>
      <c r="Q9" s="963"/>
      <c r="R9" s="963"/>
      <c r="S9" s="963"/>
      <c r="T9" s="963"/>
      <c r="U9" s="963"/>
      <c r="V9" s="963"/>
      <c r="W9" s="964"/>
      <c r="X9" s="358"/>
      <c r="Y9" s="358"/>
      <c r="Z9" s="358"/>
      <c r="AA9" s="358"/>
      <c r="AB9" s="358"/>
      <c r="AF9" s="10"/>
      <c r="AG9" s="8"/>
      <c r="AH9" s="42"/>
      <c r="AJ9" s="42"/>
      <c r="AL9" s="42"/>
      <c r="AN9" s="42"/>
      <c r="AP9" s="42"/>
      <c r="AR9" s="42"/>
      <c r="AT9" s="42"/>
      <c r="AV9" s="42"/>
      <c r="AX9" s="42"/>
      <c r="AZ9" s="42"/>
      <c r="BB9" s="42"/>
    </row>
    <row r="10" spans="1:59" customFormat="1" ht="12.75" customHeight="1" thickBot="1">
      <c r="B10" s="15"/>
      <c r="C10" s="11"/>
      <c r="I10" s="126">
        <f>IF(SKI_CALCULATOR_TYPE=0,SUBTOTAL(1,I43:I44,I48:I50,I54:I56),SUBTOTAL(1,I96:I97,I101:I103,I107:I109))</f>
        <v>0</v>
      </c>
      <c r="J10" s="454">
        <v>0</v>
      </c>
      <c r="K10" s="8"/>
      <c r="L10" s="8"/>
      <c r="M10" s="965" t="str">
        <f>IF($B$2=0,'Hidden Data'!A23,'Hidden Data'!B23)</f>
        <v>5) File must be saved as Macro-Enabled (.xlsm) file type!</v>
      </c>
      <c r="N10" s="966"/>
      <c r="O10" s="966"/>
      <c r="P10" s="966"/>
      <c r="Q10" s="966"/>
      <c r="R10" s="966"/>
      <c r="S10" s="966"/>
      <c r="T10" s="966"/>
      <c r="U10" s="966"/>
      <c r="V10" s="966"/>
      <c r="W10" s="967"/>
      <c r="AF10" s="10"/>
      <c r="AG10" s="8"/>
      <c r="AI10" s="8" t="s">
        <v>100</v>
      </c>
      <c r="AJ10" s="43"/>
      <c r="AK10" s="43"/>
      <c r="AL10" s="43"/>
      <c r="AM10" s="43"/>
      <c r="AN10" s="43"/>
      <c r="AO10" s="43"/>
      <c r="AP10" s="43"/>
      <c r="AQ10" s="43"/>
      <c r="AR10" s="43"/>
      <c r="AS10" s="43"/>
      <c r="AT10" s="43"/>
      <c r="AU10" s="43"/>
      <c r="AV10" s="43"/>
      <c r="AW10" s="43"/>
      <c r="AX10" s="43"/>
      <c r="AY10" s="43"/>
      <c r="AZ10" s="43"/>
      <c r="BA10" s="43"/>
      <c r="BB10" s="43"/>
      <c r="BC10" s="43"/>
      <c r="BD10" s="43"/>
      <c r="BE10" s="43"/>
      <c r="BF10" s="43"/>
    </row>
    <row r="11" spans="1:59" ht="12.75" customHeight="1" thickBot="1">
      <c r="C11" s="10"/>
      <c r="D11" s="156"/>
      <c r="F11" s="155"/>
      <c r="G11" s="155"/>
      <c r="H11" s="157"/>
      <c r="L11" s="256"/>
      <c r="M11" s="256"/>
      <c r="N11" s="256"/>
      <c r="P11" s="1"/>
      <c r="Q11" s="1"/>
      <c r="R11" s="1"/>
      <c r="S11" s="1"/>
      <c r="T11" s="1"/>
      <c r="U11" s="1"/>
      <c r="V11" s="1"/>
      <c r="W11" s="1"/>
      <c r="X11" s="1"/>
      <c r="Y11" s="1"/>
      <c r="AF11" s="10"/>
      <c r="AG11" s="8"/>
      <c r="AI11" s="147">
        <v>6</v>
      </c>
      <c r="AJ11" s="44"/>
      <c r="AK11" s="148">
        <f>AI11+1</f>
        <v>7</v>
      </c>
      <c r="AL11" s="44"/>
      <c r="AM11" s="148">
        <f t="shared" ref="AM11" si="0">AK11+1</f>
        <v>8</v>
      </c>
      <c r="AN11" s="44"/>
      <c r="AO11" s="148">
        <f t="shared" ref="AO11" si="1">AM11+1</f>
        <v>9</v>
      </c>
      <c r="AP11" s="44"/>
      <c r="AQ11" s="148">
        <f t="shared" ref="AQ11" si="2">AO11+1</f>
        <v>10</v>
      </c>
      <c r="AR11" s="44"/>
      <c r="AS11" s="148">
        <f t="shared" ref="AS11" si="3">AQ11+1</f>
        <v>11</v>
      </c>
      <c r="AT11" s="44"/>
      <c r="AU11" s="148">
        <f t="shared" ref="AU11" si="4">AS11+1</f>
        <v>12</v>
      </c>
      <c r="AV11" s="44"/>
      <c r="AW11" s="148">
        <f t="shared" ref="AW11" si="5">AU11+1</f>
        <v>13</v>
      </c>
      <c r="AX11" s="44"/>
      <c r="AY11" s="148">
        <f t="shared" ref="AY11" si="6">AW11+1</f>
        <v>14</v>
      </c>
      <c r="AZ11" s="44"/>
      <c r="BA11" s="148">
        <f t="shared" ref="BA11" si="7">AY11+1</f>
        <v>15</v>
      </c>
      <c r="BB11" s="44"/>
      <c r="BC11" s="148">
        <f t="shared" ref="BC11" si="8">BA11+1</f>
        <v>16</v>
      </c>
      <c r="BD11" s="44"/>
      <c r="BE11" s="148">
        <f t="shared" ref="BE11" si="9">BC11+1</f>
        <v>17</v>
      </c>
      <c r="BF11" s="46"/>
      <c r="BG11"/>
    </row>
    <row r="12" spans="1:59" ht="28.5" customHeight="1" thickBot="1">
      <c r="C12" s="10"/>
      <c r="D12" s="970" t="str">
        <f>IF(B2=0,'Hidden Data'!A24,'Hidden Data'!B24)</f>
        <v>26/27 ALPINE SKI RENTAL CALCULATOR - total units per product</v>
      </c>
      <c r="E12" s="971"/>
      <c r="F12" s="971"/>
      <c r="G12" s="971"/>
      <c r="H12" s="971"/>
      <c r="I12" s="971"/>
      <c r="J12" s="971"/>
      <c r="K12" s="971"/>
      <c r="L12" s="971"/>
      <c r="M12" s="971"/>
      <c r="N12" s="971"/>
      <c r="O12" s="971"/>
      <c r="P12" s="971"/>
      <c r="Q12" s="971"/>
      <c r="R12" s="971"/>
      <c r="S12" s="971"/>
      <c r="T12" s="971"/>
      <c r="U12" s="971"/>
      <c r="V12" s="971"/>
      <c r="W12" s="971"/>
      <c r="X12" s="971"/>
      <c r="Y12" s="971"/>
      <c r="Z12" s="971"/>
      <c r="AA12" s="971"/>
      <c r="AB12" s="971"/>
      <c r="AC12" s="971"/>
      <c r="AD12" s="972"/>
      <c r="AF12" s="10"/>
      <c r="AG12" s="8"/>
      <c r="AI12" s="1"/>
      <c r="AJ12" s="41"/>
      <c r="AK12" s="1"/>
      <c r="AL12" s="41"/>
      <c r="AM12" s="1"/>
      <c r="AN12" s="41"/>
      <c r="AO12" s="1"/>
      <c r="AP12" s="41"/>
      <c r="AQ12" s="1"/>
      <c r="AR12" s="41"/>
      <c r="AS12" s="1"/>
      <c r="AT12" s="41"/>
      <c r="AU12" s="1"/>
      <c r="AV12" s="41"/>
      <c r="AW12" s="1"/>
      <c r="AX12" s="41"/>
      <c r="AY12" s="1"/>
      <c r="AZ12" s="41"/>
      <c r="BA12" s="1"/>
      <c r="BB12" s="41"/>
      <c r="BC12" s="1"/>
      <c r="BD12" s="41"/>
      <c r="BE12" s="1"/>
      <c r="BF12" s="41"/>
    </row>
    <row r="13" spans="1:59" ht="14">
      <c r="C13" s="10"/>
      <c r="D13" s="973" t="s">
        <v>104</v>
      </c>
      <c r="E13" s="973"/>
      <c r="F13" s="973"/>
      <c r="G13" s="973"/>
      <c r="H13" s="973"/>
      <c r="I13" s="973"/>
      <c r="J13" s="973"/>
      <c r="K13" s="973"/>
      <c r="L13" s="973"/>
      <c r="M13" s="973"/>
      <c r="N13" s="973"/>
      <c r="O13" s="973"/>
      <c r="P13" s="973"/>
      <c r="Q13" s="973"/>
      <c r="R13" s="973"/>
      <c r="S13" s="973"/>
      <c r="T13" s="973"/>
      <c r="U13" s="973"/>
      <c r="V13" s="973"/>
      <c r="W13" s="973"/>
      <c r="X13" s="973"/>
      <c r="Y13" s="973"/>
      <c r="Z13" s="973"/>
      <c r="AA13" s="973"/>
      <c r="AB13" s="973"/>
      <c r="AC13" s="973"/>
      <c r="AD13" s="973"/>
      <c r="AE13" s="654"/>
      <c r="AF13" s="10"/>
      <c r="AG13" s="8"/>
      <c r="AI13" s="1"/>
      <c r="AJ13" s="41"/>
      <c r="AK13" s="1"/>
      <c r="AL13" s="41"/>
      <c r="AM13" s="1"/>
      <c r="AN13" s="41"/>
      <c r="AO13" s="1"/>
      <c r="AP13" s="41"/>
      <c r="AQ13" s="1"/>
      <c r="AR13" s="41"/>
      <c r="AS13" s="1"/>
      <c r="AT13" s="41"/>
      <c r="AU13" s="1"/>
      <c r="AV13" s="41"/>
      <c r="AW13" s="1"/>
      <c r="AX13" s="41"/>
      <c r="AY13" s="1"/>
      <c r="AZ13" s="41"/>
      <c r="BA13" s="1"/>
      <c r="BB13" s="41"/>
      <c r="BC13" s="1"/>
      <c r="BD13" s="41"/>
      <c r="BE13" s="1"/>
      <c r="BF13" s="41"/>
    </row>
    <row r="14" spans="1:59" s="8" customFormat="1" ht="12.75" customHeight="1">
      <c r="A14" s="1"/>
      <c r="B14" s="9"/>
      <c r="C14" s="12"/>
      <c r="D14" s="957" t="s">
        <v>107</v>
      </c>
      <c r="E14" s="954"/>
      <c r="F14" s="293"/>
      <c r="G14" s="293"/>
      <c r="H14" s="294"/>
      <c r="I14" s="294"/>
      <c r="J14" s="294"/>
      <c r="K14" s="294"/>
      <c r="L14" s="294"/>
      <c r="N14" s="289"/>
      <c r="O14" s="289"/>
      <c r="P14" s="289"/>
      <c r="Q14" s="289"/>
      <c r="R14" s="289"/>
      <c r="S14" s="289"/>
      <c r="T14" s="289"/>
      <c r="U14" s="289"/>
      <c r="V14" s="289"/>
      <c r="W14" s="289"/>
      <c r="X14" s="289"/>
      <c r="Y14" s="289"/>
      <c r="Z14" s="289"/>
      <c r="AA14" s="289"/>
      <c r="AB14" s="289"/>
      <c r="AC14" s="289"/>
      <c r="AD14" s="289"/>
      <c r="AF14" s="10"/>
    </row>
    <row r="15" spans="1:59" s="8" customFormat="1" ht="12.75" customHeight="1" thickBot="1">
      <c r="A15" s="6"/>
      <c r="B15" s="9">
        <v>0</v>
      </c>
      <c r="C15" s="12"/>
      <c r="D15" s="295" t="s">
        <v>0</v>
      </c>
      <c r="E15" s="296" t="s">
        <v>1</v>
      </c>
      <c r="F15" s="297" t="s">
        <v>43</v>
      </c>
      <c r="G15" s="297" t="s">
        <v>19</v>
      </c>
      <c r="H15" s="327" t="s">
        <v>102</v>
      </c>
      <c r="I15" s="331" t="s">
        <v>21</v>
      </c>
      <c r="J15" s="311" t="s">
        <v>21</v>
      </c>
      <c r="K15" s="317" t="s">
        <v>6</v>
      </c>
      <c r="L15" s="299" t="s">
        <v>5</v>
      </c>
      <c r="M15" s="300" t="s">
        <v>243</v>
      </c>
      <c r="N15" s="302">
        <v>132</v>
      </c>
      <c r="O15" s="302">
        <v>137</v>
      </c>
      <c r="P15" s="302">
        <v>138</v>
      </c>
      <c r="Q15" s="302">
        <v>140</v>
      </c>
      <c r="R15" s="302">
        <v>145</v>
      </c>
      <c r="S15" s="302">
        <v>146</v>
      </c>
      <c r="T15" s="302">
        <v>148</v>
      </c>
      <c r="U15" s="302">
        <v>153</v>
      </c>
      <c r="V15" s="302">
        <v>154</v>
      </c>
      <c r="W15" s="302">
        <v>156</v>
      </c>
      <c r="X15" s="302">
        <v>161</v>
      </c>
      <c r="Y15" s="302">
        <v>162</v>
      </c>
      <c r="Z15" s="302">
        <v>164</v>
      </c>
      <c r="AA15" s="302">
        <v>170</v>
      </c>
      <c r="AB15" s="302">
        <v>172</v>
      </c>
      <c r="AC15" s="302">
        <v>179</v>
      </c>
      <c r="AD15" s="647">
        <v>180</v>
      </c>
      <c r="AE15" s="177"/>
      <c r="AF15" s="10"/>
      <c r="AG15" s="1"/>
      <c r="AI15" s="35"/>
      <c r="AJ15" s="47"/>
      <c r="AK15" s="35"/>
      <c r="AL15" s="47"/>
      <c r="AM15" s="35"/>
      <c r="AN15" s="47"/>
      <c r="AO15" s="35"/>
      <c r="AP15" s="47"/>
      <c r="AQ15" s="35"/>
      <c r="AR15" s="47"/>
      <c r="AS15" s="35"/>
      <c r="AT15" s="47"/>
      <c r="AU15" s="35"/>
      <c r="AV15" s="47"/>
      <c r="AW15" s="35"/>
      <c r="AX15" s="47"/>
      <c r="AY15" s="35"/>
      <c r="AZ15" s="47"/>
      <c r="BA15" s="35"/>
      <c r="BB15" s="47"/>
      <c r="BC15" s="35"/>
      <c r="BD15" s="47"/>
      <c r="BE15" s="35"/>
      <c r="BF15" s="47"/>
    </row>
    <row r="16" spans="1:59" s="8" customFormat="1" ht="12.75" customHeight="1" thickTop="1">
      <c r="B16" s="9">
        <f>IF(SKI_CALCULATOR_TYPE=0,IF(ISBLANK(D16),MAX(B$15:B15),IF(AND(ISNUMBER(L16),L16&gt;0)=TRUE,MAX(B$15:B15)+1,MAX(B$15:B15))),0)</f>
        <v>0</v>
      </c>
      <c r="C16" s="12"/>
      <c r="D16" s="390" t="s">
        <v>292</v>
      </c>
      <c r="E16" s="519" t="str">
        <f>VLOOKUP(D16,SKUS_TO_SIZES,2,FALSE)</f>
        <v>EXPERIENCE 80 XPRESS 10 GW B83 RTL 2.0</v>
      </c>
      <c r="F16" s="520">
        <f t="shared" ref="F16:F23" si="10">VLOOKUP(D16,SKUS_TO_SIZES,3,FALSE)</f>
        <v>404</v>
      </c>
      <c r="G16" s="520">
        <f>SUM(L16)*F16</f>
        <v>0</v>
      </c>
      <c r="H16" s="520">
        <f t="shared" ref="H16:H23" si="11">IF(SKI_DISCOUNT_TYPE=1,IF($J$7=0,F16,F16*(SUM(1-$J$7))),IF(I16=0,F16,F16*(SUM(1-I16))))</f>
        <v>404</v>
      </c>
      <c r="I16" s="521">
        <v>0</v>
      </c>
      <c r="J16" s="522">
        <f>$J$7</f>
        <v>0</v>
      </c>
      <c r="K16" s="523">
        <f ca="1">SUM(M16:AD16)*H16</f>
        <v>0</v>
      </c>
      <c r="L16" s="524">
        <v>0</v>
      </c>
      <c r="M16" s="401" t="str">
        <f ca="1">IFERROR(ROUND($L16*HLOOKUP(M$15,INDIRECT("'Hidden Data'!"&amp;HLOOKUP(COLUMN(SKUS_TO_SIZES),NUMBER_TO_LETTER,2,FALSE)&amp;MATCH($D16,'Hidden Data'!$D:$D,0)&amp;":T"&amp;MATCH($D16&amp;"-sizecurve",'Hidden Data'!$D:$D,0)),2,FALSE),0)," ")</f>
        <v xml:space="preserve"> </v>
      </c>
      <c r="N16" s="402">
        <f ca="1">IFERROR(ROUND($L16*HLOOKUP(N$15,INDIRECT("'Hidden Data'!"&amp;HLOOKUP(COLUMN(SKUS_TO_SIZES),NUMBER_TO_LETTER,2,FALSE)&amp;MATCH($D16,'Hidden Data'!$D:$D,0)&amp;":T"&amp;MATCH($D16&amp;"-sizecurve",'Hidden Data'!$D:$D,0)),2,FALSE),0)," ")</f>
        <v>0</v>
      </c>
      <c r="O16" s="402" t="str">
        <f ca="1">IFERROR(ROUND($L16*HLOOKUP(O$15,INDIRECT("'Hidden Data'!"&amp;HLOOKUP(COLUMN(SKUS_TO_SIZES),NUMBER_TO_LETTER,2,FALSE)&amp;MATCH($D16,'Hidden Data'!$D:$D,0)&amp;":T"&amp;MATCH($D16&amp;"-sizecurve",'Hidden Data'!$D:$D,0)),2,FALSE),0)," ")</f>
        <v xml:space="preserve"> </v>
      </c>
      <c r="P16" s="402" t="str">
        <f ca="1">IFERROR(ROUND($L16*HLOOKUP(P$15,INDIRECT("'Hidden Data'!"&amp;HLOOKUP(COLUMN(SKUS_TO_SIZES),NUMBER_TO_LETTER,2,FALSE)&amp;MATCH($D16,'Hidden Data'!$D:$D,0)&amp;":T"&amp;MATCH($D16&amp;"-sizecurve",'Hidden Data'!$D:$D,0)),2,FALSE),0)," ")</f>
        <v xml:space="preserve"> </v>
      </c>
      <c r="Q16" s="402">
        <f ca="1">IFERROR(ROUND($L16*HLOOKUP(Q$15,INDIRECT("'Hidden Data'!"&amp;HLOOKUP(COLUMN(SKUS_TO_SIZES),NUMBER_TO_LETTER,2,FALSE)&amp;MATCH($D16,'Hidden Data'!$D:$D,0)&amp;":T"&amp;MATCH($D16&amp;"-sizecurve",'Hidden Data'!$D:$D,0)),2,FALSE),0)," ")</f>
        <v>0</v>
      </c>
      <c r="R16" s="402" t="str">
        <f ca="1">IFERROR(ROUND($L16*HLOOKUP(R$15,INDIRECT("'Hidden Data'!"&amp;HLOOKUP(COLUMN(SKUS_TO_SIZES),NUMBER_TO_LETTER,2,FALSE)&amp;MATCH($D16,'Hidden Data'!$D:$D,0)&amp;":T"&amp;MATCH($D16&amp;"-sizecurve",'Hidden Data'!$D:$D,0)),2,FALSE),0)," ")</f>
        <v xml:space="preserve"> </v>
      </c>
      <c r="S16" s="402" t="str">
        <f ca="1">IFERROR(ROUND($L16*HLOOKUP(S$15,INDIRECT("'Hidden Data'!"&amp;HLOOKUP(COLUMN(SKUS_TO_SIZES),NUMBER_TO_LETTER,2,FALSE)&amp;MATCH($D16,'Hidden Data'!$D:$D,0)&amp;":T"&amp;MATCH($D16&amp;"-sizecurve",'Hidden Data'!$D:$D,0)),2,FALSE),0)," ")</f>
        <v xml:space="preserve"> </v>
      </c>
      <c r="T16" s="402">
        <f ca="1">IFERROR(ROUND($L16*HLOOKUP(T$15,INDIRECT("'Hidden Data'!"&amp;HLOOKUP(COLUMN(SKUS_TO_SIZES),NUMBER_TO_LETTER,2,FALSE)&amp;MATCH($D16,'Hidden Data'!$D:$D,0)&amp;":T"&amp;MATCH($D16&amp;"-sizecurve",'Hidden Data'!$D:$D,0)),2,FALSE),0)," ")</f>
        <v>0</v>
      </c>
      <c r="U16" s="402" t="str">
        <f ca="1">IFERROR(ROUND($L16*HLOOKUP(U$15,INDIRECT("'Hidden Data'!"&amp;HLOOKUP(COLUMN(SKUS_TO_SIZES),NUMBER_TO_LETTER,2,FALSE)&amp;MATCH($D16,'Hidden Data'!$D:$D,0)&amp;":T"&amp;MATCH($D16&amp;"-sizecurve",'Hidden Data'!$D:$D,0)),2,FALSE),0)," ")</f>
        <v xml:space="preserve"> </v>
      </c>
      <c r="V16" s="402" t="str">
        <f ca="1">IFERROR(ROUND($L16*HLOOKUP(V$15,INDIRECT("'Hidden Data'!"&amp;HLOOKUP(COLUMN(SKUS_TO_SIZES),NUMBER_TO_LETTER,2,FALSE)&amp;MATCH($D16,'Hidden Data'!$D:$D,0)&amp;":T"&amp;MATCH($D16&amp;"-sizecurve",'Hidden Data'!$D:$D,0)),2,FALSE),0)," ")</f>
        <v xml:space="preserve"> </v>
      </c>
      <c r="W16" s="402">
        <f ca="1">IFERROR(ROUND($L16*HLOOKUP(W$15,INDIRECT("'Hidden Data'!"&amp;HLOOKUP(COLUMN(SKUS_TO_SIZES),NUMBER_TO_LETTER,2,FALSE)&amp;MATCH($D16,'Hidden Data'!$D:$D,0)&amp;":T"&amp;MATCH($D16&amp;"-sizecurve",'Hidden Data'!$D:$D,0)),2,FALSE),0)," ")</f>
        <v>0</v>
      </c>
      <c r="X16" s="402" t="str">
        <f ca="1">IFERROR(ROUND($L16*HLOOKUP(X$15,INDIRECT("'Hidden Data'!"&amp;HLOOKUP(COLUMN(SKUS_TO_SIZES),NUMBER_TO_LETTER,2,FALSE)&amp;MATCH($D16,'Hidden Data'!$D:$D,0)&amp;":T"&amp;MATCH($D16&amp;"-sizecurve",'Hidden Data'!$D:$D,0)),2,FALSE),0)," ")</f>
        <v xml:space="preserve"> </v>
      </c>
      <c r="Y16" s="402" t="str">
        <f ca="1">IFERROR(ROUND($L16*HLOOKUP(Y$15,INDIRECT("'Hidden Data'!"&amp;HLOOKUP(COLUMN(SKUS_TO_SIZES),NUMBER_TO_LETTER,2,FALSE)&amp;MATCH($D16,'Hidden Data'!$D:$D,0)&amp;":T"&amp;MATCH($D16&amp;"-sizecurve",'Hidden Data'!$D:$D,0)),2,FALSE),0)," ")</f>
        <v xml:space="preserve"> </v>
      </c>
      <c r="Z16" s="402">
        <f ca="1">IFERROR(ROUND($L16*HLOOKUP(Z$15,INDIRECT("'Hidden Data'!"&amp;HLOOKUP(COLUMN(SKUS_TO_SIZES),NUMBER_TO_LETTER,2,FALSE)&amp;MATCH($D16,'Hidden Data'!$D:$D,0)&amp;":T"&amp;MATCH($D16&amp;"-sizecurve",'Hidden Data'!$D:$D,0)),2,FALSE),0)," ")</f>
        <v>0</v>
      </c>
      <c r="AA16" s="402" t="str">
        <f ca="1">IFERROR(ROUND($L16*HLOOKUP(AA$15,INDIRECT("'Hidden Data'!"&amp;HLOOKUP(COLUMN(SKUS_TO_SIZES),NUMBER_TO_LETTER,2,FALSE)&amp;MATCH($D16,'Hidden Data'!$D:$D,0)&amp;":T"&amp;MATCH($D16&amp;"-sizecurve",'Hidden Data'!$D:$D,0)),2,FALSE),0)," ")</f>
        <v xml:space="preserve"> </v>
      </c>
      <c r="AB16" s="402">
        <f ca="1">IFERROR(ROUND($L16*HLOOKUP(AB$15,INDIRECT("'Hidden Data'!"&amp;HLOOKUP(COLUMN(SKUS_TO_SIZES),NUMBER_TO_LETTER,2,FALSE)&amp;MATCH($D16,'Hidden Data'!$D:$D,0)&amp;":T"&amp;MATCH($D16&amp;"-sizecurve",'Hidden Data'!$D:$D,0)),2,FALSE),0)," ")</f>
        <v>0</v>
      </c>
      <c r="AC16" s="402" t="str">
        <f ca="1">IFERROR(ROUND($L16*HLOOKUP(AC$15,INDIRECT("'Hidden Data'!"&amp;HLOOKUP(COLUMN(SKUS_TO_SIZES),NUMBER_TO_LETTER,2,FALSE)&amp;MATCH($D16,'Hidden Data'!$D:$D,0)&amp;":T"&amp;MATCH($D16&amp;"-sizecurve",'Hidden Data'!$D:$D,0)),2,FALSE),0)," ")</f>
        <v xml:space="preserve"> </v>
      </c>
      <c r="AD16" s="448">
        <f ca="1">IFERROR(ROUND($L16*HLOOKUP(AD$15,INDIRECT("'Hidden Data'!"&amp;HLOOKUP(COLUMN(SKUS_TO_SIZES),NUMBER_TO_LETTER,2,FALSE)&amp;MATCH($D16,'Hidden Data'!$D:$D,0)&amp;":T"&amp;MATCH($D16&amp;"-sizecurve",'Hidden Data'!$D:$D,0)),2,FALSE),0)," ")</f>
        <v>0</v>
      </c>
      <c r="AE16" s="179"/>
      <c r="AF16" s="10"/>
      <c r="AG16" s="1">
        <v>2</v>
      </c>
      <c r="AH16" s="288" t="str">
        <f t="shared" ref="AH16:AH23" si="12">D16</f>
        <v>RRPFZ05</v>
      </c>
      <c r="AI16" s="127">
        <f>IF(VLOOKUP($AH16,SKUS_TO_SIZES,AI$11,FALSE)=0,"",VLOOKUP($AH16,SKUS_TO_SIZES,AI$11,FALSE))</f>
        <v>132</v>
      </c>
      <c r="AJ16" s="128" t="str">
        <f t="shared" ref="AJ16:AJ23" ca="1" si="13">IFERROR(IF(HLOOKUP(AI16,$M$15:$AD$23,$AG16,FALSE)=0,"",HLOOKUP(AI16,$M$15:$AD$23,$AG16,FALSE)),"")</f>
        <v/>
      </c>
      <c r="AK16" s="127">
        <f t="shared" ref="AK16:AK23" si="14">IF(VLOOKUP($AH16,SKUS_TO_SIZES,AK$11,FALSE)=0,"",VLOOKUP($AH16,SKUS_TO_SIZES,AK$11,FALSE))</f>
        <v>140</v>
      </c>
      <c r="AL16" s="128" t="str">
        <f t="shared" ref="AL16:AL23" ca="1" si="15">IFERROR(IF(HLOOKUP(AK16,$M$15:$AD$23,$AG16,FALSE)=0,"",HLOOKUP(AK16,$M$15:$AD$23,$AG16,FALSE)),"")</f>
        <v/>
      </c>
      <c r="AM16" s="127">
        <f t="shared" ref="AM16:AM23" si="16">IF(VLOOKUP($AH16,SKUS_TO_SIZES,AM$11,FALSE)=0,"",VLOOKUP($AH16,SKUS_TO_SIZES,AM$11,FALSE))</f>
        <v>148</v>
      </c>
      <c r="AN16" s="128" t="str">
        <f t="shared" ref="AN16:AN23" ca="1" si="17">IFERROR(IF(HLOOKUP(AM16,$M$15:$AD$23,$AG16,FALSE)=0,"",HLOOKUP(AM16,$M$15:$AD$23,$AG16,FALSE)),"")</f>
        <v/>
      </c>
      <c r="AO16" s="127">
        <f t="shared" ref="AO16:AO23" si="18">IF(VLOOKUP($AH16,SKUS_TO_SIZES,AO$11,FALSE)=0,"",VLOOKUP($AH16,SKUS_TO_SIZES,AO$11,FALSE))</f>
        <v>156</v>
      </c>
      <c r="AP16" s="128" t="str">
        <f t="shared" ref="AP16:AP23" ca="1" si="19">IFERROR(IF(HLOOKUP(AO16,$M$15:$AD$23,$AG16,FALSE)=0,"",HLOOKUP(AO16,$M$15:$AD$23,$AG16,FALSE)),"")</f>
        <v/>
      </c>
      <c r="AQ16" s="127">
        <f t="shared" ref="AQ16:AQ23" si="20">IF(VLOOKUP($AH16,SKUS_TO_SIZES,AQ$11,FALSE)=0,"",VLOOKUP($AH16,SKUS_TO_SIZES,AQ$11,FALSE))</f>
        <v>164</v>
      </c>
      <c r="AR16" s="128" t="str">
        <f t="shared" ref="AR16:AR23" ca="1" si="21">IFERROR(IF(HLOOKUP(AQ16,$M$15:$AD$23,$AG16,FALSE)=0,"",HLOOKUP(AQ16,$M$15:$AD$23,$AG16,FALSE)),"")</f>
        <v/>
      </c>
      <c r="AS16" s="127">
        <f t="shared" ref="AS16:AS23" si="22">IF(VLOOKUP($AH16,SKUS_TO_SIZES,AS$11,FALSE)=0,"",VLOOKUP($AH16,SKUS_TO_SIZES,AS$11,FALSE))</f>
        <v>172</v>
      </c>
      <c r="AT16" s="128" t="str">
        <f t="shared" ref="AT16:AT23" ca="1" si="23">IFERROR(IF(HLOOKUP(AS16,$M$15:$AD$23,$AG16,FALSE)=0,"",HLOOKUP(AS16,$M$15:$AD$23,$AG16,FALSE)),"")</f>
        <v/>
      </c>
      <c r="AU16" s="127">
        <f t="shared" ref="AU16:AU23" si="24">IF(VLOOKUP($AH16,SKUS_TO_SIZES,AU$11,FALSE)=0,"",VLOOKUP($AH16,SKUS_TO_SIZES,AU$11,FALSE))</f>
        <v>180</v>
      </c>
      <c r="AV16" s="128" t="str">
        <f t="shared" ref="AV16:AV23" ca="1" si="25">IFERROR(IF(HLOOKUP(AU16,$M$15:$AD$23,$AG16,FALSE)=0,"",HLOOKUP(AU16,$M$15:$AD$23,$AG16,FALSE)),"")</f>
        <v/>
      </c>
      <c r="AW16" s="127" t="str">
        <f t="shared" ref="AW16:AW23" si="26">IF(VLOOKUP($AH16,SKUS_TO_SIZES,AW$11,FALSE)=0,"",VLOOKUP($AH16,SKUS_TO_SIZES,AW$11,FALSE))</f>
        <v/>
      </c>
      <c r="AX16" s="128" t="str">
        <f t="shared" ref="AX16:AX23" si="27">IFERROR(IF(HLOOKUP(AW16,$M$15:$AD$23,$AG16,FALSE)=0,"",HLOOKUP(AW16,$M$15:$AD$23,$AG16,FALSE)),"")</f>
        <v/>
      </c>
      <c r="AY16" s="127" t="str">
        <f t="shared" ref="AY16:AY23" si="28">IF(VLOOKUP($AH16,SKUS_TO_SIZES,AY$11,FALSE)=0,"",VLOOKUP($AH16,SKUS_TO_SIZES,AY$11,FALSE))</f>
        <v/>
      </c>
      <c r="AZ16" s="128" t="str">
        <f t="shared" ref="AZ16:AZ23" si="29">IFERROR(IF(HLOOKUP(AY16,$M$15:$AD$23,$AG16,FALSE)=0,"",HLOOKUP(AY16,$M$15:$AD$23,$AG16,FALSE)),"")</f>
        <v/>
      </c>
      <c r="BA16" s="127" t="str">
        <f t="shared" ref="BA16:BA23" si="30">IF(VLOOKUP($AH16,SKUS_TO_SIZES,BA$11,FALSE)=0,"",VLOOKUP($AH16,SKUS_TO_SIZES,BA$11,FALSE))</f>
        <v/>
      </c>
      <c r="BB16" s="128" t="str">
        <f t="shared" ref="BB16:BB23" si="31">IFERROR(IF(HLOOKUP(BA16,$M$15:$AD$23,$AG16,FALSE)=0,"",HLOOKUP(BA16,$M$15:$AD$23,$AG16,FALSE)),"")</f>
        <v/>
      </c>
      <c r="BC16" s="127" t="str">
        <f t="shared" ref="BC16:BC23" si="32">IF(VLOOKUP($AH16,SKUS_TO_SIZES,BC$11,FALSE)=0,"",VLOOKUP($AH16,SKUS_TO_SIZES,BC$11,FALSE))</f>
        <v/>
      </c>
      <c r="BD16" s="128" t="str">
        <f t="shared" ref="BD16:BD23" si="33">IFERROR(IF(HLOOKUP(BC16,$M$15:$AD$23,$AG16,FALSE)=0,"",HLOOKUP(BC16,$M$15:$AD$23,$AG16,FALSE)),"")</f>
        <v/>
      </c>
      <c r="BE16" s="127" t="str">
        <f t="shared" ref="BE16:BE23" si="34">IF(VLOOKUP($AH16,SKUS_TO_SIZES,BE$11,FALSE)=0,"",VLOOKUP($AH16,SKUS_TO_SIZES,BE$11,FALSE))</f>
        <v/>
      </c>
      <c r="BF16" s="128" t="str">
        <f t="shared" ref="BF16:BF23" si="35">IFERROR(IF(HLOOKUP(BE16,$M$15:$AD$23,$AG16,FALSE)=0,"",HLOOKUP(BE16,$M$15:$AD$23,$AG16,FALSE)),"")</f>
        <v/>
      </c>
    </row>
    <row r="17" spans="1:58" s="8" customFormat="1" ht="12.75" customHeight="1">
      <c r="B17" s="9">
        <f>IF(SKI_CALCULATOR_TYPE=0,IF(ISBLANK(D17),MAX(B$15:B16),IF(AND(ISNUMBER(L17),L17&gt;0)=TRUE,MAX(B$15:B16)+1,MAX(B$15:B16))),0)</f>
        <v>0</v>
      </c>
      <c r="C17" s="12"/>
      <c r="D17" s="304" t="s">
        <v>294</v>
      </c>
      <c r="E17" s="525" t="str">
        <f t="shared" ref="E17:E20" si="36">VLOOKUP(D17,SKUS_TO_SIZES,2,FALSE)</f>
        <v>EXPERIENCE 78 XPRESS 10 GW B83 RTL 2.0</v>
      </c>
      <c r="F17" s="526">
        <f t="shared" ref="F17:F20" si="37">VLOOKUP(D17,SKUS_TO_SIZES,3,FALSE)</f>
        <v>336</v>
      </c>
      <c r="G17" s="526">
        <f t="shared" ref="G17:G23" si="38">SUM(L17)*F17</f>
        <v>0</v>
      </c>
      <c r="H17" s="526">
        <f t="shared" si="11"/>
        <v>336</v>
      </c>
      <c r="I17" s="527">
        <v>0</v>
      </c>
      <c r="J17" s="528">
        <f t="shared" ref="J17:J23" si="39">$J$7</f>
        <v>0</v>
      </c>
      <c r="K17" s="529">
        <f t="shared" ref="K17:K23" ca="1" si="40">SUM(M17:AD17)*H17</f>
        <v>0</v>
      </c>
      <c r="L17" s="530">
        <v>0</v>
      </c>
      <c r="M17" s="404" t="str">
        <f ca="1">IFERROR(ROUND($L17*HLOOKUP(M$15,INDIRECT("'Hidden Data'!"&amp;HLOOKUP(COLUMN(SKUS_TO_SIZES),NUMBER_TO_LETTER,2,FALSE)&amp;MATCH($D17,'Hidden Data'!$D:$D,0)&amp;":T"&amp;MATCH($D17&amp;"-sizecurve",'Hidden Data'!$D:$D,0)),2,FALSE),0)," ")</f>
        <v xml:space="preserve"> </v>
      </c>
      <c r="N17" s="405">
        <f ca="1">IFERROR(ROUND($L17*HLOOKUP(N$15,INDIRECT("'Hidden Data'!"&amp;HLOOKUP(COLUMN(SKUS_TO_SIZES),NUMBER_TO_LETTER,2,FALSE)&amp;MATCH($D17,'Hidden Data'!$D:$D,0)&amp;":T"&amp;MATCH($D17&amp;"-sizecurve",'Hidden Data'!$D:$D,0)),2,FALSE),0)," ")</f>
        <v>0</v>
      </c>
      <c r="O17" s="405" t="str">
        <f ca="1">IFERROR(ROUND($L17*HLOOKUP(O$15,INDIRECT("'Hidden Data'!"&amp;HLOOKUP(COLUMN(SKUS_TO_SIZES),NUMBER_TO_LETTER,2,FALSE)&amp;MATCH($D17,'Hidden Data'!$D:$D,0)&amp;":T"&amp;MATCH($D17&amp;"-sizecurve",'Hidden Data'!$D:$D,0)),2,FALSE),0)," ")</f>
        <v xml:space="preserve"> </v>
      </c>
      <c r="P17" s="405" t="str">
        <f ca="1">IFERROR(ROUND($L17*HLOOKUP(P$15,INDIRECT("'Hidden Data'!"&amp;HLOOKUP(COLUMN(SKUS_TO_SIZES),NUMBER_TO_LETTER,2,FALSE)&amp;MATCH($D17,'Hidden Data'!$D:$D,0)&amp;":T"&amp;MATCH($D17&amp;"-sizecurve",'Hidden Data'!$D:$D,0)),2,FALSE),0)," ")</f>
        <v xml:space="preserve"> </v>
      </c>
      <c r="Q17" s="405">
        <f ca="1">IFERROR(ROUND($L17*HLOOKUP(Q$15,INDIRECT("'Hidden Data'!"&amp;HLOOKUP(COLUMN(SKUS_TO_SIZES),NUMBER_TO_LETTER,2,FALSE)&amp;MATCH($D17,'Hidden Data'!$D:$D,0)&amp;":T"&amp;MATCH($D17&amp;"-sizecurve",'Hidden Data'!$D:$D,0)),2,FALSE),0)," ")</f>
        <v>0</v>
      </c>
      <c r="R17" s="405" t="str">
        <f ca="1">IFERROR(ROUND($L17*HLOOKUP(R$15,INDIRECT("'Hidden Data'!"&amp;HLOOKUP(COLUMN(SKUS_TO_SIZES),NUMBER_TO_LETTER,2,FALSE)&amp;MATCH($D17,'Hidden Data'!$D:$D,0)&amp;":T"&amp;MATCH($D17&amp;"-sizecurve",'Hidden Data'!$D:$D,0)),2,FALSE),0)," ")</f>
        <v xml:space="preserve"> </v>
      </c>
      <c r="S17" s="405" t="str">
        <f ca="1">IFERROR(ROUND($L17*HLOOKUP(S$15,INDIRECT("'Hidden Data'!"&amp;HLOOKUP(COLUMN(SKUS_TO_SIZES),NUMBER_TO_LETTER,2,FALSE)&amp;MATCH($D17,'Hidden Data'!$D:$D,0)&amp;":T"&amp;MATCH($D17&amp;"-sizecurve",'Hidden Data'!$D:$D,0)),2,FALSE),0)," ")</f>
        <v xml:space="preserve"> </v>
      </c>
      <c r="T17" s="405">
        <f ca="1">IFERROR(ROUND($L17*HLOOKUP(T$15,INDIRECT("'Hidden Data'!"&amp;HLOOKUP(COLUMN(SKUS_TO_SIZES),NUMBER_TO_LETTER,2,FALSE)&amp;MATCH($D17,'Hidden Data'!$D:$D,0)&amp;":T"&amp;MATCH($D17&amp;"-sizecurve",'Hidden Data'!$D:$D,0)),2,FALSE),0)," ")</f>
        <v>0</v>
      </c>
      <c r="U17" s="405" t="str">
        <f ca="1">IFERROR(ROUND($L17*HLOOKUP(U$15,INDIRECT("'Hidden Data'!"&amp;HLOOKUP(COLUMN(SKUS_TO_SIZES),NUMBER_TO_LETTER,2,FALSE)&amp;MATCH($D17,'Hidden Data'!$D:$D,0)&amp;":T"&amp;MATCH($D17&amp;"-sizecurve",'Hidden Data'!$D:$D,0)),2,FALSE),0)," ")</f>
        <v xml:space="preserve"> </v>
      </c>
      <c r="V17" s="405" t="str">
        <f ca="1">IFERROR(ROUND($L17*HLOOKUP(V$15,INDIRECT("'Hidden Data'!"&amp;HLOOKUP(COLUMN(SKUS_TO_SIZES),NUMBER_TO_LETTER,2,FALSE)&amp;MATCH($D17,'Hidden Data'!$D:$D,0)&amp;":T"&amp;MATCH($D17&amp;"-sizecurve",'Hidden Data'!$D:$D,0)),2,FALSE),0)," ")</f>
        <v xml:space="preserve"> </v>
      </c>
      <c r="W17" s="405">
        <f ca="1">IFERROR(ROUND($L17*HLOOKUP(W$15,INDIRECT("'Hidden Data'!"&amp;HLOOKUP(COLUMN(SKUS_TO_SIZES),NUMBER_TO_LETTER,2,FALSE)&amp;MATCH($D17,'Hidden Data'!$D:$D,0)&amp;":T"&amp;MATCH($D17&amp;"-sizecurve",'Hidden Data'!$D:$D,0)),2,FALSE),0)," ")</f>
        <v>0</v>
      </c>
      <c r="X17" s="405" t="str">
        <f ca="1">IFERROR(ROUND($L17*HLOOKUP(X$15,INDIRECT("'Hidden Data'!"&amp;HLOOKUP(COLUMN(SKUS_TO_SIZES),NUMBER_TO_LETTER,2,FALSE)&amp;MATCH($D17,'Hidden Data'!$D:$D,0)&amp;":T"&amp;MATCH($D17&amp;"-sizecurve",'Hidden Data'!$D:$D,0)),2,FALSE),0)," ")</f>
        <v xml:space="preserve"> </v>
      </c>
      <c r="Y17" s="405" t="str">
        <f ca="1">IFERROR(ROUND($L17*HLOOKUP(Y$15,INDIRECT("'Hidden Data'!"&amp;HLOOKUP(COLUMN(SKUS_TO_SIZES),NUMBER_TO_LETTER,2,FALSE)&amp;MATCH($D17,'Hidden Data'!$D:$D,0)&amp;":T"&amp;MATCH($D17&amp;"-sizecurve",'Hidden Data'!$D:$D,0)),2,FALSE),0)," ")</f>
        <v xml:space="preserve"> </v>
      </c>
      <c r="Z17" s="405">
        <f ca="1">IFERROR(ROUND($L17*HLOOKUP(Z$15,INDIRECT("'Hidden Data'!"&amp;HLOOKUP(COLUMN(SKUS_TO_SIZES),NUMBER_TO_LETTER,2,FALSE)&amp;MATCH($D17,'Hidden Data'!$D:$D,0)&amp;":T"&amp;MATCH($D17&amp;"-sizecurve",'Hidden Data'!$D:$D,0)),2,FALSE),0)," ")</f>
        <v>0</v>
      </c>
      <c r="AA17" s="405" t="str">
        <f ca="1">IFERROR(ROUND($L17*HLOOKUP(AA$15,INDIRECT("'Hidden Data'!"&amp;HLOOKUP(COLUMN(SKUS_TO_SIZES),NUMBER_TO_LETTER,2,FALSE)&amp;MATCH($D17,'Hidden Data'!$D:$D,0)&amp;":T"&amp;MATCH($D17&amp;"-sizecurve",'Hidden Data'!$D:$D,0)),2,FALSE),0)," ")</f>
        <v xml:space="preserve"> </v>
      </c>
      <c r="AB17" s="405">
        <f ca="1">IFERROR(ROUND($L17*HLOOKUP(AB$15,INDIRECT("'Hidden Data'!"&amp;HLOOKUP(COLUMN(SKUS_TO_SIZES),NUMBER_TO_LETTER,2,FALSE)&amp;MATCH($D17,'Hidden Data'!$D:$D,0)&amp;":T"&amp;MATCH($D17&amp;"-sizecurve",'Hidden Data'!$D:$D,0)),2,FALSE),0)," ")</f>
        <v>0</v>
      </c>
      <c r="AC17" s="405" t="str">
        <f ca="1">IFERROR(ROUND($L17*HLOOKUP(AC$15,INDIRECT("'Hidden Data'!"&amp;HLOOKUP(COLUMN(SKUS_TO_SIZES),NUMBER_TO_LETTER,2,FALSE)&amp;MATCH($D17,'Hidden Data'!$D:$D,0)&amp;":T"&amp;MATCH($D17&amp;"-sizecurve",'Hidden Data'!$D:$D,0)),2,FALSE),0)," ")</f>
        <v xml:space="preserve"> </v>
      </c>
      <c r="AD17" s="449">
        <f ca="1">IFERROR(ROUND($L17*HLOOKUP(AD$15,INDIRECT("'Hidden Data'!"&amp;HLOOKUP(COLUMN(SKUS_TO_SIZES),NUMBER_TO_LETTER,2,FALSE)&amp;MATCH($D17,'Hidden Data'!$D:$D,0)&amp;":T"&amp;MATCH($D17&amp;"-sizecurve",'Hidden Data'!$D:$D,0)),2,FALSE),0)," ")</f>
        <v>0</v>
      </c>
      <c r="AE17" s="179"/>
      <c r="AF17" s="10"/>
      <c r="AG17" s="1">
        <f>AG16+1</f>
        <v>3</v>
      </c>
      <c r="AH17" s="288" t="str">
        <f t="shared" si="12"/>
        <v>RRPFZ04</v>
      </c>
      <c r="AI17" s="127">
        <f t="shared" ref="AI17:AI23" si="41">IF(VLOOKUP($AH17,SKUS_TO_SIZES,AI$11,FALSE)=0,"",VLOOKUP($AH17,SKUS_TO_SIZES,AI$11,FALSE))</f>
        <v>132</v>
      </c>
      <c r="AJ17" s="128" t="str">
        <f t="shared" ca="1" si="13"/>
        <v/>
      </c>
      <c r="AK17" s="127">
        <f t="shared" si="14"/>
        <v>140</v>
      </c>
      <c r="AL17" s="128" t="str">
        <f t="shared" ca="1" si="15"/>
        <v/>
      </c>
      <c r="AM17" s="127">
        <f t="shared" si="16"/>
        <v>148</v>
      </c>
      <c r="AN17" s="128" t="str">
        <f t="shared" ca="1" si="17"/>
        <v/>
      </c>
      <c r="AO17" s="127">
        <f t="shared" si="18"/>
        <v>156</v>
      </c>
      <c r="AP17" s="128" t="str">
        <f t="shared" ca="1" si="19"/>
        <v/>
      </c>
      <c r="AQ17" s="127">
        <f t="shared" si="20"/>
        <v>164</v>
      </c>
      <c r="AR17" s="128" t="str">
        <f t="shared" ca="1" si="21"/>
        <v/>
      </c>
      <c r="AS17" s="127">
        <f t="shared" si="22"/>
        <v>172</v>
      </c>
      <c r="AT17" s="128" t="str">
        <f t="shared" ca="1" si="23"/>
        <v/>
      </c>
      <c r="AU17" s="127">
        <f t="shared" si="24"/>
        <v>180</v>
      </c>
      <c r="AV17" s="128" t="str">
        <f t="shared" ca="1" si="25"/>
        <v/>
      </c>
      <c r="AW17" s="127" t="str">
        <f t="shared" si="26"/>
        <v/>
      </c>
      <c r="AX17" s="128" t="str">
        <f t="shared" si="27"/>
        <v/>
      </c>
      <c r="AY17" s="127" t="str">
        <f t="shared" si="28"/>
        <v/>
      </c>
      <c r="AZ17" s="128" t="str">
        <f t="shared" si="29"/>
        <v/>
      </c>
      <c r="BA17" s="127" t="str">
        <f t="shared" si="30"/>
        <v/>
      </c>
      <c r="BB17" s="128" t="str">
        <f t="shared" si="31"/>
        <v/>
      </c>
      <c r="BC17" s="127" t="str">
        <f t="shared" si="32"/>
        <v/>
      </c>
      <c r="BD17" s="128" t="str">
        <f t="shared" si="33"/>
        <v/>
      </c>
      <c r="BE17" s="127" t="str">
        <f t="shared" si="34"/>
        <v/>
      </c>
      <c r="BF17" s="128" t="str">
        <f t="shared" si="35"/>
        <v/>
      </c>
    </row>
    <row r="18" spans="1:58" s="8" customFormat="1" ht="12.75" customHeight="1">
      <c r="B18" s="9">
        <f>IF(SKI_CALCULATOR_TYPE=0,IF(ISBLANK(D18),MAX(B$15:B17),IF(AND(ISNUMBER(L18),L18&gt;0)=TRUE,MAX(B$15:B17)+1,MAX(B$15:B17))),0)</f>
        <v>0</v>
      </c>
      <c r="C18" s="12"/>
      <c r="D18" s="304" t="s">
        <v>262</v>
      </c>
      <c r="E18" s="525" t="str">
        <f t="shared" si="36"/>
        <v>EXPERIENCE 78 FLASH NX 9 GW FLASH B83</v>
      </c>
      <c r="F18" s="526">
        <f t="shared" si="37"/>
        <v>323</v>
      </c>
      <c r="G18" s="526">
        <f t="shared" si="38"/>
        <v>0</v>
      </c>
      <c r="H18" s="526">
        <f t="shared" si="11"/>
        <v>323</v>
      </c>
      <c r="I18" s="527">
        <v>0</v>
      </c>
      <c r="J18" s="528">
        <f t="shared" si="39"/>
        <v>0</v>
      </c>
      <c r="K18" s="529">
        <f t="shared" ca="1" si="40"/>
        <v>0</v>
      </c>
      <c r="L18" s="530">
        <v>0</v>
      </c>
      <c r="M18" s="404" t="str">
        <f ca="1">IFERROR(ROUND($L18*HLOOKUP(M$15,INDIRECT("'Hidden Data'!"&amp;HLOOKUP(COLUMN(SKUS_TO_SIZES),NUMBER_TO_LETTER,2,FALSE)&amp;MATCH($D18,'Hidden Data'!$D:$D,0)&amp;":T"&amp;MATCH($D18&amp;"-sizecurve",'Hidden Data'!$D:$D,0)),2,FALSE),0)," ")</f>
        <v xml:space="preserve"> </v>
      </c>
      <c r="N18" s="405">
        <f ca="1">IFERROR(ROUND($L18*HLOOKUP(N$15,INDIRECT("'Hidden Data'!"&amp;HLOOKUP(COLUMN(SKUS_TO_SIZES),NUMBER_TO_LETTER,2,FALSE)&amp;MATCH($D18,'Hidden Data'!$D:$D,0)&amp;":T"&amp;MATCH($D18&amp;"-sizecurve",'Hidden Data'!$D:$D,0)),2,FALSE),0)," ")</f>
        <v>0</v>
      </c>
      <c r="O18" s="405" t="str">
        <f ca="1">IFERROR(ROUND($L18*HLOOKUP(O$15,INDIRECT("'Hidden Data'!"&amp;HLOOKUP(COLUMN(SKUS_TO_SIZES),NUMBER_TO_LETTER,2,FALSE)&amp;MATCH($D18,'Hidden Data'!$D:$D,0)&amp;":T"&amp;MATCH($D18&amp;"-sizecurve",'Hidden Data'!$D:$D,0)),2,FALSE),0)," ")</f>
        <v xml:space="preserve"> </v>
      </c>
      <c r="P18" s="405" t="str">
        <f ca="1">IFERROR(ROUND($L18*HLOOKUP(P$15,INDIRECT("'Hidden Data'!"&amp;HLOOKUP(COLUMN(SKUS_TO_SIZES),NUMBER_TO_LETTER,2,FALSE)&amp;MATCH($D18,'Hidden Data'!$D:$D,0)&amp;":T"&amp;MATCH($D18&amp;"-sizecurve",'Hidden Data'!$D:$D,0)),2,FALSE),0)," ")</f>
        <v xml:space="preserve"> </v>
      </c>
      <c r="Q18" s="405">
        <f ca="1">IFERROR(ROUND($L18*HLOOKUP(Q$15,INDIRECT("'Hidden Data'!"&amp;HLOOKUP(COLUMN(SKUS_TO_SIZES),NUMBER_TO_LETTER,2,FALSE)&amp;MATCH($D18,'Hidden Data'!$D:$D,0)&amp;":T"&amp;MATCH($D18&amp;"-sizecurve",'Hidden Data'!$D:$D,0)),2,FALSE),0)," ")</f>
        <v>0</v>
      </c>
      <c r="R18" s="405" t="str">
        <f ca="1">IFERROR(ROUND($L18*HLOOKUP(R$15,INDIRECT("'Hidden Data'!"&amp;HLOOKUP(COLUMN(SKUS_TO_SIZES),NUMBER_TO_LETTER,2,FALSE)&amp;MATCH($D18,'Hidden Data'!$D:$D,0)&amp;":T"&amp;MATCH($D18&amp;"-sizecurve",'Hidden Data'!$D:$D,0)),2,FALSE),0)," ")</f>
        <v xml:space="preserve"> </v>
      </c>
      <c r="S18" s="405" t="str">
        <f ca="1">IFERROR(ROUND($L18*HLOOKUP(S$15,INDIRECT("'Hidden Data'!"&amp;HLOOKUP(COLUMN(SKUS_TO_SIZES),NUMBER_TO_LETTER,2,FALSE)&amp;MATCH($D18,'Hidden Data'!$D:$D,0)&amp;":T"&amp;MATCH($D18&amp;"-sizecurve",'Hidden Data'!$D:$D,0)),2,FALSE),0)," ")</f>
        <v xml:space="preserve"> </v>
      </c>
      <c r="T18" s="405">
        <f ca="1">IFERROR(ROUND($L18*HLOOKUP(T$15,INDIRECT("'Hidden Data'!"&amp;HLOOKUP(COLUMN(SKUS_TO_SIZES),NUMBER_TO_LETTER,2,FALSE)&amp;MATCH($D18,'Hidden Data'!$D:$D,0)&amp;":T"&amp;MATCH($D18&amp;"-sizecurve",'Hidden Data'!$D:$D,0)),2,FALSE),0)," ")</f>
        <v>0</v>
      </c>
      <c r="U18" s="405" t="str">
        <f ca="1">IFERROR(ROUND($L18*HLOOKUP(U$15,INDIRECT("'Hidden Data'!"&amp;HLOOKUP(COLUMN(SKUS_TO_SIZES),NUMBER_TO_LETTER,2,FALSE)&amp;MATCH($D18,'Hidden Data'!$D:$D,0)&amp;":T"&amp;MATCH($D18&amp;"-sizecurve",'Hidden Data'!$D:$D,0)),2,FALSE),0)," ")</f>
        <v xml:space="preserve"> </v>
      </c>
      <c r="V18" s="405" t="str">
        <f ca="1">IFERROR(ROUND($L18*HLOOKUP(V$15,INDIRECT("'Hidden Data'!"&amp;HLOOKUP(COLUMN(SKUS_TO_SIZES),NUMBER_TO_LETTER,2,FALSE)&amp;MATCH($D18,'Hidden Data'!$D:$D,0)&amp;":T"&amp;MATCH($D18&amp;"-sizecurve",'Hidden Data'!$D:$D,0)),2,FALSE),0)," ")</f>
        <v xml:space="preserve"> </v>
      </c>
      <c r="W18" s="405">
        <f ca="1">IFERROR(ROUND($L18*HLOOKUP(W$15,INDIRECT("'Hidden Data'!"&amp;HLOOKUP(COLUMN(SKUS_TO_SIZES),NUMBER_TO_LETTER,2,FALSE)&amp;MATCH($D18,'Hidden Data'!$D:$D,0)&amp;":T"&amp;MATCH($D18&amp;"-sizecurve",'Hidden Data'!$D:$D,0)),2,FALSE),0)," ")</f>
        <v>0</v>
      </c>
      <c r="X18" s="405" t="str">
        <f ca="1">IFERROR(ROUND($L18*HLOOKUP(X$15,INDIRECT("'Hidden Data'!"&amp;HLOOKUP(COLUMN(SKUS_TO_SIZES),NUMBER_TO_LETTER,2,FALSE)&amp;MATCH($D18,'Hidden Data'!$D:$D,0)&amp;":T"&amp;MATCH($D18&amp;"-sizecurve",'Hidden Data'!$D:$D,0)),2,FALSE),0)," ")</f>
        <v xml:space="preserve"> </v>
      </c>
      <c r="Y18" s="405" t="str">
        <f ca="1">IFERROR(ROUND($L18*HLOOKUP(Y$15,INDIRECT("'Hidden Data'!"&amp;HLOOKUP(COLUMN(SKUS_TO_SIZES),NUMBER_TO_LETTER,2,FALSE)&amp;MATCH($D18,'Hidden Data'!$D:$D,0)&amp;":T"&amp;MATCH($D18&amp;"-sizecurve",'Hidden Data'!$D:$D,0)),2,FALSE),0)," ")</f>
        <v xml:space="preserve"> </v>
      </c>
      <c r="Z18" s="405">
        <f ca="1">IFERROR(ROUND($L18*HLOOKUP(Z$15,INDIRECT("'Hidden Data'!"&amp;HLOOKUP(COLUMN(SKUS_TO_SIZES),NUMBER_TO_LETTER,2,FALSE)&amp;MATCH($D18,'Hidden Data'!$D:$D,0)&amp;":T"&amp;MATCH($D18&amp;"-sizecurve",'Hidden Data'!$D:$D,0)),2,FALSE),0)," ")</f>
        <v>0</v>
      </c>
      <c r="AA18" s="405" t="str">
        <f ca="1">IFERROR(ROUND($L18*HLOOKUP(AA$15,INDIRECT("'Hidden Data'!"&amp;HLOOKUP(COLUMN(SKUS_TO_SIZES),NUMBER_TO_LETTER,2,FALSE)&amp;MATCH($D18,'Hidden Data'!$D:$D,0)&amp;":T"&amp;MATCH($D18&amp;"-sizecurve",'Hidden Data'!$D:$D,0)),2,FALSE),0)," ")</f>
        <v xml:space="preserve"> </v>
      </c>
      <c r="AB18" s="405">
        <f ca="1">IFERROR(ROUND($L18*HLOOKUP(AB$15,INDIRECT("'Hidden Data'!"&amp;HLOOKUP(COLUMN(SKUS_TO_SIZES),NUMBER_TO_LETTER,2,FALSE)&amp;MATCH($D18,'Hidden Data'!$D:$D,0)&amp;":T"&amp;MATCH($D18&amp;"-sizecurve",'Hidden Data'!$D:$D,0)),2,FALSE),0)," ")</f>
        <v>0</v>
      </c>
      <c r="AC18" s="405" t="str">
        <f ca="1">IFERROR(ROUND($L18*HLOOKUP(AC$15,INDIRECT("'Hidden Data'!"&amp;HLOOKUP(COLUMN(SKUS_TO_SIZES),NUMBER_TO_LETTER,2,FALSE)&amp;MATCH($D18,'Hidden Data'!$D:$D,0)&amp;":T"&amp;MATCH($D18&amp;"-sizecurve",'Hidden Data'!$D:$D,0)),2,FALSE),0)," ")</f>
        <v xml:space="preserve"> </v>
      </c>
      <c r="AD18" s="449">
        <f ca="1">IFERROR(ROUND($L18*HLOOKUP(AD$15,INDIRECT("'Hidden Data'!"&amp;HLOOKUP(COLUMN(SKUS_TO_SIZES),NUMBER_TO_LETTER,2,FALSE)&amp;MATCH($D18,'Hidden Data'!$D:$D,0)&amp;":T"&amp;MATCH($D18&amp;"-sizecurve",'Hidden Data'!$D:$D,0)),2,FALSE),0)," ")</f>
        <v>0</v>
      </c>
      <c r="AE18" s="179"/>
      <c r="AF18" s="10"/>
      <c r="AG18" s="1">
        <f t="shared" ref="AG18:AG23" si="42">AG17+1</f>
        <v>4</v>
      </c>
      <c r="AH18" s="288" t="str">
        <f t="shared" si="12"/>
        <v>RROFZ09</v>
      </c>
      <c r="AI18" s="127">
        <f t="shared" si="41"/>
        <v>132</v>
      </c>
      <c r="AJ18" s="128" t="str">
        <f t="shared" ca="1" si="13"/>
        <v/>
      </c>
      <c r="AK18" s="127">
        <f t="shared" si="14"/>
        <v>140</v>
      </c>
      <c r="AL18" s="128" t="str">
        <f t="shared" ca="1" si="15"/>
        <v/>
      </c>
      <c r="AM18" s="127">
        <f t="shared" si="16"/>
        <v>148</v>
      </c>
      <c r="AN18" s="128" t="str">
        <f t="shared" ca="1" si="17"/>
        <v/>
      </c>
      <c r="AO18" s="127">
        <f t="shared" si="18"/>
        <v>156</v>
      </c>
      <c r="AP18" s="128" t="str">
        <f t="shared" ca="1" si="19"/>
        <v/>
      </c>
      <c r="AQ18" s="127">
        <f t="shared" si="20"/>
        <v>164</v>
      </c>
      <c r="AR18" s="128" t="str">
        <f t="shared" ca="1" si="21"/>
        <v/>
      </c>
      <c r="AS18" s="127">
        <f t="shared" si="22"/>
        <v>172</v>
      </c>
      <c r="AT18" s="128" t="str">
        <f t="shared" ca="1" si="23"/>
        <v/>
      </c>
      <c r="AU18" s="127">
        <f t="shared" si="24"/>
        <v>180</v>
      </c>
      <c r="AV18" s="128" t="str">
        <f t="shared" ca="1" si="25"/>
        <v/>
      </c>
      <c r="AW18" s="127" t="str">
        <f t="shared" si="26"/>
        <v/>
      </c>
      <c r="AX18" s="128" t="str">
        <f t="shared" si="27"/>
        <v/>
      </c>
      <c r="AY18" s="127" t="str">
        <f t="shared" si="28"/>
        <v/>
      </c>
      <c r="AZ18" s="128" t="str">
        <f t="shared" si="29"/>
        <v/>
      </c>
      <c r="BA18" s="127" t="str">
        <f t="shared" si="30"/>
        <v/>
      </c>
      <c r="BB18" s="128" t="str">
        <f t="shared" si="31"/>
        <v/>
      </c>
      <c r="BC18" s="127" t="str">
        <f t="shared" si="32"/>
        <v/>
      </c>
      <c r="BD18" s="128" t="str">
        <f t="shared" si="33"/>
        <v/>
      </c>
      <c r="BE18" s="127" t="str">
        <f t="shared" si="34"/>
        <v/>
      </c>
      <c r="BF18" s="128" t="str">
        <f t="shared" si="35"/>
        <v/>
      </c>
    </row>
    <row r="19" spans="1:58" s="8" customFormat="1" ht="12.75" customHeight="1">
      <c r="B19" s="9">
        <f>IF(SKI_CALCULATOR_TYPE=0,IF(ISBLANK(D19),MAX(B$15:B18),IF(AND(ISNUMBER(L19),L19&gt;0)=TRUE,MAX(B$15:B18)+1,MAX(B$15:B18))),0)</f>
        <v>0</v>
      </c>
      <c r="C19" s="12"/>
      <c r="D19" s="304" t="s">
        <v>263</v>
      </c>
      <c r="E19" s="525" t="str">
        <f t="shared" ref="E19" si="43">VLOOKUP(D19,SKUS_TO_SIZES,2,FALSE)</f>
        <v>REACT RT XPRESS XPRESS 10 GW B83</v>
      </c>
      <c r="F19" s="526">
        <f t="shared" ref="F19" si="44">VLOOKUP(D19,SKUS_TO_SIZES,3,FALSE)</f>
        <v>237</v>
      </c>
      <c r="G19" s="526">
        <f t="shared" ref="G19" si="45">SUM(L19)*F19</f>
        <v>0</v>
      </c>
      <c r="H19" s="526">
        <f t="shared" ref="H19" si="46">IF(SKI_DISCOUNT_TYPE=1,IF($J$7=0,F19,F19*(SUM(1-$J$7))),IF(I19=0,F19,F19*(SUM(1-I19))))</f>
        <v>237</v>
      </c>
      <c r="I19" s="527">
        <v>0</v>
      </c>
      <c r="J19" s="528">
        <f t="shared" si="39"/>
        <v>0</v>
      </c>
      <c r="K19" s="529">
        <f t="shared" ca="1" si="40"/>
        <v>0</v>
      </c>
      <c r="L19" s="530">
        <v>0</v>
      </c>
      <c r="M19" s="404" t="str">
        <f ca="1">IFERROR(ROUND($L19*HLOOKUP(M$15,INDIRECT("'Hidden Data'!"&amp;HLOOKUP(COLUMN(SKUS_TO_SIZES),NUMBER_TO_LETTER,2,FALSE)&amp;MATCH($D19,'Hidden Data'!$D:$D,0)&amp;":T"&amp;MATCH($D19&amp;"-sizecurve",'Hidden Data'!$D:$D,0)),2,FALSE),0)," ")</f>
        <v xml:space="preserve"> </v>
      </c>
      <c r="N19" s="405" t="str">
        <f ca="1">IFERROR(ROUND($L19*HLOOKUP(N$15,INDIRECT("'Hidden Data'!"&amp;HLOOKUP(COLUMN(SKUS_TO_SIZES),NUMBER_TO_LETTER,2,FALSE)&amp;MATCH($D19,'Hidden Data'!$D:$D,0)&amp;":T"&amp;MATCH($D19&amp;"-sizecurve",'Hidden Data'!$D:$D,0)),2,FALSE),0)," ")</f>
        <v xml:space="preserve"> </v>
      </c>
      <c r="O19" s="405">
        <f ca="1">IFERROR(ROUND($L19*HLOOKUP(O$15,INDIRECT("'Hidden Data'!"&amp;HLOOKUP(COLUMN(SKUS_TO_SIZES),NUMBER_TO_LETTER,2,FALSE)&amp;MATCH($D19,'Hidden Data'!$D:$D,0)&amp;":T"&amp;MATCH($D19&amp;"-sizecurve",'Hidden Data'!$D:$D,0)),2,FALSE),0)," ")</f>
        <v>0</v>
      </c>
      <c r="P19" s="405" t="str">
        <f ca="1">IFERROR(ROUND($L19*HLOOKUP(P$15,INDIRECT("'Hidden Data'!"&amp;HLOOKUP(COLUMN(SKUS_TO_SIZES),NUMBER_TO_LETTER,2,FALSE)&amp;MATCH($D19,'Hidden Data'!$D:$D,0)&amp;":T"&amp;MATCH($D19&amp;"-sizecurve",'Hidden Data'!$D:$D,0)),2,FALSE),0)," ")</f>
        <v xml:space="preserve"> </v>
      </c>
      <c r="Q19" s="405" t="str">
        <f ca="1">IFERROR(ROUND($L19*HLOOKUP(Q$15,INDIRECT("'Hidden Data'!"&amp;HLOOKUP(COLUMN(SKUS_TO_SIZES),NUMBER_TO_LETTER,2,FALSE)&amp;MATCH($D19,'Hidden Data'!$D:$D,0)&amp;":T"&amp;MATCH($D19&amp;"-sizecurve",'Hidden Data'!$D:$D,0)),2,FALSE),0)," ")</f>
        <v xml:space="preserve"> </v>
      </c>
      <c r="R19" s="405">
        <f ca="1">IFERROR(ROUND($L19*HLOOKUP(R$15,INDIRECT("'Hidden Data'!"&amp;HLOOKUP(COLUMN(SKUS_TO_SIZES),NUMBER_TO_LETTER,2,FALSE)&amp;MATCH($D19,'Hidden Data'!$D:$D,0)&amp;":T"&amp;MATCH($D19&amp;"-sizecurve",'Hidden Data'!$D:$D,0)),2,FALSE),0)," ")</f>
        <v>0</v>
      </c>
      <c r="S19" s="405" t="str">
        <f ca="1">IFERROR(ROUND($L19*HLOOKUP(S$15,INDIRECT("'Hidden Data'!"&amp;HLOOKUP(COLUMN(SKUS_TO_SIZES),NUMBER_TO_LETTER,2,FALSE)&amp;MATCH($D19,'Hidden Data'!$D:$D,0)&amp;":T"&amp;MATCH($D19&amp;"-sizecurve",'Hidden Data'!$D:$D,0)),2,FALSE),0)," ")</f>
        <v xml:space="preserve"> </v>
      </c>
      <c r="T19" s="405" t="str">
        <f ca="1">IFERROR(ROUND($L19*HLOOKUP(T$15,INDIRECT("'Hidden Data'!"&amp;HLOOKUP(COLUMN(SKUS_TO_SIZES),NUMBER_TO_LETTER,2,FALSE)&amp;MATCH($D19,'Hidden Data'!$D:$D,0)&amp;":T"&amp;MATCH($D19&amp;"-sizecurve",'Hidden Data'!$D:$D,0)),2,FALSE),0)," ")</f>
        <v xml:space="preserve"> </v>
      </c>
      <c r="U19" s="405">
        <f ca="1">IFERROR(ROUND($L19*HLOOKUP(U$15,INDIRECT("'Hidden Data'!"&amp;HLOOKUP(COLUMN(SKUS_TO_SIZES),NUMBER_TO_LETTER,2,FALSE)&amp;MATCH($D19,'Hidden Data'!$D:$D,0)&amp;":T"&amp;MATCH($D19&amp;"-sizecurve",'Hidden Data'!$D:$D,0)),2,FALSE),0)," ")</f>
        <v>0</v>
      </c>
      <c r="V19" s="405" t="str">
        <f ca="1">IFERROR(ROUND($L19*HLOOKUP(V$15,INDIRECT("'Hidden Data'!"&amp;HLOOKUP(COLUMN(SKUS_TO_SIZES),NUMBER_TO_LETTER,2,FALSE)&amp;MATCH($D19,'Hidden Data'!$D:$D,0)&amp;":T"&amp;MATCH($D19&amp;"-sizecurve",'Hidden Data'!$D:$D,0)),2,FALSE),0)," ")</f>
        <v xml:space="preserve"> </v>
      </c>
      <c r="W19" s="405" t="str">
        <f ca="1">IFERROR(ROUND($L19*HLOOKUP(W$15,INDIRECT("'Hidden Data'!"&amp;HLOOKUP(COLUMN(SKUS_TO_SIZES),NUMBER_TO_LETTER,2,FALSE)&amp;MATCH($D19,'Hidden Data'!$D:$D,0)&amp;":T"&amp;MATCH($D19&amp;"-sizecurve",'Hidden Data'!$D:$D,0)),2,FALSE),0)," ")</f>
        <v xml:space="preserve"> </v>
      </c>
      <c r="X19" s="405">
        <f ca="1">IFERROR(ROUND($L19*HLOOKUP(X$15,INDIRECT("'Hidden Data'!"&amp;HLOOKUP(COLUMN(SKUS_TO_SIZES),NUMBER_TO_LETTER,2,FALSE)&amp;MATCH($D19,'Hidden Data'!$D:$D,0)&amp;":T"&amp;MATCH($D19&amp;"-sizecurve",'Hidden Data'!$D:$D,0)),2,FALSE),0)," ")</f>
        <v>0</v>
      </c>
      <c r="Y19" s="405" t="str">
        <f ca="1">IFERROR(ROUND($L19*HLOOKUP(Y$15,INDIRECT("'Hidden Data'!"&amp;HLOOKUP(COLUMN(SKUS_TO_SIZES),NUMBER_TO_LETTER,2,FALSE)&amp;MATCH($D19,'Hidden Data'!$D:$D,0)&amp;":T"&amp;MATCH($D19&amp;"-sizecurve",'Hidden Data'!$D:$D,0)),2,FALSE),0)," ")</f>
        <v xml:space="preserve"> </v>
      </c>
      <c r="Z19" s="405" t="str">
        <f ca="1">IFERROR(ROUND($L19*HLOOKUP(Z$15,INDIRECT("'Hidden Data'!"&amp;HLOOKUP(COLUMN(SKUS_TO_SIZES),NUMBER_TO_LETTER,2,FALSE)&amp;MATCH($D19,'Hidden Data'!$D:$D,0)&amp;":T"&amp;MATCH($D19&amp;"-sizecurve",'Hidden Data'!$D:$D,0)),2,FALSE),0)," ")</f>
        <v xml:space="preserve"> </v>
      </c>
      <c r="AA19" s="405">
        <f ca="1">IFERROR(ROUND($L19*HLOOKUP(AA$15,INDIRECT("'Hidden Data'!"&amp;HLOOKUP(COLUMN(SKUS_TO_SIZES),NUMBER_TO_LETTER,2,FALSE)&amp;MATCH($D19,'Hidden Data'!$D:$D,0)&amp;":T"&amp;MATCH($D19&amp;"-sizecurve",'Hidden Data'!$D:$D,0)),2,FALSE),0)," ")</f>
        <v>0</v>
      </c>
      <c r="AB19" s="405" t="str">
        <f ca="1">IFERROR(ROUND($L19*HLOOKUP(AB$15,INDIRECT("'Hidden Data'!"&amp;HLOOKUP(COLUMN(SKUS_TO_SIZES),NUMBER_TO_LETTER,2,FALSE)&amp;MATCH($D19,'Hidden Data'!$D:$D,0)&amp;":T"&amp;MATCH($D19&amp;"-sizecurve",'Hidden Data'!$D:$D,0)),2,FALSE),0)," ")</f>
        <v xml:space="preserve"> </v>
      </c>
      <c r="AC19" s="405">
        <f ca="1">IFERROR(ROUND($L19*HLOOKUP(AC$15,INDIRECT("'Hidden Data'!"&amp;HLOOKUP(COLUMN(SKUS_TO_SIZES),NUMBER_TO_LETTER,2,FALSE)&amp;MATCH($D19,'Hidden Data'!$D:$D,0)&amp;":T"&amp;MATCH($D19&amp;"-sizecurve",'Hidden Data'!$D:$D,0)),2,FALSE),0)," ")</f>
        <v>0</v>
      </c>
      <c r="AD19" s="449" t="str">
        <f ca="1">IFERROR(ROUND($L19*HLOOKUP(AD$15,INDIRECT("'Hidden Data'!"&amp;HLOOKUP(COLUMN(SKUS_TO_SIZES),NUMBER_TO_LETTER,2,FALSE)&amp;MATCH($D19,'Hidden Data'!$D:$D,0)&amp;":T"&amp;MATCH($D19&amp;"-sizecurve",'Hidden Data'!$D:$D,0)),2,FALSE),0)," ")</f>
        <v xml:space="preserve"> </v>
      </c>
      <c r="AE19" s="179"/>
      <c r="AF19" s="10"/>
      <c r="AG19" s="1">
        <f t="shared" si="42"/>
        <v>5</v>
      </c>
      <c r="AH19" s="288" t="str">
        <f t="shared" si="12"/>
        <v>RROJP01</v>
      </c>
      <c r="AI19" s="127">
        <f t="shared" si="41"/>
        <v>137</v>
      </c>
      <c r="AJ19" s="128" t="str">
        <f t="shared" ca="1" si="13"/>
        <v/>
      </c>
      <c r="AK19" s="127">
        <f t="shared" si="14"/>
        <v>145</v>
      </c>
      <c r="AL19" s="128" t="str">
        <f t="shared" ca="1" si="15"/>
        <v/>
      </c>
      <c r="AM19" s="127">
        <f t="shared" si="16"/>
        <v>153</v>
      </c>
      <c r="AN19" s="128" t="str">
        <f t="shared" ca="1" si="17"/>
        <v/>
      </c>
      <c r="AO19" s="127">
        <f t="shared" si="18"/>
        <v>161</v>
      </c>
      <c r="AP19" s="128" t="str">
        <f t="shared" ca="1" si="19"/>
        <v/>
      </c>
      <c r="AQ19" s="127">
        <f t="shared" si="20"/>
        <v>170</v>
      </c>
      <c r="AR19" s="128" t="str">
        <f t="shared" ca="1" si="21"/>
        <v/>
      </c>
      <c r="AS19" s="127">
        <f t="shared" si="22"/>
        <v>179</v>
      </c>
      <c r="AT19" s="128" t="str">
        <f t="shared" ca="1" si="23"/>
        <v/>
      </c>
      <c r="AU19" s="127" t="str">
        <f t="shared" si="24"/>
        <v/>
      </c>
      <c r="AV19" s="128" t="str">
        <f t="shared" si="25"/>
        <v/>
      </c>
      <c r="AW19" s="127" t="str">
        <f t="shared" si="26"/>
        <v/>
      </c>
      <c r="AX19" s="128" t="str">
        <f t="shared" si="27"/>
        <v/>
      </c>
      <c r="AY19" s="127" t="str">
        <f t="shared" si="28"/>
        <v/>
      </c>
      <c r="AZ19" s="128" t="str">
        <f t="shared" si="29"/>
        <v/>
      </c>
      <c r="BA19" s="127" t="str">
        <f t="shared" si="30"/>
        <v/>
      </c>
      <c r="BB19" s="128" t="str">
        <f t="shared" si="31"/>
        <v/>
      </c>
      <c r="BC19" s="127" t="str">
        <f t="shared" si="32"/>
        <v/>
      </c>
      <c r="BD19" s="128" t="str">
        <f t="shared" si="33"/>
        <v/>
      </c>
      <c r="BE19" s="127" t="str">
        <f t="shared" si="34"/>
        <v/>
      </c>
      <c r="BF19" s="128" t="str">
        <f t="shared" si="35"/>
        <v/>
      </c>
    </row>
    <row r="20" spans="1:58" s="8" customFormat="1" ht="12.75" customHeight="1">
      <c r="B20" s="9">
        <f>IF(SKI_CALCULATOR_TYPE=0,IF(ISBLANK(D20),MAX(B$15:B19),IF(AND(ISNUMBER(L20),L20&gt;0)=TRUE,MAX(B$15:B19)+1,MAX(B$15:B19))),0)</f>
        <v>0</v>
      </c>
      <c r="C20" s="12"/>
      <c r="D20" s="304" t="s">
        <v>307</v>
      </c>
      <c r="E20" s="525" t="str">
        <f t="shared" si="36"/>
        <v>FORZA 20° FG XPRESS XPRESS 10 GW B83 BLACK</v>
      </c>
      <c r="F20" s="526">
        <f t="shared" si="37"/>
        <v>288</v>
      </c>
      <c r="G20" s="526">
        <f t="shared" si="38"/>
        <v>0</v>
      </c>
      <c r="H20" s="526">
        <f t="shared" si="11"/>
        <v>288</v>
      </c>
      <c r="I20" s="527">
        <v>0</v>
      </c>
      <c r="J20" s="528">
        <f t="shared" si="39"/>
        <v>0</v>
      </c>
      <c r="K20" s="529">
        <f t="shared" ca="1" si="40"/>
        <v>0</v>
      </c>
      <c r="L20" s="530">
        <v>0</v>
      </c>
      <c r="M20" s="404" t="str">
        <f ca="1">IFERROR(ROUND($L20*HLOOKUP(M$15,INDIRECT("'Hidden Data'!"&amp;HLOOKUP(COLUMN(SKUS_TO_SIZES),NUMBER_TO_LETTER,2,FALSE)&amp;MATCH($D20,'Hidden Data'!$D:$D,0)&amp;":T"&amp;MATCH($D20&amp;"-sizecurve",'Hidden Data'!$D:$D,0)),2,FALSE),0)," ")</f>
        <v xml:space="preserve"> </v>
      </c>
      <c r="N20" s="405" t="str">
        <f ca="1">IFERROR(ROUND($L20*HLOOKUP(N$15,INDIRECT("'Hidden Data'!"&amp;HLOOKUP(COLUMN(SKUS_TO_SIZES),NUMBER_TO_LETTER,2,FALSE)&amp;MATCH($D20,'Hidden Data'!$D:$D,0)&amp;":T"&amp;MATCH($D20&amp;"-sizecurve",'Hidden Data'!$D:$D,0)),2,FALSE),0)," ")</f>
        <v xml:space="preserve"> </v>
      </c>
      <c r="O20" s="405" t="str">
        <f ca="1">IFERROR(ROUND($L20*HLOOKUP(O$15,INDIRECT("'Hidden Data'!"&amp;HLOOKUP(COLUMN(SKUS_TO_SIZES),NUMBER_TO_LETTER,2,FALSE)&amp;MATCH($D20,'Hidden Data'!$D:$D,0)&amp;":T"&amp;MATCH($D20&amp;"-sizecurve",'Hidden Data'!$D:$D,0)),2,FALSE),0)," ")</f>
        <v xml:space="preserve"> </v>
      </c>
      <c r="P20" s="405" t="str">
        <f ca="1">IFERROR(ROUND($L20*HLOOKUP(P$15,INDIRECT("'Hidden Data'!"&amp;HLOOKUP(COLUMN(SKUS_TO_SIZES),NUMBER_TO_LETTER,2,FALSE)&amp;MATCH($D20,'Hidden Data'!$D:$D,0)&amp;":T"&amp;MATCH($D20&amp;"-sizecurve",'Hidden Data'!$D:$D,0)),2,FALSE),0)," ")</f>
        <v xml:space="preserve"> </v>
      </c>
      <c r="Q20" s="405" t="str">
        <f ca="1">IFERROR(ROUND($L20*HLOOKUP(Q$15,INDIRECT("'Hidden Data'!"&amp;HLOOKUP(COLUMN(SKUS_TO_SIZES),NUMBER_TO_LETTER,2,FALSE)&amp;MATCH($D20,'Hidden Data'!$D:$D,0)&amp;":T"&amp;MATCH($D20&amp;"-sizecurve",'Hidden Data'!$D:$D,0)),2,FALSE),0)," ")</f>
        <v xml:space="preserve"> </v>
      </c>
      <c r="R20" s="405" t="str">
        <f ca="1">IFERROR(ROUND($L20*HLOOKUP(R$15,INDIRECT("'Hidden Data'!"&amp;HLOOKUP(COLUMN(SKUS_TO_SIZES),NUMBER_TO_LETTER,2,FALSE)&amp;MATCH($D20,'Hidden Data'!$D:$D,0)&amp;":T"&amp;MATCH($D20&amp;"-sizecurve",'Hidden Data'!$D:$D,0)),2,FALSE),0)," ")</f>
        <v xml:space="preserve"> </v>
      </c>
      <c r="S20" s="405" t="str">
        <f ca="1">IFERROR(ROUND($L20*HLOOKUP(S$15,INDIRECT("'Hidden Data'!"&amp;HLOOKUP(COLUMN(SKUS_TO_SIZES),NUMBER_TO_LETTER,2,FALSE)&amp;MATCH($D20,'Hidden Data'!$D:$D,0)&amp;":T"&amp;MATCH($D20&amp;"-sizecurve",'Hidden Data'!$D:$D,0)),2,FALSE),0)," ")</f>
        <v xml:space="preserve"> </v>
      </c>
      <c r="T20" s="405">
        <f ca="1">IFERROR(ROUND($L20*HLOOKUP(T$15,INDIRECT("'Hidden Data'!"&amp;HLOOKUP(COLUMN(SKUS_TO_SIZES),NUMBER_TO_LETTER,2,FALSE)&amp;MATCH($D20,'Hidden Data'!$D:$D,0)&amp;":T"&amp;MATCH($D20&amp;"-sizecurve",'Hidden Data'!$D:$D,0)),2,FALSE),0)," ")</f>
        <v>0</v>
      </c>
      <c r="U20" s="405" t="str">
        <f ca="1">IFERROR(ROUND($L20*HLOOKUP(U$15,INDIRECT("'Hidden Data'!"&amp;HLOOKUP(COLUMN(SKUS_TO_SIZES),NUMBER_TO_LETTER,2,FALSE)&amp;MATCH($D20,'Hidden Data'!$D:$D,0)&amp;":T"&amp;MATCH($D20&amp;"-sizecurve",'Hidden Data'!$D:$D,0)),2,FALSE),0)," ")</f>
        <v xml:space="preserve"> </v>
      </c>
      <c r="V20" s="405" t="str">
        <f ca="1">IFERROR(ROUND($L20*HLOOKUP(V$15,INDIRECT("'Hidden Data'!"&amp;HLOOKUP(COLUMN(SKUS_TO_SIZES),NUMBER_TO_LETTER,2,FALSE)&amp;MATCH($D20,'Hidden Data'!$D:$D,0)&amp;":T"&amp;MATCH($D20&amp;"-sizecurve",'Hidden Data'!$D:$D,0)),2,FALSE),0)," ")</f>
        <v xml:space="preserve"> </v>
      </c>
      <c r="W20" s="405">
        <f ca="1">IFERROR(ROUND($L20*HLOOKUP(W$15,INDIRECT("'Hidden Data'!"&amp;HLOOKUP(COLUMN(SKUS_TO_SIZES),NUMBER_TO_LETTER,2,FALSE)&amp;MATCH($D20,'Hidden Data'!$D:$D,0)&amp;":T"&amp;MATCH($D20&amp;"-sizecurve",'Hidden Data'!$D:$D,0)),2,FALSE),0)," ")</f>
        <v>0</v>
      </c>
      <c r="X20" s="405" t="str">
        <f ca="1">IFERROR(ROUND($L20*HLOOKUP(X$15,INDIRECT("'Hidden Data'!"&amp;HLOOKUP(COLUMN(SKUS_TO_SIZES),NUMBER_TO_LETTER,2,FALSE)&amp;MATCH($D20,'Hidden Data'!$D:$D,0)&amp;":T"&amp;MATCH($D20&amp;"-sizecurve",'Hidden Data'!$D:$D,0)),2,FALSE),0)," ")</f>
        <v xml:space="preserve"> </v>
      </c>
      <c r="Y20" s="405" t="str">
        <f ca="1">IFERROR(ROUND($L20*HLOOKUP(Y$15,INDIRECT("'Hidden Data'!"&amp;HLOOKUP(COLUMN(SKUS_TO_SIZES),NUMBER_TO_LETTER,2,FALSE)&amp;MATCH($D20,'Hidden Data'!$D:$D,0)&amp;":T"&amp;MATCH($D20&amp;"-sizecurve",'Hidden Data'!$D:$D,0)),2,FALSE),0)," ")</f>
        <v xml:space="preserve"> </v>
      </c>
      <c r="Z20" s="405">
        <f ca="1">IFERROR(ROUND($L20*HLOOKUP(Z$15,INDIRECT("'Hidden Data'!"&amp;HLOOKUP(COLUMN(SKUS_TO_SIZES),NUMBER_TO_LETTER,2,FALSE)&amp;MATCH($D20,'Hidden Data'!$D:$D,0)&amp;":T"&amp;MATCH($D20&amp;"-sizecurve",'Hidden Data'!$D:$D,0)),2,FALSE),0)," ")</f>
        <v>0</v>
      </c>
      <c r="AA20" s="405" t="str">
        <f ca="1">IFERROR(ROUND($L20*HLOOKUP(AA$15,INDIRECT("'Hidden Data'!"&amp;HLOOKUP(COLUMN(SKUS_TO_SIZES),NUMBER_TO_LETTER,2,FALSE)&amp;MATCH($D20,'Hidden Data'!$D:$D,0)&amp;":T"&amp;MATCH($D20&amp;"-sizecurve",'Hidden Data'!$D:$D,0)),2,FALSE),0)," ")</f>
        <v xml:space="preserve"> </v>
      </c>
      <c r="AB20" s="405" t="str">
        <f ca="1">IFERROR(ROUND($L20*HLOOKUP(AB$15,INDIRECT("'Hidden Data'!"&amp;HLOOKUP(COLUMN(SKUS_TO_SIZES),NUMBER_TO_LETTER,2,FALSE)&amp;MATCH($D20,'Hidden Data'!$D:$D,0)&amp;":T"&amp;MATCH($D20&amp;"-sizecurve",'Hidden Data'!$D:$D,0)),2,FALSE),0)," ")</f>
        <v xml:space="preserve"> </v>
      </c>
      <c r="AC20" s="405">
        <f ca="1">IFERROR(ROUND($L20*HLOOKUP(AC$15,INDIRECT("'Hidden Data'!"&amp;HLOOKUP(COLUMN(SKUS_TO_SIZES),NUMBER_TO_LETTER,2,FALSE)&amp;MATCH($D20,'Hidden Data'!$D:$D,0)&amp;":T"&amp;MATCH($D20&amp;"-sizecurve",'Hidden Data'!$D:$D,0)),2,FALSE),0)," ")</f>
        <v>0</v>
      </c>
      <c r="AD20" s="449" t="str">
        <f ca="1">IFERROR(ROUND($L20*HLOOKUP(AD$15,INDIRECT("'Hidden Data'!"&amp;HLOOKUP(COLUMN(SKUS_TO_SIZES),NUMBER_TO_LETTER,2,FALSE)&amp;MATCH($D20,'Hidden Data'!$D:$D,0)&amp;":T"&amp;MATCH($D20&amp;"-sizecurve",'Hidden Data'!$D:$D,0)),2,FALSE),0)," ")</f>
        <v xml:space="preserve"> </v>
      </c>
      <c r="AE20" s="179"/>
      <c r="AF20" s="10"/>
      <c r="AG20" s="1">
        <f t="shared" si="42"/>
        <v>6</v>
      </c>
      <c r="AH20" s="288" t="str">
        <f t="shared" si="12"/>
        <v>RROPV01</v>
      </c>
      <c r="AI20" s="127">
        <f t="shared" si="41"/>
        <v>148</v>
      </c>
      <c r="AJ20" s="128" t="str">
        <f t="shared" ca="1" si="13"/>
        <v/>
      </c>
      <c r="AK20" s="127">
        <f t="shared" si="14"/>
        <v>156</v>
      </c>
      <c r="AL20" s="128" t="str">
        <f t="shared" ca="1" si="15"/>
        <v/>
      </c>
      <c r="AM20" s="127">
        <f t="shared" si="16"/>
        <v>164</v>
      </c>
      <c r="AN20" s="128" t="str">
        <f t="shared" ca="1" si="17"/>
        <v/>
      </c>
      <c r="AO20" s="127">
        <f t="shared" si="18"/>
        <v>171</v>
      </c>
      <c r="AP20" s="128" t="str">
        <f t="shared" si="19"/>
        <v/>
      </c>
      <c r="AQ20" s="127">
        <f t="shared" si="20"/>
        <v>179</v>
      </c>
      <c r="AR20" s="128" t="str">
        <f t="shared" ca="1" si="21"/>
        <v/>
      </c>
      <c r="AS20" s="127" t="str">
        <f t="shared" si="22"/>
        <v/>
      </c>
      <c r="AT20" s="128" t="str">
        <f t="shared" si="23"/>
        <v/>
      </c>
      <c r="AU20" s="127" t="str">
        <f t="shared" si="24"/>
        <v/>
      </c>
      <c r="AV20" s="128" t="str">
        <f t="shared" si="25"/>
        <v/>
      </c>
      <c r="AW20" s="127" t="str">
        <f t="shared" si="26"/>
        <v/>
      </c>
      <c r="AX20" s="128" t="str">
        <f t="shared" si="27"/>
        <v/>
      </c>
      <c r="AY20" s="127" t="str">
        <f t="shared" si="28"/>
        <v/>
      </c>
      <c r="AZ20" s="128" t="str">
        <f t="shared" si="29"/>
        <v/>
      </c>
      <c r="BA20" s="127" t="str">
        <f t="shared" si="30"/>
        <v/>
      </c>
      <c r="BB20" s="128" t="str">
        <f t="shared" si="31"/>
        <v/>
      </c>
      <c r="BC20" s="127" t="str">
        <f t="shared" si="32"/>
        <v/>
      </c>
      <c r="BD20" s="128" t="str">
        <f t="shared" si="33"/>
        <v/>
      </c>
      <c r="BE20" s="127" t="str">
        <f t="shared" si="34"/>
        <v/>
      </c>
      <c r="BF20" s="128" t="str">
        <f t="shared" si="35"/>
        <v/>
      </c>
    </row>
    <row r="21" spans="1:58" s="8" customFormat="1" ht="12.75" customHeight="1">
      <c r="B21" s="9">
        <f>IF(SKI_CALCULATOR_TYPE=0,IF(ISBLANK(D21),MAX(B$15:B20),IF(AND(ISNUMBER(L21),L21&gt;0)=TRUE,MAX(B$15:B20)+1,MAX(B$15:B20))),0)</f>
        <v>0</v>
      </c>
      <c r="C21" s="12"/>
      <c r="D21" s="304" t="s">
        <v>309</v>
      </c>
      <c r="E21" s="525" t="str">
        <f t="shared" ref="E21:E22" si="47">VLOOKUP(D21,SKUS_TO_SIZES,2,FALSE)</f>
        <v>NOVA 2 XPRESS XPRESS W 10 GW B83 GRANIT WHITE</v>
      </c>
      <c r="F21" s="526">
        <f t="shared" si="10"/>
        <v>288</v>
      </c>
      <c r="G21" s="526">
        <f t="shared" si="38"/>
        <v>0</v>
      </c>
      <c r="H21" s="526">
        <f t="shared" si="11"/>
        <v>288</v>
      </c>
      <c r="I21" s="527">
        <v>0</v>
      </c>
      <c r="J21" s="528">
        <f t="shared" si="39"/>
        <v>0</v>
      </c>
      <c r="K21" s="529">
        <f t="shared" ca="1" si="40"/>
        <v>0</v>
      </c>
      <c r="L21" s="530">
        <v>0</v>
      </c>
      <c r="M21" s="404" t="str">
        <f ca="1">IFERROR(ROUND($L21*HLOOKUP(M$15,INDIRECT("'Hidden Data'!"&amp;HLOOKUP(COLUMN(SKUS_TO_SIZES),NUMBER_TO_LETTER,2,FALSE)&amp;MATCH($D21,'Hidden Data'!$D:$D,0)&amp;":T"&amp;MATCH($D21&amp;"-sizecurve",'Hidden Data'!$D:$D,0)),2,FALSE),0)," ")</f>
        <v xml:space="preserve"> </v>
      </c>
      <c r="N21" s="405" t="str">
        <f ca="1">IFERROR(ROUND($L21*HLOOKUP(N$15,INDIRECT("'Hidden Data'!"&amp;HLOOKUP(COLUMN(SKUS_TO_SIZES),NUMBER_TO_LETTER,2,FALSE)&amp;MATCH($D21,'Hidden Data'!$D:$D,0)&amp;":T"&amp;MATCH($D21&amp;"-sizecurve",'Hidden Data'!$D:$D,0)),2,FALSE),0)," ")</f>
        <v xml:space="preserve"> </v>
      </c>
      <c r="O21" s="405" t="str">
        <f ca="1">IFERROR(ROUND($L21*HLOOKUP(O$15,INDIRECT("'Hidden Data'!"&amp;HLOOKUP(COLUMN(SKUS_TO_SIZES),NUMBER_TO_LETTER,2,FALSE)&amp;MATCH($D21,'Hidden Data'!$D:$D,0)&amp;":T"&amp;MATCH($D21&amp;"-sizecurve",'Hidden Data'!$D:$D,0)),2,FALSE),0)," ")</f>
        <v xml:space="preserve"> </v>
      </c>
      <c r="P21" s="405">
        <f ca="1">IFERROR(ROUND($L21*HLOOKUP(P$15,INDIRECT("'Hidden Data'!"&amp;HLOOKUP(COLUMN(SKUS_TO_SIZES),NUMBER_TO_LETTER,2,FALSE)&amp;MATCH($D21,'Hidden Data'!$D:$D,0)&amp;":T"&amp;MATCH($D21&amp;"-sizecurve",'Hidden Data'!$D:$D,0)),2,FALSE),0)," ")</f>
        <v>0</v>
      </c>
      <c r="Q21" s="405" t="str">
        <f ca="1">IFERROR(ROUND($L21*HLOOKUP(Q$15,INDIRECT("'Hidden Data'!"&amp;HLOOKUP(COLUMN(SKUS_TO_SIZES),NUMBER_TO_LETTER,2,FALSE)&amp;MATCH($D21,'Hidden Data'!$D:$D,0)&amp;":T"&amp;MATCH($D21&amp;"-sizecurve",'Hidden Data'!$D:$D,0)),2,FALSE),0)," ")</f>
        <v xml:space="preserve"> </v>
      </c>
      <c r="R21" s="405" t="str">
        <f ca="1">IFERROR(ROUND($L21*HLOOKUP(R$15,INDIRECT("'Hidden Data'!"&amp;HLOOKUP(COLUMN(SKUS_TO_SIZES),NUMBER_TO_LETTER,2,FALSE)&amp;MATCH($D21,'Hidden Data'!$D:$D,0)&amp;":T"&amp;MATCH($D21&amp;"-sizecurve",'Hidden Data'!$D:$D,0)),2,FALSE),0)," ")</f>
        <v xml:space="preserve"> </v>
      </c>
      <c r="S21" s="405">
        <f ca="1">IFERROR(ROUND($L21*HLOOKUP(S$15,INDIRECT("'Hidden Data'!"&amp;HLOOKUP(COLUMN(SKUS_TO_SIZES),NUMBER_TO_LETTER,2,FALSE)&amp;MATCH($D21,'Hidden Data'!$D:$D,0)&amp;":T"&amp;MATCH($D21&amp;"-sizecurve",'Hidden Data'!$D:$D,0)),2,FALSE),0)," ")</f>
        <v>0</v>
      </c>
      <c r="T21" s="405" t="str">
        <f ca="1">IFERROR(ROUND($L21*HLOOKUP(T$15,INDIRECT("'Hidden Data'!"&amp;HLOOKUP(COLUMN(SKUS_TO_SIZES),NUMBER_TO_LETTER,2,FALSE)&amp;MATCH($D21,'Hidden Data'!$D:$D,0)&amp;":T"&amp;MATCH($D21&amp;"-sizecurve",'Hidden Data'!$D:$D,0)),2,FALSE),0)," ")</f>
        <v xml:space="preserve"> </v>
      </c>
      <c r="U21" s="405" t="str">
        <f ca="1">IFERROR(ROUND($L21*HLOOKUP(U$15,INDIRECT("'Hidden Data'!"&amp;HLOOKUP(COLUMN(SKUS_TO_SIZES),NUMBER_TO_LETTER,2,FALSE)&amp;MATCH($D21,'Hidden Data'!$D:$D,0)&amp;":T"&amp;MATCH($D21&amp;"-sizecurve",'Hidden Data'!$D:$D,0)),2,FALSE),0)," ")</f>
        <v xml:space="preserve"> </v>
      </c>
      <c r="V21" s="405">
        <f ca="1">IFERROR(ROUND($L21*HLOOKUP(V$15,INDIRECT("'Hidden Data'!"&amp;HLOOKUP(COLUMN(SKUS_TO_SIZES),NUMBER_TO_LETTER,2,FALSE)&amp;MATCH($D21,'Hidden Data'!$D:$D,0)&amp;":T"&amp;MATCH($D21&amp;"-sizecurve",'Hidden Data'!$D:$D,0)),2,FALSE),0)," ")</f>
        <v>0</v>
      </c>
      <c r="W21" s="405" t="str">
        <f ca="1">IFERROR(ROUND($L21*HLOOKUP(W$15,INDIRECT("'Hidden Data'!"&amp;HLOOKUP(COLUMN(SKUS_TO_SIZES),NUMBER_TO_LETTER,2,FALSE)&amp;MATCH($D21,'Hidden Data'!$D:$D,0)&amp;":T"&amp;MATCH($D21&amp;"-sizecurve",'Hidden Data'!$D:$D,0)),2,FALSE),0)," ")</f>
        <v xml:space="preserve"> </v>
      </c>
      <c r="X21" s="405" t="str">
        <f ca="1">IFERROR(ROUND($L21*HLOOKUP(X$15,INDIRECT("'Hidden Data'!"&amp;HLOOKUP(COLUMN(SKUS_TO_SIZES),NUMBER_TO_LETTER,2,FALSE)&amp;MATCH($D21,'Hidden Data'!$D:$D,0)&amp;":T"&amp;MATCH($D21&amp;"-sizecurve",'Hidden Data'!$D:$D,0)),2,FALSE),0)," ")</f>
        <v xml:space="preserve"> </v>
      </c>
      <c r="Y21" s="405">
        <f ca="1">IFERROR(ROUND($L21*HLOOKUP(Y$15,INDIRECT("'Hidden Data'!"&amp;HLOOKUP(COLUMN(SKUS_TO_SIZES),NUMBER_TO_LETTER,2,FALSE)&amp;MATCH($D21,'Hidden Data'!$D:$D,0)&amp;":T"&amp;MATCH($D21&amp;"-sizecurve",'Hidden Data'!$D:$D,0)),2,FALSE),0)," ")</f>
        <v>0</v>
      </c>
      <c r="Z21" s="405" t="str">
        <f ca="1">IFERROR(ROUND($L21*HLOOKUP(Z$15,INDIRECT("'Hidden Data'!"&amp;HLOOKUP(COLUMN(SKUS_TO_SIZES),NUMBER_TO_LETTER,2,FALSE)&amp;MATCH($D21,'Hidden Data'!$D:$D,0)&amp;":T"&amp;MATCH($D21&amp;"-sizecurve",'Hidden Data'!$D:$D,0)),2,FALSE),0)," ")</f>
        <v xml:space="preserve"> </v>
      </c>
      <c r="AA21" s="405" t="str">
        <f ca="1">IFERROR(ROUND($L21*HLOOKUP(AA$15,INDIRECT("'Hidden Data'!"&amp;HLOOKUP(COLUMN(SKUS_TO_SIZES),NUMBER_TO_LETTER,2,FALSE)&amp;MATCH($D21,'Hidden Data'!$D:$D,0)&amp;":T"&amp;MATCH($D21&amp;"-sizecurve",'Hidden Data'!$D:$D,0)),2,FALSE),0)," ")</f>
        <v xml:space="preserve"> </v>
      </c>
      <c r="AB21" s="405" t="str">
        <f ca="1">IFERROR(ROUND($L21*HLOOKUP(AB$15,INDIRECT("'Hidden Data'!"&amp;HLOOKUP(COLUMN(SKUS_TO_SIZES),NUMBER_TO_LETTER,2,FALSE)&amp;MATCH($D21,'Hidden Data'!$D:$D,0)&amp;":T"&amp;MATCH($D21&amp;"-sizecurve",'Hidden Data'!$D:$D,0)),2,FALSE),0)," ")</f>
        <v xml:space="preserve"> </v>
      </c>
      <c r="AC21" s="405" t="str">
        <f ca="1">IFERROR(ROUND($L21*HLOOKUP(AC$15,INDIRECT("'Hidden Data'!"&amp;HLOOKUP(COLUMN(SKUS_TO_SIZES),NUMBER_TO_LETTER,2,FALSE)&amp;MATCH($D21,'Hidden Data'!$D:$D,0)&amp;":T"&amp;MATCH($D21&amp;"-sizecurve",'Hidden Data'!$D:$D,0)),2,FALSE),0)," ")</f>
        <v xml:space="preserve"> </v>
      </c>
      <c r="AD21" s="449" t="str">
        <f ca="1">IFERROR(ROUND($L21*HLOOKUP(AD$15,INDIRECT("'Hidden Data'!"&amp;HLOOKUP(COLUMN(SKUS_TO_SIZES),NUMBER_TO_LETTER,2,FALSE)&amp;MATCH($D21,'Hidden Data'!$D:$D,0)&amp;":T"&amp;MATCH($D21&amp;"-sizecurve",'Hidden Data'!$D:$D,0)),2,FALSE),0)," ")</f>
        <v xml:space="preserve"> </v>
      </c>
      <c r="AE21" s="179"/>
      <c r="AF21" s="10"/>
      <c r="AG21" s="1">
        <f t="shared" si="42"/>
        <v>7</v>
      </c>
      <c r="AH21" s="288" t="str">
        <f t="shared" si="12"/>
        <v>RRPPV02</v>
      </c>
      <c r="AI21" s="127">
        <f t="shared" si="41"/>
        <v>138</v>
      </c>
      <c r="AJ21" s="128" t="str">
        <f t="shared" ca="1" si="13"/>
        <v/>
      </c>
      <c r="AK21" s="127">
        <f t="shared" si="14"/>
        <v>146</v>
      </c>
      <c r="AL21" s="128" t="str">
        <f t="shared" ca="1" si="15"/>
        <v/>
      </c>
      <c r="AM21" s="127">
        <f t="shared" si="16"/>
        <v>154</v>
      </c>
      <c r="AN21" s="128" t="str">
        <f t="shared" ca="1" si="17"/>
        <v/>
      </c>
      <c r="AO21" s="127">
        <f t="shared" si="18"/>
        <v>162</v>
      </c>
      <c r="AP21" s="128" t="str">
        <f t="shared" ca="1" si="19"/>
        <v/>
      </c>
      <c r="AQ21" s="127" t="str">
        <f t="shared" si="20"/>
        <v/>
      </c>
      <c r="AR21" s="128" t="str">
        <f t="shared" si="21"/>
        <v/>
      </c>
      <c r="AS21" s="127" t="str">
        <f t="shared" si="22"/>
        <v/>
      </c>
      <c r="AT21" s="128" t="str">
        <f t="shared" si="23"/>
        <v/>
      </c>
      <c r="AU21" s="127" t="str">
        <f t="shared" si="24"/>
        <v/>
      </c>
      <c r="AV21" s="128" t="str">
        <f t="shared" si="25"/>
        <v/>
      </c>
      <c r="AW21" s="127" t="str">
        <f t="shared" si="26"/>
        <v/>
      </c>
      <c r="AX21" s="128" t="str">
        <f t="shared" si="27"/>
        <v/>
      </c>
      <c r="AY21" s="127" t="str">
        <f t="shared" si="28"/>
        <v/>
      </c>
      <c r="AZ21" s="128" t="str">
        <f t="shared" si="29"/>
        <v/>
      </c>
      <c r="BA21" s="127" t="str">
        <f t="shared" si="30"/>
        <v/>
      </c>
      <c r="BB21" s="128" t="str">
        <f t="shared" si="31"/>
        <v/>
      </c>
      <c r="BC21" s="127" t="str">
        <f t="shared" si="32"/>
        <v/>
      </c>
      <c r="BD21" s="128" t="str">
        <f t="shared" si="33"/>
        <v/>
      </c>
      <c r="BE21" s="127" t="str">
        <f t="shared" si="34"/>
        <v/>
      </c>
      <c r="BF21" s="128" t="str">
        <f t="shared" si="35"/>
        <v/>
      </c>
    </row>
    <row r="22" spans="1:58" s="8" customFormat="1" ht="12.75" customHeight="1">
      <c r="B22" s="9">
        <f>IF(SKI_CALCULATOR_TYPE=0,IF(ISBLANK(D22),MAX(B$15:B21),IF(AND(ISNUMBER(L22),L22&gt;0)=TRUE,MAX(B$15:B21)+1,MAX(B$15:B21))),0)</f>
        <v>0</v>
      </c>
      <c r="C22" s="12"/>
      <c r="D22" s="304" t="s">
        <v>311</v>
      </c>
      <c r="E22" s="525" t="str">
        <f t="shared" si="47"/>
        <v>EXPERIENCE 78 OPEN</v>
      </c>
      <c r="F22" s="526">
        <f t="shared" si="10"/>
        <v>224</v>
      </c>
      <c r="G22" s="526">
        <f t="shared" si="38"/>
        <v>0</v>
      </c>
      <c r="H22" s="526">
        <f t="shared" si="11"/>
        <v>224</v>
      </c>
      <c r="I22" s="527">
        <v>0.1</v>
      </c>
      <c r="J22" s="528">
        <f t="shared" si="39"/>
        <v>0</v>
      </c>
      <c r="K22" s="529">
        <f t="shared" ca="1" si="40"/>
        <v>0</v>
      </c>
      <c r="L22" s="530">
        <v>0</v>
      </c>
      <c r="M22" s="404" t="str">
        <f ca="1">IFERROR(ROUND($L22*HLOOKUP(M$15,INDIRECT("'Hidden Data'!"&amp;HLOOKUP(COLUMN(SKUS_TO_SIZES),NUMBER_TO_LETTER,2,FALSE)&amp;MATCH($D22,'Hidden Data'!$D:$D,0)&amp;":T"&amp;MATCH($D22&amp;"-sizecurve",'Hidden Data'!$D:$D,0)),2,FALSE),0)," ")</f>
        <v xml:space="preserve"> </v>
      </c>
      <c r="N22" s="405">
        <f ca="1">IFERROR(ROUND($L22*HLOOKUP(N$15,INDIRECT("'Hidden Data'!"&amp;HLOOKUP(COLUMN(SKUS_TO_SIZES),NUMBER_TO_LETTER,2,FALSE)&amp;MATCH($D22,'Hidden Data'!$D:$D,0)&amp;":T"&amp;MATCH($D22&amp;"-sizecurve",'Hidden Data'!$D:$D,0)),2,FALSE),0)," ")</f>
        <v>0</v>
      </c>
      <c r="O22" s="405" t="str">
        <f ca="1">IFERROR(ROUND($L22*HLOOKUP(O$15,INDIRECT("'Hidden Data'!"&amp;HLOOKUP(COLUMN(SKUS_TO_SIZES),NUMBER_TO_LETTER,2,FALSE)&amp;MATCH($D22,'Hidden Data'!$D:$D,0)&amp;":T"&amp;MATCH($D22&amp;"-sizecurve",'Hidden Data'!$D:$D,0)),2,FALSE),0)," ")</f>
        <v xml:space="preserve"> </v>
      </c>
      <c r="P22" s="405" t="str">
        <f ca="1">IFERROR(ROUND($L22*HLOOKUP(P$15,INDIRECT("'Hidden Data'!"&amp;HLOOKUP(COLUMN(SKUS_TO_SIZES),NUMBER_TO_LETTER,2,FALSE)&amp;MATCH($D22,'Hidden Data'!$D:$D,0)&amp;":T"&amp;MATCH($D22&amp;"-sizecurve",'Hidden Data'!$D:$D,0)),2,FALSE),0)," ")</f>
        <v xml:space="preserve"> </v>
      </c>
      <c r="Q22" s="405">
        <f ca="1">IFERROR(ROUND($L22*HLOOKUP(Q$15,INDIRECT("'Hidden Data'!"&amp;HLOOKUP(COLUMN(SKUS_TO_SIZES),NUMBER_TO_LETTER,2,FALSE)&amp;MATCH($D22,'Hidden Data'!$D:$D,0)&amp;":T"&amp;MATCH($D22&amp;"-sizecurve",'Hidden Data'!$D:$D,0)),2,FALSE),0)," ")</f>
        <v>0</v>
      </c>
      <c r="R22" s="405" t="str">
        <f ca="1">IFERROR(ROUND($L22*HLOOKUP(R$15,INDIRECT("'Hidden Data'!"&amp;HLOOKUP(COLUMN(SKUS_TO_SIZES),NUMBER_TO_LETTER,2,FALSE)&amp;MATCH($D22,'Hidden Data'!$D:$D,0)&amp;":T"&amp;MATCH($D22&amp;"-sizecurve",'Hidden Data'!$D:$D,0)),2,FALSE),0)," ")</f>
        <v xml:space="preserve"> </v>
      </c>
      <c r="S22" s="405" t="str">
        <f ca="1">IFERROR(ROUND($L22*HLOOKUP(S$15,INDIRECT("'Hidden Data'!"&amp;HLOOKUP(COLUMN(SKUS_TO_SIZES),NUMBER_TO_LETTER,2,FALSE)&amp;MATCH($D22,'Hidden Data'!$D:$D,0)&amp;":T"&amp;MATCH($D22&amp;"-sizecurve",'Hidden Data'!$D:$D,0)),2,FALSE),0)," ")</f>
        <v xml:space="preserve"> </v>
      </c>
      <c r="T22" s="405">
        <f ca="1">IFERROR(ROUND($L22*HLOOKUP(T$15,INDIRECT("'Hidden Data'!"&amp;HLOOKUP(COLUMN(SKUS_TO_SIZES),NUMBER_TO_LETTER,2,FALSE)&amp;MATCH($D22,'Hidden Data'!$D:$D,0)&amp;":T"&amp;MATCH($D22&amp;"-sizecurve",'Hidden Data'!$D:$D,0)),2,FALSE),0)," ")</f>
        <v>0</v>
      </c>
      <c r="U22" s="405" t="str">
        <f ca="1">IFERROR(ROUND($L22*HLOOKUP(U$15,INDIRECT("'Hidden Data'!"&amp;HLOOKUP(COLUMN(SKUS_TO_SIZES),NUMBER_TO_LETTER,2,FALSE)&amp;MATCH($D22,'Hidden Data'!$D:$D,0)&amp;":T"&amp;MATCH($D22&amp;"-sizecurve",'Hidden Data'!$D:$D,0)),2,FALSE),0)," ")</f>
        <v xml:space="preserve"> </v>
      </c>
      <c r="V22" s="405" t="str">
        <f ca="1">IFERROR(ROUND($L22*HLOOKUP(V$15,INDIRECT("'Hidden Data'!"&amp;HLOOKUP(COLUMN(SKUS_TO_SIZES),NUMBER_TO_LETTER,2,FALSE)&amp;MATCH($D22,'Hidden Data'!$D:$D,0)&amp;":T"&amp;MATCH($D22&amp;"-sizecurve",'Hidden Data'!$D:$D,0)),2,FALSE),0)," ")</f>
        <v xml:space="preserve"> </v>
      </c>
      <c r="W22" s="405">
        <f ca="1">IFERROR(ROUND($L22*HLOOKUP(W$15,INDIRECT("'Hidden Data'!"&amp;HLOOKUP(COLUMN(SKUS_TO_SIZES),NUMBER_TO_LETTER,2,FALSE)&amp;MATCH($D22,'Hidden Data'!$D:$D,0)&amp;":T"&amp;MATCH($D22&amp;"-sizecurve",'Hidden Data'!$D:$D,0)),2,FALSE),0)," ")</f>
        <v>0</v>
      </c>
      <c r="X22" s="405" t="str">
        <f ca="1">IFERROR(ROUND($L22*HLOOKUP(X$15,INDIRECT("'Hidden Data'!"&amp;HLOOKUP(COLUMN(SKUS_TO_SIZES),NUMBER_TO_LETTER,2,FALSE)&amp;MATCH($D22,'Hidden Data'!$D:$D,0)&amp;":T"&amp;MATCH($D22&amp;"-sizecurve",'Hidden Data'!$D:$D,0)),2,FALSE),0)," ")</f>
        <v xml:space="preserve"> </v>
      </c>
      <c r="Y22" s="405" t="str">
        <f ca="1">IFERROR(ROUND($L22*HLOOKUP(Y$15,INDIRECT("'Hidden Data'!"&amp;HLOOKUP(COLUMN(SKUS_TO_SIZES),NUMBER_TO_LETTER,2,FALSE)&amp;MATCH($D22,'Hidden Data'!$D:$D,0)&amp;":T"&amp;MATCH($D22&amp;"-sizecurve",'Hidden Data'!$D:$D,0)),2,FALSE),0)," ")</f>
        <v xml:space="preserve"> </v>
      </c>
      <c r="Z22" s="405">
        <f ca="1">IFERROR(ROUND($L22*HLOOKUP(Z$15,INDIRECT("'Hidden Data'!"&amp;HLOOKUP(COLUMN(SKUS_TO_SIZES),NUMBER_TO_LETTER,2,FALSE)&amp;MATCH($D22,'Hidden Data'!$D:$D,0)&amp;":T"&amp;MATCH($D22&amp;"-sizecurve",'Hidden Data'!$D:$D,0)),2,FALSE),0)," ")</f>
        <v>0</v>
      </c>
      <c r="AA22" s="405" t="str">
        <f ca="1">IFERROR(ROUND($L22*HLOOKUP(AA$15,INDIRECT("'Hidden Data'!"&amp;HLOOKUP(COLUMN(SKUS_TO_SIZES),NUMBER_TO_LETTER,2,FALSE)&amp;MATCH($D22,'Hidden Data'!$D:$D,0)&amp;":T"&amp;MATCH($D22&amp;"-sizecurve",'Hidden Data'!$D:$D,0)),2,FALSE),0)," ")</f>
        <v xml:space="preserve"> </v>
      </c>
      <c r="AB22" s="405">
        <f ca="1">IFERROR(ROUND($L22*HLOOKUP(AB$15,INDIRECT("'Hidden Data'!"&amp;HLOOKUP(COLUMN(SKUS_TO_SIZES),NUMBER_TO_LETTER,2,FALSE)&amp;MATCH($D22,'Hidden Data'!$D:$D,0)&amp;":T"&amp;MATCH($D22&amp;"-sizecurve",'Hidden Data'!$D:$D,0)),2,FALSE),0)," ")</f>
        <v>0</v>
      </c>
      <c r="AC22" s="405" t="str">
        <f ca="1">IFERROR(ROUND($L22*HLOOKUP(AC$15,INDIRECT("'Hidden Data'!"&amp;HLOOKUP(COLUMN(SKUS_TO_SIZES),NUMBER_TO_LETTER,2,FALSE)&amp;MATCH($D22,'Hidden Data'!$D:$D,0)&amp;":T"&amp;MATCH($D22&amp;"-sizecurve",'Hidden Data'!$D:$D,0)),2,FALSE),0)," ")</f>
        <v xml:space="preserve"> </v>
      </c>
      <c r="AD22" s="449">
        <f ca="1">IFERROR(ROUND($L22*HLOOKUP(AD$15,INDIRECT("'Hidden Data'!"&amp;HLOOKUP(COLUMN(SKUS_TO_SIZES),NUMBER_TO_LETTER,2,FALSE)&amp;MATCH($D22,'Hidden Data'!$D:$D,0)&amp;":T"&amp;MATCH($D22&amp;"-sizecurve",'Hidden Data'!$D:$D,0)),2,FALSE),0)," ")</f>
        <v>0</v>
      </c>
      <c r="AE22" s="179"/>
      <c r="AF22" s="10"/>
      <c r="AG22" s="1">
        <f t="shared" si="42"/>
        <v>8</v>
      </c>
      <c r="AH22" s="288" t="str">
        <f t="shared" si="12"/>
        <v>RAOFZ09</v>
      </c>
      <c r="AI22" s="127">
        <f t="shared" si="41"/>
        <v>132</v>
      </c>
      <c r="AJ22" s="128" t="str">
        <f t="shared" ca="1" si="13"/>
        <v/>
      </c>
      <c r="AK22" s="127">
        <f t="shared" si="14"/>
        <v>140</v>
      </c>
      <c r="AL22" s="128" t="str">
        <f t="shared" ca="1" si="15"/>
        <v/>
      </c>
      <c r="AM22" s="127">
        <f t="shared" si="16"/>
        <v>148</v>
      </c>
      <c r="AN22" s="128" t="str">
        <f t="shared" ca="1" si="17"/>
        <v/>
      </c>
      <c r="AO22" s="127">
        <f t="shared" si="18"/>
        <v>156</v>
      </c>
      <c r="AP22" s="128" t="str">
        <f t="shared" ca="1" si="19"/>
        <v/>
      </c>
      <c r="AQ22" s="127">
        <f t="shared" si="20"/>
        <v>164</v>
      </c>
      <c r="AR22" s="128" t="str">
        <f t="shared" ca="1" si="21"/>
        <v/>
      </c>
      <c r="AS22" s="127">
        <f t="shared" si="22"/>
        <v>172</v>
      </c>
      <c r="AT22" s="128" t="str">
        <f t="shared" ca="1" si="23"/>
        <v/>
      </c>
      <c r="AU22" s="127">
        <f t="shared" si="24"/>
        <v>180</v>
      </c>
      <c r="AV22" s="128" t="str">
        <f t="shared" ca="1" si="25"/>
        <v/>
      </c>
      <c r="AW22" s="127" t="str">
        <f t="shared" si="26"/>
        <v/>
      </c>
      <c r="AX22" s="128" t="str">
        <f t="shared" si="27"/>
        <v/>
      </c>
      <c r="AY22" s="127" t="str">
        <f t="shared" si="28"/>
        <v/>
      </c>
      <c r="AZ22" s="128" t="str">
        <f t="shared" si="29"/>
        <v/>
      </c>
      <c r="BA22" s="127" t="str">
        <f t="shared" si="30"/>
        <v/>
      </c>
      <c r="BB22" s="128" t="str">
        <f t="shared" si="31"/>
        <v/>
      </c>
      <c r="BC22" s="127" t="str">
        <f t="shared" si="32"/>
        <v/>
      </c>
      <c r="BD22" s="128" t="str">
        <f t="shared" si="33"/>
        <v/>
      </c>
      <c r="BE22" s="127" t="str">
        <f t="shared" si="34"/>
        <v/>
      </c>
      <c r="BF22" s="128" t="str">
        <f t="shared" si="35"/>
        <v/>
      </c>
    </row>
    <row r="23" spans="1:58" s="8" customFormat="1" ht="12.75" customHeight="1">
      <c r="B23" s="9">
        <f>IF(SKI_CALCULATOR_TYPE=0,IF(ISBLANK(D23),MAX(B$15:B22),IF(AND(ISNUMBER(L23),L23&gt;0)=TRUE,MAX(B$15:B22)+1,MAX(B$15:B22))),0)</f>
        <v>0</v>
      </c>
      <c r="C23" s="12"/>
      <c r="D23" s="450" t="s">
        <v>241</v>
      </c>
      <c r="E23" s="531" t="str">
        <f>VLOOKUP(D23,SKUS_TO_SIZES,2,FALSE)</f>
        <v>RNTL INV. BAR CODES (100 PAIR/PACK)</v>
      </c>
      <c r="F23" s="547">
        <f t="shared" si="10"/>
        <v>42</v>
      </c>
      <c r="G23" s="547">
        <f t="shared" si="38"/>
        <v>0</v>
      </c>
      <c r="H23" s="547">
        <f t="shared" si="11"/>
        <v>42</v>
      </c>
      <c r="I23" s="555">
        <v>0</v>
      </c>
      <c r="J23" s="556">
        <f t="shared" si="39"/>
        <v>0</v>
      </c>
      <c r="K23" s="661">
        <f t="shared" ca="1" si="40"/>
        <v>0</v>
      </c>
      <c r="L23" s="667">
        <v>0</v>
      </c>
      <c r="M23" s="404">
        <f ca="1">IFERROR(ROUND($L23*HLOOKUP(M$15,INDIRECT("'Hidden Data'!"&amp;HLOOKUP(COLUMN(SKUS_TO_SIZES),NUMBER_TO_LETTER,2,FALSE)&amp;MATCH($D23,'Hidden Data'!$D:$D,0)&amp;":T"&amp;MATCH($D23&amp;"-sizecurve",'Hidden Data'!$D:$D,0)),2,FALSE),0)," ")</f>
        <v>0</v>
      </c>
      <c r="N23" s="405" t="str">
        <f ca="1">IFERROR(ROUND($L23*HLOOKUP(N$15,INDIRECT("'Hidden Data'!"&amp;HLOOKUP(COLUMN(SKUS_TO_SIZES),NUMBER_TO_LETTER,2,FALSE)&amp;MATCH($D23,'Hidden Data'!$D:$D,0)&amp;":T"&amp;MATCH($D23&amp;"-sizecurve",'Hidden Data'!$D:$D,0)),2,FALSE),0)," ")</f>
        <v xml:space="preserve"> </v>
      </c>
      <c r="O23" s="405" t="str">
        <f ca="1">IFERROR(ROUND($L23*HLOOKUP(O$15,INDIRECT("'Hidden Data'!"&amp;HLOOKUP(COLUMN(SKUS_TO_SIZES),NUMBER_TO_LETTER,2,FALSE)&amp;MATCH($D23,'Hidden Data'!$D:$D,0)&amp;":T"&amp;MATCH($D23&amp;"-sizecurve",'Hidden Data'!$D:$D,0)),2,FALSE),0)," ")</f>
        <v xml:space="preserve"> </v>
      </c>
      <c r="P23" s="405" t="str">
        <f ca="1">IFERROR(ROUND($L23*HLOOKUP(P$15,INDIRECT("'Hidden Data'!"&amp;HLOOKUP(COLUMN(SKUS_TO_SIZES),NUMBER_TO_LETTER,2,FALSE)&amp;MATCH($D23,'Hidden Data'!$D:$D,0)&amp;":T"&amp;MATCH($D23&amp;"-sizecurve",'Hidden Data'!$D:$D,0)),2,FALSE),0)," ")</f>
        <v xml:space="preserve"> </v>
      </c>
      <c r="Q23" s="405" t="str">
        <f ca="1">IFERROR(ROUND($L23*HLOOKUP(Q$15,INDIRECT("'Hidden Data'!"&amp;HLOOKUP(COLUMN(SKUS_TO_SIZES),NUMBER_TO_LETTER,2,FALSE)&amp;MATCH($D23,'Hidden Data'!$D:$D,0)&amp;":T"&amp;MATCH($D23&amp;"-sizecurve",'Hidden Data'!$D:$D,0)),2,FALSE),0)," ")</f>
        <v xml:space="preserve"> </v>
      </c>
      <c r="R23" s="405" t="str">
        <f ca="1">IFERROR(ROUND($L23*HLOOKUP(R$15,INDIRECT("'Hidden Data'!"&amp;HLOOKUP(COLUMN(SKUS_TO_SIZES),NUMBER_TO_LETTER,2,FALSE)&amp;MATCH($D23,'Hidden Data'!$D:$D,0)&amp;":T"&amp;MATCH($D23&amp;"-sizecurve",'Hidden Data'!$D:$D,0)),2,FALSE),0)," ")</f>
        <v xml:space="preserve"> </v>
      </c>
      <c r="S23" s="405" t="str">
        <f ca="1">IFERROR(ROUND($L23*HLOOKUP(S$15,INDIRECT("'Hidden Data'!"&amp;HLOOKUP(COLUMN(SKUS_TO_SIZES),NUMBER_TO_LETTER,2,FALSE)&amp;MATCH($D23,'Hidden Data'!$D:$D,0)&amp;":T"&amp;MATCH($D23&amp;"-sizecurve",'Hidden Data'!$D:$D,0)),2,FALSE),0)," ")</f>
        <v xml:space="preserve"> </v>
      </c>
      <c r="T23" s="405" t="str">
        <f ca="1">IFERROR(ROUND($L23*HLOOKUP(T$15,INDIRECT("'Hidden Data'!"&amp;HLOOKUP(COLUMN(SKUS_TO_SIZES),NUMBER_TO_LETTER,2,FALSE)&amp;MATCH($D23,'Hidden Data'!$D:$D,0)&amp;":T"&amp;MATCH($D23&amp;"-sizecurve",'Hidden Data'!$D:$D,0)),2,FALSE),0)," ")</f>
        <v xml:space="preserve"> </v>
      </c>
      <c r="U23" s="405" t="str">
        <f ca="1">IFERROR(ROUND($L23*HLOOKUP(U$15,INDIRECT("'Hidden Data'!"&amp;HLOOKUP(COLUMN(SKUS_TO_SIZES),NUMBER_TO_LETTER,2,FALSE)&amp;MATCH($D23,'Hidden Data'!$D:$D,0)&amp;":T"&amp;MATCH($D23&amp;"-sizecurve",'Hidden Data'!$D:$D,0)),2,FALSE),0)," ")</f>
        <v xml:space="preserve"> </v>
      </c>
      <c r="V23" s="405" t="str">
        <f ca="1">IFERROR(ROUND($L23*HLOOKUP(V$15,INDIRECT("'Hidden Data'!"&amp;HLOOKUP(COLUMN(SKUS_TO_SIZES),NUMBER_TO_LETTER,2,FALSE)&amp;MATCH($D23,'Hidden Data'!$D:$D,0)&amp;":T"&amp;MATCH($D23&amp;"-sizecurve",'Hidden Data'!$D:$D,0)),2,FALSE),0)," ")</f>
        <v xml:space="preserve"> </v>
      </c>
      <c r="W23" s="405" t="str">
        <f ca="1">IFERROR(ROUND($L23*HLOOKUP(W$15,INDIRECT("'Hidden Data'!"&amp;HLOOKUP(COLUMN(SKUS_TO_SIZES),NUMBER_TO_LETTER,2,FALSE)&amp;MATCH($D23,'Hidden Data'!$D:$D,0)&amp;":T"&amp;MATCH($D23&amp;"-sizecurve",'Hidden Data'!$D:$D,0)),2,FALSE),0)," ")</f>
        <v xml:space="preserve"> </v>
      </c>
      <c r="X23" s="405" t="str">
        <f ca="1">IFERROR(ROUND($L23*HLOOKUP(X$15,INDIRECT("'Hidden Data'!"&amp;HLOOKUP(COLUMN(SKUS_TO_SIZES),NUMBER_TO_LETTER,2,FALSE)&amp;MATCH($D23,'Hidden Data'!$D:$D,0)&amp;":T"&amp;MATCH($D23&amp;"-sizecurve",'Hidden Data'!$D:$D,0)),2,FALSE),0)," ")</f>
        <v xml:space="preserve"> </v>
      </c>
      <c r="Y23" s="405" t="str">
        <f ca="1">IFERROR(ROUND($L23*HLOOKUP(Y$15,INDIRECT("'Hidden Data'!"&amp;HLOOKUP(COLUMN(SKUS_TO_SIZES),NUMBER_TO_LETTER,2,FALSE)&amp;MATCH($D23,'Hidden Data'!$D:$D,0)&amp;":T"&amp;MATCH($D23&amp;"-sizecurve",'Hidden Data'!$D:$D,0)),2,FALSE),0)," ")</f>
        <v xml:space="preserve"> </v>
      </c>
      <c r="Z23" s="405" t="str">
        <f ca="1">IFERROR(ROUND($L23*HLOOKUP(Z$15,INDIRECT("'Hidden Data'!"&amp;HLOOKUP(COLUMN(SKUS_TO_SIZES),NUMBER_TO_LETTER,2,FALSE)&amp;MATCH($D23,'Hidden Data'!$D:$D,0)&amp;":T"&amp;MATCH($D23&amp;"-sizecurve",'Hidden Data'!$D:$D,0)),2,FALSE),0)," ")</f>
        <v xml:space="preserve"> </v>
      </c>
      <c r="AA23" s="405" t="str">
        <f ca="1">IFERROR(ROUND($L23*HLOOKUP(AA$15,INDIRECT("'Hidden Data'!"&amp;HLOOKUP(COLUMN(SKUS_TO_SIZES),NUMBER_TO_LETTER,2,FALSE)&amp;MATCH($D23,'Hidden Data'!$D:$D,0)&amp;":T"&amp;MATCH($D23&amp;"-sizecurve",'Hidden Data'!$D:$D,0)),2,FALSE),0)," ")</f>
        <v xml:space="preserve"> </v>
      </c>
      <c r="AB23" s="405" t="str">
        <f ca="1">IFERROR(ROUND($L23*HLOOKUP(AB$15,INDIRECT("'Hidden Data'!"&amp;HLOOKUP(COLUMN(SKUS_TO_SIZES),NUMBER_TO_LETTER,2,FALSE)&amp;MATCH($D23,'Hidden Data'!$D:$D,0)&amp;":T"&amp;MATCH($D23&amp;"-sizecurve",'Hidden Data'!$D:$D,0)),2,FALSE),0)," ")</f>
        <v xml:space="preserve"> </v>
      </c>
      <c r="AC23" s="405" t="str">
        <f ca="1">IFERROR(ROUND($L23*HLOOKUP(AC$15,INDIRECT("'Hidden Data'!"&amp;HLOOKUP(COLUMN(SKUS_TO_SIZES),NUMBER_TO_LETTER,2,FALSE)&amp;MATCH($D23,'Hidden Data'!$D:$D,0)&amp;":T"&amp;MATCH($D23&amp;"-sizecurve",'Hidden Data'!$D:$D,0)),2,FALSE),0)," ")</f>
        <v xml:space="preserve"> </v>
      </c>
      <c r="AD23" s="449" t="str">
        <f ca="1">IFERROR(ROUND($L23*HLOOKUP(AD$15,INDIRECT("'Hidden Data'!"&amp;HLOOKUP(COLUMN(SKUS_TO_SIZES),NUMBER_TO_LETTER,2,FALSE)&amp;MATCH($D23,'Hidden Data'!$D:$D,0)&amp;":T"&amp;MATCH($D23&amp;"-sizecurve",'Hidden Data'!$D:$D,0)),2,FALSE),0)," ")</f>
        <v xml:space="preserve"> </v>
      </c>
      <c r="AE23" s="179"/>
      <c r="AF23" s="10"/>
      <c r="AG23" s="1">
        <f t="shared" si="42"/>
        <v>9</v>
      </c>
      <c r="AH23" s="288" t="str">
        <f t="shared" si="12"/>
        <v>RVFN001</v>
      </c>
      <c r="AI23" s="127" t="str">
        <f t="shared" si="41"/>
        <v>PACK</v>
      </c>
      <c r="AJ23" s="128" t="str">
        <f t="shared" ca="1" si="13"/>
        <v/>
      </c>
      <c r="AK23" s="127" t="str">
        <f t="shared" si="14"/>
        <v/>
      </c>
      <c r="AL23" s="128" t="str">
        <f t="shared" si="15"/>
        <v/>
      </c>
      <c r="AM23" s="127" t="str">
        <f t="shared" si="16"/>
        <v/>
      </c>
      <c r="AN23" s="128" t="str">
        <f t="shared" si="17"/>
        <v/>
      </c>
      <c r="AO23" s="127" t="str">
        <f t="shared" si="18"/>
        <v/>
      </c>
      <c r="AP23" s="128" t="str">
        <f t="shared" si="19"/>
        <v/>
      </c>
      <c r="AQ23" s="127" t="str">
        <f t="shared" si="20"/>
        <v/>
      </c>
      <c r="AR23" s="128" t="str">
        <f t="shared" si="21"/>
        <v/>
      </c>
      <c r="AS23" s="127" t="str">
        <f t="shared" si="22"/>
        <v/>
      </c>
      <c r="AT23" s="128" t="str">
        <f t="shared" si="23"/>
        <v/>
      </c>
      <c r="AU23" s="127" t="str">
        <f t="shared" si="24"/>
        <v/>
      </c>
      <c r="AV23" s="128" t="str">
        <f t="shared" si="25"/>
        <v/>
      </c>
      <c r="AW23" s="127" t="str">
        <f t="shared" si="26"/>
        <v/>
      </c>
      <c r="AX23" s="128" t="str">
        <f t="shared" si="27"/>
        <v/>
      </c>
      <c r="AY23" s="127" t="str">
        <f t="shared" si="28"/>
        <v/>
      </c>
      <c r="AZ23" s="128" t="str">
        <f t="shared" si="29"/>
        <v/>
      </c>
      <c r="BA23" s="127" t="str">
        <f t="shared" si="30"/>
        <v/>
      </c>
      <c r="BB23" s="128" t="str">
        <f t="shared" si="31"/>
        <v/>
      </c>
      <c r="BC23" s="127" t="str">
        <f t="shared" si="32"/>
        <v/>
      </c>
      <c r="BD23" s="128" t="str">
        <f t="shared" si="33"/>
        <v/>
      </c>
      <c r="BE23" s="127" t="str">
        <f t="shared" si="34"/>
        <v/>
      </c>
      <c r="BF23" s="128" t="str">
        <f t="shared" si="35"/>
        <v/>
      </c>
    </row>
    <row r="24" spans="1:58" s="6" customFormat="1" ht="12.75" customHeight="1">
      <c r="A24" s="8"/>
      <c r="B24" s="9">
        <f>IF(SKI_CALCULATOR_TYPE=0,IF(ISBLANK(D24),MAX(B$15:B23),IF(AND(ISNUMBER(L24),L24&gt;0)=TRUE,MAX(B$15:B23)+1,MAX(B$15:B23))),0)</f>
        <v>0</v>
      </c>
      <c r="C24" s="13"/>
      <c r="D24" s="178"/>
      <c r="E24" s="209"/>
      <c r="F24" s="209"/>
      <c r="G24" s="463">
        <f>SUM(G16:G23)</f>
        <v>0</v>
      </c>
      <c r="H24" s="210"/>
      <c r="I24" s="210"/>
      <c r="J24" s="210"/>
      <c r="K24" s="663">
        <f ca="1">SUM(K16:K23)</f>
        <v>0</v>
      </c>
      <c r="L24" s="664">
        <f ca="1">SUM(M24:AD24)</f>
        <v>0</v>
      </c>
      <c r="M24" s="234">
        <f t="shared" ref="M24:X24" ca="1" si="48">SUM(M16:M23)</f>
        <v>0</v>
      </c>
      <c r="N24" s="235">
        <f t="shared" ca="1" si="48"/>
        <v>0</v>
      </c>
      <c r="O24" s="235">
        <f t="shared" ca="1" si="48"/>
        <v>0</v>
      </c>
      <c r="P24" s="235">
        <f t="shared" ca="1" si="48"/>
        <v>0</v>
      </c>
      <c r="Q24" s="235">
        <f t="shared" ca="1" si="48"/>
        <v>0</v>
      </c>
      <c r="R24" s="235">
        <f t="shared" ca="1" si="48"/>
        <v>0</v>
      </c>
      <c r="S24" s="235">
        <f t="shared" ca="1" si="48"/>
        <v>0</v>
      </c>
      <c r="T24" s="235">
        <f t="shared" ca="1" si="48"/>
        <v>0</v>
      </c>
      <c r="U24" s="235">
        <f t="shared" ca="1" si="48"/>
        <v>0</v>
      </c>
      <c r="V24" s="235">
        <f t="shared" ca="1" si="48"/>
        <v>0</v>
      </c>
      <c r="W24" s="235">
        <f t="shared" ca="1" si="48"/>
        <v>0</v>
      </c>
      <c r="X24" s="235">
        <f t="shared" ca="1" si="48"/>
        <v>0</v>
      </c>
      <c r="Y24" s="235">
        <f t="shared" ref="Y24" ca="1" si="49">SUM(Y16:Y23)</f>
        <v>0</v>
      </c>
      <c r="Z24" s="235">
        <f ca="1">SUM(Z16:Z23)</f>
        <v>0</v>
      </c>
      <c r="AA24" s="235">
        <f ca="1">SUM(AA16:AA23)</f>
        <v>0</v>
      </c>
      <c r="AB24" s="235">
        <f ca="1">SUM(AB16:AB23)</f>
        <v>0</v>
      </c>
      <c r="AC24" s="235">
        <f ca="1">SUM(AC16:AC23)</f>
        <v>0</v>
      </c>
      <c r="AD24" s="580">
        <f ca="1">SUM(AD16:AD23)</f>
        <v>0</v>
      </c>
      <c r="AE24" s="179"/>
      <c r="AF24" s="10"/>
      <c r="AG24" s="1"/>
      <c r="AJ24" s="45"/>
      <c r="AL24" s="45"/>
      <c r="AN24" s="45"/>
      <c r="AP24" s="45"/>
      <c r="AR24" s="45"/>
      <c r="AT24" s="45"/>
      <c r="AV24" s="45"/>
      <c r="AX24" s="45"/>
      <c r="AZ24" s="45"/>
      <c r="BB24" s="45"/>
      <c r="BD24" s="45"/>
      <c r="BF24" s="45"/>
    </row>
    <row r="25" spans="1:58" s="6" customFormat="1" ht="12.75" customHeight="1">
      <c r="A25" s="8"/>
      <c r="B25" s="9">
        <f>IF(SKI_CALCULATOR_TYPE=0,IF(ISBLANK(D25),MAX(B$15:B24),IF(AND(ISNUMBER(L25),L25&gt;0)=TRUE,MAX(B$15:B24)+1,MAX(B$15:B24))),0)</f>
        <v>0</v>
      </c>
      <c r="C25" s="13"/>
      <c r="D25" s="953" t="s">
        <v>108</v>
      </c>
      <c r="E25" s="954"/>
      <c r="F25" s="291"/>
      <c r="G25" s="291"/>
      <c r="H25" s="291"/>
      <c r="I25" s="291"/>
      <c r="J25" s="291"/>
      <c r="K25" s="291"/>
      <c r="L25" s="291"/>
      <c r="M25" s="291"/>
      <c r="N25" s="291"/>
      <c r="O25" s="291"/>
      <c r="P25" s="291"/>
      <c r="Q25" s="291"/>
      <c r="R25" s="291"/>
      <c r="S25" s="291"/>
      <c r="T25" s="291"/>
      <c r="U25" s="291"/>
      <c r="V25" s="291"/>
      <c r="W25" s="291"/>
      <c r="X25" s="291"/>
      <c r="Y25" s="291"/>
      <c r="Z25" s="291"/>
      <c r="AA25" s="291"/>
      <c r="AB25" s="291"/>
      <c r="AC25" s="291"/>
      <c r="AD25" s="291"/>
      <c r="AE25" s="291"/>
      <c r="AF25" s="10"/>
      <c r="AG25" s="8"/>
      <c r="AJ25" s="45"/>
      <c r="AL25" s="45"/>
      <c r="AN25" s="45"/>
      <c r="AP25" s="45"/>
      <c r="AR25" s="45"/>
      <c r="AT25" s="45"/>
      <c r="AV25" s="45"/>
      <c r="AX25" s="45"/>
      <c r="AZ25" s="45"/>
      <c r="BB25" s="45"/>
      <c r="BD25" s="45"/>
      <c r="BF25" s="45"/>
    </row>
    <row r="26" spans="1:58" s="8" customFormat="1" ht="12.75" customHeight="1" thickBot="1">
      <c r="B26" s="9">
        <f>IF(SKI_CALCULATOR_TYPE=0,IF(ISBLANK(D26),MAX(B$15:B25),IF(AND(ISNUMBER(L26),L26&gt;0)=TRUE,MAX(B$15:B25)+1,MAX(B$15:B25))),0)</f>
        <v>0</v>
      </c>
      <c r="C26" s="12"/>
      <c r="D26" s="295" t="s">
        <v>0</v>
      </c>
      <c r="E26" s="313" t="s">
        <v>1</v>
      </c>
      <c r="F26" s="305" t="s">
        <v>43</v>
      </c>
      <c r="G26" s="305" t="s">
        <v>19</v>
      </c>
      <c r="H26" s="327" t="s">
        <v>102</v>
      </c>
      <c r="I26" s="326" t="s">
        <v>21</v>
      </c>
      <c r="J26" s="326" t="s">
        <v>21</v>
      </c>
      <c r="K26" s="306" t="s">
        <v>6</v>
      </c>
      <c r="L26" s="302" t="s">
        <v>5</v>
      </c>
      <c r="M26" s="301">
        <v>22.5</v>
      </c>
      <c r="N26" s="301">
        <v>23.5</v>
      </c>
      <c r="O26" s="301">
        <v>24.5</v>
      </c>
      <c r="P26" s="301">
        <v>25.5</v>
      </c>
      <c r="Q26" s="301">
        <v>26.5</v>
      </c>
      <c r="R26" s="301">
        <v>27.5</v>
      </c>
      <c r="S26" s="301">
        <v>28.5</v>
      </c>
      <c r="T26" s="301">
        <v>29.5</v>
      </c>
      <c r="U26" s="301">
        <v>30.5</v>
      </c>
      <c r="V26" s="301">
        <v>31.5</v>
      </c>
      <c r="W26" s="301">
        <v>32.5</v>
      </c>
      <c r="X26" s="303">
        <v>33.5</v>
      </c>
      <c r="Y26" s="177"/>
      <c r="Z26" s="177"/>
      <c r="AA26" s="177"/>
      <c r="AB26" s="177"/>
      <c r="AC26" s="177"/>
      <c r="AD26" s="177"/>
      <c r="AE26" s="177"/>
      <c r="AF26" s="10"/>
      <c r="AG26" s="1"/>
      <c r="AI26" s="35"/>
      <c r="AJ26" s="47"/>
      <c r="AK26" s="35"/>
      <c r="AL26" s="47"/>
      <c r="AM26" s="35"/>
      <c r="AN26" s="47"/>
      <c r="AO26" s="35"/>
      <c r="AP26" s="47"/>
      <c r="AQ26" s="35"/>
      <c r="AR26" s="47"/>
      <c r="AS26" s="35"/>
      <c r="AT26" s="47"/>
      <c r="AU26" s="35"/>
      <c r="AV26" s="47"/>
      <c r="AW26" s="35"/>
      <c r="AX26" s="47"/>
      <c r="AY26" s="35"/>
      <c r="AZ26" s="47"/>
      <c r="BA26" s="35"/>
      <c r="BB26" s="47"/>
      <c r="BC26" s="35"/>
      <c r="BD26" s="47"/>
      <c r="BE26" s="35"/>
      <c r="BF26" s="47"/>
    </row>
    <row r="27" spans="1:58" s="8" customFormat="1" ht="12.75" customHeight="1" thickTop="1">
      <c r="A27" s="1"/>
      <c r="B27" s="9">
        <f>IF(SKI_CALCULATOR_TYPE=0,IF(ISBLANK(D27),MAX(B$15:B26),IF(AND(ISNUMBER(L27),L27&gt;0)=TRUE,MAX(B$15:B26)+1,MAX(B$15:B26))),0)</f>
        <v>0</v>
      </c>
      <c r="C27" s="12"/>
      <c r="D27" s="464" t="s">
        <v>264</v>
      </c>
      <c r="E27" s="519" t="str">
        <f t="shared" ref="E27:E29" si="50">VLOOKUP(D27,SKUS_TO_SIZES,2,FALSE)</f>
        <v>SPEED RENTAL HV+ GW - BLACK</v>
      </c>
      <c r="F27" s="520">
        <f t="shared" ref="F27:F29" si="51">VLOOKUP(D27,SKUS_TO_SIZES,3,FALSE)</f>
        <v>200</v>
      </c>
      <c r="G27" s="520">
        <f t="shared" ref="G27:G29" si="52">SUM(L27)*F27</f>
        <v>0</v>
      </c>
      <c r="H27" s="520">
        <f t="shared" ref="H27:H30" si="53">IF(SKI_DISCOUNT_TYPE=1,IF($J$7=0,F27,F27*(SUM(1-$J$7))),IF(I27=0,F27,F27*(SUM(1-I27))))</f>
        <v>200</v>
      </c>
      <c r="I27" s="521">
        <v>0</v>
      </c>
      <c r="J27" s="522">
        <f t="shared" ref="J27:J31" si="54">$J$7</f>
        <v>0</v>
      </c>
      <c r="K27" s="523">
        <f ca="1">SUM(M27:AD27)*H27</f>
        <v>0</v>
      </c>
      <c r="L27" s="533">
        <v>0</v>
      </c>
      <c r="M27" s="561" t="str">
        <f ca="1">IFERROR(ROUND($L27*HLOOKUP(M$26,INDIRECT("'Hidden Data'!"&amp;HLOOKUP(COLUMN(SKUS_TO_SIZES),NUMBER_TO_LETTER,2,FALSE)&amp;MATCH($D27,'Hidden Data'!$D:$D,0)&amp;":T"&amp;MATCH($D27&amp;"-sizecurve",'Hidden Data'!$D:$D,0)),2,FALSE),0)," ")</f>
        <v xml:space="preserve"> </v>
      </c>
      <c r="N27" s="402" t="str">
        <f ca="1">IFERROR(ROUND($L27*HLOOKUP(N$26,INDIRECT("'Hidden Data'!"&amp;HLOOKUP(COLUMN(SKUS_TO_SIZES),NUMBER_TO_LETTER,2,FALSE)&amp;MATCH($D27,'Hidden Data'!$D:$D,0)&amp;":T"&amp;MATCH($D27&amp;"-sizecurve",'Hidden Data'!$D:$D,0)),2,FALSE),0)," ")</f>
        <v xml:space="preserve"> </v>
      </c>
      <c r="O27" s="402">
        <f ca="1">IFERROR(ROUND($L27*HLOOKUP(O$26,INDIRECT("'Hidden Data'!"&amp;HLOOKUP(COLUMN(SKUS_TO_SIZES),NUMBER_TO_LETTER,2,FALSE)&amp;MATCH($D27,'Hidden Data'!$D:$D,0)&amp;":T"&amp;MATCH($D27&amp;"-sizecurve",'Hidden Data'!$D:$D,0)),2,FALSE),0)," ")</f>
        <v>0</v>
      </c>
      <c r="P27" s="402">
        <f ca="1">IFERROR(ROUND($L27*HLOOKUP(P$26,INDIRECT("'Hidden Data'!"&amp;HLOOKUP(COLUMN(SKUS_TO_SIZES),NUMBER_TO_LETTER,2,FALSE)&amp;MATCH($D27,'Hidden Data'!$D:$D,0)&amp;":T"&amp;MATCH($D27&amp;"-sizecurve",'Hidden Data'!$D:$D,0)),2,FALSE),0)," ")</f>
        <v>0</v>
      </c>
      <c r="Q27" s="402">
        <f ca="1">IFERROR(ROUND($L27*HLOOKUP(Q$26,INDIRECT("'Hidden Data'!"&amp;HLOOKUP(COLUMN(SKUS_TO_SIZES),NUMBER_TO_LETTER,2,FALSE)&amp;MATCH($D27,'Hidden Data'!$D:$D,0)&amp;":T"&amp;MATCH($D27&amp;"-sizecurve",'Hidden Data'!$D:$D,0)),2,FALSE),0)," ")</f>
        <v>0</v>
      </c>
      <c r="R27" s="402">
        <f ca="1">IFERROR(ROUND($L27*HLOOKUP(R$26,INDIRECT("'Hidden Data'!"&amp;HLOOKUP(COLUMN(SKUS_TO_SIZES),NUMBER_TO_LETTER,2,FALSE)&amp;MATCH($D27,'Hidden Data'!$D:$D,0)&amp;":T"&amp;MATCH($D27&amp;"-sizecurve",'Hidden Data'!$D:$D,0)),2,FALSE),0)," ")</f>
        <v>0</v>
      </c>
      <c r="S27" s="402">
        <f ca="1">IFERROR(ROUND($L27*HLOOKUP(S$26,INDIRECT("'Hidden Data'!"&amp;HLOOKUP(COLUMN(SKUS_TO_SIZES),NUMBER_TO_LETTER,2,FALSE)&amp;MATCH($D27,'Hidden Data'!$D:$D,0)&amp;":T"&amp;MATCH($D27&amp;"-sizecurve",'Hidden Data'!$D:$D,0)),2,FALSE),0)," ")</f>
        <v>0</v>
      </c>
      <c r="T27" s="402">
        <f ca="1">IFERROR(ROUND($L27*HLOOKUP(T$26,INDIRECT("'Hidden Data'!"&amp;HLOOKUP(COLUMN(SKUS_TO_SIZES),NUMBER_TO_LETTER,2,FALSE)&amp;MATCH($D27,'Hidden Data'!$D:$D,0)&amp;":T"&amp;MATCH($D27&amp;"-sizecurve",'Hidden Data'!$D:$D,0)),2,FALSE),0)," ")</f>
        <v>0</v>
      </c>
      <c r="U27" s="402">
        <f ca="1">IFERROR(ROUND($L27*HLOOKUP(U$26,INDIRECT("'Hidden Data'!"&amp;HLOOKUP(COLUMN(SKUS_TO_SIZES),NUMBER_TO_LETTER,2,FALSE)&amp;MATCH($D27,'Hidden Data'!$D:$D,0)&amp;":T"&amp;MATCH($D27&amp;"-sizecurve",'Hidden Data'!$D:$D,0)),2,FALSE),0)," ")</f>
        <v>0</v>
      </c>
      <c r="V27" s="402">
        <f ca="1">IFERROR(ROUND($L27*HLOOKUP(V$26,INDIRECT("'Hidden Data'!"&amp;HLOOKUP(COLUMN(SKUS_TO_SIZES),NUMBER_TO_LETTER,2,FALSE)&amp;MATCH($D27,'Hidden Data'!$D:$D,0)&amp;":T"&amp;MATCH($D27&amp;"-sizecurve",'Hidden Data'!$D:$D,0)),2,FALSE),0)," ")</f>
        <v>0</v>
      </c>
      <c r="W27" s="402">
        <f ca="1">IFERROR(ROUND($L27*HLOOKUP(W$26,INDIRECT("'Hidden Data'!"&amp;HLOOKUP(COLUMN(SKUS_TO_SIZES),NUMBER_TO_LETTER,2,FALSE)&amp;MATCH($D27,'Hidden Data'!$D:$D,0)&amp;":T"&amp;MATCH($D27&amp;"-sizecurve",'Hidden Data'!$D:$D,0)),2,FALSE),0)," ")</f>
        <v>0</v>
      </c>
      <c r="X27" s="403">
        <f ca="1">IFERROR(ROUND($L27*HLOOKUP(X$26,INDIRECT("'Hidden Data'!"&amp;HLOOKUP(COLUMN(SKUS_TO_SIZES),NUMBER_TO_LETTER,2,FALSE)&amp;MATCH($D27,'Hidden Data'!$D:$D,0)&amp;":T"&amp;MATCH($D27&amp;"-sizecurve",'Hidden Data'!$D:$D,0)),2,FALSE),0)," ")</f>
        <v>0</v>
      </c>
      <c r="Y27" s="179"/>
      <c r="Z27" s="179"/>
      <c r="AA27" s="179"/>
      <c r="AB27" s="179"/>
      <c r="AC27" s="179"/>
      <c r="AD27" s="179"/>
      <c r="AE27" s="179"/>
      <c r="AF27" s="10"/>
      <c r="AG27" s="1">
        <v>2</v>
      </c>
      <c r="AH27" s="288" t="str">
        <f>D27</f>
        <v>RBO8420</v>
      </c>
      <c r="AI27" s="468">
        <f t="shared" ref="AI27:AW31" si="55">IF(VLOOKUP($AH27,SKUS_TO_SIZES,AI$11,FALSE)=0,"",VLOOKUP($AH27,SKUS_TO_SIZES,AI$11,FALSE))</f>
        <v>24.5</v>
      </c>
      <c r="AJ27" s="128" t="str">
        <f ca="1">IFERROR(IF(HLOOKUP(AI27,$M$26:$AC$31,$AG27,FALSE)=0,"",HLOOKUP(AI27,$M$26:$AC$31,$AG27,FALSE)),"")</f>
        <v/>
      </c>
      <c r="AK27" s="468">
        <f t="shared" si="55"/>
        <v>25.5</v>
      </c>
      <c r="AL27" s="128" t="str">
        <f ca="1">IFERROR(IF(HLOOKUP(AK27,$M$26:$AC$31,$AG27,FALSE)=0,"",HLOOKUP(AK27,$M$26:$AC$31,$AG27,FALSE)),"")</f>
        <v/>
      </c>
      <c r="AM27" s="468">
        <f t="shared" si="55"/>
        <v>26.5</v>
      </c>
      <c r="AN27" s="128" t="str">
        <f ca="1">IFERROR(IF(HLOOKUP(AM27,$M$26:$AC$31,$AG27,FALSE)=0,"",HLOOKUP(AM27,$M$26:$AC$31,$AG27,FALSE)),"")</f>
        <v/>
      </c>
      <c r="AO27" s="468">
        <f t="shared" si="55"/>
        <v>27.5</v>
      </c>
      <c r="AP27" s="128" t="str">
        <f ca="1">IFERROR(IF(HLOOKUP(AO27,$M$26:$AC$31,$AG27,FALSE)=0,"",HLOOKUP(AO27,$M$26:$AC$31,$AG27,FALSE)),"")</f>
        <v/>
      </c>
      <c r="AQ27" s="468">
        <f t="shared" si="55"/>
        <v>28.5</v>
      </c>
      <c r="AR27" s="128" t="str">
        <f ca="1">IFERROR(IF(HLOOKUP(AQ27,$M$26:$AC$31,$AG27,FALSE)=0,"",HLOOKUP(AQ27,$M$26:$AC$31,$AG27,FALSE)),"")</f>
        <v/>
      </c>
      <c r="AS27" s="468">
        <f t="shared" si="55"/>
        <v>29.5</v>
      </c>
      <c r="AT27" s="128" t="str">
        <f ca="1">IFERROR(IF(HLOOKUP(AS27,$M$26:$AC$31,$AG27,FALSE)=0,"",HLOOKUP(AS27,$M$26:$AC$31,$AG27,FALSE)),"")</f>
        <v/>
      </c>
      <c r="AU27" s="468">
        <f t="shared" si="55"/>
        <v>30.5</v>
      </c>
      <c r="AV27" s="128" t="str">
        <f ca="1">IFERROR(IF(HLOOKUP(AU27,$M$26:$AC$31,$AG27,FALSE)=0,"",HLOOKUP(AU27,$M$26:$AC$31,$AG27,FALSE)),"")</f>
        <v/>
      </c>
      <c r="AW27" s="468">
        <f t="shared" si="55"/>
        <v>31.5</v>
      </c>
      <c r="AX27" s="128" t="str">
        <f ca="1">IFERROR(IF(HLOOKUP(AW27,$M$26:$AC$31,$AG27,FALSE)=0,"",HLOOKUP(AW27,$M$26:$AC$31,$AG27,FALSE)),"")</f>
        <v/>
      </c>
      <c r="AY27" s="468">
        <f t="shared" ref="AY27:BE31" si="56">IF(VLOOKUP($AH27,SKUS_TO_SIZES,AY$11,FALSE)=0,"",VLOOKUP($AH27,SKUS_TO_SIZES,AY$11,FALSE))</f>
        <v>32.5</v>
      </c>
      <c r="AZ27" s="128" t="str">
        <f ca="1">IFERROR(IF(HLOOKUP(AY27,$M$26:$AC$31,$AG27,FALSE)=0,"",HLOOKUP(AY27,$M$26:$AC$31,$AG27,FALSE)),"")</f>
        <v/>
      </c>
      <c r="BA27" s="468">
        <f t="shared" si="56"/>
        <v>33.5</v>
      </c>
      <c r="BB27" s="128" t="str">
        <f ca="1">IFERROR(IF(HLOOKUP(BA27,$M$26:$AC$31,$AG27,FALSE)=0,"",HLOOKUP(BA27,$M$26:$AC$31,$AG27,FALSE)),"")</f>
        <v/>
      </c>
      <c r="BC27" s="468" t="str">
        <f t="shared" si="56"/>
        <v/>
      </c>
      <c r="BD27" s="128" t="str">
        <f>IFERROR(IF(HLOOKUP(BC27,$M$26:$AC$31,$AG27,FALSE)=0,"",HLOOKUP(BC27,$M$26:$AC$31,$AG27,FALSE)),"")</f>
        <v/>
      </c>
      <c r="BE27" s="468" t="str">
        <f t="shared" si="56"/>
        <v/>
      </c>
      <c r="BF27" s="128" t="str">
        <f>IFERROR(IF(HLOOKUP(BE27,$M$26:$AC$31,$AG27,FALSE)=0,"",HLOOKUP(BE27,$M$26:$AC$31,$AG27,FALSE)),"")</f>
        <v/>
      </c>
    </row>
    <row r="28" spans="1:58" s="8" customFormat="1" ht="12.75" customHeight="1">
      <c r="A28" s="6"/>
      <c r="B28" s="9">
        <f>IF(SKI_CALCULATOR_TYPE=0,IF(ISBLANK(D28),MAX(B$15:B27),IF(AND(ISNUMBER(L28),L28&gt;0)=TRUE,MAX(B$15:B27)+1,MAX(B$15:B27))),0)</f>
        <v>0</v>
      </c>
      <c r="C28" s="12"/>
      <c r="D28" s="307" t="s">
        <v>265</v>
      </c>
      <c r="E28" s="525" t="str">
        <f t="shared" ref="E28" si="57">VLOOKUP(D28,SKUS_TO_SIZES,2,FALSE)</f>
        <v>PURE COMFORT RENTAL GW - BLACK</v>
      </c>
      <c r="F28" s="526">
        <f t="shared" ref="F28" si="58">VLOOKUP(D28,SKUS_TO_SIZES,3,FALSE)</f>
        <v>200</v>
      </c>
      <c r="G28" s="526">
        <f t="shared" ref="G28" si="59">SUM(L28)*F28</f>
        <v>0</v>
      </c>
      <c r="H28" s="526">
        <f t="shared" si="53"/>
        <v>200</v>
      </c>
      <c r="I28" s="527">
        <v>0</v>
      </c>
      <c r="J28" s="528">
        <f>$J$7</f>
        <v>0</v>
      </c>
      <c r="K28" s="529">
        <f ca="1">SUM(M28:AD28)*H28</f>
        <v>0</v>
      </c>
      <c r="L28" s="534">
        <v>0</v>
      </c>
      <c r="M28" s="562">
        <f ca="1">IFERROR(ROUND($L28*HLOOKUP(M$26,INDIRECT("'Hidden Data'!"&amp;HLOOKUP(COLUMN(SKUS_TO_SIZES),NUMBER_TO_LETTER,2,FALSE)&amp;MATCH($D28,'Hidden Data'!$D:$D,0)&amp;":T"&amp;MATCH($D28&amp;"-sizecurve",'Hidden Data'!$D:$D,0)),2,FALSE),0)," ")</f>
        <v>0</v>
      </c>
      <c r="N28" s="405">
        <f ca="1">IFERROR(ROUND($L28*HLOOKUP(N$26,INDIRECT("'Hidden Data'!"&amp;HLOOKUP(COLUMN(SKUS_TO_SIZES),NUMBER_TO_LETTER,2,FALSE)&amp;MATCH($D28,'Hidden Data'!$D:$D,0)&amp;":T"&amp;MATCH($D28&amp;"-sizecurve",'Hidden Data'!$D:$D,0)),2,FALSE),0)," ")</f>
        <v>0</v>
      </c>
      <c r="O28" s="405">
        <f ca="1">IFERROR(ROUND($L28*HLOOKUP(O$26,INDIRECT("'Hidden Data'!"&amp;HLOOKUP(COLUMN(SKUS_TO_SIZES),NUMBER_TO_LETTER,2,FALSE)&amp;MATCH($D28,'Hidden Data'!$D:$D,0)&amp;":T"&amp;MATCH($D28&amp;"-sizecurve",'Hidden Data'!$D:$D,0)),2,FALSE),0)," ")</f>
        <v>0</v>
      </c>
      <c r="P28" s="405">
        <f ca="1">IFERROR(ROUND($L28*HLOOKUP(P$26,INDIRECT("'Hidden Data'!"&amp;HLOOKUP(COLUMN(SKUS_TO_SIZES),NUMBER_TO_LETTER,2,FALSE)&amp;MATCH($D28,'Hidden Data'!$D:$D,0)&amp;":T"&amp;MATCH($D28&amp;"-sizecurve",'Hidden Data'!$D:$D,0)),2,FALSE),0)," ")</f>
        <v>0</v>
      </c>
      <c r="Q28" s="405">
        <f ca="1">IFERROR(ROUND($L28*HLOOKUP(Q$26,INDIRECT("'Hidden Data'!"&amp;HLOOKUP(COLUMN(SKUS_TO_SIZES),NUMBER_TO_LETTER,2,FALSE)&amp;MATCH($D28,'Hidden Data'!$D:$D,0)&amp;":T"&amp;MATCH($D28&amp;"-sizecurve",'Hidden Data'!$D:$D,0)),2,FALSE),0)," ")</f>
        <v>0</v>
      </c>
      <c r="R28" s="405">
        <f ca="1">IFERROR(ROUND($L28*HLOOKUP(R$26,INDIRECT("'Hidden Data'!"&amp;HLOOKUP(COLUMN(SKUS_TO_SIZES),NUMBER_TO_LETTER,2,FALSE)&amp;MATCH($D28,'Hidden Data'!$D:$D,0)&amp;":T"&amp;MATCH($D28&amp;"-sizecurve",'Hidden Data'!$D:$D,0)),2,FALSE),0)," ")</f>
        <v>0</v>
      </c>
      <c r="S28" s="405" t="str">
        <f ca="1">IFERROR(ROUND($L28*HLOOKUP(S$26,INDIRECT("'Hidden Data'!"&amp;HLOOKUP(COLUMN(SKUS_TO_SIZES),NUMBER_TO_LETTER,2,FALSE)&amp;MATCH($D28,'Hidden Data'!$D:$D,0)&amp;":T"&amp;MATCH($D28&amp;"-sizecurve",'Hidden Data'!$D:$D,0)),2,FALSE),0)," ")</f>
        <v xml:space="preserve"> </v>
      </c>
      <c r="T28" s="405" t="str">
        <f ca="1">IFERROR(ROUND($L28*HLOOKUP(T$26,INDIRECT("'Hidden Data'!"&amp;HLOOKUP(COLUMN(SKUS_TO_SIZES),NUMBER_TO_LETTER,2,FALSE)&amp;MATCH($D28,'Hidden Data'!$D:$D,0)&amp;":T"&amp;MATCH($D28&amp;"-sizecurve",'Hidden Data'!$D:$D,0)),2,FALSE),0)," ")</f>
        <v xml:space="preserve"> </v>
      </c>
      <c r="U28" s="405" t="str">
        <f ca="1">IFERROR(ROUND($L28*HLOOKUP(U$26,INDIRECT("'Hidden Data'!"&amp;HLOOKUP(COLUMN(SKUS_TO_SIZES),NUMBER_TO_LETTER,2,FALSE)&amp;MATCH($D28,'Hidden Data'!$D:$D,0)&amp;":T"&amp;MATCH($D28&amp;"-sizecurve",'Hidden Data'!$D:$D,0)),2,FALSE),0)," ")</f>
        <v xml:space="preserve"> </v>
      </c>
      <c r="V28" s="405" t="str">
        <f ca="1">IFERROR(ROUND($L28*HLOOKUP(V$26,INDIRECT("'Hidden Data'!"&amp;HLOOKUP(COLUMN(SKUS_TO_SIZES),NUMBER_TO_LETTER,2,FALSE)&amp;MATCH($D28,'Hidden Data'!$D:$D,0)&amp;":T"&amp;MATCH($D28&amp;"-sizecurve",'Hidden Data'!$D:$D,0)),2,FALSE),0)," ")</f>
        <v xml:space="preserve"> </v>
      </c>
      <c r="W28" s="405" t="str">
        <f ca="1">IFERROR(ROUND($L28*HLOOKUP(W$26,INDIRECT("'Hidden Data'!"&amp;HLOOKUP(COLUMN(SKUS_TO_SIZES),NUMBER_TO_LETTER,2,FALSE)&amp;MATCH($D28,'Hidden Data'!$D:$D,0)&amp;":T"&amp;MATCH($D28&amp;"-sizecurve",'Hidden Data'!$D:$D,0)),2,FALSE),0)," ")</f>
        <v xml:space="preserve"> </v>
      </c>
      <c r="X28" s="406" t="str">
        <f ca="1">IFERROR(ROUND($L28*HLOOKUP(X$26,INDIRECT("'Hidden Data'!"&amp;HLOOKUP(COLUMN(SKUS_TO_SIZES),NUMBER_TO_LETTER,2,FALSE)&amp;MATCH($D28,'Hidden Data'!$D:$D,0)&amp;":T"&amp;MATCH($D28&amp;"-sizecurve",'Hidden Data'!$D:$D,0)),2,FALSE),0)," ")</f>
        <v xml:space="preserve"> </v>
      </c>
      <c r="Y28" s="179"/>
      <c r="Z28" s="179"/>
      <c r="AA28" s="179"/>
      <c r="AB28" s="179"/>
      <c r="AC28" s="179"/>
      <c r="AD28" s="179"/>
      <c r="AE28" s="179"/>
      <c r="AF28" s="10"/>
      <c r="AG28" s="1">
        <f>AG27+1</f>
        <v>3</v>
      </c>
      <c r="AH28" s="288" t="str">
        <f>D28</f>
        <v>RBN8440</v>
      </c>
      <c r="AI28" s="468">
        <f t="shared" si="55"/>
        <v>22.5</v>
      </c>
      <c r="AJ28" s="128" t="str">
        <f ca="1">IFERROR(IF(HLOOKUP(AI28,$M$26:$AC$31,$AG28,FALSE)=0,"",HLOOKUP(AI28,$M$26:$AC$31,$AG28,FALSE)),"")</f>
        <v/>
      </c>
      <c r="AK28" s="468">
        <f t="shared" si="55"/>
        <v>23.5</v>
      </c>
      <c r="AL28" s="128" t="str">
        <f ca="1">IFERROR(IF(HLOOKUP(AK28,$M$26:$AC$31,$AG28,FALSE)=0,"",HLOOKUP(AK28,$M$26:$AC$31,$AG28,FALSE)),"")</f>
        <v/>
      </c>
      <c r="AM28" s="468">
        <f t="shared" si="55"/>
        <v>24.5</v>
      </c>
      <c r="AN28" s="128" t="str">
        <f ca="1">IFERROR(IF(HLOOKUP(AM28,$M$26:$AC$31,$AG28,FALSE)=0,"",HLOOKUP(AM28,$M$26:$AC$31,$AG28,FALSE)),"")</f>
        <v/>
      </c>
      <c r="AO28" s="468">
        <f t="shared" si="55"/>
        <v>25.5</v>
      </c>
      <c r="AP28" s="128" t="str">
        <f ca="1">IFERROR(IF(HLOOKUP(AO28,$M$26:$AC$31,$AG28,FALSE)=0,"",HLOOKUP(AO28,$M$26:$AC$31,$AG28,FALSE)),"")</f>
        <v/>
      </c>
      <c r="AQ28" s="468">
        <f t="shared" si="55"/>
        <v>26.5</v>
      </c>
      <c r="AR28" s="128" t="str">
        <f ca="1">IFERROR(IF(HLOOKUP(AQ28,$M$26:$AC$31,$AG28,FALSE)=0,"",HLOOKUP(AQ28,$M$26:$AC$31,$AG28,FALSE)),"")</f>
        <v/>
      </c>
      <c r="AS28" s="468">
        <f t="shared" si="55"/>
        <v>27.5</v>
      </c>
      <c r="AT28" s="128" t="str">
        <f ca="1">IFERROR(IF(HLOOKUP(AS28,$M$26:$AC$31,$AG28,FALSE)=0,"",HLOOKUP(AS28,$M$26:$AC$31,$AG28,FALSE)),"")</f>
        <v/>
      </c>
      <c r="AU28" s="468" t="str">
        <f t="shared" si="55"/>
        <v/>
      </c>
      <c r="AV28" s="128" t="str">
        <f>IFERROR(IF(HLOOKUP(AU28,$M$26:$AC$31,$AG28,FALSE)=0,"",HLOOKUP(AU28,$M$26:$AC$31,$AG28,FALSE)),"")</f>
        <v/>
      </c>
      <c r="AW28" s="468" t="str">
        <f t="shared" si="55"/>
        <v/>
      </c>
      <c r="AX28" s="128" t="str">
        <f>IFERROR(IF(HLOOKUP(AW28,$M$26:$AC$31,$AG28,FALSE)=0,"",HLOOKUP(AW28,$M$26:$AC$31,$AG28,FALSE)),"")</f>
        <v/>
      </c>
      <c r="AY28" s="468" t="str">
        <f t="shared" si="56"/>
        <v/>
      </c>
      <c r="AZ28" s="128" t="str">
        <f>IFERROR(IF(HLOOKUP(AY28,$M$26:$AC$31,$AG28,FALSE)=0,"",HLOOKUP(AY28,$M$26:$AC$31,$AG28,FALSE)),"")</f>
        <v/>
      </c>
      <c r="BA28" s="468" t="str">
        <f t="shared" si="56"/>
        <v/>
      </c>
      <c r="BB28" s="128" t="str">
        <f>IFERROR(IF(HLOOKUP(BA28,$M$26:$AC$31,$AG28,FALSE)=0,"",HLOOKUP(BA28,$M$26:$AC$31,$AG28,FALSE)),"")</f>
        <v/>
      </c>
      <c r="BC28" s="468" t="str">
        <f t="shared" si="56"/>
        <v/>
      </c>
      <c r="BD28" s="128" t="str">
        <f>IFERROR(IF(HLOOKUP(BC28,$M$26:$AC$31,$AG28,FALSE)=0,"",HLOOKUP(BC28,$M$26:$AC$31,$AG28,FALSE)),"")</f>
        <v/>
      </c>
      <c r="BE28" s="468" t="str">
        <f t="shared" si="56"/>
        <v/>
      </c>
      <c r="BF28" s="128" t="str">
        <f>IFERROR(IF(HLOOKUP(BE28,$M$26:$AC$31,$AG28,FALSE)=0,"",HLOOKUP(BE28,$M$26:$AC$31,$AG28,FALSE)),"")</f>
        <v/>
      </c>
    </row>
    <row r="29" spans="1:58" s="8" customFormat="1" ht="12.75" customHeight="1">
      <c r="A29" s="6"/>
      <c r="B29" s="9">
        <f>IF(SKI_CALCULATOR_TYPE=0,IF(ISBLANK(D29),MAX(B$15:B28),IF(AND(ISNUMBER(L29),L29&gt;0)=TRUE,MAX(B$15:B28)+1,MAX(B$15:B28))),0)</f>
        <v>0</v>
      </c>
      <c r="C29" s="12"/>
      <c r="D29" s="307" t="s">
        <v>266</v>
      </c>
      <c r="E29" s="525" t="str">
        <f t="shared" si="50"/>
        <v>EVO RENTAL GW - BLACK</v>
      </c>
      <c r="F29" s="526">
        <f t="shared" si="51"/>
        <v>160</v>
      </c>
      <c r="G29" s="526">
        <f t="shared" si="52"/>
        <v>0</v>
      </c>
      <c r="H29" s="526">
        <f t="shared" si="53"/>
        <v>160</v>
      </c>
      <c r="I29" s="527">
        <v>0</v>
      </c>
      <c r="J29" s="528">
        <f>$J$7</f>
        <v>0</v>
      </c>
      <c r="K29" s="529">
        <f ca="1">SUM(M29:AD29)*H29</f>
        <v>0</v>
      </c>
      <c r="L29" s="534">
        <v>0</v>
      </c>
      <c r="M29" s="562" t="str">
        <f ca="1">IFERROR(ROUND($L29*HLOOKUP(M$26,INDIRECT("'Hidden Data'!"&amp;HLOOKUP(COLUMN(SKUS_TO_SIZES),NUMBER_TO_LETTER,2,FALSE)&amp;MATCH($D29,'Hidden Data'!$D:$D,0)&amp;":T"&amp;MATCH($D29&amp;"-sizecurve",'Hidden Data'!$D:$D,0)),2,FALSE),0)," ")</f>
        <v xml:space="preserve"> </v>
      </c>
      <c r="N29" s="405" t="str">
        <f ca="1">IFERROR(ROUND($L29*HLOOKUP(N$26,INDIRECT("'Hidden Data'!"&amp;HLOOKUP(COLUMN(SKUS_TO_SIZES),NUMBER_TO_LETTER,2,FALSE)&amp;MATCH($D29,'Hidden Data'!$D:$D,0)&amp;":T"&amp;MATCH($D29&amp;"-sizecurve",'Hidden Data'!$D:$D,0)),2,FALSE),0)," ")</f>
        <v xml:space="preserve"> </v>
      </c>
      <c r="O29" s="405">
        <f ca="1">IFERROR(ROUND($L29*HLOOKUP(O$26,INDIRECT("'Hidden Data'!"&amp;HLOOKUP(COLUMN(SKUS_TO_SIZES),NUMBER_TO_LETTER,2,FALSE)&amp;MATCH($D29,'Hidden Data'!$D:$D,0)&amp;":T"&amp;MATCH($D29&amp;"-sizecurve",'Hidden Data'!$D:$D,0)),2,FALSE),0)," ")</f>
        <v>0</v>
      </c>
      <c r="P29" s="405">
        <f ca="1">IFERROR(ROUND($L29*HLOOKUP(P$26,INDIRECT("'Hidden Data'!"&amp;HLOOKUP(COLUMN(SKUS_TO_SIZES),NUMBER_TO_LETTER,2,FALSE)&amp;MATCH($D29,'Hidden Data'!$D:$D,0)&amp;":T"&amp;MATCH($D29&amp;"-sizecurve",'Hidden Data'!$D:$D,0)),2,FALSE),0)," ")</f>
        <v>0</v>
      </c>
      <c r="Q29" s="405">
        <f ca="1">IFERROR(ROUND($L29*HLOOKUP(Q$26,INDIRECT("'Hidden Data'!"&amp;HLOOKUP(COLUMN(SKUS_TO_SIZES),NUMBER_TO_LETTER,2,FALSE)&amp;MATCH($D29,'Hidden Data'!$D:$D,0)&amp;":T"&amp;MATCH($D29&amp;"-sizecurve",'Hidden Data'!$D:$D,0)),2,FALSE),0)," ")</f>
        <v>0</v>
      </c>
      <c r="R29" s="405">
        <f ca="1">IFERROR(ROUND($L29*HLOOKUP(R$26,INDIRECT("'Hidden Data'!"&amp;HLOOKUP(COLUMN(SKUS_TO_SIZES),NUMBER_TO_LETTER,2,FALSE)&amp;MATCH($D29,'Hidden Data'!$D:$D,0)&amp;":T"&amp;MATCH($D29&amp;"-sizecurve",'Hidden Data'!$D:$D,0)),2,FALSE),0)," ")</f>
        <v>0</v>
      </c>
      <c r="S29" s="405">
        <f ca="1">IFERROR(ROUND($L29*HLOOKUP(S$26,INDIRECT("'Hidden Data'!"&amp;HLOOKUP(COLUMN(SKUS_TO_SIZES),NUMBER_TO_LETTER,2,FALSE)&amp;MATCH($D29,'Hidden Data'!$D:$D,0)&amp;":T"&amp;MATCH($D29&amp;"-sizecurve",'Hidden Data'!$D:$D,0)),2,FALSE),0)," ")</f>
        <v>0</v>
      </c>
      <c r="T29" s="405">
        <f ca="1">IFERROR(ROUND($L29*HLOOKUP(T$26,INDIRECT("'Hidden Data'!"&amp;HLOOKUP(COLUMN(SKUS_TO_SIZES),NUMBER_TO_LETTER,2,FALSE)&amp;MATCH($D29,'Hidden Data'!$D:$D,0)&amp;":T"&amp;MATCH($D29&amp;"-sizecurve",'Hidden Data'!$D:$D,0)),2,FALSE),0)," ")</f>
        <v>0</v>
      </c>
      <c r="U29" s="405">
        <f ca="1">IFERROR(ROUND($L29*HLOOKUP(U$26,INDIRECT("'Hidden Data'!"&amp;HLOOKUP(COLUMN(SKUS_TO_SIZES),NUMBER_TO_LETTER,2,FALSE)&amp;MATCH($D29,'Hidden Data'!$D:$D,0)&amp;":T"&amp;MATCH($D29&amp;"-sizecurve",'Hidden Data'!$D:$D,0)),2,FALSE),0)," ")</f>
        <v>0</v>
      </c>
      <c r="V29" s="405">
        <f ca="1">IFERROR(ROUND($L29*HLOOKUP(V$26,INDIRECT("'Hidden Data'!"&amp;HLOOKUP(COLUMN(SKUS_TO_SIZES),NUMBER_TO_LETTER,2,FALSE)&amp;MATCH($D29,'Hidden Data'!$D:$D,0)&amp;":T"&amp;MATCH($D29&amp;"-sizecurve",'Hidden Data'!$D:$D,0)),2,FALSE),0)," ")</f>
        <v>0</v>
      </c>
      <c r="W29" s="405">
        <f ca="1">IFERROR(ROUND($L29*HLOOKUP(W$26,INDIRECT("'Hidden Data'!"&amp;HLOOKUP(COLUMN(SKUS_TO_SIZES),NUMBER_TO_LETTER,2,FALSE)&amp;MATCH($D29,'Hidden Data'!$D:$D,0)&amp;":T"&amp;MATCH($D29&amp;"-sizecurve",'Hidden Data'!$D:$D,0)),2,FALSE),0)," ")</f>
        <v>0</v>
      </c>
      <c r="X29" s="406">
        <f ca="1">IFERROR(ROUND($L29*HLOOKUP(X$26,INDIRECT("'Hidden Data'!"&amp;HLOOKUP(COLUMN(SKUS_TO_SIZES),NUMBER_TO_LETTER,2,FALSE)&amp;MATCH($D29,'Hidden Data'!$D:$D,0)&amp;":T"&amp;MATCH($D29&amp;"-sizecurve",'Hidden Data'!$D:$D,0)),2,FALSE),0)," ")</f>
        <v>0</v>
      </c>
      <c r="Y29" s="179"/>
      <c r="Z29" s="179"/>
      <c r="AA29" s="179"/>
      <c r="AB29" s="179"/>
      <c r="AC29" s="179"/>
      <c r="AD29" s="179"/>
      <c r="AE29" s="179"/>
      <c r="AF29" s="10"/>
      <c r="AG29" s="1">
        <f t="shared" ref="AG29:AG31" si="60">AG28+1</f>
        <v>4</v>
      </c>
      <c r="AH29" s="288" t="str">
        <f>D29</f>
        <v>RBO8460</v>
      </c>
      <c r="AI29" s="468">
        <f t="shared" si="55"/>
        <v>24.5</v>
      </c>
      <c r="AJ29" s="128" t="str">
        <f ca="1">IFERROR(IF(HLOOKUP(AI29,$M$26:$AC$31,$AG29,FALSE)=0,"",HLOOKUP(AI29,$M$26:$AC$31,$AG29,FALSE)),"")</f>
        <v/>
      </c>
      <c r="AK29" s="468">
        <f t="shared" si="55"/>
        <v>25.5</v>
      </c>
      <c r="AL29" s="128" t="str">
        <f ca="1">IFERROR(IF(HLOOKUP(AK29,$M$26:$AC$31,$AG29,FALSE)=0,"",HLOOKUP(AK29,$M$26:$AC$31,$AG29,FALSE)),"")</f>
        <v/>
      </c>
      <c r="AM29" s="468">
        <f t="shared" si="55"/>
        <v>26.5</v>
      </c>
      <c r="AN29" s="128" t="str">
        <f ca="1">IFERROR(IF(HLOOKUP(AM29,$M$26:$AC$31,$AG29,FALSE)=0,"",HLOOKUP(AM29,$M$26:$AC$31,$AG29,FALSE)),"")</f>
        <v/>
      </c>
      <c r="AO29" s="468">
        <f t="shared" si="55"/>
        <v>27.5</v>
      </c>
      <c r="AP29" s="128" t="str">
        <f ca="1">IFERROR(IF(HLOOKUP(AO29,$M$26:$AC$31,$AG29,FALSE)=0,"",HLOOKUP(AO29,$M$26:$AC$31,$AG29,FALSE)),"")</f>
        <v/>
      </c>
      <c r="AQ29" s="468">
        <f t="shared" si="55"/>
        <v>28.5</v>
      </c>
      <c r="AR29" s="128" t="str">
        <f ca="1">IFERROR(IF(HLOOKUP(AQ29,$M$26:$AC$31,$AG29,FALSE)=0,"",HLOOKUP(AQ29,$M$26:$AC$31,$AG29,FALSE)),"")</f>
        <v/>
      </c>
      <c r="AS29" s="468">
        <f t="shared" si="55"/>
        <v>29.5</v>
      </c>
      <c r="AT29" s="128" t="str">
        <f ca="1">IFERROR(IF(HLOOKUP(AS29,$M$26:$AC$31,$AG29,FALSE)=0,"",HLOOKUP(AS29,$M$26:$AC$31,$AG29,FALSE)),"")</f>
        <v/>
      </c>
      <c r="AU29" s="468">
        <f t="shared" si="55"/>
        <v>30.5</v>
      </c>
      <c r="AV29" s="128" t="str">
        <f ca="1">IFERROR(IF(HLOOKUP(AU29,$M$26:$AC$31,$AG29,FALSE)=0,"",HLOOKUP(AU29,$M$26:$AC$31,$AG29,FALSE)),"")</f>
        <v/>
      </c>
      <c r="AW29" s="468">
        <f t="shared" si="55"/>
        <v>31.5</v>
      </c>
      <c r="AX29" s="128" t="str">
        <f ca="1">IFERROR(IF(HLOOKUP(AW29,$M$26:$AC$31,$AG29,FALSE)=0,"",HLOOKUP(AW29,$M$26:$AC$31,$AG29,FALSE)),"")</f>
        <v/>
      </c>
      <c r="AY29" s="468">
        <f t="shared" si="56"/>
        <v>32.5</v>
      </c>
      <c r="AZ29" s="128" t="str">
        <f ca="1">IFERROR(IF(HLOOKUP(AY29,$M$26:$AC$31,$AG29,FALSE)=0,"",HLOOKUP(AY29,$M$26:$AC$31,$AG29,FALSE)),"")</f>
        <v/>
      </c>
      <c r="BA29" s="468">
        <f t="shared" si="56"/>
        <v>33.5</v>
      </c>
      <c r="BB29" s="128" t="str">
        <f ca="1">IFERROR(IF(HLOOKUP(BA29,$M$26:$AC$31,$AG29,FALSE)=0,"",HLOOKUP(BA29,$M$26:$AC$31,$AG29,FALSE)),"")</f>
        <v/>
      </c>
      <c r="BC29" s="468" t="str">
        <f t="shared" si="56"/>
        <v/>
      </c>
      <c r="BD29" s="128" t="str">
        <f>IFERROR(IF(HLOOKUP(BC29,$M$26:$AC$31,$AG29,FALSE)=0,"",HLOOKUP(BC29,$M$26:$AC$31,$AG29,FALSE)),"")</f>
        <v/>
      </c>
      <c r="BE29" s="468" t="str">
        <f t="shared" si="56"/>
        <v/>
      </c>
      <c r="BF29" s="128" t="str">
        <f>IFERROR(IF(HLOOKUP(BE29,$M$26:$AC$31,$AG29,FALSE)=0,"",HLOOKUP(BE29,$M$26:$AC$31,$AG29,FALSE)),"")</f>
        <v/>
      </c>
    </row>
    <row r="30" spans="1:58" s="8" customFormat="1" ht="12.75" customHeight="1">
      <c r="B30" s="9">
        <f>IF(SKI_CALCULATOR_TYPE=0,IF(ISBLANK(D30),MAX(B$15:B29),IF(AND(ISNUMBER(L30),L30&gt;0)=TRUE,MAX(B$15:B29)+1,MAX(B$15:B29))),0)</f>
        <v>0</v>
      </c>
      <c r="C30" s="12"/>
      <c r="D30" s="307" t="s">
        <v>267</v>
      </c>
      <c r="E30" s="525" t="str">
        <f t="shared" ref="E30:E31" si="61">VLOOKUP(D30,SKUS_TO_SIZES,2,FALSE)</f>
        <v>KELIA RENTAL GW - BLACK</v>
      </c>
      <c r="F30" s="526">
        <f t="shared" ref="F30:F31" si="62">VLOOKUP(D30,SKUS_TO_SIZES,3,FALSE)</f>
        <v>160</v>
      </c>
      <c r="G30" s="526">
        <f t="shared" ref="G30" si="63">SUM(L30)*F30</f>
        <v>0</v>
      </c>
      <c r="H30" s="526">
        <f t="shared" si="53"/>
        <v>160</v>
      </c>
      <c r="I30" s="527">
        <v>0</v>
      </c>
      <c r="J30" s="528">
        <f t="shared" si="54"/>
        <v>0</v>
      </c>
      <c r="K30" s="529">
        <f ca="1">SUM(M30:AD30)*H30</f>
        <v>0</v>
      </c>
      <c r="L30" s="534">
        <v>0</v>
      </c>
      <c r="M30" s="562">
        <f ca="1">IFERROR(ROUND($L30*HLOOKUP(M$26,INDIRECT("'Hidden Data'!"&amp;HLOOKUP(COLUMN(SKUS_TO_SIZES),NUMBER_TO_LETTER,2,FALSE)&amp;MATCH($D30,'Hidden Data'!$D:$D,0)&amp;":T"&amp;MATCH($D30&amp;"-sizecurve",'Hidden Data'!$D:$D,0)),2,FALSE),0)," ")</f>
        <v>0</v>
      </c>
      <c r="N30" s="405">
        <f ca="1">IFERROR(ROUND($L30*HLOOKUP(N$26,INDIRECT("'Hidden Data'!"&amp;HLOOKUP(COLUMN(SKUS_TO_SIZES),NUMBER_TO_LETTER,2,FALSE)&amp;MATCH($D30,'Hidden Data'!$D:$D,0)&amp;":T"&amp;MATCH($D30&amp;"-sizecurve",'Hidden Data'!$D:$D,0)),2,FALSE),0)," ")</f>
        <v>0</v>
      </c>
      <c r="O30" s="405">
        <f ca="1">IFERROR(ROUND($L30*HLOOKUP(O$26,INDIRECT("'Hidden Data'!"&amp;HLOOKUP(COLUMN(SKUS_TO_SIZES),NUMBER_TO_LETTER,2,FALSE)&amp;MATCH($D30,'Hidden Data'!$D:$D,0)&amp;":T"&amp;MATCH($D30&amp;"-sizecurve",'Hidden Data'!$D:$D,0)),2,FALSE),0)," ")</f>
        <v>0</v>
      </c>
      <c r="P30" s="405">
        <f ca="1">IFERROR(ROUND($L30*HLOOKUP(P$26,INDIRECT("'Hidden Data'!"&amp;HLOOKUP(COLUMN(SKUS_TO_SIZES),NUMBER_TO_LETTER,2,FALSE)&amp;MATCH($D30,'Hidden Data'!$D:$D,0)&amp;":T"&amp;MATCH($D30&amp;"-sizecurve",'Hidden Data'!$D:$D,0)),2,FALSE),0)," ")</f>
        <v>0</v>
      </c>
      <c r="Q30" s="405">
        <f ca="1">IFERROR(ROUND($L30*HLOOKUP(Q$26,INDIRECT("'Hidden Data'!"&amp;HLOOKUP(COLUMN(SKUS_TO_SIZES),NUMBER_TO_LETTER,2,FALSE)&amp;MATCH($D30,'Hidden Data'!$D:$D,0)&amp;":T"&amp;MATCH($D30&amp;"-sizecurve",'Hidden Data'!$D:$D,0)),2,FALSE),0)," ")</f>
        <v>0</v>
      </c>
      <c r="R30" s="405">
        <f ca="1">IFERROR(ROUND($L30*HLOOKUP(R$26,INDIRECT("'Hidden Data'!"&amp;HLOOKUP(COLUMN(SKUS_TO_SIZES),NUMBER_TO_LETTER,2,FALSE)&amp;MATCH($D30,'Hidden Data'!$D:$D,0)&amp;":T"&amp;MATCH($D30&amp;"-sizecurve",'Hidden Data'!$D:$D,0)),2,FALSE),0)," ")</f>
        <v>0</v>
      </c>
      <c r="S30" s="405" t="str">
        <f ca="1">IFERROR(ROUND($L30*HLOOKUP(S$26,INDIRECT("'Hidden Data'!"&amp;HLOOKUP(COLUMN(SKUS_TO_SIZES),NUMBER_TO_LETTER,2,FALSE)&amp;MATCH($D30,'Hidden Data'!$D:$D,0)&amp;":T"&amp;MATCH($D30&amp;"-sizecurve",'Hidden Data'!$D:$D,0)),2,FALSE),0)," ")</f>
        <v xml:space="preserve"> </v>
      </c>
      <c r="T30" s="405" t="str">
        <f ca="1">IFERROR(ROUND($L30*HLOOKUP(T$26,INDIRECT("'Hidden Data'!"&amp;HLOOKUP(COLUMN(SKUS_TO_SIZES),NUMBER_TO_LETTER,2,FALSE)&amp;MATCH($D30,'Hidden Data'!$D:$D,0)&amp;":T"&amp;MATCH($D30&amp;"-sizecurve",'Hidden Data'!$D:$D,0)),2,FALSE),0)," ")</f>
        <v xml:space="preserve"> </v>
      </c>
      <c r="U30" s="405" t="str">
        <f ca="1">IFERROR(ROUND($L30*HLOOKUP(U$26,INDIRECT("'Hidden Data'!"&amp;HLOOKUP(COLUMN(SKUS_TO_SIZES),NUMBER_TO_LETTER,2,FALSE)&amp;MATCH($D30,'Hidden Data'!$D:$D,0)&amp;":T"&amp;MATCH($D30&amp;"-sizecurve",'Hidden Data'!$D:$D,0)),2,FALSE),0)," ")</f>
        <v xml:space="preserve"> </v>
      </c>
      <c r="V30" s="405" t="str">
        <f ca="1">IFERROR(ROUND($L30*HLOOKUP(V$26,INDIRECT("'Hidden Data'!"&amp;HLOOKUP(COLUMN(SKUS_TO_SIZES),NUMBER_TO_LETTER,2,FALSE)&amp;MATCH($D30,'Hidden Data'!$D:$D,0)&amp;":T"&amp;MATCH($D30&amp;"-sizecurve",'Hidden Data'!$D:$D,0)),2,FALSE),0)," ")</f>
        <v xml:space="preserve"> </v>
      </c>
      <c r="W30" s="405" t="str">
        <f ca="1">IFERROR(ROUND($L30*HLOOKUP(W$26,INDIRECT("'Hidden Data'!"&amp;HLOOKUP(COLUMN(SKUS_TO_SIZES),NUMBER_TO_LETTER,2,FALSE)&amp;MATCH($D30,'Hidden Data'!$D:$D,0)&amp;":T"&amp;MATCH($D30&amp;"-sizecurve",'Hidden Data'!$D:$D,0)),2,FALSE),0)," ")</f>
        <v xml:space="preserve"> </v>
      </c>
      <c r="X30" s="406" t="str">
        <f ca="1">IFERROR(ROUND($L30*HLOOKUP(X$26,INDIRECT("'Hidden Data'!"&amp;HLOOKUP(COLUMN(SKUS_TO_SIZES),NUMBER_TO_LETTER,2,FALSE)&amp;MATCH($D30,'Hidden Data'!$D:$D,0)&amp;":T"&amp;MATCH($D30&amp;"-sizecurve",'Hidden Data'!$D:$D,0)),2,FALSE),0)," ")</f>
        <v xml:space="preserve"> </v>
      </c>
      <c r="Y30" s="179"/>
      <c r="Z30" s="179"/>
      <c r="AA30" s="179"/>
      <c r="AB30" s="179"/>
      <c r="AC30" s="179"/>
      <c r="AD30" s="179"/>
      <c r="AE30" s="179"/>
      <c r="AF30" s="10"/>
      <c r="AG30" s="1">
        <f t="shared" si="60"/>
        <v>5</v>
      </c>
      <c r="AH30" s="288" t="str">
        <f>D30</f>
        <v>RBO8490</v>
      </c>
      <c r="AI30" s="468">
        <f t="shared" si="55"/>
        <v>22.5</v>
      </c>
      <c r="AJ30" s="128" t="str">
        <f ca="1">IFERROR(IF(HLOOKUP(AI30,$M$26:$AC$31,$AG30,FALSE)=0,"",HLOOKUP(AI30,$M$26:$AC$31,$AG30,FALSE)),"")</f>
        <v/>
      </c>
      <c r="AK30" s="468">
        <f t="shared" si="55"/>
        <v>23.5</v>
      </c>
      <c r="AL30" s="128" t="str">
        <f ca="1">IFERROR(IF(HLOOKUP(AK30,$M$26:$AC$31,$AG30,FALSE)=0,"",HLOOKUP(AK30,$M$26:$AC$31,$AG30,FALSE)),"")</f>
        <v/>
      </c>
      <c r="AM30" s="468">
        <f t="shared" si="55"/>
        <v>24.5</v>
      </c>
      <c r="AN30" s="128" t="str">
        <f ca="1">IFERROR(IF(HLOOKUP(AM30,$M$26:$AC$31,$AG30,FALSE)=0,"",HLOOKUP(AM30,$M$26:$AC$31,$AG30,FALSE)),"")</f>
        <v/>
      </c>
      <c r="AO30" s="468">
        <f t="shared" si="55"/>
        <v>25.5</v>
      </c>
      <c r="AP30" s="128" t="str">
        <f ca="1">IFERROR(IF(HLOOKUP(AO30,$M$26:$AC$31,$AG30,FALSE)=0,"",HLOOKUP(AO30,$M$26:$AC$31,$AG30,FALSE)),"")</f>
        <v/>
      </c>
      <c r="AQ30" s="468">
        <f t="shared" si="55"/>
        <v>26.5</v>
      </c>
      <c r="AR30" s="128" t="str">
        <f ca="1">IFERROR(IF(HLOOKUP(AQ30,$M$26:$AC$31,$AG30,FALSE)=0,"",HLOOKUP(AQ30,$M$26:$AC$31,$AG30,FALSE)),"")</f>
        <v/>
      </c>
      <c r="AS30" s="468">
        <f t="shared" si="55"/>
        <v>27.5</v>
      </c>
      <c r="AT30" s="128" t="str">
        <f ca="1">IFERROR(IF(HLOOKUP(AS30,$M$26:$AC$31,$AG30,FALSE)=0,"",HLOOKUP(AS30,$M$26:$AC$31,$AG30,FALSE)),"")</f>
        <v/>
      </c>
      <c r="AU30" s="468" t="str">
        <f t="shared" si="55"/>
        <v/>
      </c>
      <c r="AV30" s="128" t="str">
        <f>IFERROR(IF(HLOOKUP(AU30,$M$26:$AC$31,$AG30,FALSE)=0,"",HLOOKUP(AU30,$M$26:$AC$31,$AG30,FALSE)),"")</f>
        <v/>
      </c>
      <c r="AW30" s="468" t="str">
        <f t="shared" si="55"/>
        <v/>
      </c>
      <c r="AX30" s="128" t="str">
        <f>IFERROR(IF(HLOOKUP(AW30,$M$26:$AC$31,$AG30,FALSE)=0,"",HLOOKUP(AW30,$M$26:$AC$31,$AG30,FALSE)),"")</f>
        <v/>
      </c>
      <c r="AY30" s="468" t="str">
        <f t="shared" si="56"/>
        <v/>
      </c>
      <c r="AZ30" s="128" t="str">
        <f>IFERROR(IF(HLOOKUP(AY30,$M$26:$AC$31,$AG30,FALSE)=0,"",HLOOKUP(AY30,$M$26:$AC$31,$AG30,FALSE)),"")</f>
        <v/>
      </c>
      <c r="BA30" s="468" t="str">
        <f t="shared" si="56"/>
        <v/>
      </c>
      <c r="BB30" s="128" t="str">
        <f>IFERROR(IF(HLOOKUP(BA30,$M$26:$AC$31,$AG30,FALSE)=0,"",HLOOKUP(BA30,$M$26:$AC$31,$AG30,FALSE)),"")</f>
        <v/>
      </c>
      <c r="BC30" s="468" t="str">
        <f t="shared" si="56"/>
        <v/>
      </c>
      <c r="BD30" s="128" t="str">
        <f>IFERROR(IF(HLOOKUP(BC30,$M$26:$AC$31,$AG30,FALSE)=0,"",HLOOKUP(BC30,$M$26:$AC$31,$AG30,FALSE)),"")</f>
        <v/>
      </c>
      <c r="BE30" s="468" t="str">
        <f t="shared" si="56"/>
        <v/>
      </c>
      <c r="BF30" s="128" t="str">
        <f>IFERROR(IF(HLOOKUP(BE30,$M$26:$AC$31,$AG30,FALSE)=0,"",HLOOKUP(BE30,$M$26:$AC$31,$AG30,FALSE)),"")</f>
        <v/>
      </c>
    </row>
    <row r="31" spans="1:58" s="8" customFormat="1" ht="12.75" customHeight="1">
      <c r="B31" s="9">
        <f>IF(SKI_CALCULATOR_TYPE=0,IF(ISBLANK(D31),MAX(B$15:B30),IF(AND(ISNUMBER(L31),L31&gt;0)=TRUE,MAX(B$15:B30)+1,MAX(B$15:B30))),0)</f>
        <v>0</v>
      </c>
      <c r="C31" s="12"/>
      <c r="D31" s="450" t="s">
        <v>268</v>
      </c>
      <c r="E31" s="531" t="str">
        <f t="shared" si="61"/>
        <v>FLASH RENTAL GW - BLACK</v>
      </c>
      <c r="F31" s="547">
        <f t="shared" si="62"/>
        <v>155</v>
      </c>
      <c r="G31" s="547">
        <f>SUM(L31)*F31</f>
        <v>0</v>
      </c>
      <c r="H31" s="547">
        <f>IF(SKI_DISCOUNT_TYPE=1,IF($J$7=0,F31,F31*(SUM(1-$J$7))),IF(I31=0,F31,F31*(SUM(1-I31))))</f>
        <v>155</v>
      </c>
      <c r="I31" s="555">
        <v>0</v>
      </c>
      <c r="J31" s="556">
        <f t="shared" si="54"/>
        <v>0</v>
      </c>
      <c r="K31" s="557">
        <f ca="1">SUM(M31:AD31)*H31</f>
        <v>0</v>
      </c>
      <c r="L31" s="660">
        <v>0</v>
      </c>
      <c r="M31" s="563">
        <f ca="1">IFERROR(ROUND($L31*HLOOKUP(M$26,INDIRECT("'Hidden Data'!"&amp;HLOOKUP(COLUMN(SKUS_TO_SIZES),NUMBER_TO_LETTER,2,FALSE)&amp;MATCH($D31,'Hidden Data'!$D:$D,0)&amp;":T"&amp;MATCH($D31&amp;"-sizecurve",'Hidden Data'!$D:$D,0)),2,FALSE),0)," ")</f>
        <v>0</v>
      </c>
      <c r="N31" s="466">
        <f ca="1">IFERROR(ROUND($L31*HLOOKUP(N$26,INDIRECT("'Hidden Data'!"&amp;HLOOKUP(COLUMN(SKUS_TO_SIZES),NUMBER_TO_LETTER,2,FALSE)&amp;MATCH($D31,'Hidden Data'!$D:$D,0)&amp;":T"&amp;MATCH($D31&amp;"-sizecurve",'Hidden Data'!$D:$D,0)),2,FALSE),0)," ")</f>
        <v>0</v>
      </c>
      <c r="O31" s="466">
        <f ca="1">IFERROR(ROUND($L31*HLOOKUP(O$26,INDIRECT("'Hidden Data'!"&amp;HLOOKUP(COLUMN(SKUS_TO_SIZES),NUMBER_TO_LETTER,2,FALSE)&amp;MATCH($D31,'Hidden Data'!$D:$D,0)&amp;":T"&amp;MATCH($D31&amp;"-sizecurve",'Hidden Data'!$D:$D,0)),2,FALSE),0)," ")</f>
        <v>0</v>
      </c>
      <c r="P31" s="466">
        <f ca="1">IFERROR(ROUND($L31*HLOOKUP(P$26,INDIRECT("'Hidden Data'!"&amp;HLOOKUP(COLUMN(SKUS_TO_SIZES),NUMBER_TO_LETTER,2,FALSE)&amp;MATCH($D31,'Hidden Data'!$D:$D,0)&amp;":T"&amp;MATCH($D31&amp;"-sizecurve",'Hidden Data'!$D:$D,0)),2,FALSE),0)," ")</f>
        <v>0</v>
      </c>
      <c r="Q31" s="466">
        <f ca="1">IFERROR(ROUND($L31*HLOOKUP(Q$26,INDIRECT("'Hidden Data'!"&amp;HLOOKUP(COLUMN(SKUS_TO_SIZES),NUMBER_TO_LETTER,2,FALSE)&amp;MATCH($D31,'Hidden Data'!$D:$D,0)&amp;":T"&amp;MATCH($D31&amp;"-sizecurve",'Hidden Data'!$D:$D,0)),2,FALSE),0)," ")</f>
        <v>0</v>
      </c>
      <c r="R31" s="466">
        <f ca="1">IFERROR(ROUND($L31*HLOOKUP(R$26,INDIRECT("'Hidden Data'!"&amp;HLOOKUP(COLUMN(SKUS_TO_SIZES),NUMBER_TO_LETTER,2,FALSE)&amp;MATCH($D31,'Hidden Data'!$D:$D,0)&amp;":T"&amp;MATCH($D31&amp;"-sizecurve",'Hidden Data'!$D:$D,0)),2,FALSE),0)," ")</f>
        <v>0</v>
      </c>
      <c r="S31" s="466">
        <f ca="1">IFERROR(ROUND($L31*HLOOKUP(S$26,INDIRECT("'Hidden Data'!"&amp;HLOOKUP(COLUMN(SKUS_TO_SIZES),NUMBER_TO_LETTER,2,FALSE)&amp;MATCH($D31,'Hidden Data'!$D:$D,0)&amp;":T"&amp;MATCH($D31&amp;"-sizecurve",'Hidden Data'!$D:$D,0)),2,FALSE),0)," ")</f>
        <v>0</v>
      </c>
      <c r="T31" s="466">
        <f ca="1">IFERROR(ROUND($L31*HLOOKUP(T$26,INDIRECT("'Hidden Data'!"&amp;HLOOKUP(COLUMN(SKUS_TO_SIZES),NUMBER_TO_LETTER,2,FALSE)&amp;MATCH($D31,'Hidden Data'!$D:$D,0)&amp;":T"&amp;MATCH($D31&amp;"-sizecurve",'Hidden Data'!$D:$D,0)),2,FALSE),0)," ")</f>
        <v>0</v>
      </c>
      <c r="U31" s="466">
        <f ca="1">IFERROR(ROUND($L31*HLOOKUP(U$26,INDIRECT("'Hidden Data'!"&amp;HLOOKUP(COLUMN(SKUS_TO_SIZES),NUMBER_TO_LETTER,2,FALSE)&amp;MATCH($D31,'Hidden Data'!$D:$D,0)&amp;":T"&amp;MATCH($D31&amp;"-sizecurve",'Hidden Data'!$D:$D,0)),2,FALSE),0)," ")</f>
        <v>0</v>
      </c>
      <c r="V31" s="466">
        <f ca="1">IFERROR(ROUND($L31*HLOOKUP(V$26,INDIRECT("'Hidden Data'!"&amp;HLOOKUP(COLUMN(SKUS_TO_SIZES),NUMBER_TO_LETTER,2,FALSE)&amp;MATCH($D31,'Hidden Data'!$D:$D,0)&amp;":T"&amp;MATCH($D31&amp;"-sizecurve",'Hidden Data'!$D:$D,0)),2,FALSE),0)," ")</f>
        <v>0</v>
      </c>
      <c r="W31" s="466">
        <f ca="1">IFERROR(ROUND($L31*HLOOKUP(W$26,INDIRECT("'Hidden Data'!"&amp;HLOOKUP(COLUMN(SKUS_TO_SIZES),NUMBER_TO_LETTER,2,FALSE)&amp;MATCH($D31,'Hidden Data'!$D:$D,0)&amp;":T"&amp;MATCH($D31&amp;"-sizecurve",'Hidden Data'!$D:$D,0)),2,FALSE),0)," ")</f>
        <v>0</v>
      </c>
      <c r="X31" s="467">
        <f ca="1">IFERROR(ROUND($L31*HLOOKUP(X$26,INDIRECT("'Hidden Data'!"&amp;HLOOKUP(COLUMN(SKUS_TO_SIZES),NUMBER_TO_LETTER,2,FALSE)&amp;MATCH($D31,'Hidden Data'!$D:$D,0)&amp;":T"&amp;MATCH($D31&amp;"-sizecurve",'Hidden Data'!$D:$D,0)),2,FALSE),0)," ")</f>
        <v>0</v>
      </c>
      <c r="Y31" s="179"/>
      <c r="Z31" s="179"/>
      <c r="AA31" s="179"/>
      <c r="AB31" s="179"/>
      <c r="AC31" s="179"/>
      <c r="AD31" s="179"/>
      <c r="AE31" s="179"/>
      <c r="AF31" s="10"/>
      <c r="AG31" s="1">
        <f t="shared" si="60"/>
        <v>6</v>
      </c>
      <c r="AH31" s="288" t="str">
        <f>D31</f>
        <v>RBO8450</v>
      </c>
      <c r="AI31" s="468">
        <f t="shared" si="55"/>
        <v>22.5</v>
      </c>
      <c r="AJ31" s="128" t="str">
        <f ca="1">IFERROR(IF(HLOOKUP(AI31,$M$26:$AC$31,$AG31,FALSE)=0,"",HLOOKUP(AI31,$M$26:$AC$31,$AG31,FALSE)),"")</f>
        <v/>
      </c>
      <c r="AK31" s="468">
        <f t="shared" si="55"/>
        <v>23.5</v>
      </c>
      <c r="AL31" s="128" t="str">
        <f ca="1">IFERROR(IF(HLOOKUP(AK31,$M$26:$AC$31,$AG31,FALSE)=0,"",HLOOKUP(AK31,$M$26:$AC$31,$AG31,FALSE)),"")</f>
        <v/>
      </c>
      <c r="AM31" s="468">
        <f t="shared" si="55"/>
        <v>24.5</v>
      </c>
      <c r="AN31" s="128" t="str">
        <f ca="1">IFERROR(IF(HLOOKUP(AM31,$M$26:$AC$31,$AG31,FALSE)=0,"",HLOOKUP(AM31,$M$26:$AC$31,$AG31,FALSE)),"")</f>
        <v/>
      </c>
      <c r="AO31" s="468">
        <f t="shared" si="55"/>
        <v>25.5</v>
      </c>
      <c r="AP31" s="128" t="str">
        <f ca="1">IFERROR(IF(HLOOKUP(AO31,$M$26:$AC$31,$AG31,FALSE)=0,"",HLOOKUP(AO31,$M$26:$AC$31,$AG31,FALSE)),"")</f>
        <v/>
      </c>
      <c r="AQ31" s="468">
        <f t="shared" si="55"/>
        <v>26.5</v>
      </c>
      <c r="AR31" s="128" t="str">
        <f ca="1">IFERROR(IF(HLOOKUP(AQ31,$M$26:$AC$31,$AG31,FALSE)=0,"",HLOOKUP(AQ31,$M$26:$AC$31,$AG31,FALSE)),"")</f>
        <v/>
      </c>
      <c r="AS31" s="468">
        <f t="shared" si="55"/>
        <v>27.5</v>
      </c>
      <c r="AT31" s="128" t="str">
        <f ca="1">IFERROR(IF(HLOOKUP(AS31,$M$26:$AC$31,$AG31,FALSE)=0,"",HLOOKUP(AS31,$M$26:$AC$31,$AG31,FALSE)),"")</f>
        <v/>
      </c>
      <c r="AU31" s="468">
        <f t="shared" si="55"/>
        <v>28.5</v>
      </c>
      <c r="AV31" s="128" t="str">
        <f ca="1">IFERROR(IF(HLOOKUP(AU31,$M$26:$AC$31,$AG31,FALSE)=0,"",HLOOKUP(AU31,$M$26:$AC$31,$AG31,FALSE)),"")</f>
        <v/>
      </c>
      <c r="AW31" s="468">
        <f t="shared" si="55"/>
        <v>29.5</v>
      </c>
      <c r="AX31" s="128" t="str">
        <f ca="1">IFERROR(IF(HLOOKUP(AW31,$M$26:$AC$31,$AG31,FALSE)=0,"",HLOOKUP(AW31,$M$26:$AC$31,$AG31,FALSE)),"")</f>
        <v/>
      </c>
      <c r="AY31" s="468">
        <f t="shared" si="56"/>
        <v>30.5</v>
      </c>
      <c r="AZ31" s="128" t="str">
        <f ca="1">IFERROR(IF(HLOOKUP(AY31,$M$26:$AC$31,$AG31,FALSE)=0,"",HLOOKUP(AY31,$M$26:$AC$31,$AG31,FALSE)),"")</f>
        <v/>
      </c>
      <c r="BA31" s="468">
        <f t="shared" si="56"/>
        <v>31.5</v>
      </c>
      <c r="BB31" s="128" t="str">
        <f ca="1">IFERROR(IF(HLOOKUP(BA31,$M$26:$AC$31,$AG31,FALSE)=0,"",HLOOKUP(BA31,$M$26:$AC$31,$AG31,FALSE)),"")</f>
        <v/>
      </c>
      <c r="BC31" s="468">
        <f t="shared" si="56"/>
        <v>32.5</v>
      </c>
      <c r="BD31" s="128" t="str">
        <f ca="1">IFERROR(IF(HLOOKUP(BC31,$M$26:$AC$31,$AG31,FALSE)=0,"",HLOOKUP(BC31,$M$26:$AC$31,$AG31,FALSE)),"")</f>
        <v/>
      </c>
      <c r="BE31" s="468">
        <f t="shared" si="56"/>
        <v>33.5</v>
      </c>
      <c r="BF31" s="128" t="str">
        <f ca="1">IFERROR(IF(HLOOKUP(BE31,$M$26:$AC$31,$AG31,FALSE)=0,"",HLOOKUP(BE31,$M$26:$AC$31,$AG31,FALSE)),"")</f>
        <v/>
      </c>
    </row>
    <row r="32" spans="1:58" s="6" customFormat="1" ht="12.75" customHeight="1">
      <c r="B32" s="9">
        <f>IF(SKI_CALCULATOR_TYPE=0,IF(ISBLANK(D32),MAX(B$15:B31),IF(AND(ISNUMBER(L32),L32&gt;0)=TRUE,MAX(B$15:B31)+1,MAX(B$15:B31))),0)</f>
        <v>0</v>
      </c>
      <c r="C32" s="13"/>
      <c r="D32" s="178"/>
      <c r="E32" s="209"/>
      <c r="F32" s="209"/>
      <c r="G32" s="463">
        <f>SUM(G27:G31)</f>
        <v>0</v>
      </c>
      <c r="H32" s="210"/>
      <c r="I32" s="210"/>
      <c r="J32" s="210"/>
      <c r="K32" s="309">
        <f ca="1">SUM(K27:K31)</f>
        <v>0</v>
      </c>
      <c r="L32" s="310">
        <f ca="1">SUM(M32:AD32)</f>
        <v>0</v>
      </c>
      <c r="M32" s="184">
        <f t="shared" ref="M32:X32" ca="1" si="64">SUM(M27:M31)</f>
        <v>0</v>
      </c>
      <c r="N32" s="184">
        <f t="shared" ca="1" si="64"/>
        <v>0</v>
      </c>
      <c r="O32" s="184">
        <f t="shared" ca="1" si="64"/>
        <v>0</v>
      </c>
      <c r="P32" s="184">
        <f t="shared" ca="1" si="64"/>
        <v>0</v>
      </c>
      <c r="Q32" s="184">
        <f t="shared" ca="1" si="64"/>
        <v>0</v>
      </c>
      <c r="R32" s="184">
        <f t="shared" ca="1" si="64"/>
        <v>0</v>
      </c>
      <c r="S32" s="184">
        <f t="shared" ca="1" si="64"/>
        <v>0</v>
      </c>
      <c r="T32" s="184">
        <f t="shared" ca="1" si="64"/>
        <v>0</v>
      </c>
      <c r="U32" s="184">
        <f t="shared" ca="1" si="64"/>
        <v>0</v>
      </c>
      <c r="V32" s="184">
        <f t="shared" ca="1" si="64"/>
        <v>0</v>
      </c>
      <c r="W32" s="184">
        <f t="shared" ca="1" si="64"/>
        <v>0</v>
      </c>
      <c r="X32" s="182">
        <f t="shared" ca="1" si="64"/>
        <v>0</v>
      </c>
      <c r="Y32" s="179"/>
      <c r="Z32" s="179"/>
      <c r="AA32" s="179"/>
      <c r="AB32" s="179"/>
      <c r="AC32" s="179"/>
      <c r="AD32" s="179"/>
      <c r="AE32" s="179"/>
      <c r="AF32" s="10"/>
      <c r="AG32" s="1"/>
      <c r="AJ32" s="45"/>
      <c r="AL32" s="45"/>
      <c r="AN32" s="45"/>
      <c r="AP32" s="45"/>
      <c r="AR32" s="45"/>
      <c r="AT32" s="45"/>
      <c r="AV32" s="45"/>
      <c r="AX32" s="45"/>
      <c r="AZ32" s="45"/>
      <c r="BB32" s="45"/>
      <c r="BD32" s="45"/>
      <c r="BF32" s="45"/>
    </row>
    <row r="33" spans="1:59" ht="12.75" customHeight="1">
      <c r="A33" s="8"/>
      <c r="B33" s="9">
        <f>IF(SKI_CALCULATOR_TYPE=0,IF(ISBLANK(D33),MAX(B$15:B32),IF(AND(ISNUMBER(L33),L33&gt;0)=TRUE,MAX(B$15:B32)+1,MAX(B$15:B32))),0)</f>
        <v>0</v>
      </c>
      <c r="C33" s="13"/>
      <c r="D33" s="953" t="s">
        <v>109</v>
      </c>
      <c r="E33" s="954"/>
      <c r="F33" s="293"/>
      <c r="G33" s="291"/>
      <c r="H33" s="291"/>
      <c r="I33" s="291"/>
      <c r="J33" s="291"/>
      <c r="K33" s="291"/>
      <c r="L33" s="291"/>
      <c r="M33" s="291"/>
      <c r="N33" s="291"/>
      <c r="O33" s="291"/>
      <c r="P33" s="291"/>
      <c r="Q33" s="291"/>
      <c r="R33" s="291"/>
      <c r="S33" s="291"/>
      <c r="T33" s="291"/>
      <c r="U33" s="291"/>
      <c r="V33" s="291"/>
      <c r="W33" s="291"/>
      <c r="X33" s="291"/>
      <c r="Y33" s="291"/>
      <c r="Z33" s="291"/>
      <c r="AA33" s="291"/>
      <c r="AB33" s="179"/>
      <c r="AC33" s="179"/>
      <c r="AD33" s="179"/>
      <c r="AE33" s="291"/>
      <c r="AF33" s="10"/>
      <c r="AI33" s="1"/>
      <c r="AJ33" s="41"/>
      <c r="AK33" s="1"/>
      <c r="AL33" s="41"/>
      <c r="AM33" s="1"/>
      <c r="AN33" s="41"/>
      <c r="AO33" s="1"/>
      <c r="AP33" s="41"/>
      <c r="AQ33" s="1"/>
      <c r="AR33" s="41"/>
      <c r="AS33" s="1"/>
      <c r="AT33" s="41"/>
      <c r="AU33" s="1"/>
      <c r="AV33" s="41"/>
      <c r="AW33" s="1"/>
      <c r="AX33" s="41"/>
      <c r="AY33" s="1"/>
      <c r="AZ33" s="41"/>
      <c r="BA33" s="1"/>
      <c r="BB33" s="41"/>
      <c r="BC33" s="1"/>
      <c r="BD33" s="41"/>
      <c r="BE33" s="1"/>
      <c r="BF33" s="41"/>
    </row>
    <row r="34" spans="1:59" ht="12.75" customHeight="1" thickBot="1">
      <c r="A34" s="8"/>
      <c r="B34" s="9">
        <f>IF(SKI_CALCULATOR_TYPE=0,IF(ISBLANK(D34),MAX(B$15:B33),IF(AND(ISNUMBER(L34),L34&gt;0)=TRUE,MAX(B$15:B33)+1,MAX(B$15:B33))),0)</f>
        <v>0</v>
      </c>
      <c r="C34" s="13"/>
      <c r="D34" s="295" t="s">
        <v>0</v>
      </c>
      <c r="E34" s="313" t="s">
        <v>1</v>
      </c>
      <c r="F34" s="305" t="s">
        <v>43</v>
      </c>
      <c r="G34" s="305" t="s">
        <v>19</v>
      </c>
      <c r="H34" s="327" t="s">
        <v>102</v>
      </c>
      <c r="I34" s="298" t="s">
        <v>21</v>
      </c>
      <c r="J34" s="326" t="s">
        <v>21</v>
      </c>
      <c r="K34" s="306" t="s">
        <v>6</v>
      </c>
      <c r="L34" s="302" t="s">
        <v>5</v>
      </c>
      <c r="M34" s="300">
        <v>110</v>
      </c>
      <c r="N34" s="301">
        <v>115</v>
      </c>
      <c r="O34" s="301">
        <v>120</v>
      </c>
      <c r="P34" s="301">
        <v>125</v>
      </c>
      <c r="Q34" s="301">
        <v>130</v>
      </c>
      <c r="R34" s="301">
        <v>135</v>
      </c>
      <c r="S34" s="303">
        <v>140</v>
      </c>
      <c r="T34" s="303" t="s">
        <v>125</v>
      </c>
      <c r="U34" s="177"/>
      <c r="V34" s="177"/>
      <c r="W34" s="177"/>
      <c r="X34" s="177"/>
      <c r="Y34" s="177"/>
      <c r="Z34" s="177"/>
      <c r="AA34" s="177"/>
      <c r="AB34" s="179"/>
      <c r="AC34" s="179"/>
      <c r="AD34" s="179"/>
      <c r="AE34" s="177"/>
      <c r="AF34" s="10"/>
      <c r="AI34" s="36"/>
      <c r="AJ34" s="48"/>
      <c r="AK34" s="36"/>
      <c r="AL34" s="48"/>
      <c r="AM34" s="36"/>
      <c r="AN34" s="48"/>
      <c r="AO34" s="36"/>
      <c r="AP34" s="48"/>
      <c r="AQ34" s="36"/>
      <c r="AR34" s="48"/>
      <c r="AS34" s="1"/>
      <c r="AT34" s="41"/>
      <c r="AU34" s="1"/>
      <c r="AV34" s="41"/>
      <c r="AW34" s="1"/>
      <c r="AX34" s="41"/>
      <c r="AY34" s="1"/>
      <c r="AZ34" s="41"/>
      <c r="BA34" s="1"/>
      <c r="BB34" s="41"/>
      <c r="BC34" s="1"/>
      <c r="BD34" s="41"/>
      <c r="BE34" s="1"/>
      <c r="BF34" s="41"/>
    </row>
    <row r="35" spans="1:59" ht="12.75" customHeight="1" thickTop="1">
      <c r="B35" s="9">
        <f>IF(SKI_CALCULATOR_TYPE=0,IF(ISBLANK(D35),MAX(B$15:B34),IF(AND(ISNUMBER(L35),L35&gt;0)=TRUE,MAX(B$15:B34)+1,MAX(B$15:B34))),0)</f>
        <v>0</v>
      </c>
      <c r="C35" s="13"/>
      <c r="D35" s="307" t="s">
        <v>275</v>
      </c>
      <c r="E35" s="519" t="str">
        <f>VLOOKUP(D35,SKUS_TO_SIZES,2,FALSE)</f>
        <v>RENTAL TELESCOPIC SR</v>
      </c>
      <c r="F35" s="520">
        <f>VLOOKUP(D35,SKUS_TO_SIZES,3,FALSE)</f>
        <v>40</v>
      </c>
      <c r="G35" s="520">
        <f>SUM(L35)*F35</f>
        <v>0</v>
      </c>
      <c r="H35" s="520">
        <f>IF(SKI_DISCOUNT_TYPE=1,IF($J$7=0,F35,F35*(SUM(1-$J$7))),IF(I35=0,F35,F35*(SUM(1-I35))))</f>
        <v>40</v>
      </c>
      <c r="I35" s="521">
        <v>0</v>
      </c>
      <c r="J35" s="522">
        <f>$J$7</f>
        <v>0</v>
      </c>
      <c r="K35" s="523">
        <f ca="1">SUM(M35:AD35)*H35</f>
        <v>0</v>
      </c>
      <c r="L35" s="539">
        <v>0</v>
      </c>
      <c r="M35" s="401" t="str">
        <f ca="1">IFERROR(ROUND($L35*HLOOKUP(M$34,INDIRECT("'Hidden Data'!"&amp;HLOOKUP(COLUMN(SKUS_TO_SIZES),NUMBER_TO_LETTER,2,FALSE)&amp;MATCH($D35,'Hidden Data'!$D:$D,0)&amp;":T"&amp;MATCH($D35&amp;"-sizecurve",'Hidden Data'!$D:$D,0)),2,FALSE),0)," ")</f>
        <v xml:space="preserve"> </v>
      </c>
      <c r="N35" s="409" t="str">
        <f ca="1">IFERROR(ROUND($L35*HLOOKUP(N$34,INDIRECT("'Hidden Data'!"&amp;HLOOKUP(COLUMN(SKUS_TO_SIZES),NUMBER_TO_LETTER,2,FALSE)&amp;MATCH($D35,'Hidden Data'!$D:$D,0)&amp;":T"&amp;MATCH($D35&amp;"-sizecurve",'Hidden Data'!$D:$D,0)),2,FALSE),0)," ")</f>
        <v xml:space="preserve"> </v>
      </c>
      <c r="O35" s="409" t="str">
        <f ca="1">IFERROR(ROUND($L35*HLOOKUP(O$34,INDIRECT("'Hidden Data'!"&amp;HLOOKUP(COLUMN(SKUS_TO_SIZES),NUMBER_TO_LETTER,2,FALSE)&amp;MATCH($D35,'Hidden Data'!$D:$D,0)&amp;":T"&amp;MATCH($D35&amp;"-sizecurve",'Hidden Data'!$D:$D,0)),2,FALSE),0)," ")</f>
        <v xml:space="preserve"> </v>
      </c>
      <c r="P35" s="409" t="str">
        <f ca="1">IFERROR(ROUND($L35*HLOOKUP(P$34,INDIRECT("'Hidden Data'!"&amp;HLOOKUP(COLUMN(SKUS_TO_SIZES),NUMBER_TO_LETTER,2,FALSE)&amp;MATCH($D35,'Hidden Data'!$D:$D,0)&amp;":T"&amp;MATCH($D35&amp;"-sizecurve",'Hidden Data'!$D:$D,0)),2,FALSE),0)," ")</f>
        <v xml:space="preserve"> </v>
      </c>
      <c r="Q35" s="409" t="str">
        <f ca="1">IFERROR(ROUND($L35*HLOOKUP(Q$34,INDIRECT("'Hidden Data'!"&amp;HLOOKUP(COLUMN(SKUS_TO_SIZES),NUMBER_TO_LETTER,2,FALSE)&amp;MATCH($D35,'Hidden Data'!$D:$D,0)&amp;":T"&amp;MATCH($D35&amp;"-sizecurve",'Hidden Data'!$D:$D,0)),2,FALSE),0)," ")</f>
        <v xml:space="preserve"> </v>
      </c>
      <c r="R35" s="409" t="str">
        <f ca="1">IFERROR(ROUND($L35*HLOOKUP(R$34,INDIRECT("'Hidden Data'!"&amp;HLOOKUP(COLUMN(SKUS_TO_SIZES),NUMBER_TO_LETTER,2,FALSE)&amp;MATCH($D35,'Hidden Data'!$D:$D,0)&amp;":T"&amp;MATCH($D35&amp;"-sizecurve",'Hidden Data'!$D:$D,0)),2,FALSE),0)," ")</f>
        <v xml:space="preserve"> </v>
      </c>
      <c r="S35" s="409" t="str">
        <f ca="1">IFERROR(ROUND($L35*HLOOKUP(S$34,INDIRECT("'Hidden Data'!"&amp;HLOOKUP(COLUMN(SKUS_TO_SIZES),NUMBER_TO_LETTER,2,FALSE)&amp;MATCH($D35,'Hidden Data'!$D:$D,0)&amp;":T"&amp;MATCH($D35&amp;"-sizecurve",'Hidden Data'!$D:$D,0)),2,FALSE),0)," ")</f>
        <v xml:space="preserve"> </v>
      </c>
      <c r="T35" s="403">
        <f ca="1">IFERROR(ROUND($L35*HLOOKUP(T$34,INDIRECT("'Hidden Data'!"&amp;HLOOKUP(COLUMN(SKUS_TO_SIZES),NUMBER_TO_LETTER,2,FALSE)&amp;MATCH($D35,'Hidden Data'!$D:$D,0)&amp;":T"&amp;MATCH($D35&amp;"-sizecurve",'Hidden Data'!$D:$D,0)),2,FALSE),0)," ")</f>
        <v>0</v>
      </c>
      <c r="U35" s="178"/>
      <c r="V35" s="178"/>
      <c r="W35" s="178"/>
      <c r="X35" s="178"/>
      <c r="Y35" s="178"/>
      <c r="Z35" s="178"/>
      <c r="AA35" s="178"/>
      <c r="AB35" s="179"/>
      <c r="AC35" s="179"/>
      <c r="AD35" s="179"/>
      <c r="AE35" s="178"/>
      <c r="AF35" s="10"/>
      <c r="AG35" s="1">
        <v>2</v>
      </c>
      <c r="AH35" s="288" t="str">
        <f>D35</f>
        <v>RDO7020</v>
      </c>
      <c r="AI35" s="130" t="str">
        <f>IF(VLOOKUP($AH35,SKUS_TO_SIZES,AI$11,FALSE)=0,"",VLOOKUP($AH35,SKUS_TO_SIZES,AI$11,FALSE))</f>
        <v>Adjust.</v>
      </c>
      <c r="AJ35" s="129" t="str">
        <f ca="1">IFERROR(IF(HLOOKUP(AI35,$M$34:$AC$37,$AG35,FALSE)=0,"",HLOOKUP(AI35,$M$34:$AC$37,$AG35,FALSE)),"")</f>
        <v/>
      </c>
      <c r="AK35" s="130" t="str">
        <f>IF(VLOOKUP($AH35,SKUS_TO_SIZES,AK$11,FALSE)=0,"",VLOOKUP($AH35,SKUS_TO_SIZES,AK$11,FALSE))</f>
        <v/>
      </c>
      <c r="AL35" s="129" t="str">
        <f>IFERROR(IF(HLOOKUP(AK35,$M$34:$AC$37,$AG35,FALSE)=0,"",HLOOKUP(AK35,$M$34:$AC$37,$AG35,FALSE)),"")</f>
        <v/>
      </c>
      <c r="AM35" s="130" t="str">
        <f>IF(VLOOKUP($AH35,SKUS_TO_SIZES,AM$11,FALSE)=0,"",VLOOKUP($AH35,SKUS_TO_SIZES,AM$11,FALSE))</f>
        <v/>
      </c>
      <c r="AN35" s="129" t="str">
        <f>IFERROR(IF(HLOOKUP(AM35,$M$34:$AC$37,$AG35,FALSE)=0,"",HLOOKUP(AM35,$M$34:$AC$37,$AG35,FALSE)),"")</f>
        <v/>
      </c>
      <c r="AO35" s="130" t="str">
        <f>IF(VLOOKUP($AH35,SKUS_TO_SIZES,AO$11,FALSE)=0,"",VLOOKUP($AH35,SKUS_TO_SIZES,AO$11,FALSE))</f>
        <v/>
      </c>
      <c r="AP35" s="129" t="str">
        <f>IFERROR(IF(HLOOKUP(AO35,$M$34:$AC$37,$AG35,FALSE)=0,"",HLOOKUP(AO35,$M$34:$AC$37,$AG35,FALSE)),"")</f>
        <v/>
      </c>
      <c r="AQ35" s="130" t="str">
        <f>IF(VLOOKUP($AH35,SKUS_TO_SIZES,AQ$11,FALSE)=0,"",VLOOKUP($AH35,SKUS_TO_SIZES,AQ$11,FALSE))</f>
        <v/>
      </c>
      <c r="AR35" s="129" t="str">
        <f>IFERROR(IF(HLOOKUP(AQ35,$M$34:$AC$37,$AG35,FALSE)=0,"",HLOOKUP(AQ35,$M$34:$AC$37,$AG35,FALSE)),"")</f>
        <v/>
      </c>
      <c r="AS35" s="130" t="str">
        <f>IF(VLOOKUP($AH35,SKUS_TO_SIZES,AS$11,FALSE)=0,"",VLOOKUP($AH35,SKUS_TO_SIZES,AS$11,FALSE))</f>
        <v/>
      </c>
      <c r="AT35" s="129" t="str">
        <f>IFERROR(IF(HLOOKUP(AS35,$M$34:$AC$37,$AG35,FALSE)=0,"",HLOOKUP(AS35,$M$34:$AC$37,$AG35,FALSE)),"")</f>
        <v/>
      </c>
      <c r="AU35" s="130" t="str">
        <f>IF(VLOOKUP($AH35,SKUS_TO_SIZES,AU$11,FALSE)=0,"",VLOOKUP($AH35,SKUS_TO_SIZES,AU$11,FALSE))</f>
        <v/>
      </c>
      <c r="AV35" s="129" t="str">
        <f>IFERROR(IF(HLOOKUP(AU35,$M$34:$AC$37,$AG35,FALSE)=0,"",HLOOKUP(AU35,$M$34:$AC$37,$AG35,FALSE)),"")</f>
        <v/>
      </c>
      <c r="AW35" s="130" t="str">
        <f>IF(VLOOKUP($AH35,SKUS_TO_SIZES,AW$11,FALSE)=0,"",VLOOKUP($AH35,SKUS_TO_SIZES,AW$11,FALSE))</f>
        <v/>
      </c>
      <c r="AX35" s="129" t="str">
        <f>IFERROR(IF(HLOOKUP(AW35,$M$34:$AC$37,$AG35,FALSE)=0,"",HLOOKUP(AW35,$M$34:$AC$37,$AG35,FALSE)),"")</f>
        <v/>
      </c>
      <c r="AY35" s="130" t="str">
        <f>IF(VLOOKUP($AH35,SKUS_TO_SIZES,AY$11,FALSE)=0,"",VLOOKUP($AH35,SKUS_TO_SIZES,AY$11,FALSE))</f>
        <v/>
      </c>
      <c r="AZ35" s="129" t="str">
        <f>IFERROR(IF(HLOOKUP(AY35,$M$34:$AC$37,$AG35,FALSE)=0,"",HLOOKUP(AY35,$M$34:$AC$37,$AG35,FALSE)),"")</f>
        <v/>
      </c>
      <c r="BA35" s="130" t="str">
        <f>IF(VLOOKUP($AH35,SKUS_TO_SIZES,BA$11,FALSE)=0,"",VLOOKUP($AH35,SKUS_TO_SIZES,BA$11,FALSE))</f>
        <v/>
      </c>
      <c r="BB35" s="129" t="str">
        <f>IFERROR(IF(HLOOKUP(BA35,$M$34:$AC$37,$AG35,FALSE)=0,"",HLOOKUP(BA35,$M$34:$AC$37,$AG35,FALSE)),"")</f>
        <v/>
      </c>
      <c r="BC35" s="130" t="str">
        <f>IF(VLOOKUP($AH35,SKUS_TO_SIZES,BC$11,FALSE)=0,"",VLOOKUP($AH35,SKUS_TO_SIZES,BC$11,FALSE))</f>
        <v/>
      </c>
      <c r="BD35" s="129" t="str">
        <f>IFERROR(IF(HLOOKUP(BC35,$M$34:$AC$37,$AG35,FALSE)=0,"",HLOOKUP(BC35,$M$34:$AC$37,$AG35,FALSE)),"")</f>
        <v/>
      </c>
      <c r="BE35" s="130" t="str">
        <f>IF(VLOOKUP($AH35,SKUS_TO_SIZES,BE$11,FALSE)=0,"",VLOOKUP($AH35,SKUS_TO_SIZES,BE$11,FALSE))</f>
        <v/>
      </c>
      <c r="BF35" s="129" t="str">
        <f>IFERROR(IF(HLOOKUP(BE35,$M$34:$AC$37,$AG35,FALSE)=0,"",HLOOKUP(BE35,$M$34:$AC$37,$AG35,FALSE)),"")</f>
        <v/>
      </c>
    </row>
    <row r="36" spans="1:59" ht="12.75" customHeight="1">
      <c r="B36" s="9">
        <f>IF(SKI_CALCULATOR_TYPE=0,IF(ISBLANK(D36),MAX(B$15:B35),IF(AND(ISNUMBER(L36),L36&gt;0)=TRUE,MAX(B$15:B35)+1,MAX(B$15:B35))),0)</f>
        <v>0</v>
      </c>
      <c r="C36" s="10"/>
      <c r="D36" s="316" t="s">
        <v>273</v>
      </c>
      <c r="E36" s="525" t="str">
        <f>VLOOKUP(D36,SKUS_TO_SIZES,2,FALSE)</f>
        <v>RENTAL FIBER SR</v>
      </c>
      <c r="F36" s="526">
        <f>VLOOKUP(D36,SKUS_TO_SIZES,3,FALSE)</f>
        <v>33</v>
      </c>
      <c r="G36" s="526">
        <f>SUM(L36)*F36</f>
        <v>0</v>
      </c>
      <c r="H36" s="526">
        <f>IF(SKI_DISCOUNT_TYPE=1,IF($J$7=0,F36,F36*(SUM(1-$J$7))),IF(I36=0,F36,F36*(SUM(1-I36))))</f>
        <v>33</v>
      </c>
      <c r="I36" s="527">
        <v>0</v>
      </c>
      <c r="J36" s="528">
        <f>$J$7</f>
        <v>0</v>
      </c>
      <c r="K36" s="529">
        <f t="shared" ref="K36:K37" ca="1" si="65">SUM(M36:AD36)*H36</f>
        <v>0</v>
      </c>
      <c r="L36" s="540">
        <v>0</v>
      </c>
      <c r="M36" s="404">
        <f ca="1">IFERROR(ROUND($L36*HLOOKUP(M$34,INDIRECT("'Hidden Data'!"&amp;HLOOKUP(COLUMN(SKUS_TO_SIZES),NUMBER_TO_LETTER,2,FALSE)&amp;MATCH($D36,'Hidden Data'!$D:$D,0)&amp;":T"&amp;MATCH($D36&amp;"-sizecurve",'Hidden Data'!$D:$D,0)),2,FALSE),0)," ")</f>
        <v>0</v>
      </c>
      <c r="N36" s="405">
        <f ca="1">IFERROR(ROUND($L36*HLOOKUP(N$34,INDIRECT("'Hidden Data'!"&amp;HLOOKUP(COLUMN(SKUS_TO_SIZES),NUMBER_TO_LETTER,2,FALSE)&amp;MATCH($D36,'Hidden Data'!$D:$D,0)&amp;":T"&amp;MATCH($D36&amp;"-sizecurve",'Hidden Data'!$D:$D,0)),2,FALSE),0)," ")</f>
        <v>0</v>
      </c>
      <c r="O36" s="405">
        <f ca="1">IFERROR(ROUND($L36*HLOOKUP(O$34,INDIRECT("'Hidden Data'!"&amp;HLOOKUP(COLUMN(SKUS_TO_SIZES),NUMBER_TO_LETTER,2,FALSE)&amp;MATCH($D36,'Hidden Data'!$D:$D,0)&amp;":T"&amp;MATCH($D36&amp;"-sizecurve",'Hidden Data'!$D:$D,0)),2,FALSE),0)," ")</f>
        <v>0</v>
      </c>
      <c r="P36" s="405">
        <f ca="1">IFERROR(ROUND($L36*HLOOKUP(P$34,INDIRECT("'Hidden Data'!"&amp;HLOOKUP(COLUMN(SKUS_TO_SIZES),NUMBER_TO_LETTER,2,FALSE)&amp;MATCH($D36,'Hidden Data'!$D:$D,0)&amp;":T"&amp;MATCH($D36&amp;"-sizecurve",'Hidden Data'!$D:$D,0)),2,FALSE),0)," ")</f>
        <v>0</v>
      </c>
      <c r="Q36" s="405">
        <f ca="1">IFERROR(ROUND($L36*HLOOKUP(Q$34,INDIRECT("'Hidden Data'!"&amp;HLOOKUP(COLUMN(SKUS_TO_SIZES),NUMBER_TO_LETTER,2,FALSE)&amp;MATCH($D36,'Hidden Data'!$D:$D,0)&amp;":T"&amp;MATCH($D36&amp;"-sizecurve",'Hidden Data'!$D:$D,0)),2,FALSE),0)," ")</f>
        <v>0</v>
      </c>
      <c r="R36" s="405">
        <f ca="1">IFERROR(ROUND($L36*HLOOKUP(R$34,INDIRECT("'Hidden Data'!"&amp;HLOOKUP(COLUMN(SKUS_TO_SIZES),NUMBER_TO_LETTER,2,FALSE)&amp;MATCH($D36,'Hidden Data'!$D:$D,0)&amp;":T"&amp;MATCH($D36&amp;"-sizecurve",'Hidden Data'!$D:$D,0)),2,FALSE),0)," ")</f>
        <v>0</v>
      </c>
      <c r="S36" s="405">
        <f ca="1">IFERROR(ROUND($L36*HLOOKUP(S$34,INDIRECT("'Hidden Data'!"&amp;HLOOKUP(COLUMN(SKUS_TO_SIZES),NUMBER_TO_LETTER,2,FALSE)&amp;MATCH($D36,'Hidden Data'!$D:$D,0)&amp;":T"&amp;MATCH($D36&amp;"-sizecurve",'Hidden Data'!$D:$D,0)),2,FALSE),0)," ")</f>
        <v>0</v>
      </c>
      <c r="T36" s="410" t="str">
        <f ca="1">IFERROR(ROUND($L36*HLOOKUP(T$34,INDIRECT("'Hidden Data'!"&amp;HLOOKUP(COLUMN(SKUS_TO_SIZES),NUMBER_TO_LETTER,2,FALSE)&amp;MATCH($D36,'Hidden Data'!$D:$D,0)&amp;":T"&amp;MATCH($D36&amp;"-sizecurve",'Hidden Data'!$D:$D,0)),2,FALSE),0)," ")</f>
        <v xml:space="preserve"> </v>
      </c>
      <c r="U36" s="178"/>
      <c r="V36" s="178"/>
      <c r="W36" s="178"/>
      <c r="X36" s="178"/>
      <c r="Y36" s="179"/>
      <c r="Z36" s="179"/>
      <c r="AA36" s="179"/>
      <c r="AB36" s="179"/>
      <c r="AC36" s="179"/>
      <c r="AD36" s="179"/>
      <c r="AE36" s="179"/>
      <c r="AF36" s="10"/>
      <c r="AG36" s="1">
        <f t="shared" ref="AG36:AG37" si="66">AG35+1</f>
        <v>3</v>
      </c>
      <c r="AH36" s="288" t="str">
        <f>D36</f>
        <v>RDO7010</v>
      </c>
      <c r="AI36" s="130">
        <f>IF(VLOOKUP($AH36,SKUS_TO_SIZES,AI$11,FALSE)=0,"",VLOOKUP($AH36,SKUS_TO_SIZES,AI$11,FALSE))</f>
        <v>110</v>
      </c>
      <c r="AJ36" s="129" t="str">
        <f ca="1">IFERROR(IF(HLOOKUP(AI36,$M$34:$AC$37,$AG36,FALSE)=0,"",HLOOKUP(AI36,$M$34:$AC$37,$AG36,FALSE)),"")</f>
        <v/>
      </c>
      <c r="AK36" s="130">
        <f>IF(VLOOKUP($AH36,SKUS_TO_SIZES,AK$11,FALSE)=0,"",VLOOKUP($AH36,SKUS_TO_SIZES,AK$11,FALSE))</f>
        <v>115</v>
      </c>
      <c r="AL36" s="129" t="str">
        <f ca="1">IFERROR(IF(HLOOKUP(AK36,$M$34:$AC$37,$AG36,FALSE)=0,"",HLOOKUP(AK36,$M$34:$AC$37,$AG36,FALSE)),"")</f>
        <v/>
      </c>
      <c r="AM36" s="130">
        <f>IF(VLOOKUP($AH36,SKUS_TO_SIZES,AM$11,FALSE)=0,"",VLOOKUP($AH36,SKUS_TO_SIZES,AM$11,FALSE))</f>
        <v>120</v>
      </c>
      <c r="AN36" s="129" t="str">
        <f ca="1">IFERROR(IF(HLOOKUP(AM36,$M$34:$AC$37,$AG36,FALSE)=0,"",HLOOKUP(AM36,$M$34:$AC$37,$AG36,FALSE)),"")</f>
        <v/>
      </c>
      <c r="AO36" s="130">
        <f>IF(VLOOKUP($AH36,SKUS_TO_SIZES,AO$11,FALSE)=0,"",VLOOKUP($AH36,SKUS_TO_SIZES,AO$11,FALSE))</f>
        <v>125</v>
      </c>
      <c r="AP36" s="129" t="str">
        <f ca="1">IFERROR(IF(HLOOKUP(AO36,$M$34:$AC$37,$AG36,FALSE)=0,"",HLOOKUP(AO36,$M$34:$AC$37,$AG36,FALSE)),"")</f>
        <v/>
      </c>
      <c r="AQ36" s="130">
        <f>IF(VLOOKUP($AH36,SKUS_TO_SIZES,AQ$11,FALSE)=0,"",VLOOKUP($AH36,SKUS_TO_SIZES,AQ$11,FALSE))</f>
        <v>130</v>
      </c>
      <c r="AR36" s="129" t="str">
        <f ca="1">IFERROR(IF(HLOOKUP(AQ36,$M$34:$AC$37,$AG36,FALSE)=0,"",HLOOKUP(AQ36,$M$34:$AC$37,$AG36,FALSE)),"")</f>
        <v/>
      </c>
      <c r="AS36" s="130">
        <f>IF(VLOOKUP($AH36,SKUS_TO_SIZES,AS$11,FALSE)=0,"",VLOOKUP($AH36,SKUS_TO_SIZES,AS$11,FALSE))</f>
        <v>135</v>
      </c>
      <c r="AT36" s="129" t="str">
        <f ca="1">IFERROR(IF(HLOOKUP(AS36,$M$34:$AC$37,$AG36,FALSE)=0,"",HLOOKUP(AS36,$M$34:$AC$37,$AG36,FALSE)),"")</f>
        <v/>
      </c>
      <c r="AU36" s="130">
        <f>IF(VLOOKUP($AH36,SKUS_TO_SIZES,AU$11,FALSE)=0,"",VLOOKUP($AH36,SKUS_TO_SIZES,AU$11,FALSE))</f>
        <v>140</v>
      </c>
      <c r="AV36" s="129" t="str">
        <f ca="1">IFERROR(IF(HLOOKUP(AU36,$M$34:$AC$37,$AG36,FALSE)=0,"",HLOOKUP(AU36,$M$34:$AC$37,$AG36,FALSE)),"")</f>
        <v/>
      </c>
      <c r="AW36" s="130" t="str">
        <f>IF(VLOOKUP($AH36,SKUS_TO_SIZES,AW$11,FALSE)=0,"",VLOOKUP($AH36,SKUS_TO_SIZES,AW$11,FALSE))</f>
        <v/>
      </c>
      <c r="AX36" s="129" t="str">
        <f>IFERROR(IF(HLOOKUP(AW36,$M$34:$AC$37,$AG36,FALSE)=0,"",HLOOKUP(AW36,$M$34:$AC$37,$AG36,FALSE)),"")</f>
        <v/>
      </c>
      <c r="AY36" s="130" t="str">
        <f>IF(VLOOKUP($AH36,SKUS_TO_SIZES,AY$11,FALSE)=0,"",VLOOKUP($AH36,SKUS_TO_SIZES,AY$11,FALSE))</f>
        <v/>
      </c>
      <c r="AZ36" s="129" t="str">
        <f>IFERROR(IF(HLOOKUP(AY36,$M$34:$AC$37,$AG36,FALSE)=0,"",HLOOKUP(AY36,$M$34:$AC$37,$AG36,FALSE)),"")</f>
        <v/>
      </c>
      <c r="BA36" s="130" t="str">
        <f>IF(VLOOKUP($AH36,SKUS_TO_SIZES,BA$11,FALSE)=0,"",VLOOKUP($AH36,SKUS_TO_SIZES,BA$11,FALSE))</f>
        <v/>
      </c>
      <c r="BB36" s="129" t="str">
        <f>IFERROR(IF(HLOOKUP(BA36,$M$34:$AC$37,$AG36,FALSE)=0,"",HLOOKUP(BA36,$M$34:$AC$37,$AG36,FALSE)),"")</f>
        <v/>
      </c>
      <c r="BC36" s="130" t="str">
        <f>IF(VLOOKUP($AH36,SKUS_TO_SIZES,BC$11,FALSE)=0,"",VLOOKUP($AH36,SKUS_TO_SIZES,BC$11,FALSE))</f>
        <v/>
      </c>
      <c r="BD36" s="129" t="str">
        <f>IFERROR(IF(HLOOKUP(BC36,$M$34:$AC$37,$AG36,FALSE)=0,"",HLOOKUP(BC36,$M$34:$AC$37,$AG36,FALSE)),"")</f>
        <v/>
      </c>
      <c r="BE36" s="130" t="str">
        <f>IF(VLOOKUP($AH36,SKUS_TO_SIZES,BE$11,FALSE)=0,"",VLOOKUP($AH36,SKUS_TO_SIZES,BE$11,FALSE))</f>
        <v/>
      </c>
      <c r="BF36" s="129" t="str">
        <f>IFERROR(IF(HLOOKUP(BE36,$M$34:$AC$37,$AG36,FALSE)=0,"",HLOOKUP(BE36,$M$34:$AC$37,$AG36,FALSE)),"")</f>
        <v/>
      </c>
      <c r="BG36" s="8"/>
    </row>
    <row r="37" spans="1:59" ht="12.75" customHeight="1">
      <c r="B37" s="9">
        <f>IF(SKI_CALCULATOR_TYPE=0,IF(ISBLANK(D37),MAX(B$15:B36),IF(AND(ISNUMBER(L37),L37&gt;0)=TRUE,MAX(B$15:B36)+1,MAX(B$15:B36))),0)</f>
        <v>0</v>
      </c>
      <c r="C37" s="13"/>
      <c r="D37" s="314" t="s">
        <v>274</v>
      </c>
      <c r="E37" s="535" t="str">
        <f>VLOOKUP(D37,SKUS_TO_SIZES,2,FALSE)</f>
        <v>RENTAL SR</v>
      </c>
      <c r="F37" s="532">
        <f>VLOOKUP(D37,SKUS_TO_SIZES,3,FALSE)</f>
        <v>29</v>
      </c>
      <c r="G37" s="532">
        <f>SUM(L37)*F37</f>
        <v>0</v>
      </c>
      <c r="H37" s="532">
        <f>IF(SKI_DISCOUNT_TYPE=1,IF($J$7=0,F37,F37*(SUM(1-$J$7))),IF(I37=0,F37,F37*(SUM(1-I37))))</f>
        <v>29</v>
      </c>
      <c r="I37" s="536">
        <v>0</v>
      </c>
      <c r="J37" s="537">
        <f>$J$7</f>
        <v>0</v>
      </c>
      <c r="K37" s="538">
        <f t="shared" ca="1" si="65"/>
        <v>0</v>
      </c>
      <c r="L37" s="541">
        <v>0</v>
      </c>
      <c r="M37" s="407">
        <f ca="1">IFERROR(ROUND($L37*HLOOKUP(M$34,INDIRECT("'Hidden Data'!"&amp;HLOOKUP(COLUMN(SKUS_TO_SIZES),NUMBER_TO_LETTER,2,FALSE)&amp;MATCH($D37,'Hidden Data'!$D:$D,0)&amp;":T"&amp;MATCH($D37&amp;"-sizecurve",'Hidden Data'!$D:$D,0)),2,FALSE),0)," ")</f>
        <v>0</v>
      </c>
      <c r="N37" s="408">
        <f ca="1">IFERROR(ROUND($L37*HLOOKUP(N$34,INDIRECT("'Hidden Data'!"&amp;HLOOKUP(COLUMN(SKUS_TO_SIZES),NUMBER_TO_LETTER,2,FALSE)&amp;MATCH($D37,'Hidden Data'!$D:$D,0)&amp;":T"&amp;MATCH($D37&amp;"-sizecurve",'Hidden Data'!$D:$D,0)),2,FALSE),0)," ")</f>
        <v>0</v>
      </c>
      <c r="O37" s="408">
        <f ca="1">IFERROR(ROUND($L37*HLOOKUP(O$34,INDIRECT("'Hidden Data'!"&amp;HLOOKUP(COLUMN(SKUS_TO_SIZES),NUMBER_TO_LETTER,2,FALSE)&amp;MATCH($D37,'Hidden Data'!$D:$D,0)&amp;":T"&amp;MATCH($D37&amp;"-sizecurve",'Hidden Data'!$D:$D,0)),2,FALSE),0)," ")</f>
        <v>0</v>
      </c>
      <c r="P37" s="408">
        <f ca="1">IFERROR(ROUND($L37*HLOOKUP(P$34,INDIRECT("'Hidden Data'!"&amp;HLOOKUP(COLUMN(SKUS_TO_SIZES),NUMBER_TO_LETTER,2,FALSE)&amp;MATCH($D37,'Hidden Data'!$D:$D,0)&amp;":T"&amp;MATCH($D37&amp;"-sizecurve",'Hidden Data'!$D:$D,0)),2,FALSE),0)," ")</f>
        <v>0</v>
      </c>
      <c r="Q37" s="408">
        <f ca="1">IFERROR(ROUND($L37*HLOOKUP(Q$34,INDIRECT("'Hidden Data'!"&amp;HLOOKUP(COLUMN(SKUS_TO_SIZES),NUMBER_TO_LETTER,2,FALSE)&amp;MATCH($D37,'Hidden Data'!$D:$D,0)&amp;":T"&amp;MATCH($D37&amp;"-sizecurve",'Hidden Data'!$D:$D,0)),2,FALSE),0)," ")</f>
        <v>0</v>
      </c>
      <c r="R37" s="408">
        <f ca="1">IFERROR(ROUND($L37*HLOOKUP(R$34,INDIRECT("'Hidden Data'!"&amp;HLOOKUP(COLUMN(SKUS_TO_SIZES),NUMBER_TO_LETTER,2,FALSE)&amp;MATCH($D37,'Hidden Data'!$D:$D,0)&amp;":T"&amp;MATCH($D37&amp;"-sizecurve",'Hidden Data'!$D:$D,0)),2,FALSE),0)," ")</f>
        <v>0</v>
      </c>
      <c r="S37" s="408">
        <f ca="1">IFERROR(ROUND($L37*HLOOKUP(S$34,INDIRECT("'Hidden Data'!"&amp;HLOOKUP(COLUMN(SKUS_TO_SIZES),NUMBER_TO_LETTER,2,FALSE)&amp;MATCH($D37,'Hidden Data'!$D:$D,0)&amp;":T"&amp;MATCH($D37&amp;"-sizecurve",'Hidden Data'!$D:$D,0)),2,FALSE),0)," ")</f>
        <v>0</v>
      </c>
      <c r="T37" s="411" t="str">
        <f ca="1">IFERROR(ROUND($L37*HLOOKUP(T$34,INDIRECT("'Hidden Data'!"&amp;HLOOKUP(COLUMN(SKUS_TO_SIZES),NUMBER_TO_LETTER,2,FALSE)&amp;MATCH($D37,'Hidden Data'!$D:$D,0)&amp;":T"&amp;MATCH($D37&amp;"-sizecurve",'Hidden Data'!$D:$D,0)),2,FALSE),0)," ")</f>
        <v xml:space="preserve"> </v>
      </c>
      <c r="U37" s="178"/>
      <c r="V37" s="178"/>
      <c r="W37" s="178"/>
      <c r="X37" s="178"/>
      <c r="Y37" s="178"/>
      <c r="Z37" s="178"/>
      <c r="AA37" s="178"/>
      <c r="AB37" s="178"/>
      <c r="AC37" s="178"/>
      <c r="AD37" s="178"/>
      <c r="AE37" s="178"/>
      <c r="AF37" s="10"/>
      <c r="AG37" s="1">
        <f t="shared" si="66"/>
        <v>4</v>
      </c>
      <c r="AH37" s="288" t="str">
        <f>D37</f>
        <v>RDO7000</v>
      </c>
      <c r="AI37" s="130">
        <f>IF(VLOOKUP($AH37,SKUS_TO_SIZES,AI$11,FALSE)=0,"",VLOOKUP($AH37,SKUS_TO_SIZES,AI$11,FALSE))</f>
        <v>110</v>
      </c>
      <c r="AJ37" s="129" t="str">
        <f ca="1">IFERROR(IF(HLOOKUP(AI37,$M$34:$AC$37,$AG37,FALSE)=0,"",HLOOKUP(AI37,$M$34:$AC$37,$AG37,FALSE)),"")</f>
        <v/>
      </c>
      <c r="AK37" s="130">
        <f>IF(VLOOKUP($AH37,SKUS_TO_SIZES,AK$11,FALSE)=0,"",VLOOKUP($AH37,SKUS_TO_SIZES,AK$11,FALSE))</f>
        <v>115</v>
      </c>
      <c r="AL37" s="129" t="str">
        <f ca="1">IFERROR(IF(HLOOKUP(AK37,$M$34:$AC$37,$AG37,FALSE)=0,"",HLOOKUP(AK37,$M$34:$AC$37,$AG37,FALSE)),"")</f>
        <v/>
      </c>
      <c r="AM37" s="130">
        <f>IF(VLOOKUP($AH37,SKUS_TO_SIZES,AM$11,FALSE)=0,"",VLOOKUP($AH37,SKUS_TO_SIZES,AM$11,FALSE))</f>
        <v>120</v>
      </c>
      <c r="AN37" s="129" t="str">
        <f ca="1">IFERROR(IF(HLOOKUP(AM37,$M$34:$AC$37,$AG37,FALSE)=0,"",HLOOKUP(AM37,$M$34:$AC$37,$AG37,FALSE)),"")</f>
        <v/>
      </c>
      <c r="AO37" s="130">
        <f>IF(VLOOKUP($AH37,SKUS_TO_SIZES,AO$11,FALSE)=0,"",VLOOKUP($AH37,SKUS_TO_SIZES,AO$11,FALSE))</f>
        <v>125</v>
      </c>
      <c r="AP37" s="129" t="str">
        <f ca="1">IFERROR(IF(HLOOKUP(AO37,$M$34:$AC$37,$AG37,FALSE)=0,"",HLOOKUP(AO37,$M$34:$AC$37,$AG37,FALSE)),"")</f>
        <v/>
      </c>
      <c r="AQ37" s="130">
        <f>IF(VLOOKUP($AH37,SKUS_TO_SIZES,AQ$11,FALSE)=0,"",VLOOKUP($AH37,SKUS_TO_SIZES,AQ$11,FALSE))</f>
        <v>130</v>
      </c>
      <c r="AR37" s="129" t="str">
        <f ca="1">IFERROR(IF(HLOOKUP(AQ37,$M$34:$AC$37,$AG37,FALSE)=0,"",HLOOKUP(AQ37,$M$34:$AC$37,$AG37,FALSE)),"")</f>
        <v/>
      </c>
      <c r="AS37" s="130">
        <f>IF(VLOOKUP($AH37,SKUS_TO_SIZES,AS$11,FALSE)=0,"",VLOOKUP($AH37,SKUS_TO_SIZES,AS$11,FALSE))</f>
        <v>135</v>
      </c>
      <c r="AT37" s="129" t="str">
        <f ca="1">IFERROR(IF(HLOOKUP(AS37,$M$34:$AC$37,$AG37,FALSE)=0,"",HLOOKUP(AS37,$M$34:$AC$37,$AG37,FALSE)),"")</f>
        <v/>
      </c>
      <c r="AU37" s="130">
        <f>IF(VLOOKUP($AH37,SKUS_TO_SIZES,AU$11,FALSE)=0,"",VLOOKUP($AH37,SKUS_TO_SIZES,AU$11,FALSE))</f>
        <v>140</v>
      </c>
      <c r="AV37" s="129" t="str">
        <f ca="1">IFERROR(IF(HLOOKUP(AU37,$M$34:$AC$37,$AG37,FALSE)=0,"",HLOOKUP(AU37,$M$34:$AC$37,$AG37,FALSE)),"")</f>
        <v/>
      </c>
      <c r="AW37" s="130" t="str">
        <f>IF(VLOOKUP($AH37,SKUS_TO_SIZES,AW$11,FALSE)=0,"",VLOOKUP($AH37,SKUS_TO_SIZES,AW$11,FALSE))</f>
        <v/>
      </c>
      <c r="AX37" s="129" t="str">
        <f>IFERROR(IF(HLOOKUP(AW37,$M$34:$AC$37,$AG37,FALSE)=0,"",HLOOKUP(AW37,$M$34:$AC$37,$AG37,FALSE)),"")</f>
        <v/>
      </c>
      <c r="AY37" s="130" t="str">
        <f>IF(VLOOKUP($AH37,SKUS_TO_SIZES,AY$11,FALSE)=0,"",VLOOKUP($AH37,SKUS_TO_SIZES,AY$11,FALSE))</f>
        <v/>
      </c>
      <c r="AZ37" s="129" t="str">
        <f>IFERROR(IF(HLOOKUP(AY37,$M$34:$AC$37,$AG37,FALSE)=0,"",HLOOKUP(AY37,$M$34:$AC$37,$AG37,FALSE)),"")</f>
        <v/>
      </c>
      <c r="BA37" s="130" t="str">
        <f>IF(VLOOKUP($AH37,SKUS_TO_SIZES,BA$11,FALSE)=0,"",VLOOKUP($AH37,SKUS_TO_SIZES,BA$11,FALSE))</f>
        <v/>
      </c>
      <c r="BB37" s="129" t="str">
        <f>IFERROR(IF(HLOOKUP(BA37,$M$34:$AC$37,$AG37,FALSE)=0,"",HLOOKUP(BA37,$M$34:$AC$37,$AG37,FALSE)),"")</f>
        <v/>
      </c>
      <c r="BC37" s="130" t="str">
        <f>IF(VLOOKUP($AH37,SKUS_TO_SIZES,BC$11,FALSE)=0,"",VLOOKUP($AH37,SKUS_TO_SIZES,BC$11,FALSE))</f>
        <v/>
      </c>
      <c r="BD37" s="129" t="str">
        <f>IFERROR(IF(HLOOKUP(BC37,$M$34:$AC$37,$AG37,FALSE)=0,"",HLOOKUP(BC37,$M$34:$AC$37,$AG37,FALSE)),"")</f>
        <v/>
      </c>
      <c r="BE37" s="130" t="str">
        <f>IF(VLOOKUP($AH37,SKUS_TO_SIZES,BE$11,FALSE)=0,"",VLOOKUP($AH37,SKUS_TO_SIZES,BE$11,FALSE))</f>
        <v/>
      </c>
      <c r="BF37" s="129" t="str">
        <f>IFERROR(IF(HLOOKUP(BE37,$M$34:$AC$37,$AG37,FALSE)=0,"",HLOOKUP(BE37,$M$34:$AC$37,$AG37,FALSE)),"")</f>
        <v/>
      </c>
    </row>
    <row r="38" spans="1:59" ht="12.75" customHeight="1">
      <c r="B38" s="9">
        <f>IF(SKI_CALCULATOR_TYPE=0,IF(ISBLANK(D38),MAX(B$15:B37),IF(AND(ISNUMBER(L38),L38&gt;0)=TRUE,MAX(B$15:B37)+1,MAX(B$15:B37))),0)</f>
        <v>0</v>
      </c>
      <c r="C38" s="10"/>
      <c r="D38" s="178"/>
      <c r="E38" s="209"/>
      <c r="F38" s="210"/>
      <c r="G38" s="395">
        <f>SUM(G35:G37)</f>
        <v>0</v>
      </c>
      <c r="H38" s="210"/>
      <c r="I38" s="210"/>
      <c r="J38" s="210"/>
      <c r="K38" s="309">
        <f ca="1">SUM(K35:K37)</f>
        <v>0</v>
      </c>
      <c r="L38" s="310">
        <f ca="1">SUM(M38:AD38)</f>
        <v>0</v>
      </c>
      <c r="M38" s="229">
        <f ca="1">SUM(M35:M37)</f>
        <v>0</v>
      </c>
      <c r="N38" s="235">
        <f t="shared" ref="N38:S38" ca="1" si="67">SUM(N35:N37)</f>
        <v>0</v>
      </c>
      <c r="O38" s="235">
        <f t="shared" ca="1" si="67"/>
        <v>0</v>
      </c>
      <c r="P38" s="235">
        <f t="shared" ca="1" si="67"/>
        <v>0</v>
      </c>
      <c r="Q38" s="235">
        <f t="shared" ca="1" si="67"/>
        <v>0</v>
      </c>
      <c r="R38" s="235">
        <f t="shared" ca="1" si="67"/>
        <v>0</v>
      </c>
      <c r="S38" s="235">
        <f t="shared" ca="1" si="67"/>
        <v>0</v>
      </c>
      <c r="T38" s="230">
        <f ca="1">SUM(T35:T37)</f>
        <v>0</v>
      </c>
      <c r="U38" s="178"/>
      <c r="V38" s="178"/>
      <c r="W38" s="178"/>
      <c r="X38" s="209"/>
      <c r="Y38" s="209"/>
      <c r="Z38" s="209"/>
      <c r="AA38" s="209"/>
      <c r="AB38" s="209"/>
      <c r="AC38" s="209"/>
      <c r="AD38" s="209"/>
      <c r="AE38" s="209"/>
      <c r="AF38" s="10"/>
      <c r="AI38" s="1"/>
      <c r="AJ38" s="41"/>
      <c r="AK38" s="1"/>
      <c r="AL38" s="41"/>
      <c r="AM38" s="1"/>
      <c r="AN38" s="41"/>
      <c r="AO38" s="1"/>
      <c r="AP38" s="41"/>
      <c r="AQ38" s="1"/>
      <c r="AR38" s="41"/>
      <c r="AS38" s="1"/>
      <c r="AT38" s="41"/>
      <c r="AU38" s="1"/>
      <c r="AV38" s="41"/>
      <c r="AW38" s="1"/>
      <c r="AX38" s="41"/>
      <c r="AY38" s="1"/>
      <c r="AZ38" s="41"/>
      <c r="BA38" s="1"/>
      <c r="BB38" s="41"/>
      <c r="BC38" s="1"/>
      <c r="BD38" s="41"/>
      <c r="BE38" s="1"/>
      <c r="BF38" s="41"/>
    </row>
    <row r="39" spans="1:59" ht="12.75" customHeight="1">
      <c r="B39" s="9">
        <f>IF(SKI_CALCULATOR_TYPE=0,IF(ISBLANK(D39),MAX(B$15:B38),IF(AND(ISNUMBER(L39),L39&gt;0)=TRUE,MAX(B$15:B38)+1,MAX(B$15:B38))),0)</f>
        <v>0</v>
      </c>
      <c r="C39" s="10"/>
      <c r="D39" s="208"/>
      <c r="E39" s="209"/>
      <c r="F39" s="186"/>
      <c r="G39" s="186"/>
      <c r="H39" s="186"/>
      <c r="I39" s="187"/>
      <c r="J39" s="187"/>
      <c r="K39" s="188"/>
      <c r="L39" s="279"/>
      <c r="M39" s="179"/>
      <c r="N39" s="179"/>
      <c r="O39" s="178"/>
      <c r="P39" s="178"/>
      <c r="Q39" s="178"/>
      <c r="R39" s="178"/>
      <c r="S39" s="178"/>
      <c r="T39" s="178"/>
      <c r="U39" s="178"/>
      <c r="V39" s="178"/>
      <c r="W39" s="178"/>
      <c r="X39" s="178"/>
      <c r="Y39" s="178"/>
      <c r="Z39" s="178"/>
      <c r="AA39" s="178"/>
      <c r="AB39" s="178"/>
      <c r="AC39" s="178"/>
      <c r="AD39" s="178"/>
      <c r="AE39" s="178"/>
      <c r="AF39" s="12"/>
      <c r="AG39" s="149"/>
      <c r="AH39" s="15"/>
      <c r="AI39" s="38"/>
      <c r="AJ39" s="15"/>
      <c r="AK39" s="38"/>
      <c r="AL39" s="15"/>
      <c r="AM39" s="38"/>
      <c r="AN39" s="15"/>
      <c r="AO39" s="38"/>
      <c r="AP39" s="15"/>
      <c r="AQ39" s="38"/>
      <c r="AR39" s="15"/>
      <c r="AS39" s="38"/>
      <c r="AT39" s="15"/>
      <c r="AU39" s="38"/>
      <c r="AV39" s="15"/>
      <c r="AW39" s="38"/>
      <c r="AX39" s="15"/>
      <c r="AY39" s="38"/>
      <c r="AZ39" s="15"/>
      <c r="BA39" s="38"/>
      <c r="BB39" s="15"/>
      <c r="BC39" s="38"/>
      <c r="BD39" s="8"/>
      <c r="BG39" s="41"/>
    </row>
    <row r="40" spans="1:59" s="8" customFormat="1" ht="14">
      <c r="A40" s="1"/>
      <c r="B40" s="9">
        <f>IF(SKI_CALCULATOR_TYPE=0,IF(ISBLANK(D40),MAX(B$15:B39),IF(AND(ISNUMBER(L40),L40&gt;0)=TRUE,MAX(B$15:B39)+1,MAX(B$15:B39))),0)</f>
        <v>0</v>
      </c>
      <c r="C40" s="12"/>
      <c r="D40" s="961" t="s">
        <v>103</v>
      </c>
      <c r="E40" s="961"/>
      <c r="F40" s="961"/>
      <c r="G40" s="961"/>
      <c r="H40" s="961"/>
      <c r="I40" s="961"/>
      <c r="J40" s="961"/>
      <c r="K40" s="961"/>
      <c r="L40" s="961"/>
      <c r="M40" s="961"/>
      <c r="N40" s="961"/>
      <c r="O40" s="961"/>
      <c r="P40" s="961"/>
      <c r="Q40" s="961"/>
      <c r="R40" s="961"/>
      <c r="S40" s="961"/>
      <c r="T40" s="961"/>
      <c r="U40" s="961"/>
      <c r="V40" s="961"/>
      <c r="W40" s="961"/>
      <c r="X40" s="961"/>
      <c r="Y40" s="961"/>
      <c r="Z40" s="961"/>
      <c r="AA40" s="961"/>
      <c r="AB40" s="961"/>
      <c r="AC40" s="961"/>
      <c r="AD40" s="961"/>
      <c r="AE40" s="961"/>
      <c r="AF40" s="10"/>
      <c r="AI40" s="43"/>
      <c r="AK40" s="43"/>
      <c r="AM40" s="43"/>
      <c r="AO40" s="43"/>
      <c r="AQ40" s="43"/>
      <c r="AS40" s="43"/>
      <c r="AU40" s="43"/>
      <c r="AW40" s="43"/>
      <c r="AY40" s="43"/>
      <c r="BA40" s="43"/>
      <c r="BC40" s="43"/>
      <c r="BE40" s="43"/>
    </row>
    <row r="41" spans="1:59" ht="12.75" customHeight="1">
      <c r="B41" s="9">
        <f>IF(SKI_CALCULATOR_TYPE=0,IF(ISBLANK(D41),MAX(B$15:B40),IF(AND(ISNUMBER(L41),L41&gt;0)=TRUE,MAX(B$15:B40)+1,MAX(B$15:B40))),0)</f>
        <v>0</v>
      </c>
      <c r="C41" s="10"/>
      <c r="D41" s="955" t="s">
        <v>110</v>
      </c>
      <c r="E41" s="956"/>
      <c r="F41" s="293"/>
      <c r="G41" s="291"/>
      <c r="H41" s="289"/>
      <c r="I41" s="289"/>
      <c r="J41" s="289"/>
      <c r="K41" s="289"/>
      <c r="L41" s="289"/>
      <c r="M41" s="289"/>
      <c r="N41" s="289"/>
      <c r="O41" s="289"/>
      <c r="P41" s="289"/>
      <c r="Q41" s="289"/>
      <c r="R41" s="289"/>
      <c r="S41" s="289"/>
      <c r="X41" s="8"/>
      <c r="Y41" s="8"/>
      <c r="Z41" s="8"/>
      <c r="AA41" s="8"/>
      <c r="AB41" s="8"/>
      <c r="AC41" s="8"/>
      <c r="AD41" s="8"/>
      <c r="AE41" s="8"/>
      <c r="AF41" s="10"/>
      <c r="AI41" s="1"/>
      <c r="AJ41" s="41"/>
      <c r="AK41" s="1"/>
      <c r="AL41" s="41"/>
      <c r="AM41" s="1"/>
      <c r="AN41" s="41"/>
      <c r="AO41" s="1"/>
      <c r="AP41" s="41"/>
      <c r="AQ41" s="1"/>
      <c r="AR41" s="41"/>
      <c r="AS41" s="1"/>
      <c r="AT41" s="41"/>
      <c r="AU41" s="1"/>
      <c r="AV41" s="41"/>
      <c r="AW41" s="1"/>
      <c r="AX41" s="41"/>
      <c r="AY41" s="1"/>
      <c r="AZ41" s="41"/>
      <c r="BA41" s="1"/>
      <c r="BB41" s="41"/>
      <c r="BC41" s="1"/>
      <c r="BD41" s="41"/>
      <c r="BE41" s="1"/>
      <c r="BF41" s="41"/>
    </row>
    <row r="42" spans="1:59" ht="12.75" customHeight="1" thickBot="1">
      <c r="B42" s="9">
        <f>IF(SKI_CALCULATOR_TYPE=0,IF(ISBLANK(D42),MAX(B$15:B41),IF(AND(ISNUMBER(L42),L42&gt;0)=TRUE,MAX(B$15:B41)+1,MAX(B$15:B41))),0)</f>
        <v>0</v>
      </c>
      <c r="C42" s="10"/>
      <c r="D42" s="295" t="s">
        <v>0</v>
      </c>
      <c r="E42" s="313" t="s">
        <v>1</v>
      </c>
      <c r="F42" s="305" t="s">
        <v>43</v>
      </c>
      <c r="G42" s="305" t="s">
        <v>19</v>
      </c>
      <c r="H42" s="327" t="s">
        <v>102</v>
      </c>
      <c r="I42" s="331" t="s">
        <v>21</v>
      </c>
      <c r="J42" s="311" t="s">
        <v>21</v>
      </c>
      <c r="K42" s="317" t="s">
        <v>6</v>
      </c>
      <c r="L42" s="302" t="s">
        <v>5</v>
      </c>
      <c r="M42" s="300">
        <v>70</v>
      </c>
      <c r="N42" s="301">
        <v>80</v>
      </c>
      <c r="O42" s="301">
        <v>92</v>
      </c>
      <c r="P42" s="301">
        <v>104</v>
      </c>
      <c r="Q42" s="301">
        <v>110</v>
      </c>
      <c r="R42" s="301">
        <v>116</v>
      </c>
      <c r="S42" s="303">
        <v>122</v>
      </c>
      <c r="T42" s="303">
        <v>128</v>
      </c>
      <c r="U42" s="303">
        <v>140</v>
      </c>
      <c r="V42" s="209"/>
      <c r="W42" s="209"/>
      <c r="X42" s="209"/>
      <c r="Y42" s="209"/>
      <c r="Z42" s="209"/>
      <c r="AA42" s="209"/>
      <c r="AB42" s="209"/>
      <c r="AC42" s="209"/>
      <c r="AD42" s="209"/>
      <c r="AE42" s="209"/>
      <c r="AF42" s="10"/>
      <c r="AI42" s="1"/>
      <c r="AJ42" s="41"/>
      <c r="AK42" s="1"/>
      <c r="AL42" s="41"/>
      <c r="AM42" s="1"/>
      <c r="AN42" s="41"/>
      <c r="AO42" s="1"/>
      <c r="AP42" s="41"/>
      <c r="AQ42" s="1"/>
      <c r="AR42" s="41"/>
      <c r="AS42" s="1"/>
      <c r="AT42" s="41"/>
      <c r="AU42" s="1"/>
      <c r="AV42" s="41"/>
      <c r="AW42" s="1"/>
      <c r="AX42" s="41"/>
      <c r="AY42" s="1"/>
      <c r="AZ42" s="41"/>
      <c r="BA42" s="1"/>
      <c r="BB42" s="41"/>
      <c r="BC42" s="1"/>
      <c r="BD42" s="41"/>
      <c r="BE42" s="1"/>
      <c r="BF42" s="41"/>
    </row>
    <row r="43" spans="1:59" ht="12.75" customHeight="1" thickTop="1">
      <c r="A43" s="8"/>
      <c r="B43" s="455">
        <f>IF(SKI_CALCULATOR_TYPE=0,IF(ISBLANK(D43),MAX(B$15:B42),IF(AND(ISNUMBER(L43),L43&gt;0)=TRUE,MAX(B$15:B42)+1,MAX(B$15:B42))),0)</f>
        <v>0</v>
      </c>
      <c r="C43" s="10"/>
      <c r="D43" s="390" t="s">
        <v>276</v>
      </c>
      <c r="E43" s="519" t="str">
        <f>VLOOKUP(D43,SKUS_TO_SIZES,2,FALSE)</f>
        <v>EXPERIENCE JR KID-X KID 4 GW B76</v>
      </c>
      <c r="F43" s="520">
        <f>VLOOKUP(D43,SKUS_TO_SIZES,3,FALSE)</f>
        <v>189</v>
      </c>
      <c r="G43" s="520">
        <f ca="1">SUM(M43:W43)*F43</f>
        <v>0</v>
      </c>
      <c r="H43" s="520">
        <f>IF(SKI_DISCOUNT_TYPE=1,IF($J$10=0,F43,F43*(SUM(1-$J$10))),IF(I43=0,F43,F43*(SUM(1-I43))))</f>
        <v>189</v>
      </c>
      <c r="I43" s="521">
        <v>0</v>
      </c>
      <c r="J43" s="522">
        <f>$J$10</f>
        <v>0</v>
      </c>
      <c r="K43" s="656">
        <f ca="1">SUM(M43:AD43)*H43</f>
        <v>0</v>
      </c>
      <c r="L43" s="968">
        <v>0</v>
      </c>
      <c r="M43" s="610" t="str">
        <f ca="1">IFERROR(ROUND($L43*HLOOKUP(M$42,INDIRECT("'Hidden Data'!"&amp;HLOOKUP(COLUMN(SKUS_TO_SIZES),NUMBER_TO_LETTER,2,FALSE)&amp;MATCH($D43,'Hidden Data'!$D:$D,0)&amp;":T"&amp;MATCH($D43&amp;"-sizecurve",'Hidden Data'!$D:$D,0)),2,FALSE),0)," ")</f>
        <v xml:space="preserve"> </v>
      </c>
      <c r="N43" s="611" t="str">
        <f ca="1">IFERROR(ROUND($L43*HLOOKUP(N$42,INDIRECT("'Hidden Data'!"&amp;HLOOKUP(COLUMN(SKUS_TO_SIZES),NUMBER_TO_LETTER,2,FALSE)&amp;MATCH($D43,'Hidden Data'!$D:$D,0)&amp;":T"&amp;MATCH($D43&amp;"-sizecurve",'Hidden Data'!$D:$D,0)),2,FALSE),0)," ")</f>
        <v xml:space="preserve"> </v>
      </c>
      <c r="O43" s="611" t="str">
        <f ca="1">IFERROR(ROUND($L43*HLOOKUP(O$42,INDIRECT("'Hidden Data'!"&amp;HLOOKUP(COLUMN(SKUS_TO_SIZES),NUMBER_TO_LETTER,2,FALSE)&amp;MATCH($D43,'Hidden Data'!$D:$D,0)&amp;":T"&amp;MATCH($D43&amp;"-sizecurve",'Hidden Data'!$D:$D,0)),2,FALSE),0)," ")</f>
        <v xml:space="preserve"> </v>
      </c>
      <c r="P43" s="611">
        <f ca="1">IFERROR(ROUND($L43*HLOOKUP(P$42,INDIRECT("'Hidden Data'!"&amp;HLOOKUP(COLUMN(SKUS_TO_SIZES),NUMBER_TO_LETTER,2,FALSE)&amp;MATCH($D43,'Hidden Data'!$D:$D,0)&amp;":T"&amp;MATCH($D43&amp;"-sizecurve",'Hidden Data'!$D:$D,0)),2,FALSE),0)," ")</f>
        <v>0</v>
      </c>
      <c r="Q43" s="611">
        <f ca="1">IFERROR(ROUND($L43*HLOOKUP(Q$42,INDIRECT("'Hidden Data'!"&amp;HLOOKUP(COLUMN(SKUS_TO_SIZES),NUMBER_TO_LETTER,2,FALSE)&amp;MATCH($D43,'Hidden Data'!$D:$D,0)&amp;":T"&amp;MATCH($D43&amp;"-sizecurve",'Hidden Data'!$D:$D,0)),2,FALSE),0)," ")</f>
        <v>0</v>
      </c>
      <c r="R43" s="611">
        <f ca="1">IFERROR(ROUND($L43*HLOOKUP(R$42,INDIRECT("'Hidden Data'!"&amp;HLOOKUP(COLUMN(SKUS_TO_SIZES),NUMBER_TO_LETTER,2,FALSE)&amp;MATCH($D43,'Hidden Data'!$D:$D,0)&amp;":T"&amp;MATCH($D43&amp;"-sizecurve",'Hidden Data'!$D:$D,0)),2,FALSE),0)," ")</f>
        <v>0</v>
      </c>
      <c r="S43" s="611">
        <f ca="1">IFERROR(ROUND($L43*HLOOKUP(S$42,INDIRECT("'Hidden Data'!"&amp;HLOOKUP(COLUMN(SKUS_TO_SIZES),NUMBER_TO_LETTER,2,FALSE)&amp;MATCH($D43,'Hidden Data'!$D:$D,0)&amp;":T"&amp;MATCH($D43&amp;"-sizecurve",'Hidden Data'!$D:$D,0)),2,FALSE),0)," ")</f>
        <v>0</v>
      </c>
      <c r="T43" s="611">
        <f ca="1">IFERROR(ROUND($L43*HLOOKUP(T$42,INDIRECT("'Hidden Data'!"&amp;HLOOKUP(COLUMN(SKUS_TO_SIZES),NUMBER_TO_LETTER,2,FALSE)&amp;MATCH($D43,'Hidden Data'!$D:$D,0)&amp;":T"&amp;MATCH($D43&amp;"-sizecurve",'Hidden Data'!$D:$D,0)),2,FALSE),0)," ")</f>
        <v>0</v>
      </c>
      <c r="U43" s="612">
        <f ca="1">IFERROR(ROUND($L43*HLOOKUP(U$42,INDIRECT("'Hidden Data'!"&amp;HLOOKUP(COLUMN(SKUS_TO_SIZES),NUMBER_TO_LETTER,2,FALSE)&amp;MATCH($D43,'Hidden Data'!$D:$D,0)&amp;":T"&amp;MATCH($D43&amp;"-sizecurve",'Hidden Data'!$D:$D,0)),2,FALSE),0)," ")</f>
        <v>0</v>
      </c>
      <c r="V43" s="209"/>
      <c r="W43" s="209"/>
      <c r="X43" s="209"/>
      <c r="Y43" s="209"/>
      <c r="Z43" s="209"/>
      <c r="AA43" s="209"/>
      <c r="AB43" s="209"/>
      <c r="AC43" s="209"/>
      <c r="AD43" s="209"/>
      <c r="AE43" s="209"/>
      <c r="AF43" s="10"/>
      <c r="AG43" s="1">
        <v>2</v>
      </c>
      <c r="AH43" s="288" t="str">
        <f>D43</f>
        <v>RROJC05W</v>
      </c>
      <c r="AI43" s="130">
        <f>IF(VLOOKUP($AH43,SKUS_TO_SIZES,AI$11,FALSE)=0,"",VLOOKUP($AH43,SKUS_TO_SIZES,AI$11,FALSE))</f>
        <v>104</v>
      </c>
      <c r="AJ43" s="129" t="str">
        <f ca="1">IFERROR(IF(HLOOKUP(AI43,$M$42:$AC$44,$AG43,FALSE)=0,"",HLOOKUP(AI43,$M$42:$AC$44,$AG43,FALSE)),"")</f>
        <v/>
      </c>
      <c r="AK43" s="130">
        <f>IF(VLOOKUP($AH43,SKUS_TO_SIZES,AK$11,FALSE)=0,"",VLOOKUP($AH43,SKUS_TO_SIZES,AK$11,FALSE))</f>
        <v>110</v>
      </c>
      <c r="AL43" s="129" t="str">
        <f ca="1">IFERROR(IF(HLOOKUP(AK43,$M$42:$AC$44,$AG43,FALSE)=0,"",HLOOKUP(AK43,$M$42:$AC$44,$AG43,FALSE)),"")</f>
        <v/>
      </c>
      <c r="AM43" s="130">
        <f>IF(VLOOKUP($AH43,SKUS_TO_SIZES,AM$11,FALSE)=0,"",VLOOKUP($AH43,SKUS_TO_SIZES,AM$11,FALSE))</f>
        <v>116</v>
      </c>
      <c r="AN43" s="129" t="str">
        <f ca="1">IFERROR(IF(HLOOKUP(AM43,$M$42:$AC$44,$AG43,FALSE)=0,"",HLOOKUP(AM43,$M$42:$AC$44,$AG43,FALSE)),"")</f>
        <v/>
      </c>
      <c r="AO43" s="130">
        <f>IF(VLOOKUP($AH43,SKUS_TO_SIZES,AO$11,FALSE)=0,"",VLOOKUP($AH43,SKUS_TO_SIZES,AO$11,FALSE))</f>
        <v>122</v>
      </c>
      <c r="AP43" s="129" t="str">
        <f ca="1">IFERROR(IF(HLOOKUP(AO43,$M$42:$AC$44,$AG43,FALSE)=0,"",HLOOKUP(AO43,$M$42:$AC$44,$AG43,FALSE)),"")</f>
        <v/>
      </c>
      <c r="AQ43" s="130">
        <f>IF(VLOOKUP($AH43,SKUS_TO_SIZES,AQ$11,FALSE)=0,"",VLOOKUP($AH43,SKUS_TO_SIZES,AQ$11,FALSE))</f>
        <v>128</v>
      </c>
      <c r="AR43" s="129" t="str">
        <f ca="1">IFERROR(IF(HLOOKUP(AQ43,$M$42:$AC$44,$AG43,FALSE)=0,"",HLOOKUP(AQ43,$M$42:$AC$44,$AG43,FALSE)),"")</f>
        <v/>
      </c>
      <c r="AS43" s="130">
        <f>IF(VLOOKUP($AH43,SKUS_TO_SIZES,AS$11,FALSE)=0,"",VLOOKUP($AH43,SKUS_TO_SIZES,AS$11,FALSE))</f>
        <v>140</v>
      </c>
      <c r="AT43" s="129" t="str">
        <f ca="1">IFERROR(IF(HLOOKUP(AS43,$M$42:$AC$44,$AG43,FALSE)=0,"",HLOOKUP(AS43,$M$42:$AC$44,$AG43,FALSE)),"")</f>
        <v/>
      </c>
      <c r="AU43" s="130" t="str">
        <f>IF(VLOOKUP($AH43,SKUS_TO_SIZES,AU$11,FALSE)=0,"",VLOOKUP($AH43,SKUS_TO_SIZES,AU$11,FALSE))</f>
        <v/>
      </c>
      <c r="AV43" s="129" t="str">
        <f>IFERROR(IF(HLOOKUP(AU43,$M$42:$AC$44,$AG43,FALSE)=0,"",HLOOKUP(AU43,$M$42:$AC$44,$AG43,FALSE)),"")</f>
        <v/>
      </c>
      <c r="AW43" s="130" t="str">
        <f>IF(VLOOKUP($AH43,SKUS_TO_SIZES,AW$11,FALSE)=0,"",VLOOKUP($AH43,SKUS_TO_SIZES,AW$11,FALSE))</f>
        <v/>
      </c>
      <c r="AX43" s="129" t="str">
        <f>IFERROR(IF(HLOOKUP(AW43,$M$42:$AC$44,$AG43,FALSE)=0,"",HLOOKUP(AW43,$M$42:$AC$44,$AG43,FALSE)),"")</f>
        <v/>
      </c>
      <c r="AY43" s="130" t="str">
        <f>IF(VLOOKUP($AH43,SKUS_TO_SIZES,AY$11,FALSE)=0,"",VLOOKUP($AH43,SKUS_TO_SIZES,AY$11,FALSE))</f>
        <v/>
      </c>
      <c r="AZ43" s="129" t="str">
        <f>IFERROR(IF(HLOOKUP(AY43,$M$42:$AC$44,$AG43,FALSE)=0,"",HLOOKUP(AY43,$M$42:$AC$44,$AG43,FALSE)),"")</f>
        <v/>
      </c>
      <c r="BA43" s="130" t="str">
        <f>IF(VLOOKUP($AH43,SKUS_TO_SIZES,BA$11,FALSE)=0,"",VLOOKUP($AH43,SKUS_TO_SIZES,BA$11,FALSE))</f>
        <v/>
      </c>
      <c r="BB43" s="129" t="str">
        <f>IFERROR(IF(HLOOKUP(BA43,$M$42:$AC$44,$AG43,FALSE)=0,"",HLOOKUP(BA43,$M$42:$AC$44,$AG43,FALSE)),"")</f>
        <v/>
      </c>
      <c r="BC43" s="130" t="str">
        <f>IF(VLOOKUP($AH43,SKUS_TO_SIZES,BC$11,FALSE)=0,"",VLOOKUP($AH43,SKUS_TO_SIZES,BC$11,FALSE))</f>
        <v/>
      </c>
      <c r="BD43" s="129" t="str">
        <f>IFERROR(IF(HLOOKUP(BC43,$M$42:$AC$44,$AG43,FALSE)=0,"",HLOOKUP(BC43,$M$42:$AC$44,$AG43,FALSE)),"")</f>
        <v/>
      </c>
      <c r="BE43" s="130" t="str">
        <f>IF(VLOOKUP($AH43,SKUS_TO_SIZES,BE$11,FALSE)=0,"",VLOOKUP($AH43,SKUS_TO_SIZES,BE$11,FALSE))</f>
        <v/>
      </c>
      <c r="BF43" s="129" t="str">
        <f>IFERROR(IF(HLOOKUP(BE43,$M$42:$AC$44,$AG43,FALSE)=0,"",HLOOKUP(BE43,$M$42:$AC$44,$AG43,FALSE)),"")</f>
        <v/>
      </c>
      <c r="BG43" s="8"/>
    </row>
    <row r="44" spans="1:59" ht="12.75" customHeight="1">
      <c r="B44" s="455">
        <f>IF(SKI_CALCULATOR_TYPE=0,IF(ISBLANK(D44),MAX(B$15:B43),IF(AND(ISNUMBER(L43),L43&gt;0)=TRUE,MAX(B$15:B43)+1,MAX(B$15:B43))),0)</f>
        <v>0</v>
      </c>
      <c r="C44" s="10"/>
      <c r="D44" s="450" t="s">
        <v>277</v>
      </c>
      <c r="E44" s="525" t="str">
        <f>VLOOKUP(D44,SKUS_TO_SIZES,2,FALSE)</f>
        <v>EXPERIENCE KID KID-X KID 4 GW B76</v>
      </c>
      <c r="F44" s="526">
        <f>VLOOKUP(D44,SKUS_TO_SIZES,3,FALSE)</f>
        <v>172</v>
      </c>
      <c r="G44" s="526">
        <f ca="1">SUM(M44:W44)*F44</f>
        <v>0</v>
      </c>
      <c r="H44" s="526">
        <f>IF(SKI_DISCOUNT_TYPE=1,IF($J$10=0,F44,F44*(SUM(1-$J$10))),IF(I44=0,F44,F44*(SUM(1-I44))))</f>
        <v>172</v>
      </c>
      <c r="I44" s="527">
        <v>0</v>
      </c>
      <c r="J44" s="528">
        <f>$J$10</f>
        <v>0</v>
      </c>
      <c r="K44" s="665">
        <f ca="1">SUM(M44:AC44)*H44</f>
        <v>0</v>
      </c>
      <c r="L44" s="969"/>
      <c r="M44" s="657">
        <f ca="1">IFERROR(ROUND($L43*HLOOKUP(M$42,INDIRECT("'Hidden Data'!"&amp;HLOOKUP(COLUMN(SKUS_TO_SIZES),NUMBER_TO_LETTER,2,FALSE)&amp;MATCH($D44,'Hidden Data'!$D:$D,0)&amp;":T"&amp;MATCH($D44&amp;"-sizecurve",'Hidden Data'!$D:$D,0)),2,FALSE),0)," ")</f>
        <v>0</v>
      </c>
      <c r="N44" s="613">
        <f ca="1">IFERROR(ROUND($L43*HLOOKUP(N$42,INDIRECT("'Hidden Data'!"&amp;HLOOKUP(COLUMN(SKUS_TO_SIZES),NUMBER_TO_LETTER,2,FALSE)&amp;MATCH($D44,'Hidden Data'!$D:$D,0)&amp;":T"&amp;MATCH($D44&amp;"-sizecurve",'Hidden Data'!$D:$D,0)),2,FALSE),0)," ")</f>
        <v>0</v>
      </c>
      <c r="O44" s="613">
        <f ca="1">IFERROR(ROUND($L43*HLOOKUP(O$42,INDIRECT("'Hidden Data'!"&amp;HLOOKUP(COLUMN(SKUS_TO_SIZES),NUMBER_TO_LETTER,2,FALSE)&amp;MATCH($D44,'Hidden Data'!$D:$D,0)&amp;":T"&amp;MATCH($D44&amp;"-sizecurve",'Hidden Data'!$D:$D,0)),2,FALSE),0)," ")</f>
        <v>0</v>
      </c>
      <c r="P44" s="613" t="str">
        <f ca="1">IFERROR(ROUND($L44*HLOOKUP(P$42,INDIRECT("'Hidden Data'!"&amp;HLOOKUP(COLUMN(SKUS_TO_SIZES),NUMBER_TO_LETTER,2,FALSE)&amp;MATCH($D44,'Hidden Data'!$D:$D,0)&amp;":T"&amp;MATCH($D44&amp;"-sizecurve",'Hidden Data'!$D:$D,0)),2,FALSE),0)," ")</f>
        <v xml:space="preserve"> </v>
      </c>
      <c r="Q44" s="613" t="str">
        <f ca="1">IFERROR(ROUND($L44*HLOOKUP(Q$42,INDIRECT("'Hidden Data'!"&amp;HLOOKUP(COLUMN(SKUS_TO_SIZES),NUMBER_TO_LETTER,2,FALSE)&amp;MATCH($D44,'Hidden Data'!$D:$D,0)&amp;":T"&amp;MATCH($D44&amp;"-sizecurve",'Hidden Data'!$D:$D,0)),2,FALSE),0)," ")</f>
        <v xml:space="preserve"> </v>
      </c>
      <c r="R44" s="613" t="str">
        <f ca="1">IFERROR(ROUND($L44*HLOOKUP(R$42,INDIRECT("'Hidden Data'!"&amp;HLOOKUP(COLUMN(SKUS_TO_SIZES),NUMBER_TO_LETTER,2,FALSE)&amp;MATCH($D44,'Hidden Data'!$D:$D,0)&amp;":T"&amp;MATCH($D44&amp;"-sizecurve",'Hidden Data'!$D:$D,0)),2,FALSE),0)," ")</f>
        <v xml:space="preserve"> </v>
      </c>
      <c r="S44" s="613" t="str">
        <f ca="1">IFERROR(ROUND($L44*HLOOKUP(S$42,INDIRECT("'Hidden Data'!"&amp;HLOOKUP(COLUMN(SKUS_TO_SIZES),NUMBER_TO_LETTER,2,FALSE)&amp;MATCH($D44,'Hidden Data'!$D:$D,0)&amp;":T"&amp;MATCH($D44&amp;"-sizecurve",'Hidden Data'!$D:$D,0)),2,FALSE),0)," ")</f>
        <v xml:space="preserve"> </v>
      </c>
      <c r="T44" s="613" t="str">
        <f ca="1">IFERROR(ROUND($L44*HLOOKUP(T$42,INDIRECT("'Hidden Data'!"&amp;HLOOKUP(COLUMN(SKUS_TO_SIZES),NUMBER_TO_LETTER,2,FALSE)&amp;MATCH($D44,'Hidden Data'!$D:$D,0)&amp;":T"&amp;MATCH($D44&amp;"-sizecurve",'Hidden Data'!$D:$D,0)),2,FALSE),0)," ")</f>
        <v xml:space="preserve"> </v>
      </c>
      <c r="U44" s="614" t="str">
        <f ca="1">IFERROR(ROUND($L44*HLOOKUP(U$42,INDIRECT("'Hidden Data'!"&amp;HLOOKUP(COLUMN(SKUS_TO_SIZES),NUMBER_TO_LETTER,2,FALSE)&amp;MATCH($D44,'Hidden Data'!$D:$D,0)&amp;":T"&amp;MATCH($D44&amp;"-sizecurve",'Hidden Data'!$D:$D,0)),2,FALSE),0)," ")</f>
        <v xml:space="preserve"> </v>
      </c>
      <c r="V44" s="209"/>
      <c r="W44" s="209"/>
      <c r="X44" s="209"/>
      <c r="Y44" s="209"/>
      <c r="Z44" s="209"/>
      <c r="AA44" s="209"/>
      <c r="AB44" s="209"/>
      <c r="AC44" s="209"/>
      <c r="AD44" s="209"/>
      <c r="AE44" s="209"/>
      <c r="AF44" s="10"/>
      <c r="AG44" s="1">
        <f t="shared" ref="AG44" si="68">AG43+1</f>
        <v>3</v>
      </c>
      <c r="AH44" s="288" t="str">
        <f>D44</f>
        <v>RROWE03</v>
      </c>
      <c r="AI44" s="130">
        <f>IF(VLOOKUP($AH44,SKUS_TO_SIZES,AI$11,FALSE)=0,"",VLOOKUP($AH44,SKUS_TO_SIZES,AI$11,FALSE))</f>
        <v>70</v>
      </c>
      <c r="AJ44" s="129" t="str">
        <f ca="1">IFERROR(IF(HLOOKUP(AI44,$M$42:$AC$44,$AG44,FALSE)=0,"",HLOOKUP(AI44,$M$42:$AC$44,$AG44,FALSE)),"")</f>
        <v/>
      </c>
      <c r="AK44" s="130">
        <f>IF(VLOOKUP($AH44,SKUS_TO_SIZES,AK$11,FALSE)=0,"",VLOOKUP($AH44,SKUS_TO_SIZES,AK$11,FALSE))</f>
        <v>80</v>
      </c>
      <c r="AL44" s="129" t="str">
        <f ca="1">IFERROR(IF(HLOOKUP(AK44,$M$42:$AC$44,$AG44,FALSE)=0,"",HLOOKUP(AK44,$M$42:$AC$44,$AG44,FALSE)),"")</f>
        <v/>
      </c>
      <c r="AM44" s="130">
        <f>IF(VLOOKUP($AH44,SKUS_TO_SIZES,AM$11,FALSE)=0,"",VLOOKUP($AH44,SKUS_TO_SIZES,AM$11,FALSE))</f>
        <v>92</v>
      </c>
      <c r="AN44" s="129" t="str">
        <f ca="1">IFERROR(IF(HLOOKUP(AM44,$M$42:$AC$44,$AG44,FALSE)=0,"",HLOOKUP(AM44,$M$42:$AC$44,$AG44,FALSE)),"")</f>
        <v/>
      </c>
      <c r="AO44" s="130" t="str">
        <f>IF(VLOOKUP($AH44,SKUS_TO_SIZES,AO$11,FALSE)=0,"",VLOOKUP($AH44,SKUS_TO_SIZES,AO$11,FALSE))</f>
        <v/>
      </c>
      <c r="AP44" s="129" t="str">
        <f>IFERROR(IF(HLOOKUP(AO44,$M$42:$AC$44,$AG44,FALSE)=0,"",HLOOKUP(AO44,$M$42:$AC$44,$AG44,FALSE)),"")</f>
        <v/>
      </c>
      <c r="AQ44" s="130" t="str">
        <f>IF(VLOOKUP($AH44,SKUS_TO_SIZES,AQ$11,FALSE)=0,"",VLOOKUP($AH44,SKUS_TO_SIZES,AQ$11,FALSE))</f>
        <v/>
      </c>
      <c r="AR44" s="129" t="str">
        <f>IFERROR(IF(HLOOKUP(AQ44,$M$42:$AC$44,$AG44,FALSE)=0,"",HLOOKUP(AQ44,$M$42:$AC$44,$AG44,FALSE)),"")</f>
        <v/>
      </c>
      <c r="AS44" s="130" t="str">
        <f>IF(VLOOKUP($AH44,SKUS_TO_SIZES,AS$11,FALSE)=0,"",VLOOKUP($AH44,SKUS_TO_SIZES,AS$11,FALSE))</f>
        <v/>
      </c>
      <c r="AT44" s="129" t="str">
        <f>IFERROR(IF(HLOOKUP(AS44,$M$42:$AC$44,$AG44,FALSE)=0,"",HLOOKUP(AS44,$M$42:$AC$44,$AG44,FALSE)),"")</f>
        <v/>
      </c>
      <c r="AU44" s="130" t="str">
        <f>IF(VLOOKUP($AH44,SKUS_TO_SIZES,AU$11,FALSE)=0,"",VLOOKUP($AH44,SKUS_TO_SIZES,AU$11,FALSE))</f>
        <v/>
      </c>
      <c r="AV44" s="129" t="str">
        <f>IFERROR(IF(HLOOKUP(AU44,$M$42:$AC$44,$AG44,FALSE)=0,"",HLOOKUP(AU44,$M$42:$AC$44,$AG44,FALSE)),"")</f>
        <v/>
      </c>
      <c r="AW44" s="130" t="str">
        <f>IF(VLOOKUP($AH44,SKUS_TO_SIZES,AW$11,FALSE)=0,"",VLOOKUP($AH44,SKUS_TO_SIZES,AW$11,FALSE))</f>
        <v/>
      </c>
      <c r="AX44" s="129" t="str">
        <f>IFERROR(IF(HLOOKUP(AW44,$M$42:$AC$44,$AG44,FALSE)=0,"",HLOOKUP(AW44,$M$42:$AC$44,$AG44,FALSE)),"")</f>
        <v/>
      </c>
      <c r="AY44" s="130" t="str">
        <f>IF(VLOOKUP($AH44,SKUS_TO_SIZES,AY$11,FALSE)=0,"",VLOOKUP($AH44,SKUS_TO_SIZES,AY$11,FALSE))</f>
        <v/>
      </c>
      <c r="AZ44" s="129" t="str">
        <f>IFERROR(IF(HLOOKUP(AY44,$M$42:$AC$44,$AG44,FALSE)=0,"",HLOOKUP(AY44,$M$42:$AC$44,$AG44,FALSE)),"")</f>
        <v/>
      </c>
      <c r="BA44" s="130" t="str">
        <f>IF(VLOOKUP($AH44,SKUS_TO_SIZES,BA$11,FALSE)=0,"",VLOOKUP($AH44,SKUS_TO_SIZES,BA$11,FALSE))</f>
        <v/>
      </c>
      <c r="BB44" s="129" t="str">
        <f>IFERROR(IF(HLOOKUP(BA44,$M$42:$AC$44,$AG44,FALSE)=0,"",HLOOKUP(BA44,$M$42:$AC$44,$AG44,FALSE)),"")</f>
        <v/>
      </c>
      <c r="BC44" s="130" t="str">
        <f>IF(VLOOKUP($AH44,SKUS_TO_SIZES,BC$11,FALSE)=0,"",VLOOKUP($AH44,SKUS_TO_SIZES,BC$11,FALSE))</f>
        <v/>
      </c>
      <c r="BD44" s="129" t="str">
        <f>IFERROR(IF(HLOOKUP(BC44,$M$42:$AC$44,$AG44,FALSE)=0,"",HLOOKUP(BC44,$M$42:$AC$44,$AG44,FALSE)),"")</f>
        <v/>
      </c>
      <c r="BE44" s="130" t="str">
        <f>IF(VLOOKUP($AH44,SKUS_TO_SIZES,BE$11,FALSE)=0,"",VLOOKUP($AH44,SKUS_TO_SIZES,BE$11,FALSE))</f>
        <v/>
      </c>
      <c r="BF44" s="129" t="str">
        <f>IFERROR(IF(HLOOKUP(BE44,$M$42:$AC$44,$AG44,FALSE)=0,"",HLOOKUP(BE44,$M$42:$AC$44,$AG44,FALSE)),"")</f>
        <v/>
      </c>
      <c r="BG44" s="8"/>
    </row>
    <row r="45" spans="1:59" ht="12.75" customHeight="1">
      <c r="A45" s="8"/>
      <c r="B45" s="9">
        <f>IF(SKI_CALCULATOR_TYPE=0,IF(ISBLANK(D45),MAX(B$15:B44),IF(AND(ISNUMBER(L45),L45&gt;0)=TRUE,MAX(B$15:B44)+1,MAX(B$15:B44))),0)</f>
        <v>0</v>
      </c>
      <c r="C45" s="10"/>
      <c r="D45" s="178"/>
      <c r="E45" s="180"/>
      <c r="F45" s="210"/>
      <c r="G45" s="395">
        <f ca="1">SUM(G43:G44)</f>
        <v>0</v>
      </c>
      <c r="H45" s="210"/>
      <c r="I45" s="210"/>
      <c r="J45" s="210"/>
      <c r="K45" s="666">
        <f ca="1">SUM(K43:K44)</f>
        <v>0</v>
      </c>
      <c r="L45" s="658">
        <f ca="1">SUM(M45:AD45)</f>
        <v>0</v>
      </c>
      <c r="M45" s="234">
        <f t="shared" ref="M45:U45" ca="1" si="69">SUM(M43:M44)</f>
        <v>0</v>
      </c>
      <c r="N45" s="235">
        <f t="shared" ca="1" si="69"/>
        <v>0</v>
      </c>
      <c r="O45" s="235">
        <f t="shared" ca="1" si="69"/>
        <v>0</v>
      </c>
      <c r="P45" s="235">
        <f t="shared" ca="1" si="69"/>
        <v>0</v>
      </c>
      <c r="Q45" s="235">
        <f t="shared" ca="1" si="69"/>
        <v>0</v>
      </c>
      <c r="R45" s="235">
        <f t="shared" ca="1" si="69"/>
        <v>0</v>
      </c>
      <c r="S45" s="235">
        <f t="shared" ca="1" si="69"/>
        <v>0</v>
      </c>
      <c r="T45" s="235">
        <f t="shared" ca="1" si="69"/>
        <v>0</v>
      </c>
      <c r="U45" s="230">
        <f t="shared" ca="1" si="69"/>
        <v>0</v>
      </c>
      <c r="V45" s="209"/>
      <c r="W45" s="209"/>
      <c r="X45" s="209"/>
      <c r="Y45" s="209"/>
      <c r="Z45" s="209"/>
      <c r="AA45" s="209"/>
      <c r="AB45" s="209"/>
      <c r="AC45" s="209"/>
      <c r="AD45" s="209"/>
      <c r="AE45" s="209"/>
      <c r="AF45" s="10"/>
      <c r="AI45" s="1"/>
      <c r="AJ45" s="41"/>
      <c r="AK45" s="1"/>
      <c r="AL45" s="41"/>
      <c r="AM45" s="1"/>
      <c r="AN45" s="41"/>
      <c r="AO45" s="1"/>
      <c r="AP45" s="41"/>
      <c r="AQ45" s="1"/>
      <c r="AR45" s="41"/>
      <c r="AS45" s="1"/>
      <c r="AT45" s="41"/>
      <c r="AU45" s="1"/>
      <c r="AV45" s="41"/>
      <c r="AW45" s="1"/>
      <c r="AX45" s="41"/>
      <c r="AY45" s="1"/>
      <c r="AZ45" s="41"/>
      <c r="BA45" s="1"/>
      <c r="BB45" s="41"/>
      <c r="BC45" s="1"/>
      <c r="BD45" s="41"/>
      <c r="BE45" s="1"/>
      <c r="BF45" s="41"/>
    </row>
    <row r="46" spans="1:59" ht="12.75" customHeight="1">
      <c r="A46" s="8"/>
      <c r="B46" s="9">
        <f>IF(SKI_CALCULATOR_TYPE=0,IF(ISBLANK(D46),MAX(B$15:B45),IF(AND(ISNUMBER(L46),L46&gt;0)=TRUE,MAX(B$15:B45)+1,MAX(B$15:B45))),0)</f>
        <v>0</v>
      </c>
      <c r="C46" s="10"/>
      <c r="D46" s="953" t="s">
        <v>111</v>
      </c>
      <c r="E46" s="954"/>
      <c r="F46" s="293"/>
      <c r="G46" s="291"/>
      <c r="H46" s="291"/>
      <c r="I46" s="291"/>
      <c r="J46" s="291"/>
      <c r="K46" s="291"/>
      <c r="L46" s="291"/>
      <c r="M46" s="291"/>
      <c r="N46" s="291"/>
      <c r="O46" s="291"/>
      <c r="P46" s="291"/>
      <c r="Q46" s="155"/>
      <c r="R46" s="156"/>
      <c r="S46" s="292"/>
      <c r="T46" s="1"/>
      <c r="U46" s="1"/>
      <c r="V46" s="1"/>
      <c r="W46" s="1"/>
      <c r="X46" s="1"/>
      <c r="Y46" s="1"/>
      <c r="AF46" s="10"/>
      <c r="AI46" s="1"/>
      <c r="AJ46" s="41"/>
      <c r="AK46" s="1"/>
      <c r="AL46" s="41"/>
      <c r="AM46" s="1"/>
      <c r="AN46" s="41"/>
      <c r="AO46" s="1"/>
      <c r="AP46" s="41"/>
      <c r="AQ46" s="1"/>
      <c r="AR46" s="41"/>
      <c r="AS46" s="1"/>
      <c r="AT46" s="41"/>
      <c r="AU46" s="1"/>
      <c r="AV46" s="41"/>
      <c r="AW46" s="1"/>
      <c r="AX46" s="41"/>
      <c r="AY46" s="1"/>
      <c r="AZ46" s="41"/>
      <c r="BA46" s="1"/>
      <c r="BB46" s="41"/>
      <c r="BC46" s="1"/>
      <c r="BD46" s="41"/>
      <c r="BE46" s="1"/>
      <c r="BF46" s="41"/>
    </row>
    <row r="47" spans="1:59" ht="12.75" customHeight="1" thickBot="1">
      <c r="A47" s="8"/>
      <c r="B47" s="9">
        <f>IF(SKI_CALCULATOR_TYPE=0,IF(ISBLANK(D47),MAX(B$15:B46),IF(AND(ISNUMBER(L47),L47&gt;0)=TRUE,MAX(B$15:B46)+1,MAX(B$15:B46))),0)</f>
        <v>0</v>
      </c>
      <c r="C47" s="10"/>
      <c r="D47" s="295" t="s">
        <v>0</v>
      </c>
      <c r="E47" s="313" t="s">
        <v>1</v>
      </c>
      <c r="F47" s="305" t="s">
        <v>43</v>
      </c>
      <c r="G47" s="305" t="s">
        <v>19</v>
      </c>
      <c r="H47" s="327" t="s">
        <v>102</v>
      </c>
      <c r="I47" s="331" t="s">
        <v>21</v>
      </c>
      <c r="J47" s="311" t="s">
        <v>21</v>
      </c>
      <c r="K47" s="317" t="s">
        <v>6</v>
      </c>
      <c r="L47" s="302" t="s">
        <v>5</v>
      </c>
      <c r="M47" s="300">
        <v>15.5</v>
      </c>
      <c r="N47" s="301">
        <v>16.5</v>
      </c>
      <c r="O47" s="301">
        <v>17.5</v>
      </c>
      <c r="P47" s="301">
        <v>18.5</v>
      </c>
      <c r="Q47" s="301">
        <v>19.5</v>
      </c>
      <c r="R47" s="301">
        <v>20.5</v>
      </c>
      <c r="S47" s="301">
        <v>21.5</v>
      </c>
      <c r="T47" s="301">
        <v>22.5</v>
      </c>
      <c r="U47" s="301">
        <v>23.5</v>
      </c>
      <c r="V47" s="301">
        <v>24.5</v>
      </c>
      <c r="W47" s="301">
        <v>25.5</v>
      </c>
      <c r="X47" s="303">
        <v>26.5</v>
      </c>
      <c r="Y47" s="177"/>
      <c r="Z47" s="177"/>
      <c r="AA47" s="177"/>
      <c r="AB47" s="177"/>
      <c r="AC47" s="177"/>
      <c r="AD47" s="177"/>
      <c r="AE47" s="177"/>
      <c r="AF47" s="10"/>
      <c r="AI47" s="36"/>
      <c r="AJ47" s="48"/>
      <c r="AK47" s="36"/>
      <c r="AL47" s="48"/>
      <c r="AM47" s="36"/>
      <c r="AN47" s="48"/>
      <c r="AO47" s="36"/>
      <c r="AP47" s="48"/>
      <c r="AQ47" s="36"/>
      <c r="AR47" s="48"/>
      <c r="AS47" s="1"/>
      <c r="AT47" s="41"/>
      <c r="AU47" s="1"/>
      <c r="AV47" s="41"/>
      <c r="AW47" s="1"/>
      <c r="AX47" s="41"/>
      <c r="AY47" s="1"/>
      <c r="AZ47" s="41"/>
      <c r="BA47" s="1"/>
      <c r="BB47" s="41"/>
      <c r="BC47" s="1"/>
      <c r="BD47" s="41"/>
      <c r="BE47" s="1"/>
      <c r="BF47" s="41"/>
    </row>
    <row r="48" spans="1:59" ht="12.75" customHeight="1" thickTop="1">
      <c r="B48" s="455">
        <f>IF(SKI_CALCULATOR_TYPE=0,IF(ISBLANK(D48),MAX(B$15:B47),IF(AND(ISNUMBER(L48),L48&gt;0)=TRUE,MAX(B$15:B47)+1,MAX(B$15:B47))),0)</f>
        <v>0</v>
      </c>
      <c r="C48" s="10"/>
      <c r="D48" s="315" t="s">
        <v>300</v>
      </c>
      <c r="E48" s="519" t="str">
        <f>VLOOKUP(D48,SKUS_TO_SIZES,2,FALSE)</f>
        <v>COMP J4 BLACK</v>
      </c>
      <c r="F48" s="520">
        <f>VLOOKUP(D48,SKUS_TO_SIZES,3,FALSE)</f>
        <v>120</v>
      </c>
      <c r="G48" s="520">
        <f ca="1">SUM(M48:X48)*F48</f>
        <v>0</v>
      </c>
      <c r="H48" s="520">
        <f>IF(SKI_DISCOUNT_TYPE=1,IF($J$10=0,F48,F48*(SUM(1-$J$10))),IF(I48=0,F48,F48*(SUM(1-I48))))</f>
        <v>120</v>
      </c>
      <c r="I48" s="521">
        <v>0</v>
      </c>
      <c r="J48" s="522">
        <f>$J$10</f>
        <v>0</v>
      </c>
      <c r="K48" s="542">
        <f ca="1">SUM(M48:AD48)*H48</f>
        <v>0</v>
      </c>
      <c r="L48" s="958">
        <v>0</v>
      </c>
      <c r="M48" s="412" t="str">
        <f ca="1">IFERROR(ROUND($L48*HLOOKUP(M$47,INDIRECT("'Hidden Data'!"&amp;HLOOKUP(COLUMN(SKUS_TO_SIZES),NUMBER_TO_LETTER,2,FALSE)&amp;MATCH($D48,'Hidden Data'!$D:$D,0)&amp;":T"&amp;MATCH($D48&amp;"-sizecurve",'Hidden Data'!$D:$D,0)),2,FALSE),0)," ")</f>
        <v xml:space="preserve"> </v>
      </c>
      <c r="N48" s="409" t="str">
        <f ca="1">IFERROR(ROUND($L48*HLOOKUP(N$47,INDIRECT("'Hidden Data'!"&amp;HLOOKUP(COLUMN(SKUS_TO_SIZES),NUMBER_TO_LETTER,2,FALSE)&amp;MATCH($D48,'Hidden Data'!$D:$D,0)&amp;":T"&amp;MATCH($D48&amp;"-sizecurve",'Hidden Data'!$D:$D,0)),2,FALSE),0)," ")</f>
        <v xml:space="preserve"> </v>
      </c>
      <c r="O48" s="409" t="str">
        <f ca="1">IFERROR(ROUND($L48*HLOOKUP(O$47,INDIRECT("'Hidden Data'!"&amp;HLOOKUP(COLUMN(SKUS_TO_SIZES),NUMBER_TO_LETTER,2,FALSE)&amp;MATCH($D48,'Hidden Data'!$D:$D,0)&amp;":T"&amp;MATCH($D48&amp;"-sizecurve",'Hidden Data'!$D:$D,0)),2,FALSE),0)," ")</f>
        <v xml:space="preserve"> </v>
      </c>
      <c r="P48" s="409" t="str">
        <f ca="1">IFERROR(ROUND($L48*HLOOKUP(P$47,INDIRECT("'Hidden Data'!"&amp;HLOOKUP(COLUMN(SKUS_TO_SIZES),NUMBER_TO_LETTER,2,FALSE)&amp;MATCH($D48,'Hidden Data'!$D:$D,0)&amp;":T"&amp;MATCH($D48&amp;"-sizecurve",'Hidden Data'!$D:$D,0)),2,FALSE),0)," ")</f>
        <v xml:space="preserve"> </v>
      </c>
      <c r="Q48" s="409" t="str">
        <f ca="1">IFERROR(ROUND($L48*HLOOKUP(Q$47,INDIRECT("'Hidden Data'!"&amp;HLOOKUP(COLUMN(SKUS_TO_SIZES),NUMBER_TO_LETTER,2,FALSE)&amp;MATCH($D48,'Hidden Data'!$D:$D,0)&amp;":T"&amp;MATCH($D48&amp;"-sizecurve",'Hidden Data'!$D:$D,0)),2,FALSE),0)," ")</f>
        <v xml:space="preserve"> </v>
      </c>
      <c r="R48" s="409" t="str">
        <f ca="1">IFERROR(ROUND($L48*HLOOKUP(R$47,INDIRECT("'Hidden Data'!"&amp;HLOOKUP(COLUMN(SKUS_TO_SIZES),NUMBER_TO_LETTER,2,FALSE)&amp;MATCH($D48,'Hidden Data'!$D:$D,0)&amp;":T"&amp;MATCH($D48&amp;"-sizecurve",'Hidden Data'!$D:$D,0)),2,FALSE),0)," ")</f>
        <v xml:space="preserve"> </v>
      </c>
      <c r="S48" s="409" t="str">
        <f ca="1">IFERROR(ROUND($L48*HLOOKUP(S$47,INDIRECT("'Hidden Data'!"&amp;HLOOKUP(COLUMN(SKUS_TO_SIZES),NUMBER_TO_LETTER,2,FALSE)&amp;MATCH($D48,'Hidden Data'!$D:$D,0)&amp;":T"&amp;MATCH($D48&amp;"-sizecurve",'Hidden Data'!$D:$D,0)),2,FALSE),0)," ")</f>
        <v xml:space="preserve"> </v>
      </c>
      <c r="T48" s="402">
        <f ca="1">IFERROR(ROUND($L48*HLOOKUP(T$47,INDIRECT("'Hidden Data'!"&amp;HLOOKUP(COLUMN(SKUS_TO_SIZES),NUMBER_TO_LETTER,2,FALSE)&amp;MATCH($D48,'Hidden Data'!$D:$D,0)&amp;":T"&amp;MATCH($D48&amp;"-sizecurve",'Hidden Data'!$D:$D,0)),2,FALSE),0)," ")</f>
        <v>0</v>
      </c>
      <c r="U48" s="402">
        <f ca="1">IFERROR(ROUND($L48*HLOOKUP(U$47,INDIRECT("'Hidden Data'!"&amp;HLOOKUP(COLUMN(SKUS_TO_SIZES),NUMBER_TO_LETTER,2,FALSE)&amp;MATCH($D48,'Hidden Data'!$D:$D,0)&amp;":T"&amp;MATCH($D48&amp;"-sizecurve",'Hidden Data'!$D:$D,0)),2,FALSE),0)," ")</f>
        <v>0</v>
      </c>
      <c r="V48" s="402">
        <f ca="1">IFERROR(ROUND($L48*HLOOKUP(V$47,INDIRECT("'Hidden Data'!"&amp;HLOOKUP(COLUMN(SKUS_TO_SIZES),NUMBER_TO_LETTER,2,FALSE)&amp;MATCH($D48,'Hidden Data'!$D:$D,0)&amp;":T"&amp;MATCH($D48&amp;"-sizecurve",'Hidden Data'!$D:$D,0)),2,FALSE),0)," ")</f>
        <v>0</v>
      </c>
      <c r="W48" s="402">
        <f ca="1">IFERROR(ROUND($L48*HLOOKUP(W$47,INDIRECT("'Hidden Data'!"&amp;HLOOKUP(COLUMN(SKUS_TO_SIZES),NUMBER_TO_LETTER,2,FALSE)&amp;MATCH($D48,'Hidden Data'!$D:$D,0)&amp;":T"&amp;MATCH($D48&amp;"-sizecurve",'Hidden Data'!$D:$D,0)),2,FALSE),0)," ")</f>
        <v>0</v>
      </c>
      <c r="X48" s="403">
        <f ca="1">IFERROR(ROUND($L48*HLOOKUP(X$47,INDIRECT("'Hidden Data'!"&amp;HLOOKUP(COLUMN(SKUS_TO_SIZES),NUMBER_TO_LETTER,2,FALSE)&amp;MATCH($D48,'Hidden Data'!$D:$D,0)&amp;":T"&amp;MATCH($D48&amp;"-sizecurve",'Hidden Data'!$D:$D,0)),2,FALSE),0)," ")</f>
        <v>0</v>
      </c>
      <c r="Y48" s="179"/>
      <c r="Z48" s="179"/>
      <c r="AA48" s="179"/>
      <c r="AB48" s="179"/>
      <c r="AC48" s="179"/>
      <c r="AD48" s="179"/>
      <c r="AE48" s="179"/>
      <c r="AF48" s="10"/>
      <c r="AG48" s="1">
        <v>2</v>
      </c>
      <c r="AH48" s="288" t="str">
        <f>D48</f>
        <v>RBP5070</v>
      </c>
      <c r="AI48" s="130">
        <f>IF(VLOOKUP($AH48,SKUS_TO_SIZES,AI$11,FALSE)=0,"",VLOOKUP($AH48,SKUS_TO_SIZES,AI$11,FALSE))</f>
        <v>22.5</v>
      </c>
      <c r="AJ48" s="129" t="str">
        <f ca="1">IFERROR(IF(HLOOKUP(AI48,$M$47:$AC$50,$AG48,FALSE)=0,"",HLOOKUP(AI48,$M$47:$AC$50,$AG48,FALSE)),"")</f>
        <v/>
      </c>
      <c r="AK48" s="130">
        <f>IF(VLOOKUP($AH48,SKUS_TO_SIZES,AK$11,FALSE)=0,"",VLOOKUP($AH48,SKUS_TO_SIZES,AK$11,FALSE))</f>
        <v>23.5</v>
      </c>
      <c r="AL48" s="129" t="str">
        <f ca="1">IFERROR(IF(HLOOKUP(AK48,$M$47:$AC$50,$AG48,FALSE)=0,"",HLOOKUP(AK48,$M$47:$AC$50,$AG48,FALSE)),"")</f>
        <v/>
      </c>
      <c r="AM48" s="130">
        <f>IF(VLOOKUP($AH48,SKUS_TO_SIZES,AM$11,FALSE)=0,"",VLOOKUP($AH48,SKUS_TO_SIZES,AM$11,FALSE))</f>
        <v>24.5</v>
      </c>
      <c r="AN48" s="129" t="str">
        <f ca="1">IFERROR(IF(HLOOKUP(AM48,$M$47:$AC$50,$AG48,FALSE)=0,"",HLOOKUP(AM48,$M$47:$AC$50,$AG48,FALSE)),"")</f>
        <v/>
      </c>
      <c r="AO48" s="130">
        <f>IF(VLOOKUP($AH48,SKUS_TO_SIZES,AO$11,FALSE)=0,"",VLOOKUP($AH48,SKUS_TO_SIZES,AO$11,FALSE))</f>
        <v>25.5</v>
      </c>
      <c r="AP48" s="129" t="str">
        <f ca="1">IFERROR(IF(HLOOKUP(AO48,$M$47:$AC$50,$AG48,FALSE)=0,"",HLOOKUP(AO48,$M$47:$AC$50,$AG48,FALSE)),"")</f>
        <v/>
      </c>
      <c r="AQ48" s="130">
        <f>IF(VLOOKUP($AH48,SKUS_TO_SIZES,AQ$11,FALSE)=0,"",VLOOKUP($AH48,SKUS_TO_SIZES,AQ$11,FALSE))</f>
        <v>26.5</v>
      </c>
      <c r="AR48" s="129" t="str">
        <f ca="1">IFERROR(IF(HLOOKUP(AQ48,$M$47:$AC$50,$AG48,FALSE)=0,"",HLOOKUP(AQ48,$M$47:$AC$50,$AG48,FALSE)),"")</f>
        <v/>
      </c>
      <c r="AS48" s="130" t="str">
        <f>IF(VLOOKUP($AH48,SKUS_TO_SIZES,AS$11,FALSE)=0,"",VLOOKUP($AH48,SKUS_TO_SIZES,AS$11,FALSE))</f>
        <v/>
      </c>
      <c r="AT48" s="129" t="str">
        <f>IFERROR(IF(HLOOKUP(AS48,$M$47:$AC$50,$AG48,FALSE)=0,"",HLOOKUP(AS48,$M$47:$AC$50,$AG48,FALSE)),"")</f>
        <v/>
      </c>
      <c r="AU48" s="130" t="str">
        <f>IF(VLOOKUP($AH48,SKUS_TO_SIZES,AU$11,FALSE)=0,"",VLOOKUP($AH48,SKUS_TO_SIZES,AU$11,FALSE))</f>
        <v/>
      </c>
      <c r="AV48" s="129" t="str">
        <f>IFERROR(IF(HLOOKUP(AU48,$M$47:$AC$50,$AG48,FALSE)=0,"",HLOOKUP(AU48,$M$47:$AC$50,$AG48,FALSE)),"")</f>
        <v/>
      </c>
      <c r="AW48" s="130" t="str">
        <f>IF(VLOOKUP($AH48,SKUS_TO_SIZES,AW$11,FALSE)=0,"",VLOOKUP($AH48,SKUS_TO_SIZES,AW$11,FALSE))</f>
        <v/>
      </c>
      <c r="AX48" s="129" t="str">
        <f>IFERROR(IF(HLOOKUP(AW48,$M$47:$AC$50,$AG48,FALSE)=0,"",HLOOKUP(AW48,$M$47:$AC$50,$AG48,FALSE)),"")</f>
        <v/>
      </c>
      <c r="AY48" s="130" t="str">
        <f>IF(VLOOKUP($AH48,SKUS_TO_SIZES,AY$11,FALSE)=0,"",VLOOKUP($AH48,SKUS_TO_SIZES,AY$11,FALSE))</f>
        <v/>
      </c>
      <c r="AZ48" s="129" t="str">
        <f>IFERROR(IF(HLOOKUP(AY48,$M$47:$AC$50,$AG48,FALSE)=0,"",HLOOKUP(AY48,$M$47:$AC$50,$AG48,FALSE)),"")</f>
        <v/>
      </c>
      <c r="BA48" s="130" t="str">
        <f>IF(VLOOKUP($AH48,SKUS_TO_SIZES,BA$11,FALSE)=0,"",VLOOKUP($AH48,SKUS_TO_SIZES,BA$11,FALSE))</f>
        <v/>
      </c>
      <c r="BB48" s="129" t="str">
        <f>IFERROR(IF(HLOOKUP(BA48,$M$47:$AC$50,$AG48,FALSE)=0,"",HLOOKUP(BA48,$M$47:$AC$50,$AG48,FALSE)),"")</f>
        <v/>
      </c>
      <c r="BC48" s="130" t="str">
        <f>IF(VLOOKUP($AH48,SKUS_TO_SIZES,BC$11,FALSE)=0,"",VLOOKUP($AH48,SKUS_TO_SIZES,BC$11,FALSE))</f>
        <v/>
      </c>
      <c r="BD48" s="129" t="str">
        <f>IFERROR(IF(HLOOKUP(BC48,$M$47:$AC$50,$AG48,FALSE)=0,"",HLOOKUP(BC48,$M$47:$AC$50,$AG48,FALSE)),"")</f>
        <v/>
      </c>
      <c r="BE48" s="130" t="str">
        <f>IF(VLOOKUP($AH48,SKUS_TO_SIZES,BE$11,FALSE)=0,"",VLOOKUP($AH48,SKUS_TO_SIZES,BE$11,FALSE))</f>
        <v/>
      </c>
      <c r="BF48" s="129" t="str">
        <f>IFERROR(IF(HLOOKUP(BE48,$M$47:$AC$50,$AG48,FALSE)=0,"",HLOOKUP(BE48,$M$47:$AC$50,$AG48,FALSE)),"")</f>
        <v/>
      </c>
      <c r="BG48" s="8"/>
    </row>
    <row r="49" spans="1:59" ht="12.75" customHeight="1">
      <c r="B49" s="455">
        <f>IF(SKI_CALCULATOR_TYPE=0,IF(ISBLANK(D49),MAX(B$15:B48),IF(AND(ISNUMBER(L48),L48&gt;0)=TRUE,MAX(B$15:B48)+1,MAX(B$15:B48))),0)</f>
        <v>0</v>
      </c>
      <c r="C49" s="10"/>
      <c r="D49" s="316" t="s">
        <v>301</v>
      </c>
      <c r="E49" s="525" t="str">
        <f>VLOOKUP(D49,SKUS_TO_SIZES,2,FALSE)</f>
        <v>COMP J3 BLACK</v>
      </c>
      <c r="F49" s="526">
        <f>VLOOKUP(D49,SKUS_TO_SIZES,3,FALSE)</f>
        <v>105</v>
      </c>
      <c r="G49" s="526">
        <f ca="1">SUM(M49:X49)*F49</f>
        <v>0</v>
      </c>
      <c r="H49" s="526">
        <f>IF(SKI_DISCOUNT_TYPE=1,IF($J$10=0,F49,F49*(SUM(1-$J$10))),IF(I49=0,F49,F49*(SUM(1-I49))))</f>
        <v>105</v>
      </c>
      <c r="I49" s="527">
        <v>0</v>
      </c>
      <c r="J49" s="528">
        <f>$J$10</f>
        <v>0</v>
      </c>
      <c r="K49" s="544">
        <f t="shared" ref="K49:K50" ca="1" si="70">SUM(M49:AD49)*H49</f>
        <v>0</v>
      </c>
      <c r="L49" s="959"/>
      <c r="M49" s="414" t="str">
        <f ca="1">IFERROR(ROUND($L48*HLOOKUP(M$47,INDIRECT("'Hidden Data'!"&amp;HLOOKUP(COLUMN(SKUS_TO_SIZES),NUMBER_TO_LETTER,2,FALSE)&amp;MATCH($D49,'Hidden Data'!$D:$D,0)&amp;":T"&amp;MATCH($D49&amp;"-sizecurve",'Hidden Data'!$D:$D,0)),2,FALSE),0)," ")</f>
        <v xml:space="preserve"> </v>
      </c>
      <c r="N49" s="415" t="str">
        <f ca="1">IFERROR(ROUND($L48*HLOOKUP(N$47,INDIRECT("'Hidden Data'!"&amp;HLOOKUP(COLUMN(SKUS_TO_SIZES),NUMBER_TO_LETTER,2,FALSE)&amp;MATCH($D49,'Hidden Data'!$D:$D,0)&amp;":T"&amp;MATCH($D49&amp;"-sizecurve",'Hidden Data'!$D:$D,0)),2,FALSE),0)," ")</f>
        <v xml:space="preserve"> </v>
      </c>
      <c r="O49" s="405">
        <f ca="1">IFERROR(ROUND($L48*HLOOKUP(O$47,INDIRECT("'Hidden Data'!"&amp;HLOOKUP(COLUMN(SKUS_TO_SIZES),NUMBER_TO_LETTER,2,FALSE)&amp;MATCH($D49,'Hidden Data'!$D:$D,0)&amp;":T"&amp;MATCH($D49&amp;"-sizecurve",'Hidden Data'!$D:$D,0)),2,FALSE),0)," ")</f>
        <v>0</v>
      </c>
      <c r="P49" s="405">
        <f ca="1">IFERROR(ROUND($L48*HLOOKUP(P$47,INDIRECT("'Hidden Data'!"&amp;HLOOKUP(COLUMN(SKUS_TO_SIZES),NUMBER_TO_LETTER,2,FALSE)&amp;MATCH($D49,'Hidden Data'!$D:$D,0)&amp;":T"&amp;MATCH($D49&amp;"-sizecurve",'Hidden Data'!$D:$D,0)),2,FALSE),0)," ")</f>
        <v>0</v>
      </c>
      <c r="Q49" s="405">
        <f ca="1">IFERROR(ROUND($L48*HLOOKUP(Q$47,INDIRECT("'Hidden Data'!"&amp;HLOOKUP(COLUMN(SKUS_TO_SIZES),NUMBER_TO_LETTER,2,FALSE)&amp;MATCH($D49,'Hidden Data'!$D:$D,0)&amp;":T"&amp;MATCH($D49&amp;"-sizecurve",'Hidden Data'!$D:$D,0)),2,FALSE),0)," ")</f>
        <v>0</v>
      </c>
      <c r="R49" s="405">
        <f ca="1">IFERROR(ROUND($L48*HLOOKUP(R$47,INDIRECT("'Hidden Data'!"&amp;HLOOKUP(COLUMN(SKUS_TO_SIZES),NUMBER_TO_LETTER,2,FALSE)&amp;MATCH($D49,'Hidden Data'!$D:$D,0)&amp;":T"&amp;MATCH($D49&amp;"-sizecurve",'Hidden Data'!$D:$D,0)),2,FALSE),0)," ")</f>
        <v>0</v>
      </c>
      <c r="S49" s="405">
        <f ca="1">IFERROR(ROUND($L48*HLOOKUP(S$47,INDIRECT("'Hidden Data'!"&amp;HLOOKUP(COLUMN(SKUS_TO_SIZES),NUMBER_TO_LETTER,2,FALSE)&amp;MATCH($D49,'Hidden Data'!$D:$D,0)&amp;":T"&amp;MATCH($D49&amp;"-sizecurve",'Hidden Data'!$D:$D,0)),2,FALSE),0)," ")</f>
        <v>0</v>
      </c>
      <c r="T49" s="405" t="str">
        <f ca="1">IFERROR(ROUND($L48*HLOOKUP(T$47,INDIRECT("'Hidden Data'!"&amp;HLOOKUP(COLUMN(SKUS_TO_SIZES),NUMBER_TO_LETTER,2,FALSE)&amp;MATCH($D49,'Hidden Data'!$D:$D,0)&amp;":T"&amp;MATCH($D49&amp;"-sizecurve",'Hidden Data'!$D:$D,0)),2,FALSE),0)," ")</f>
        <v xml:space="preserve"> </v>
      </c>
      <c r="U49" s="415" t="str">
        <f ca="1">IFERROR(ROUND($L48*HLOOKUP(U$47,INDIRECT("'Hidden Data'!"&amp;HLOOKUP(COLUMN(SKUS_TO_SIZES),NUMBER_TO_LETTER,2,FALSE)&amp;MATCH($D49,'Hidden Data'!$D:$D,0)&amp;":T"&amp;MATCH($D49&amp;"-sizecurve",'Hidden Data'!$D:$D,0)),2,FALSE),0)," ")</f>
        <v xml:space="preserve"> </v>
      </c>
      <c r="V49" s="415" t="str">
        <f ca="1">IFERROR(ROUND($L48*HLOOKUP(V$47,INDIRECT("'Hidden Data'!"&amp;HLOOKUP(COLUMN(SKUS_TO_SIZES),NUMBER_TO_LETTER,2,FALSE)&amp;MATCH($D49,'Hidden Data'!$D:$D,0)&amp;":T"&amp;MATCH($D49&amp;"-sizecurve",'Hidden Data'!$D:$D,0)),2,FALSE),0)," ")</f>
        <v xml:space="preserve"> </v>
      </c>
      <c r="W49" s="415" t="str">
        <f ca="1">IFERROR(ROUND($L48*HLOOKUP(W$47,INDIRECT("'Hidden Data'!"&amp;HLOOKUP(COLUMN(SKUS_TO_SIZES),NUMBER_TO_LETTER,2,FALSE)&amp;MATCH($D49,'Hidden Data'!$D:$D,0)&amp;":T"&amp;MATCH($D49&amp;"-sizecurve",'Hidden Data'!$D:$D,0)),2,FALSE),0)," ")</f>
        <v xml:space="preserve"> </v>
      </c>
      <c r="X49" s="410" t="str">
        <f ca="1">IFERROR(ROUND($L48*HLOOKUP(X$47,INDIRECT("'Hidden Data'!"&amp;HLOOKUP(COLUMN(SKUS_TO_SIZES),NUMBER_TO_LETTER,2,FALSE)&amp;MATCH($D49,'Hidden Data'!$D:$D,0)&amp;":T"&amp;MATCH($D49&amp;"-sizecurve",'Hidden Data'!$D:$D,0)),2,FALSE),0)," ")</f>
        <v xml:space="preserve"> </v>
      </c>
      <c r="Y49" s="179"/>
      <c r="Z49" s="179"/>
      <c r="AA49" s="179"/>
      <c r="AB49" s="179"/>
      <c r="AC49" s="179"/>
      <c r="AD49" s="179"/>
      <c r="AE49" s="179"/>
      <c r="AF49" s="10"/>
      <c r="AG49" s="1">
        <f t="shared" ref="AG49:AG50" si="71">AG48+1</f>
        <v>3</v>
      </c>
      <c r="AH49" s="288" t="str">
        <f>D49</f>
        <v>RBP5120</v>
      </c>
      <c r="AI49" s="130">
        <f>IF(VLOOKUP($AH49,SKUS_TO_SIZES,AI$11,FALSE)=0,"",VLOOKUP($AH49,SKUS_TO_SIZES,AI$11,FALSE))</f>
        <v>17.5</v>
      </c>
      <c r="AJ49" s="129" t="str">
        <f ca="1">IFERROR(IF(HLOOKUP(AI49,$M$47:$AC$50,$AG49,FALSE)=0,"",HLOOKUP(AI49,$M$47:$AC$50,$AG49,FALSE)),"")</f>
        <v/>
      </c>
      <c r="AK49" s="130">
        <f>IF(VLOOKUP($AH49,SKUS_TO_SIZES,AK$11,FALSE)=0,"",VLOOKUP($AH49,SKUS_TO_SIZES,AK$11,FALSE))</f>
        <v>18.5</v>
      </c>
      <c r="AL49" s="129" t="str">
        <f ca="1">IFERROR(IF(HLOOKUP(AK49,$M$47:$AC$50,$AG49,FALSE)=0,"",HLOOKUP(AK49,$M$47:$AC$50,$AG49,FALSE)),"")</f>
        <v/>
      </c>
      <c r="AM49" s="130">
        <f>IF(VLOOKUP($AH49,SKUS_TO_SIZES,AM$11,FALSE)=0,"",VLOOKUP($AH49,SKUS_TO_SIZES,AM$11,FALSE))</f>
        <v>19.5</v>
      </c>
      <c r="AN49" s="129" t="str">
        <f ca="1">IFERROR(IF(HLOOKUP(AM49,$M$47:$AC$50,$AG49,FALSE)=0,"",HLOOKUP(AM49,$M$47:$AC$50,$AG49,FALSE)),"")</f>
        <v/>
      </c>
      <c r="AO49" s="130">
        <f>IF(VLOOKUP($AH49,SKUS_TO_SIZES,AO$11,FALSE)=0,"",VLOOKUP($AH49,SKUS_TO_SIZES,AO$11,FALSE))</f>
        <v>20.5</v>
      </c>
      <c r="AP49" s="129" t="str">
        <f ca="1">IFERROR(IF(HLOOKUP(AO49,$M$47:$AC$50,$AG49,FALSE)=0,"",HLOOKUP(AO49,$M$47:$AC$50,$AG49,FALSE)),"")</f>
        <v/>
      </c>
      <c r="AQ49" s="130">
        <f>IF(VLOOKUP($AH49,SKUS_TO_SIZES,AQ$11,FALSE)=0,"",VLOOKUP($AH49,SKUS_TO_SIZES,AQ$11,FALSE))</f>
        <v>21.5</v>
      </c>
      <c r="AR49" s="129" t="str">
        <f ca="1">IFERROR(IF(HLOOKUP(AQ49,$M$47:$AC$50,$AG49,FALSE)=0,"",HLOOKUP(AQ49,$M$47:$AC$50,$AG49,FALSE)),"")</f>
        <v/>
      </c>
      <c r="AS49" s="130" t="str">
        <f>IF(VLOOKUP($AH49,SKUS_TO_SIZES,AS$11,FALSE)=0,"",VLOOKUP($AH49,SKUS_TO_SIZES,AS$11,FALSE))</f>
        <v/>
      </c>
      <c r="AT49" s="129" t="str">
        <f>IFERROR(IF(HLOOKUP(AS49,$M$47:$AC$50,$AG49,FALSE)=0,"",HLOOKUP(AS49,$M$47:$AC$50,$AG49,FALSE)),"")</f>
        <v/>
      </c>
      <c r="AU49" s="130" t="str">
        <f>IF(VLOOKUP($AH49,SKUS_TO_SIZES,AU$11,FALSE)=0,"",VLOOKUP($AH49,SKUS_TO_SIZES,AU$11,FALSE))</f>
        <v/>
      </c>
      <c r="AV49" s="129" t="str">
        <f>IFERROR(IF(HLOOKUP(AU49,$M$47:$AC$50,$AG49,FALSE)=0,"",HLOOKUP(AU49,$M$47:$AC$50,$AG49,FALSE)),"")</f>
        <v/>
      </c>
      <c r="AW49" s="130" t="str">
        <f>IF(VLOOKUP($AH49,SKUS_TO_SIZES,AW$11,FALSE)=0,"",VLOOKUP($AH49,SKUS_TO_SIZES,AW$11,FALSE))</f>
        <v/>
      </c>
      <c r="AX49" s="129" t="str">
        <f>IFERROR(IF(HLOOKUP(AW49,$M$47:$AC$50,$AG49,FALSE)=0,"",HLOOKUP(AW49,$M$47:$AC$50,$AG49,FALSE)),"")</f>
        <v/>
      </c>
      <c r="AY49" s="130" t="str">
        <f>IF(VLOOKUP($AH49,SKUS_TO_SIZES,AY$11,FALSE)=0,"",VLOOKUP($AH49,SKUS_TO_SIZES,AY$11,FALSE))</f>
        <v/>
      </c>
      <c r="AZ49" s="129" t="str">
        <f>IFERROR(IF(HLOOKUP(AY49,$M$47:$AC$50,$AG49,FALSE)=0,"",HLOOKUP(AY49,$M$47:$AC$50,$AG49,FALSE)),"")</f>
        <v/>
      </c>
      <c r="BA49" s="130" t="str">
        <f>IF(VLOOKUP($AH49,SKUS_TO_SIZES,BA$11,FALSE)=0,"",VLOOKUP($AH49,SKUS_TO_SIZES,BA$11,FALSE))</f>
        <v/>
      </c>
      <c r="BB49" s="129" t="str">
        <f>IFERROR(IF(HLOOKUP(BA49,$M$47:$AC$50,$AG49,FALSE)=0,"",HLOOKUP(BA49,$M$47:$AC$50,$AG49,FALSE)),"")</f>
        <v/>
      </c>
      <c r="BC49" s="130" t="str">
        <f>IF(VLOOKUP($AH49,SKUS_TO_SIZES,BC$11,FALSE)=0,"",VLOOKUP($AH49,SKUS_TO_SIZES,BC$11,FALSE))</f>
        <v/>
      </c>
      <c r="BD49" s="129" t="str">
        <f>IFERROR(IF(HLOOKUP(BC49,$M$47:$AC$50,$AG49,FALSE)=0,"",HLOOKUP(BC49,$M$47:$AC$50,$AG49,FALSE)),"")</f>
        <v/>
      </c>
      <c r="BE49" s="130" t="str">
        <f>IF(VLOOKUP($AH49,SKUS_TO_SIZES,BE$11,FALSE)=0,"",VLOOKUP($AH49,SKUS_TO_SIZES,BE$11,FALSE))</f>
        <v/>
      </c>
      <c r="BF49" s="129" t="str">
        <f>IFERROR(IF(HLOOKUP(BE49,$M$47:$AC$50,$AG49,FALSE)=0,"",HLOOKUP(BE49,$M$47:$AC$50,$AG49,FALSE)),"")</f>
        <v/>
      </c>
      <c r="BG49" s="8"/>
    </row>
    <row r="50" spans="1:59" ht="12.75" customHeight="1">
      <c r="B50" s="455">
        <f>IF(SKI_CALCULATOR_TYPE=0,IF(ISBLANK(D50),MAX(B$15:B49),IF(AND(ISNUMBER(L48),L48&gt;0)=TRUE,MAX(B$15:B49)+1,MAX(B$15:B49))),0)</f>
        <v>0</v>
      </c>
      <c r="C50" s="10"/>
      <c r="D50" s="314" t="s">
        <v>302</v>
      </c>
      <c r="E50" s="535" t="str">
        <f>VLOOKUP(D50,SKUS_TO_SIZES,2,FALSE)</f>
        <v>COMP J1 BLACK</v>
      </c>
      <c r="F50" s="532">
        <f>VLOOKUP(D50,SKUS_TO_SIZES,3,FALSE)</f>
        <v>84</v>
      </c>
      <c r="G50" s="532">
        <f ca="1">SUM(M50:X50)*F50</f>
        <v>0</v>
      </c>
      <c r="H50" s="532">
        <f>IF(SKI_DISCOUNT_TYPE=1,IF($J$10=0,F50,F50*(SUM(1-$J$10))),IF(I50=0,F50,F50*(SUM(1-I50))))</f>
        <v>84</v>
      </c>
      <c r="I50" s="536">
        <v>0</v>
      </c>
      <c r="J50" s="537">
        <f>$J$10</f>
        <v>0</v>
      </c>
      <c r="K50" s="543">
        <f t="shared" ca="1" si="70"/>
        <v>0</v>
      </c>
      <c r="L50" s="960"/>
      <c r="M50" s="407">
        <f ca="1">IFERROR(ROUND($L48*HLOOKUP(M$47,INDIRECT("'Hidden Data'!"&amp;HLOOKUP(COLUMN(SKUS_TO_SIZES),NUMBER_TO_LETTER,2,FALSE)&amp;MATCH($D50,'Hidden Data'!$D:$D,0)&amp;":T"&amp;MATCH($D50&amp;"-sizecurve",'Hidden Data'!$D:$D,0)),2,FALSE),0)," ")</f>
        <v>0</v>
      </c>
      <c r="N50" s="408">
        <f ca="1">IFERROR(ROUND($L48*HLOOKUP(N$47,INDIRECT("'Hidden Data'!"&amp;HLOOKUP(COLUMN(SKUS_TO_SIZES),NUMBER_TO_LETTER,2,FALSE)&amp;MATCH($D50,'Hidden Data'!$D:$D,0)&amp;":T"&amp;MATCH($D50&amp;"-sizecurve",'Hidden Data'!$D:$D,0)),2,FALSE),0)," ")</f>
        <v>0</v>
      </c>
      <c r="O50" s="408">
        <f ca="1">IFERROR(ROUND($L48*HLOOKUP(O$47,INDIRECT("'Hidden Data'!"&amp;HLOOKUP(COLUMN(SKUS_TO_SIZES),NUMBER_TO_LETTER,2,FALSE)&amp;MATCH($D50,'Hidden Data'!$D:$D,0)&amp;":T"&amp;MATCH($D50&amp;"-sizecurve",'Hidden Data'!$D:$D,0)),2,FALSE),0)," ")</f>
        <v>0</v>
      </c>
      <c r="P50" s="408" t="str">
        <f ca="1">IFERROR(ROUND($L48*HLOOKUP(P$47,INDIRECT("'Hidden Data'!"&amp;HLOOKUP(COLUMN(SKUS_TO_SIZES),NUMBER_TO_LETTER,2,FALSE)&amp;MATCH($D50,'Hidden Data'!$D:$D,0)&amp;":T"&amp;MATCH($D50&amp;"-sizecurve",'Hidden Data'!$D:$D,0)),2,FALSE),0)," ")</f>
        <v xml:space="preserve"> </v>
      </c>
      <c r="Q50" s="408" t="str">
        <f ca="1">IFERROR(ROUND($L48*HLOOKUP(Q$47,INDIRECT("'Hidden Data'!"&amp;HLOOKUP(COLUMN(SKUS_TO_SIZES),NUMBER_TO_LETTER,2,FALSE)&amp;MATCH($D50,'Hidden Data'!$D:$D,0)&amp;":T"&amp;MATCH($D50&amp;"-sizecurve",'Hidden Data'!$D:$D,0)),2,FALSE),0)," ")</f>
        <v xml:space="preserve"> </v>
      </c>
      <c r="R50" s="408" t="str">
        <f ca="1">IFERROR(ROUND($L48*HLOOKUP(R$47,INDIRECT("'Hidden Data'!"&amp;HLOOKUP(COLUMN(SKUS_TO_SIZES),NUMBER_TO_LETTER,2,FALSE)&amp;MATCH($D50,'Hidden Data'!$D:$D,0)&amp;":T"&amp;MATCH($D50&amp;"-sizecurve",'Hidden Data'!$D:$D,0)),2,FALSE),0)," ")</f>
        <v xml:space="preserve"> </v>
      </c>
      <c r="S50" s="408" t="str">
        <f ca="1">IFERROR(ROUND($L48*HLOOKUP(S$47,INDIRECT("'Hidden Data'!"&amp;HLOOKUP(COLUMN(SKUS_TO_SIZES),NUMBER_TO_LETTER,2,FALSE)&amp;MATCH($D50,'Hidden Data'!$D:$D,0)&amp;":T"&amp;MATCH($D50&amp;"-sizecurve",'Hidden Data'!$D:$D,0)),2,FALSE),0)," ")</f>
        <v xml:space="preserve"> </v>
      </c>
      <c r="T50" s="408" t="str">
        <f ca="1">IFERROR(ROUND($L48*HLOOKUP(T$47,INDIRECT("'Hidden Data'!"&amp;HLOOKUP(COLUMN(SKUS_TO_SIZES),NUMBER_TO_LETTER,2,FALSE)&amp;MATCH($D50,'Hidden Data'!$D:$D,0)&amp;":T"&amp;MATCH($D50&amp;"-sizecurve",'Hidden Data'!$D:$D,0)),2,FALSE),0)," ")</f>
        <v xml:space="preserve"> </v>
      </c>
      <c r="U50" s="413" t="str">
        <f ca="1">IFERROR(ROUND($L48*HLOOKUP(U$47,INDIRECT("'Hidden Data'!"&amp;HLOOKUP(COLUMN(SKUS_TO_SIZES),NUMBER_TO_LETTER,2,FALSE)&amp;MATCH($D50,'Hidden Data'!$D:$D,0)&amp;":T"&amp;MATCH($D50&amp;"-sizecurve",'Hidden Data'!$D:$D,0)),2,FALSE),0)," ")</f>
        <v xml:space="preserve"> </v>
      </c>
      <c r="V50" s="413" t="str">
        <f ca="1">IFERROR(ROUND($L48*HLOOKUP(V$47,INDIRECT("'Hidden Data'!"&amp;HLOOKUP(COLUMN(SKUS_TO_SIZES),NUMBER_TO_LETTER,2,FALSE)&amp;MATCH($D50,'Hidden Data'!$D:$D,0)&amp;":T"&amp;MATCH($D50&amp;"-sizecurve",'Hidden Data'!$D:$D,0)),2,FALSE),0)," ")</f>
        <v xml:space="preserve"> </v>
      </c>
      <c r="W50" s="413" t="str">
        <f ca="1">IFERROR(ROUND($L48*HLOOKUP(W$47,INDIRECT("'Hidden Data'!"&amp;HLOOKUP(COLUMN(SKUS_TO_SIZES),NUMBER_TO_LETTER,2,FALSE)&amp;MATCH($D50,'Hidden Data'!$D:$D,0)&amp;":T"&amp;MATCH($D50&amp;"-sizecurve",'Hidden Data'!$D:$D,0)),2,FALSE),0)," ")</f>
        <v xml:space="preserve"> </v>
      </c>
      <c r="X50" s="411" t="str">
        <f ca="1">IFERROR(ROUND($L48*HLOOKUP(X$47,INDIRECT("'Hidden Data'!"&amp;HLOOKUP(COLUMN(SKUS_TO_SIZES),NUMBER_TO_LETTER,2,FALSE)&amp;MATCH($D50,'Hidden Data'!$D:$D,0)&amp;":T"&amp;MATCH($D50&amp;"-sizecurve",'Hidden Data'!$D:$D,0)),2,FALSE),0)," ")</f>
        <v xml:space="preserve"> </v>
      </c>
      <c r="Y50" s="179"/>
      <c r="Z50" s="179"/>
      <c r="AA50" s="179"/>
      <c r="AB50" s="179"/>
      <c r="AC50" s="179"/>
      <c r="AD50" s="179"/>
      <c r="AE50" s="179"/>
      <c r="AF50" s="10"/>
      <c r="AG50" s="1">
        <f t="shared" si="71"/>
        <v>4</v>
      </c>
      <c r="AH50" s="288" t="str">
        <f>D50</f>
        <v>RBP6020</v>
      </c>
      <c r="AI50" s="130">
        <f>IF(VLOOKUP($AH50,SKUS_TO_SIZES,AI$11,FALSE)=0,"",VLOOKUP($AH50,SKUS_TO_SIZES,AI$11,FALSE))</f>
        <v>15.5</v>
      </c>
      <c r="AJ50" s="129" t="str">
        <f ca="1">IFERROR(IF(HLOOKUP(AI50,$M$47:$AC$50,$AG50,FALSE)=0,"",HLOOKUP(AI50,$M$47:$AC$50,$AG50,FALSE)),"")</f>
        <v/>
      </c>
      <c r="AK50" s="130">
        <f>IF(VLOOKUP($AH50,SKUS_TO_SIZES,AK$11,FALSE)=0,"",VLOOKUP($AH50,SKUS_TO_SIZES,AK$11,FALSE))</f>
        <v>16.5</v>
      </c>
      <c r="AL50" s="129" t="str">
        <f ca="1">IFERROR(IF(HLOOKUP(AK50,$M$47:$AC$50,$AG50,FALSE)=0,"",HLOOKUP(AK50,$M$47:$AC$50,$AG50,FALSE)),"")</f>
        <v/>
      </c>
      <c r="AM50" s="130">
        <f>IF(VLOOKUP($AH50,SKUS_TO_SIZES,AM$11,FALSE)=0,"",VLOOKUP($AH50,SKUS_TO_SIZES,AM$11,FALSE))</f>
        <v>17.5</v>
      </c>
      <c r="AN50" s="129" t="str">
        <f ca="1">IFERROR(IF(HLOOKUP(AM50,$M$47:$AC$50,$AG50,FALSE)=0,"",HLOOKUP(AM50,$M$47:$AC$50,$AG50,FALSE)),"")</f>
        <v/>
      </c>
      <c r="AO50" s="130" t="str">
        <f>IF(VLOOKUP($AH50,SKUS_TO_SIZES,AO$11,FALSE)=0,"",VLOOKUP($AH50,SKUS_TO_SIZES,AO$11,FALSE))</f>
        <v/>
      </c>
      <c r="AP50" s="129" t="str">
        <f>IFERROR(IF(HLOOKUP(AO50,$M$47:$AC$50,$AG50,FALSE)=0,"",HLOOKUP(AO50,$M$47:$AC$50,$AG50,FALSE)),"")</f>
        <v/>
      </c>
      <c r="AQ50" s="130" t="str">
        <f>IF(VLOOKUP($AH50,SKUS_TO_SIZES,AQ$11,FALSE)=0,"",VLOOKUP($AH50,SKUS_TO_SIZES,AQ$11,FALSE))</f>
        <v/>
      </c>
      <c r="AR50" s="129" t="str">
        <f>IFERROR(IF(HLOOKUP(AQ50,$M$47:$AC$50,$AG50,FALSE)=0,"",HLOOKUP(AQ50,$M$47:$AC$50,$AG50,FALSE)),"")</f>
        <v/>
      </c>
      <c r="AS50" s="130" t="str">
        <f>IF(VLOOKUP($AH50,SKUS_TO_SIZES,AS$11,FALSE)=0,"",VLOOKUP($AH50,SKUS_TO_SIZES,AS$11,FALSE))</f>
        <v/>
      </c>
      <c r="AT50" s="129" t="str">
        <f>IFERROR(IF(HLOOKUP(AS50,$M$47:$AC$50,$AG50,FALSE)=0,"",HLOOKUP(AS50,$M$47:$AC$50,$AG50,FALSE)),"")</f>
        <v/>
      </c>
      <c r="AU50" s="130" t="str">
        <f>IF(VLOOKUP($AH50,SKUS_TO_SIZES,AU$11,FALSE)=0,"",VLOOKUP($AH50,SKUS_TO_SIZES,AU$11,FALSE))</f>
        <v/>
      </c>
      <c r="AV50" s="129" t="str">
        <f>IFERROR(IF(HLOOKUP(AU50,$M$47:$AC$50,$AG50,FALSE)=0,"",HLOOKUP(AU50,$M$47:$AC$50,$AG50,FALSE)),"")</f>
        <v/>
      </c>
      <c r="AW50" s="130" t="str">
        <f>IF(VLOOKUP($AH50,SKUS_TO_SIZES,AW$11,FALSE)=0,"",VLOOKUP($AH50,SKUS_TO_SIZES,AW$11,FALSE))</f>
        <v/>
      </c>
      <c r="AX50" s="129" t="str">
        <f>IFERROR(IF(HLOOKUP(AW50,$M$47:$AC$50,$AG50,FALSE)=0,"",HLOOKUP(AW50,$M$47:$AC$50,$AG50,FALSE)),"")</f>
        <v/>
      </c>
      <c r="AY50" s="130" t="str">
        <f>IF(VLOOKUP($AH50,SKUS_TO_SIZES,AY$11,FALSE)=0,"",VLOOKUP($AH50,SKUS_TO_SIZES,AY$11,FALSE))</f>
        <v/>
      </c>
      <c r="AZ50" s="129" t="str">
        <f>IFERROR(IF(HLOOKUP(AY50,$M$47:$AC$50,$AG50,FALSE)=0,"",HLOOKUP(AY50,$M$47:$AC$50,$AG50,FALSE)),"")</f>
        <v/>
      </c>
      <c r="BA50" s="130" t="str">
        <f>IF(VLOOKUP($AH50,SKUS_TO_SIZES,BA$11,FALSE)=0,"",VLOOKUP($AH50,SKUS_TO_SIZES,BA$11,FALSE))</f>
        <v/>
      </c>
      <c r="BB50" s="129" t="str">
        <f>IFERROR(IF(HLOOKUP(BA50,$M$47:$AC$50,$AG50,FALSE)=0,"",HLOOKUP(BA50,$M$47:$AC$50,$AG50,FALSE)),"")</f>
        <v/>
      </c>
      <c r="BC50" s="130" t="str">
        <f>IF(VLOOKUP($AH50,SKUS_TO_SIZES,BC$11,FALSE)=0,"",VLOOKUP($AH50,SKUS_TO_SIZES,BC$11,FALSE))</f>
        <v/>
      </c>
      <c r="BD50" s="129" t="str">
        <f>IFERROR(IF(HLOOKUP(BC50,$M$47:$AC$50,$AG50,FALSE)=0,"",HLOOKUP(BC50,$M$47:$AC$50,$AG50,FALSE)),"")</f>
        <v/>
      </c>
      <c r="BE50" s="130" t="str">
        <f>IF(VLOOKUP($AH50,SKUS_TO_SIZES,BE$11,FALSE)=0,"",VLOOKUP($AH50,SKUS_TO_SIZES,BE$11,FALSE))</f>
        <v/>
      </c>
      <c r="BF50" s="129" t="str">
        <f>IFERROR(IF(HLOOKUP(BE50,$M$47:$AC$50,$AG50,FALSE)=0,"",HLOOKUP(BE50,$M$47:$AC$50,$AG50,FALSE)),"")</f>
        <v/>
      </c>
      <c r="BG50" s="8"/>
    </row>
    <row r="51" spans="1:59" ht="12.75" customHeight="1">
      <c r="B51" s="9">
        <f>IF(SKI_CALCULATOR_TYPE=0,IF(ISBLANK(D51),MAX(B$15:B50),IF(AND(ISNUMBER(L51),L51&gt;0)=TRUE,MAX(B$15:B50)+1,MAX(B$15:B50))),0)</f>
        <v>0</v>
      </c>
      <c r="C51" s="10"/>
      <c r="D51" s="178"/>
      <c r="E51" s="209"/>
      <c r="F51" s="210"/>
      <c r="G51" s="395">
        <f ca="1">SUM(G48:G50)</f>
        <v>0</v>
      </c>
      <c r="H51" s="210"/>
      <c r="I51" s="210"/>
      <c r="J51" s="210"/>
      <c r="K51" s="309">
        <f ca="1">SUM(K48:K50)</f>
        <v>0</v>
      </c>
      <c r="L51" s="310">
        <f ca="1">SUM(M51:AD51)</f>
        <v>0</v>
      </c>
      <c r="M51" s="229">
        <f ca="1">SUM(M48:M50)</f>
        <v>0</v>
      </c>
      <c r="N51" s="235">
        <f t="shared" ref="N51:W51" ca="1" si="72">SUM(N48:N50)</f>
        <v>0</v>
      </c>
      <c r="O51" s="235">
        <f t="shared" ca="1" si="72"/>
        <v>0</v>
      </c>
      <c r="P51" s="235">
        <f t="shared" ca="1" si="72"/>
        <v>0</v>
      </c>
      <c r="Q51" s="235">
        <f t="shared" ca="1" si="72"/>
        <v>0</v>
      </c>
      <c r="R51" s="235">
        <f t="shared" ca="1" si="72"/>
        <v>0</v>
      </c>
      <c r="S51" s="235">
        <f t="shared" ca="1" si="72"/>
        <v>0</v>
      </c>
      <c r="T51" s="235">
        <f t="shared" ca="1" si="72"/>
        <v>0</v>
      </c>
      <c r="U51" s="235">
        <f t="shared" ca="1" si="72"/>
        <v>0</v>
      </c>
      <c r="V51" s="235">
        <f t="shared" ca="1" si="72"/>
        <v>0</v>
      </c>
      <c r="W51" s="235">
        <f t="shared" ca="1" si="72"/>
        <v>0</v>
      </c>
      <c r="X51" s="230">
        <f ca="1">SUM(X48:X50)</f>
        <v>0</v>
      </c>
      <c r="Y51" s="179"/>
      <c r="Z51" s="179"/>
      <c r="AA51" s="179"/>
      <c r="AB51" s="179"/>
      <c r="AC51" s="179"/>
      <c r="AD51" s="179"/>
      <c r="AE51" s="179"/>
      <c r="AF51" s="10"/>
      <c r="AI51" s="1"/>
      <c r="AJ51" s="41"/>
      <c r="AK51" s="1"/>
      <c r="AL51" s="41"/>
      <c r="AM51" s="1"/>
      <c r="AN51" s="41"/>
      <c r="AO51" s="1"/>
      <c r="AP51" s="41"/>
      <c r="AQ51" s="1"/>
      <c r="AR51" s="41"/>
      <c r="AS51" s="1"/>
      <c r="AT51" s="41"/>
      <c r="AU51" s="1"/>
      <c r="AV51" s="41"/>
      <c r="AW51" s="1"/>
      <c r="AX51" s="41"/>
      <c r="AY51" s="1"/>
      <c r="AZ51" s="41"/>
      <c r="BA51" s="1"/>
      <c r="BB51" s="41"/>
      <c r="BC51" s="1"/>
      <c r="BD51" s="41"/>
      <c r="BE51" s="1"/>
      <c r="BF51" s="41"/>
    </row>
    <row r="52" spans="1:59" ht="12.75" customHeight="1">
      <c r="B52" s="9">
        <f>IF(SKI_CALCULATOR_TYPE=0,IF(ISBLANK(D52),MAX(B$15:B51),IF(AND(ISNUMBER(L52),L52&gt;0)=TRUE,MAX(B$15:B51)+1,MAX(B$15:B51))),0)</f>
        <v>0</v>
      </c>
      <c r="C52" s="13"/>
      <c r="D52" s="953" t="s">
        <v>112</v>
      </c>
      <c r="E52" s="954"/>
      <c r="F52" s="293"/>
      <c r="G52" s="291"/>
      <c r="H52" s="291"/>
      <c r="I52" s="291"/>
      <c r="J52" s="291"/>
      <c r="K52" s="291"/>
      <c r="L52" s="291"/>
      <c r="M52" s="291"/>
      <c r="N52" s="291"/>
      <c r="O52" s="291"/>
      <c r="P52" s="291"/>
      <c r="Q52" s="291"/>
      <c r="R52" s="291"/>
      <c r="S52" s="291"/>
      <c r="T52" s="291"/>
      <c r="U52" s="291"/>
      <c r="V52" s="291"/>
      <c r="W52" s="291"/>
      <c r="X52" s="291"/>
      <c r="Y52" s="291"/>
      <c r="Z52" s="291"/>
      <c r="AA52" s="291"/>
      <c r="AB52" s="291"/>
      <c r="AC52" s="291"/>
      <c r="AD52" s="291"/>
      <c r="AE52" s="291"/>
      <c r="AF52" s="10"/>
      <c r="AI52" s="1"/>
      <c r="AJ52" s="41"/>
      <c r="AK52" s="1"/>
      <c r="AL52" s="41"/>
      <c r="AM52" s="1"/>
      <c r="AN52" s="41"/>
      <c r="AO52" s="1"/>
      <c r="AP52" s="41"/>
      <c r="AQ52" s="1"/>
      <c r="AR52" s="41"/>
      <c r="AS52" s="1"/>
      <c r="AT52" s="41"/>
      <c r="AU52" s="1"/>
      <c r="AV52" s="41"/>
      <c r="AW52" s="1"/>
      <c r="AX52" s="41"/>
      <c r="AY52" s="1"/>
      <c r="AZ52" s="41"/>
      <c r="BA52" s="1"/>
      <c r="BB52" s="41"/>
      <c r="BC52" s="1"/>
      <c r="BD52" s="41"/>
      <c r="BE52" s="1"/>
      <c r="BF52" s="41"/>
    </row>
    <row r="53" spans="1:59" ht="12.75" customHeight="1" thickBot="1">
      <c r="A53" s="6"/>
      <c r="B53" s="9">
        <f>IF(SKI_CALCULATOR_TYPE=0,IF(ISBLANK(D53),MAX(B$15:B52),IF(AND(ISNUMBER(L53),L53&gt;0)=TRUE,MAX(B$15:B52)+1,MAX(B$15:B52))),0)</f>
        <v>0</v>
      </c>
      <c r="C53" s="13"/>
      <c r="D53" s="295" t="s">
        <v>0</v>
      </c>
      <c r="E53" s="313" t="s">
        <v>1</v>
      </c>
      <c r="F53" s="305" t="s">
        <v>43</v>
      </c>
      <c r="G53" s="305" t="s">
        <v>19</v>
      </c>
      <c r="H53" s="327" t="s">
        <v>102</v>
      </c>
      <c r="I53" s="331" t="s">
        <v>21</v>
      </c>
      <c r="J53" s="311" t="s">
        <v>21</v>
      </c>
      <c r="K53" s="317" t="s">
        <v>6</v>
      </c>
      <c r="L53" s="302" t="s">
        <v>5</v>
      </c>
      <c r="M53" s="300">
        <v>70</v>
      </c>
      <c r="N53" s="301">
        <v>75</v>
      </c>
      <c r="O53" s="301">
        <v>80</v>
      </c>
      <c r="P53" s="301">
        <v>85</v>
      </c>
      <c r="Q53" s="301">
        <v>90</v>
      </c>
      <c r="R53" s="301">
        <v>95</v>
      </c>
      <c r="S53" s="301">
        <v>100</v>
      </c>
      <c r="T53" s="301">
        <v>105</v>
      </c>
      <c r="U53" s="303" t="s">
        <v>125</v>
      </c>
      <c r="V53" s="177"/>
      <c r="W53" s="177"/>
      <c r="X53" s="177"/>
      <c r="Y53" s="177"/>
      <c r="Z53" s="177"/>
      <c r="AA53" s="177"/>
      <c r="AB53" s="177"/>
      <c r="AC53" s="177"/>
      <c r="AD53" s="177"/>
      <c r="AE53" s="177"/>
      <c r="AF53" s="10"/>
      <c r="AI53" s="1"/>
      <c r="AJ53" s="41"/>
      <c r="AK53" s="1"/>
      <c r="AL53" s="41"/>
      <c r="AM53" s="1"/>
      <c r="AN53" s="41"/>
      <c r="AO53" s="1"/>
      <c r="AP53" s="41"/>
      <c r="AQ53" s="1"/>
      <c r="AR53" s="41"/>
      <c r="AS53" s="1"/>
      <c r="AT53" s="41"/>
      <c r="AU53" s="1"/>
      <c r="AV53" s="41"/>
      <c r="AW53" s="1"/>
      <c r="AX53" s="41"/>
      <c r="AY53" s="1"/>
      <c r="AZ53" s="41"/>
      <c r="BA53" s="1"/>
      <c r="BB53" s="41"/>
      <c r="BC53" s="1"/>
      <c r="BD53" s="41"/>
      <c r="BE53" s="1"/>
      <c r="BF53" s="41"/>
    </row>
    <row r="54" spans="1:59" ht="12.75" customHeight="1" thickTop="1">
      <c r="A54" s="8"/>
      <c r="B54" s="9">
        <f>IF(SKI_CALCULATOR_TYPE=0,IF(ISBLANK(D54),MAX(B$15:B53),IF(AND(ISNUMBER(L54),L54&gt;0)=TRUE,MAX(B$15:B53)+1,MAX(B$15:B53))),0)</f>
        <v>0</v>
      </c>
      <c r="C54" s="13"/>
      <c r="D54" s="315" t="s">
        <v>278</v>
      </c>
      <c r="E54" s="519" t="str">
        <f>VLOOKUP(D54,SKUS_TO_SIZES,2,FALSE)</f>
        <v>RENTAL TELESCOPIC JR</v>
      </c>
      <c r="F54" s="520">
        <f>VLOOKUP(D54,SKUS_TO_SIZES,3,FALSE)</f>
        <v>37</v>
      </c>
      <c r="G54" s="520">
        <f>SUM(L54)*F54</f>
        <v>0</v>
      </c>
      <c r="H54" s="520">
        <f>IF(SKI_DISCOUNT_TYPE=1,IF($J$10=0,F54,F54*(SUM(1-$J$10))),IF(I54=0,F54,F54*(SUM(1-I54))))</f>
        <v>37</v>
      </c>
      <c r="I54" s="521">
        <v>0</v>
      </c>
      <c r="J54" s="522">
        <f>$J$10</f>
        <v>0</v>
      </c>
      <c r="K54" s="542">
        <f ca="1">SUM(M54:AD54)*H54</f>
        <v>0</v>
      </c>
      <c r="L54" s="308">
        <v>0</v>
      </c>
      <c r="M54" s="412" t="str">
        <f ca="1">IFERROR(ROUND($L54*HLOOKUP(M$53,INDIRECT("'Hidden Data'!"&amp;HLOOKUP(COLUMN(SKUS_TO_SIZES),NUMBER_TO_LETTER,2,FALSE)&amp;MATCH($D54,'Hidden Data'!$D:$D,0)&amp;":T"&amp;MATCH($D54&amp;"-sizecurve",'Hidden Data'!$D:$D,0)),2,FALSE),0)," ")</f>
        <v xml:space="preserve"> </v>
      </c>
      <c r="N54" s="409" t="str">
        <f ca="1">IFERROR(ROUND($L54*HLOOKUP(N$53,INDIRECT("'Hidden Data'!"&amp;HLOOKUP(COLUMN(SKUS_TO_SIZES),NUMBER_TO_LETTER,2,FALSE)&amp;MATCH($D54,'Hidden Data'!$D:$D,0)&amp;":T"&amp;MATCH($D54&amp;"-sizecurve",'Hidden Data'!$D:$D,0)),2,FALSE),0)," ")</f>
        <v xml:space="preserve"> </v>
      </c>
      <c r="O54" s="409" t="str">
        <f ca="1">IFERROR(ROUND($L54*HLOOKUP(O$53,INDIRECT("'Hidden Data'!"&amp;HLOOKUP(COLUMN(SKUS_TO_SIZES),NUMBER_TO_LETTER,2,FALSE)&amp;MATCH($D54,'Hidden Data'!$D:$D,0)&amp;":T"&amp;MATCH($D54&amp;"-sizecurve",'Hidden Data'!$D:$D,0)),2,FALSE),0)," ")</f>
        <v xml:space="preserve"> </v>
      </c>
      <c r="P54" s="409" t="str">
        <f ca="1">IFERROR(ROUND($L54*HLOOKUP(P$53,INDIRECT("'Hidden Data'!"&amp;HLOOKUP(COLUMN(SKUS_TO_SIZES),NUMBER_TO_LETTER,2,FALSE)&amp;MATCH($D54,'Hidden Data'!$D:$D,0)&amp;":T"&amp;MATCH($D54&amp;"-sizecurve",'Hidden Data'!$D:$D,0)),2,FALSE),0)," ")</f>
        <v xml:space="preserve"> </v>
      </c>
      <c r="Q54" s="409" t="str">
        <f ca="1">IFERROR(ROUND($L54*HLOOKUP(Q$53,INDIRECT("'Hidden Data'!"&amp;HLOOKUP(COLUMN(SKUS_TO_SIZES),NUMBER_TO_LETTER,2,FALSE)&amp;MATCH($D54,'Hidden Data'!$D:$D,0)&amp;":T"&amp;MATCH($D54&amp;"-sizecurve",'Hidden Data'!$D:$D,0)),2,FALSE),0)," ")</f>
        <v xml:space="preserve"> </v>
      </c>
      <c r="R54" s="409" t="str">
        <f ca="1">IFERROR(ROUND($L54*HLOOKUP(R$53,INDIRECT("'Hidden Data'!"&amp;HLOOKUP(COLUMN(SKUS_TO_SIZES),NUMBER_TO_LETTER,2,FALSE)&amp;MATCH($D54,'Hidden Data'!$D:$D,0)&amp;":T"&amp;MATCH($D54&amp;"-sizecurve",'Hidden Data'!$D:$D,0)),2,FALSE),0)," ")</f>
        <v xml:space="preserve"> </v>
      </c>
      <c r="S54" s="409" t="str">
        <f ca="1">IFERROR(ROUND($L54*HLOOKUP(S$53,INDIRECT("'Hidden Data'!"&amp;HLOOKUP(COLUMN(SKUS_TO_SIZES),NUMBER_TO_LETTER,2,FALSE)&amp;MATCH($D54,'Hidden Data'!$D:$D,0)&amp;":T"&amp;MATCH($D54&amp;"-sizecurve",'Hidden Data'!$D:$D,0)),2,FALSE),0)," ")</f>
        <v xml:space="preserve"> </v>
      </c>
      <c r="T54" s="409" t="str">
        <f ca="1">IFERROR(ROUND($L54*HLOOKUP(T$53,INDIRECT("'Hidden Data'!"&amp;HLOOKUP(COLUMN(SKUS_TO_SIZES),NUMBER_TO_LETTER,2,FALSE)&amp;MATCH($D54,'Hidden Data'!$D:$D,0)&amp;":T"&amp;MATCH($D54&amp;"-sizecurve",'Hidden Data'!$D:$D,0)),2,FALSE),0)," ")</f>
        <v xml:space="preserve"> </v>
      </c>
      <c r="U54" s="403">
        <f ca="1">IFERROR(ROUND($L54*HLOOKUP(U$53,INDIRECT("'Hidden Data'!"&amp;HLOOKUP(COLUMN(SKUS_TO_SIZES),NUMBER_TO_LETTER,2,FALSE)&amp;MATCH($D54,'Hidden Data'!$D:$D,0)&amp;":T"&amp;MATCH($D54&amp;"-sizecurve",'Hidden Data'!$D:$D,0)),2,FALSE),0)," ")</f>
        <v>0</v>
      </c>
      <c r="V54" s="178"/>
      <c r="W54" s="178"/>
      <c r="X54" s="178"/>
      <c r="Y54" s="178"/>
      <c r="Z54" s="178"/>
      <c r="AA54" s="178"/>
      <c r="AB54" s="178"/>
      <c r="AC54" s="178"/>
      <c r="AD54" s="178"/>
      <c r="AE54" s="178"/>
      <c r="AF54" s="10"/>
      <c r="AG54" s="1">
        <v>2</v>
      </c>
      <c r="AH54" s="288" t="str">
        <f>D54</f>
        <v>RDO7050</v>
      </c>
      <c r="AI54" s="130" t="str">
        <f>IF(VLOOKUP($AH54,SKUS_TO_SIZES,AI$11,FALSE)=0,"",VLOOKUP($AH54,SKUS_TO_SIZES,AI$11,FALSE))</f>
        <v>Adjust.</v>
      </c>
      <c r="AJ54" s="129" t="str">
        <f ca="1">IFERROR(IF(HLOOKUP(AI54,$M$53:$AC$56,$AG54,FALSE)=0,"",HLOOKUP(AI54,$M$53:$AC$56,$AG54,FALSE)),"")</f>
        <v/>
      </c>
      <c r="AK54" s="130" t="str">
        <f>IF(VLOOKUP($AH54,SKUS_TO_SIZES,AK$11,FALSE)=0,"",VLOOKUP($AH54,SKUS_TO_SIZES,AK$11,FALSE))</f>
        <v/>
      </c>
      <c r="AL54" s="129" t="str">
        <f>IFERROR(IF(HLOOKUP(AK54,$M$53:$AC$56,$AG54,FALSE)=0,"",HLOOKUP(AK54,$M$53:$AC$56,$AG54,FALSE)),"")</f>
        <v/>
      </c>
      <c r="AM54" s="130" t="str">
        <f>IF(VLOOKUP($AH54,SKUS_TO_SIZES,AM$11,FALSE)=0,"",VLOOKUP($AH54,SKUS_TO_SIZES,AM$11,FALSE))</f>
        <v/>
      </c>
      <c r="AN54" s="129" t="str">
        <f>IFERROR(IF(HLOOKUP(AM54,$M$53:$AC$56,$AG54,FALSE)=0,"",HLOOKUP(AM54,$M$53:$AC$56,$AG54,FALSE)),"")</f>
        <v/>
      </c>
      <c r="AO54" s="130" t="str">
        <f>IF(VLOOKUP($AH54,SKUS_TO_SIZES,AO$11,FALSE)=0,"",VLOOKUP($AH54,SKUS_TO_SIZES,AO$11,FALSE))</f>
        <v/>
      </c>
      <c r="AP54" s="129" t="str">
        <f>IFERROR(IF(HLOOKUP(AO54,$M$53:$AC$56,$AG54,FALSE)=0,"",HLOOKUP(AO54,$M$53:$AC$56,$AG54,FALSE)),"")</f>
        <v/>
      </c>
      <c r="AQ54" s="130" t="str">
        <f>IF(VLOOKUP($AH54,SKUS_TO_SIZES,AQ$11,FALSE)=0,"",VLOOKUP($AH54,SKUS_TO_SIZES,AQ$11,FALSE))</f>
        <v/>
      </c>
      <c r="AR54" s="129" t="str">
        <f>IFERROR(IF(HLOOKUP(AQ54,$M$53:$AC$56,$AG54,FALSE)=0,"",HLOOKUP(AQ54,$M$53:$AC$56,$AG54,FALSE)),"")</f>
        <v/>
      </c>
      <c r="AS54" s="130" t="str">
        <f>IF(VLOOKUP($AH54,SKUS_TO_SIZES,AS$11,FALSE)=0,"",VLOOKUP($AH54,SKUS_TO_SIZES,AS$11,FALSE))</f>
        <v/>
      </c>
      <c r="AT54" s="129" t="str">
        <f>IFERROR(IF(HLOOKUP(AS54,$M$53:$AC$56,$AG54,FALSE)=0,"",HLOOKUP(AS54,$M$53:$AC$56,$AG54,FALSE)),"")</f>
        <v/>
      </c>
      <c r="AU54" s="130" t="str">
        <f>IF(VLOOKUP($AH54,SKUS_TO_SIZES,AU$11,FALSE)=0,"",VLOOKUP($AH54,SKUS_TO_SIZES,AU$11,FALSE))</f>
        <v/>
      </c>
      <c r="AV54" s="129" t="str">
        <f>IFERROR(IF(HLOOKUP(AU54,$M$53:$AC$56,$AG54,FALSE)=0,"",HLOOKUP(AU54,$M$53:$AC$56,$AG54,FALSE)),"")</f>
        <v/>
      </c>
      <c r="AW54" s="130" t="str">
        <f>IF(VLOOKUP($AH54,SKUS_TO_SIZES,AW$11,FALSE)=0,"",VLOOKUP($AH54,SKUS_TO_SIZES,AW$11,FALSE))</f>
        <v/>
      </c>
      <c r="AX54" s="129" t="str">
        <f>IFERROR(IF(HLOOKUP(AW54,$M$53:$AC$56,$AG54,FALSE)=0,"",HLOOKUP(AW54,$M$53:$AC$56,$AG54,FALSE)),"")</f>
        <v/>
      </c>
      <c r="AY54" s="130" t="str">
        <f>IF(VLOOKUP($AH54,SKUS_TO_SIZES,AY$11,FALSE)=0,"",VLOOKUP($AH54,SKUS_TO_SIZES,AY$11,FALSE))</f>
        <v/>
      </c>
      <c r="AZ54" s="129" t="str">
        <f>IFERROR(IF(HLOOKUP(AY54,$M$53:$AC$56,$AG54,FALSE)=0,"",HLOOKUP(AY54,$M$53:$AC$56,$AG54,FALSE)),"")</f>
        <v/>
      </c>
      <c r="BA54" s="130" t="str">
        <f>IF(VLOOKUP($AH54,SKUS_TO_SIZES,BA$11,FALSE)=0,"",VLOOKUP($AH54,SKUS_TO_SIZES,BA$11,FALSE))</f>
        <v/>
      </c>
      <c r="BB54" s="129" t="str">
        <f>IFERROR(IF(HLOOKUP(BA54,$M$53:$AC$56,$AG54,FALSE)=0,"",HLOOKUP(BA54,$M$53:$AC$56,$AG54,FALSE)),"")</f>
        <v/>
      </c>
      <c r="BC54" s="130" t="str">
        <f>IF(VLOOKUP($AH54,SKUS_TO_SIZES,BC$11,FALSE)=0,"",VLOOKUP($AH54,SKUS_TO_SIZES,BC$11,FALSE))</f>
        <v/>
      </c>
      <c r="BD54" s="129" t="str">
        <f>IFERROR(IF(HLOOKUP(BC54,$M$53:$AC$56,$AG54,FALSE)=0,"",HLOOKUP(BC54,$M$53:$AC$56,$AG54,FALSE)),"")</f>
        <v/>
      </c>
      <c r="BE54" s="130" t="str">
        <f>IF(VLOOKUP($AH54,SKUS_TO_SIZES,BE$11,FALSE)=0,"",VLOOKUP($AH54,SKUS_TO_SIZES,BE$11,FALSE))</f>
        <v/>
      </c>
      <c r="BF54" s="129" t="str">
        <f>IFERROR(IF(HLOOKUP(BE54,$M$53:$AC$56,$AG54,FALSE)=0,"",HLOOKUP(BE54,$M$53:$AC$56,$AG54,FALSE)),"")</f>
        <v/>
      </c>
    </row>
    <row r="55" spans="1:59" ht="12.75" customHeight="1">
      <c r="B55" s="9">
        <f>IF(SKI_CALCULATOR_TYPE=0,IF(ISBLANK(D55),MAX(B$15:B54),IF(AND(ISNUMBER(L55),L55&gt;0)=TRUE,MAX(B$15:B54)+1,MAX(B$15:B54))),0)</f>
        <v>0</v>
      </c>
      <c r="C55" s="10"/>
      <c r="D55" s="316" t="s">
        <v>279</v>
      </c>
      <c r="E55" s="525" t="str">
        <f>VLOOKUP(D55,SKUS_TO_SIZES,2,FALSE)</f>
        <v>RENTAL FIBER JR</v>
      </c>
      <c r="F55" s="526">
        <f>VLOOKUP(D55,SKUS_TO_SIZES,3,FALSE)</f>
        <v>30</v>
      </c>
      <c r="G55" s="526">
        <f>SUM(L55)*F55</f>
        <v>0</v>
      </c>
      <c r="H55" s="526">
        <f>IF(SKI_DISCOUNT_TYPE=1,IF($J$10=0,F55,F55*(SUM(1-$J$10))),IF(I55=0,F55,F55*(SUM(1-I55))))</f>
        <v>30</v>
      </c>
      <c r="I55" s="527">
        <v>0</v>
      </c>
      <c r="J55" s="528">
        <f>$J$10</f>
        <v>0</v>
      </c>
      <c r="K55" s="544">
        <f t="shared" ref="K55:K56" ca="1" si="73">SUM(M55:AD55)*H55</f>
        <v>0</v>
      </c>
      <c r="L55" s="308">
        <v>0</v>
      </c>
      <c r="M55" s="404">
        <f ca="1">IFERROR(ROUND($L55*HLOOKUP(M$53,INDIRECT("'Hidden Data'!"&amp;HLOOKUP(COLUMN(SKUS_TO_SIZES),NUMBER_TO_LETTER,2,FALSE)&amp;MATCH($D55,'Hidden Data'!$D:$D,0)&amp;":T"&amp;MATCH($D55&amp;"-sizecurve",'Hidden Data'!$D:$D,0)),2,FALSE),0)," ")</f>
        <v>0</v>
      </c>
      <c r="N55" s="405">
        <f ca="1">IFERROR(ROUND($L55*HLOOKUP(N$53,INDIRECT("'Hidden Data'!"&amp;HLOOKUP(COLUMN(SKUS_TO_SIZES),NUMBER_TO_LETTER,2,FALSE)&amp;MATCH($D55,'Hidden Data'!$D:$D,0)&amp;":T"&amp;MATCH($D55&amp;"-sizecurve",'Hidden Data'!$D:$D,0)),2,FALSE),0)," ")</f>
        <v>0</v>
      </c>
      <c r="O55" s="405">
        <f ca="1">IFERROR(ROUND($L55*HLOOKUP(O$53,INDIRECT("'Hidden Data'!"&amp;HLOOKUP(COLUMN(SKUS_TO_SIZES),NUMBER_TO_LETTER,2,FALSE)&amp;MATCH($D55,'Hidden Data'!$D:$D,0)&amp;":T"&amp;MATCH($D55&amp;"-sizecurve",'Hidden Data'!$D:$D,0)),2,FALSE),0)," ")</f>
        <v>0</v>
      </c>
      <c r="P55" s="405">
        <f ca="1">IFERROR(ROUND($L55*HLOOKUP(P$53,INDIRECT("'Hidden Data'!"&amp;HLOOKUP(COLUMN(SKUS_TO_SIZES),NUMBER_TO_LETTER,2,FALSE)&amp;MATCH($D55,'Hidden Data'!$D:$D,0)&amp;":T"&amp;MATCH($D55&amp;"-sizecurve",'Hidden Data'!$D:$D,0)),2,FALSE),0)," ")</f>
        <v>0</v>
      </c>
      <c r="Q55" s="405">
        <f ca="1">IFERROR(ROUND($L55*HLOOKUP(Q$53,INDIRECT("'Hidden Data'!"&amp;HLOOKUP(COLUMN(SKUS_TO_SIZES),NUMBER_TO_LETTER,2,FALSE)&amp;MATCH($D55,'Hidden Data'!$D:$D,0)&amp;":T"&amp;MATCH($D55&amp;"-sizecurve",'Hidden Data'!$D:$D,0)),2,FALSE),0)," ")</f>
        <v>0</v>
      </c>
      <c r="R55" s="405">
        <f ca="1">IFERROR(ROUND($L55*HLOOKUP(R$53,INDIRECT("'Hidden Data'!"&amp;HLOOKUP(COLUMN(SKUS_TO_SIZES),NUMBER_TO_LETTER,2,FALSE)&amp;MATCH($D55,'Hidden Data'!$D:$D,0)&amp;":T"&amp;MATCH($D55&amp;"-sizecurve",'Hidden Data'!$D:$D,0)),2,FALSE),0)," ")</f>
        <v>0</v>
      </c>
      <c r="S55" s="405">
        <f ca="1">IFERROR(ROUND($L55*HLOOKUP(S$53,INDIRECT("'Hidden Data'!"&amp;HLOOKUP(COLUMN(SKUS_TO_SIZES),NUMBER_TO_LETTER,2,FALSE)&amp;MATCH($D55,'Hidden Data'!$D:$D,0)&amp;":T"&amp;MATCH($D55&amp;"-sizecurve",'Hidden Data'!$D:$D,0)),2,FALSE),0)," ")</f>
        <v>0</v>
      </c>
      <c r="T55" s="405">
        <f ca="1">IFERROR(ROUND($L55*HLOOKUP(T$53,INDIRECT("'Hidden Data'!"&amp;HLOOKUP(COLUMN(SKUS_TO_SIZES),NUMBER_TO_LETTER,2,FALSE)&amp;MATCH($D55,'Hidden Data'!$D:$D,0)&amp;":T"&amp;MATCH($D55&amp;"-sizecurve",'Hidden Data'!$D:$D,0)),2,FALSE),0)," ")</f>
        <v>0</v>
      </c>
      <c r="U55" s="410" t="str">
        <f ca="1">IFERROR(ROUND($L55*HLOOKUP(U$53,INDIRECT("'Hidden Data'!"&amp;HLOOKUP(COLUMN(SKUS_TO_SIZES),NUMBER_TO_LETTER,2,FALSE)&amp;MATCH($D55,'Hidden Data'!$D:$D,0)&amp;":T"&amp;MATCH($D55&amp;"-sizecurve",'Hidden Data'!$D:$D,0)),2,FALSE),0)," ")</f>
        <v xml:space="preserve"> </v>
      </c>
      <c r="V55" s="178"/>
      <c r="W55" s="178"/>
      <c r="X55" s="178"/>
      <c r="Y55" s="179"/>
      <c r="Z55" s="179"/>
      <c r="AA55" s="179"/>
      <c r="AB55" s="179"/>
      <c r="AC55" s="179"/>
      <c r="AD55" s="179"/>
      <c r="AE55" s="179"/>
      <c r="AF55" s="10"/>
      <c r="AG55" s="1">
        <f t="shared" ref="AG55:AG56" si="74">AG54+1</f>
        <v>3</v>
      </c>
      <c r="AH55" s="288" t="str">
        <f>D55</f>
        <v>RDO7040</v>
      </c>
      <c r="AI55" s="130">
        <f>IF(VLOOKUP($AH55,SKUS_TO_SIZES,AI$11,FALSE)=0,"",VLOOKUP($AH55,SKUS_TO_SIZES,AI$11,FALSE))</f>
        <v>70</v>
      </c>
      <c r="AJ55" s="129" t="str">
        <f ca="1">IFERROR(IF(HLOOKUP(AI55,$M$53:$AC$56,$AG55,FALSE)=0,"",HLOOKUP(AI55,$M$53:$AC$56,$AG55,FALSE)),"")</f>
        <v/>
      </c>
      <c r="AK55" s="130">
        <f>IF(VLOOKUP($AH55,SKUS_TO_SIZES,AK$11,FALSE)=0,"",VLOOKUP($AH55,SKUS_TO_SIZES,AK$11,FALSE))</f>
        <v>75</v>
      </c>
      <c r="AL55" s="129" t="str">
        <f ca="1">IFERROR(IF(HLOOKUP(AK55,$M$53:$AC$56,$AG55,FALSE)=0,"",HLOOKUP(AK55,$M$53:$AC$56,$AG55,FALSE)),"")</f>
        <v/>
      </c>
      <c r="AM55" s="130">
        <f>IF(VLOOKUP($AH55,SKUS_TO_SIZES,AM$11,FALSE)=0,"",VLOOKUP($AH55,SKUS_TO_SIZES,AM$11,FALSE))</f>
        <v>80</v>
      </c>
      <c r="AN55" s="129" t="str">
        <f ca="1">IFERROR(IF(HLOOKUP(AM55,$M$53:$AC$56,$AG55,FALSE)=0,"",HLOOKUP(AM55,$M$53:$AC$56,$AG55,FALSE)),"")</f>
        <v/>
      </c>
      <c r="AO55" s="130">
        <f>IF(VLOOKUP($AH55,SKUS_TO_SIZES,AO$11,FALSE)=0,"",VLOOKUP($AH55,SKUS_TO_SIZES,AO$11,FALSE))</f>
        <v>85</v>
      </c>
      <c r="AP55" s="129" t="str">
        <f ca="1">IFERROR(IF(HLOOKUP(AO55,$M$53:$AC$56,$AG55,FALSE)=0,"",HLOOKUP(AO55,$M$53:$AC$56,$AG55,FALSE)),"")</f>
        <v/>
      </c>
      <c r="AQ55" s="130">
        <f>IF(VLOOKUP($AH55,SKUS_TO_SIZES,AQ$11,FALSE)=0,"",VLOOKUP($AH55,SKUS_TO_SIZES,AQ$11,FALSE))</f>
        <v>90</v>
      </c>
      <c r="AR55" s="129" t="str">
        <f ca="1">IFERROR(IF(HLOOKUP(AQ55,$M$53:$AC$56,$AG55,FALSE)=0,"",HLOOKUP(AQ55,$M$53:$AC$56,$AG55,FALSE)),"")</f>
        <v/>
      </c>
      <c r="AS55" s="130">
        <f>IF(VLOOKUP($AH55,SKUS_TO_SIZES,AS$11,FALSE)=0,"",VLOOKUP($AH55,SKUS_TO_SIZES,AS$11,FALSE))</f>
        <v>95</v>
      </c>
      <c r="AT55" s="129" t="str">
        <f ca="1">IFERROR(IF(HLOOKUP(AS55,$M$53:$AC$56,$AG55,FALSE)=0,"",HLOOKUP(AS55,$M$53:$AC$56,$AG55,FALSE)),"")</f>
        <v/>
      </c>
      <c r="AU55" s="130">
        <f>IF(VLOOKUP($AH55,SKUS_TO_SIZES,AU$11,FALSE)=0,"",VLOOKUP($AH55,SKUS_TO_SIZES,AU$11,FALSE))</f>
        <v>100</v>
      </c>
      <c r="AV55" s="129" t="str">
        <f ca="1">IFERROR(IF(HLOOKUP(AU55,$M$53:$AC$56,$AG55,FALSE)=0,"",HLOOKUP(AU55,$M$53:$AC$56,$AG55,FALSE)),"")</f>
        <v/>
      </c>
      <c r="AW55" s="130">
        <f>IF(VLOOKUP($AH55,SKUS_TO_SIZES,AW$11,FALSE)=0,"",VLOOKUP($AH55,SKUS_TO_SIZES,AW$11,FALSE))</f>
        <v>105</v>
      </c>
      <c r="AX55" s="129" t="str">
        <f ca="1">IFERROR(IF(HLOOKUP(AW55,$M$53:$AC$56,$AG55,FALSE)=0,"",HLOOKUP(AW55,$M$53:$AC$56,$AG55,FALSE)),"")</f>
        <v/>
      </c>
      <c r="AY55" s="130" t="str">
        <f>IF(VLOOKUP($AH55,SKUS_TO_SIZES,AY$11,FALSE)=0,"",VLOOKUP($AH55,SKUS_TO_SIZES,AY$11,FALSE))</f>
        <v/>
      </c>
      <c r="AZ55" s="129" t="str">
        <f>IFERROR(IF(HLOOKUP(AY55,$M$53:$AC$56,$AG55,FALSE)=0,"",HLOOKUP(AY55,$M$53:$AC$56,$AG55,FALSE)),"")</f>
        <v/>
      </c>
      <c r="BA55" s="130" t="str">
        <f>IF(VLOOKUP($AH55,SKUS_TO_SIZES,BA$11,FALSE)=0,"",VLOOKUP($AH55,SKUS_TO_SIZES,BA$11,FALSE))</f>
        <v/>
      </c>
      <c r="BB55" s="129" t="str">
        <f>IFERROR(IF(HLOOKUP(BA55,$M$53:$AC$56,$AG55,FALSE)=0,"",HLOOKUP(BA55,$M$53:$AC$56,$AG55,FALSE)),"")</f>
        <v/>
      </c>
      <c r="BC55" s="130" t="str">
        <f>IF(VLOOKUP($AH55,SKUS_TO_SIZES,BC$11,FALSE)=0,"",VLOOKUP($AH55,SKUS_TO_SIZES,BC$11,FALSE))</f>
        <v/>
      </c>
      <c r="BD55" s="129" t="str">
        <f>IFERROR(IF(HLOOKUP(BC55,$M$53:$AC$56,$AG55,FALSE)=0,"",HLOOKUP(BC55,$M$53:$AC$56,$AG55,FALSE)),"")</f>
        <v/>
      </c>
      <c r="BE55" s="130" t="str">
        <f>IF(VLOOKUP($AH55,SKUS_TO_SIZES,BE$11,FALSE)=0,"",VLOOKUP($AH55,SKUS_TO_SIZES,BE$11,FALSE))</f>
        <v/>
      </c>
      <c r="BF55" s="129" t="str">
        <f>IFERROR(IF(HLOOKUP(BE55,$M$53:$AC$56,$AG55,FALSE)=0,"",HLOOKUP(BE55,$M$53:$AC$56,$AG55,FALSE)),"")</f>
        <v/>
      </c>
      <c r="BG55" s="8"/>
    </row>
    <row r="56" spans="1:59" ht="12.75" customHeight="1">
      <c r="A56" s="8"/>
      <c r="B56" s="9">
        <f>IF(SKI_CALCULATOR_TYPE=0,IF(ISBLANK(D56),MAX(B$15:B55),IF(AND(ISNUMBER(L56),L56&gt;0)=TRUE,MAX(B$15:B55)+1,MAX(B$15:B55))),0)</f>
        <v>0</v>
      </c>
      <c r="C56" s="13"/>
      <c r="D56" s="314" t="s">
        <v>280</v>
      </c>
      <c r="E56" s="535" t="str">
        <f>VLOOKUP(D56,SKUS_TO_SIZES,2,FALSE)</f>
        <v>RENTAL JR</v>
      </c>
      <c r="F56" s="532">
        <f>VLOOKUP(D56,SKUS_TO_SIZES,3,FALSE)</f>
        <v>26</v>
      </c>
      <c r="G56" s="532">
        <f>SUM(L56)*F56</f>
        <v>0</v>
      </c>
      <c r="H56" s="532">
        <f>IF(SKI_DISCOUNT_TYPE=1,IF($J$10=0,F56,F56*(SUM(1-$J$10))),IF(I56=0,F56,F56*(SUM(1-I56))))</f>
        <v>26</v>
      </c>
      <c r="I56" s="536">
        <v>0</v>
      </c>
      <c r="J56" s="537">
        <f>$J$10</f>
        <v>0</v>
      </c>
      <c r="K56" s="543">
        <f t="shared" ca="1" si="73"/>
        <v>0</v>
      </c>
      <c r="L56" s="312">
        <v>0</v>
      </c>
      <c r="M56" s="407">
        <f ca="1">IFERROR(ROUND($L56*HLOOKUP(M$53,INDIRECT("'Hidden Data'!"&amp;HLOOKUP(COLUMN(SKUS_TO_SIZES),NUMBER_TO_LETTER,2,FALSE)&amp;MATCH($D56,'Hidden Data'!$D:$D,0)&amp;":T"&amp;MATCH($D56&amp;"-sizecurve",'Hidden Data'!$D:$D,0)),2,FALSE),0)," ")</f>
        <v>0</v>
      </c>
      <c r="N56" s="408">
        <f ca="1">IFERROR(ROUND($L56*HLOOKUP(N$53,INDIRECT("'Hidden Data'!"&amp;HLOOKUP(COLUMN(SKUS_TO_SIZES),NUMBER_TO_LETTER,2,FALSE)&amp;MATCH($D56,'Hidden Data'!$D:$D,0)&amp;":T"&amp;MATCH($D56&amp;"-sizecurve",'Hidden Data'!$D:$D,0)),2,FALSE),0)," ")</f>
        <v>0</v>
      </c>
      <c r="O56" s="408">
        <f ca="1">IFERROR(ROUND($L56*HLOOKUP(O$53,INDIRECT("'Hidden Data'!"&amp;HLOOKUP(COLUMN(SKUS_TO_SIZES),NUMBER_TO_LETTER,2,FALSE)&amp;MATCH($D56,'Hidden Data'!$D:$D,0)&amp;":T"&amp;MATCH($D56&amp;"-sizecurve",'Hidden Data'!$D:$D,0)),2,FALSE),0)," ")</f>
        <v>0</v>
      </c>
      <c r="P56" s="408">
        <f ca="1">IFERROR(ROUND($L56*HLOOKUP(P$53,INDIRECT("'Hidden Data'!"&amp;HLOOKUP(COLUMN(SKUS_TO_SIZES),NUMBER_TO_LETTER,2,FALSE)&amp;MATCH($D56,'Hidden Data'!$D:$D,0)&amp;":T"&amp;MATCH($D56&amp;"-sizecurve",'Hidden Data'!$D:$D,0)),2,FALSE),0)," ")</f>
        <v>0</v>
      </c>
      <c r="Q56" s="408">
        <f ca="1">IFERROR(ROUND($L56*HLOOKUP(Q$53,INDIRECT("'Hidden Data'!"&amp;HLOOKUP(COLUMN(SKUS_TO_SIZES),NUMBER_TO_LETTER,2,FALSE)&amp;MATCH($D56,'Hidden Data'!$D:$D,0)&amp;":T"&amp;MATCH($D56&amp;"-sizecurve",'Hidden Data'!$D:$D,0)),2,FALSE),0)," ")</f>
        <v>0</v>
      </c>
      <c r="R56" s="408">
        <f ca="1">IFERROR(ROUND($L56*HLOOKUP(R$53,INDIRECT("'Hidden Data'!"&amp;HLOOKUP(COLUMN(SKUS_TO_SIZES),NUMBER_TO_LETTER,2,FALSE)&amp;MATCH($D56,'Hidden Data'!$D:$D,0)&amp;":T"&amp;MATCH($D56&amp;"-sizecurve",'Hidden Data'!$D:$D,0)),2,FALSE),0)," ")</f>
        <v>0</v>
      </c>
      <c r="S56" s="408">
        <f ca="1">IFERROR(ROUND($L56*HLOOKUP(S$53,INDIRECT("'Hidden Data'!"&amp;HLOOKUP(COLUMN(SKUS_TO_SIZES),NUMBER_TO_LETTER,2,FALSE)&amp;MATCH($D56,'Hidden Data'!$D:$D,0)&amp;":T"&amp;MATCH($D56&amp;"-sizecurve",'Hidden Data'!$D:$D,0)),2,FALSE),0)," ")</f>
        <v>0</v>
      </c>
      <c r="T56" s="408">
        <f ca="1">IFERROR(ROUND($L56*HLOOKUP(T$53,INDIRECT("'Hidden Data'!"&amp;HLOOKUP(COLUMN(SKUS_TO_SIZES),NUMBER_TO_LETTER,2,FALSE)&amp;MATCH($D56,'Hidden Data'!$D:$D,0)&amp;":T"&amp;MATCH($D56&amp;"-sizecurve",'Hidden Data'!$D:$D,0)),2,FALSE),0)," ")</f>
        <v>0</v>
      </c>
      <c r="U56" s="411" t="str">
        <f ca="1">IFERROR(ROUND($L56*HLOOKUP(U$53,INDIRECT("'Hidden Data'!"&amp;HLOOKUP(COLUMN(SKUS_TO_SIZES),NUMBER_TO_LETTER,2,FALSE)&amp;MATCH($D56,'Hidden Data'!$D:$D,0)&amp;":T"&amp;MATCH($D56&amp;"-sizecurve",'Hidden Data'!$D:$D,0)),2,FALSE),0)," ")</f>
        <v xml:space="preserve"> </v>
      </c>
      <c r="V56" s="178"/>
      <c r="W56" s="178"/>
      <c r="X56" s="178"/>
      <c r="Y56" s="178"/>
      <c r="Z56" s="178"/>
      <c r="AA56" s="178"/>
      <c r="AB56" s="178"/>
      <c r="AC56" s="178"/>
      <c r="AD56" s="178"/>
      <c r="AE56" s="178"/>
      <c r="AF56" s="10"/>
      <c r="AG56" s="1">
        <f t="shared" si="74"/>
        <v>4</v>
      </c>
      <c r="AH56" s="288" t="str">
        <f>D56</f>
        <v>RDO7030</v>
      </c>
      <c r="AI56" s="130">
        <f>IF(VLOOKUP($AH56,SKUS_TO_SIZES,AI$11,FALSE)=0,"",VLOOKUP($AH56,SKUS_TO_SIZES,AI$11,FALSE))</f>
        <v>70</v>
      </c>
      <c r="AJ56" s="129" t="str">
        <f ca="1">IFERROR(IF(HLOOKUP(AI56,$M$53:$AC$56,$AG56,FALSE)=0,"",HLOOKUP(AI56,$M$53:$AC$56,$AG56,FALSE)),"")</f>
        <v/>
      </c>
      <c r="AK56" s="130">
        <f>IF(VLOOKUP($AH56,SKUS_TO_SIZES,AK$11,FALSE)=0,"",VLOOKUP($AH56,SKUS_TO_SIZES,AK$11,FALSE))</f>
        <v>75</v>
      </c>
      <c r="AL56" s="129" t="str">
        <f ca="1">IFERROR(IF(HLOOKUP(AK56,$M$53:$AC$56,$AG56,FALSE)=0,"",HLOOKUP(AK56,$M$53:$AC$56,$AG56,FALSE)),"")</f>
        <v/>
      </c>
      <c r="AM56" s="130">
        <f>IF(VLOOKUP($AH56,SKUS_TO_SIZES,AM$11,FALSE)=0,"",VLOOKUP($AH56,SKUS_TO_SIZES,AM$11,FALSE))</f>
        <v>80</v>
      </c>
      <c r="AN56" s="129" t="str">
        <f ca="1">IFERROR(IF(HLOOKUP(AM56,$M$53:$AC$56,$AG56,FALSE)=0,"",HLOOKUP(AM56,$M$53:$AC$56,$AG56,FALSE)),"")</f>
        <v/>
      </c>
      <c r="AO56" s="130">
        <f>IF(VLOOKUP($AH56,SKUS_TO_SIZES,AO$11,FALSE)=0,"",VLOOKUP($AH56,SKUS_TO_SIZES,AO$11,FALSE))</f>
        <v>85</v>
      </c>
      <c r="AP56" s="129" t="str">
        <f ca="1">IFERROR(IF(HLOOKUP(AO56,$M$53:$AC$56,$AG56,FALSE)=0,"",HLOOKUP(AO56,$M$53:$AC$56,$AG56,FALSE)),"")</f>
        <v/>
      </c>
      <c r="AQ56" s="130">
        <f>IF(VLOOKUP($AH56,SKUS_TO_SIZES,AQ$11,FALSE)=0,"",VLOOKUP($AH56,SKUS_TO_SIZES,AQ$11,FALSE))</f>
        <v>90</v>
      </c>
      <c r="AR56" s="129" t="str">
        <f ca="1">IFERROR(IF(HLOOKUP(AQ56,$M$53:$AC$56,$AG56,FALSE)=0,"",HLOOKUP(AQ56,$M$53:$AC$56,$AG56,FALSE)),"")</f>
        <v/>
      </c>
      <c r="AS56" s="130">
        <f>IF(VLOOKUP($AH56,SKUS_TO_SIZES,AS$11,FALSE)=0,"",VLOOKUP($AH56,SKUS_TO_SIZES,AS$11,FALSE))</f>
        <v>95</v>
      </c>
      <c r="AT56" s="129" t="str">
        <f ca="1">IFERROR(IF(HLOOKUP(AS56,$M$53:$AC$56,$AG56,FALSE)=0,"",HLOOKUP(AS56,$M$53:$AC$56,$AG56,FALSE)),"")</f>
        <v/>
      </c>
      <c r="AU56" s="130">
        <f>IF(VLOOKUP($AH56,SKUS_TO_SIZES,AU$11,FALSE)=0,"",VLOOKUP($AH56,SKUS_TO_SIZES,AU$11,FALSE))</f>
        <v>100</v>
      </c>
      <c r="AV56" s="129" t="str">
        <f ca="1">IFERROR(IF(HLOOKUP(AU56,$M$53:$AC$56,$AG56,FALSE)=0,"",HLOOKUP(AU56,$M$53:$AC$56,$AG56,FALSE)),"")</f>
        <v/>
      </c>
      <c r="AW56" s="130">
        <f>IF(VLOOKUP($AH56,SKUS_TO_SIZES,AW$11,FALSE)=0,"",VLOOKUP($AH56,SKUS_TO_SIZES,AW$11,FALSE))</f>
        <v>105</v>
      </c>
      <c r="AX56" s="129" t="str">
        <f ca="1">IFERROR(IF(HLOOKUP(AW56,$M$53:$AC$56,$AG56,FALSE)=0,"",HLOOKUP(AW56,$M$53:$AC$56,$AG56,FALSE)),"")</f>
        <v/>
      </c>
      <c r="AY56" s="130" t="str">
        <f>IF(VLOOKUP($AH56,SKUS_TO_SIZES,AY$11,FALSE)=0,"",VLOOKUP($AH56,SKUS_TO_SIZES,AY$11,FALSE))</f>
        <v/>
      </c>
      <c r="AZ56" s="129" t="str">
        <f>IFERROR(IF(HLOOKUP(AY56,$M$53:$AC$56,$AG56,FALSE)=0,"",HLOOKUP(AY56,$M$53:$AC$56,$AG56,FALSE)),"")</f>
        <v/>
      </c>
      <c r="BA56" s="130" t="str">
        <f>IF(VLOOKUP($AH56,SKUS_TO_SIZES,BA$11,FALSE)=0,"",VLOOKUP($AH56,SKUS_TO_SIZES,BA$11,FALSE))</f>
        <v/>
      </c>
      <c r="BB56" s="129" t="str">
        <f>IFERROR(IF(HLOOKUP(BA56,$M$53:$AC$56,$AG56,FALSE)=0,"",HLOOKUP(BA56,$M$53:$AC$56,$AG56,FALSE)),"")</f>
        <v/>
      </c>
      <c r="BC56" s="130" t="str">
        <f>IF(VLOOKUP($AH56,SKUS_TO_SIZES,BC$11,FALSE)=0,"",VLOOKUP($AH56,SKUS_TO_SIZES,BC$11,FALSE))</f>
        <v/>
      </c>
      <c r="BD56" s="129" t="str">
        <f>IFERROR(IF(HLOOKUP(BC56,$M$53:$AC$56,$AG56,FALSE)=0,"",HLOOKUP(BC56,$M$53:$AC$56,$AG56,FALSE)),"")</f>
        <v/>
      </c>
      <c r="BE56" s="130" t="str">
        <f>IF(VLOOKUP($AH56,SKUS_TO_SIZES,BE$11,FALSE)=0,"",VLOOKUP($AH56,SKUS_TO_SIZES,BE$11,FALSE))</f>
        <v/>
      </c>
      <c r="BF56" s="129" t="str">
        <f>IFERROR(IF(HLOOKUP(BE56,$M$53:$AC$56,$AG56,FALSE)=0,"",HLOOKUP(BE56,$M$53:$AC$56,$AG56,FALSE)),"")</f>
        <v/>
      </c>
    </row>
    <row r="57" spans="1:59" ht="12.75" customHeight="1">
      <c r="B57" s="9">
        <f>IF(SKI_CALCULATOR_TYPE=0,IF(ISBLANK(D57),MAX(B$15:B56),IF(AND(ISNUMBER(L57),L57&gt;0)=TRUE,MAX(B$15:B56)+1,MAX(B$15:B56))),0)</f>
        <v>0</v>
      </c>
      <c r="C57" s="10"/>
      <c r="D57" s="178"/>
      <c r="E57" s="209"/>
      <c r="F57" s="210"/>
      <c r="G57" s="395">
        <f>SUM(G54:G56)</f>
        <v>0</v>
      </c>
      <c r="H57" s="210"/>
      <c r="I57" s="210"/>
      <c r="J57" s="210"/>
      <c r="K57" s="227">
        <f ca="1">SUM(K54:K56)</f>
        <v>0</v>
      </c>
      <c r="L57" s="310">
        <f ca="1">SUM(M57:AD57)</f>
        <v>0</v>
      </c>
      <c r="M57" s="229">
        <f ca="1">SUM(M54:M56)</f>
        <v>0</v>
      </c>
      <c r="N57" s="235">
        <f t="shared" ref="N57:T57" ca="1" si="75">SUM(N54:N56)</f>
        <v>0</v>
      </c>
      <c r="O57" s="235">
        <f t="shared" ca="1" si="75"/>
        <v>0</v>
      </c>
      <c r="P57" s="235">
        <f t="shared" ca="1" si="75"/>
        <v>0</v>
      </c>
      <c r="Q57" s="235">
        <f t="shared" ca="1" si="75"/>
        <v>0</v>
      </c>
      <c r="R57" s="235">
        <f t="shared" ca="1" si="75"/>
        <v>0</v>
      </c>
      <c r="S57" s="235">
        <f t="shared" ca="1" si="75"/>
        <v>0</v>
      </c>
      <c r="T57" s="235">
        <f t="shared" ca="1" si="75"/>
        <v>0</v>
      </c>
      <c r="U57" s="230">
        <f ca="1">SUM(U54:U56)</f>
        <v>0</v>
      </c>
      <c r="V57" s="178"/>
      <c r="W57" s="178"/>
      <c r="X57" s="209"/>
      <c r="Y57" s="209"/>
      <c r="Z57" s="209"/>
      <c r="AA57" s="209"/>
      <c r="AB57" s="209"/>
      <c r="AC57" s="209"/>
      <c r="AD57" s="209"/>
      <c r="AE57" s="209"/>
      <c r="AF57" s="10"/>
      <c r="AI57" s="1"/>
      <c r="AJ57" s="41"/>
      <c r="AK57" s="1"/>
      <c r="AL57" s="41"/>
      <c r="AM57" s="1"/>
      <c r="AN57" s="41"/>
      <c r="AO57" s="1"/>
      <c r="AP57" s="41"/>
      <c r="AQ57" s="1"/>
      <c r="AR57" s="41"/>
      <c r="AS57" s="1"/>
      <c r="AT57" s="41"/>
      <c r="AU57" s="1"/>
      <c r="AV57" s="41"/>
      <c r="AW57" s="1"/>
      <c r="AX57" s="41"/>
      <c r="AY57" s="1"/>
      <c r="AZ57" s="41"/>
      <c r="BA57" s="1"/>
      <c r="BB57" s="41"/>
      <c r="BC57" s="1"/>
      <c r="BD57" s="41"/>
      <c r="BE57" s="1"/>
      <c r="BF57" s="41"/>
    </row>
    <row r="58" spans="1:59" ht="12.75" customHeight="1">
      <c r="B58" s="9">
        <f>IF(SKI_CALCULATOR_TYPE=0,IF(ISBLANK(D58),MAX(B$15:B57),IF(AND(ISNUMBER(L58),L58&gt;0)=TRUE,MAX(B$15:B57)+1,MAX(B$15:B57))),0)</f>
        <v>0</v>
      </c>
      <c r="C58" s="10"/>
      <c r="D58" s="208"/>
      <c r="E58" s="209"/>
      <c r="F58" s="186"/>
      <c r="G58" s="186"/>
      <c r="H58" s="186"/>
      <c r="I58" s="187"/>
      <c r="J58" s="187"/>
      <c r="K58" s="188"/>
      <c r="L58" s="279"/>
      <c r="M58" s="179"/>
      <c r="N58" s="179"/>
      <c r="O58" s="178"/>
      <c r="P58" s="178"/>
      <c r="Q58" s="178"/>
      <c r="R58" s="178"/>
      <c r="S58" s="178"/>
      <c r="T58" s="178"/>
      <c r="U58" s="178"/>
      <c r="V58" s="178"/>
      <c r="W58" s="178"/>
      <c r="X58" s="178"/>
      <c r="Y58" s="178"/>
      <c r="Z58" s="178"/>
      <c r="AA58" s="178"/>
      <c r="AB58" s="178"/>
      <c r="AC58" s="178"/>
      <c r="AD58" s="178"/>
      <c r="AE58" s="178"/>
      <c r="AF58" s="12"/>
      <c r="AG58" s="149"/>
      <c r="AH58" s="15"/>
      <c r="AI58" s="38"/>
      <c r="AJ58" s="15"/>
      <c r="AK58" s="38"/>
      <c r="AL58" s="15"/>
      <c r="AM58" s="38"/>
      <c r="AN58" s="15"/>
      <c r="AO58" s="38"/>
      <c r="AP58" s="15"/>
      <c r="AQ58" s="38"/>
      <c r="AR58" s="15"/>
      <c r="AS58" s="38"/>
      <c r="AT58" s="15"/>
      <c r="AU58" s="38"/>
      <c r="AV58" s="15"/>
      <c r="AW58" s="38"/>
      <c r="AX58" s="15"/>
      <c r="AY58" s="38"/>
      <c r="AZ58" s="15"/>
      <c r="BA58" s="38"/>
      <c r="BB58" s="15"/>
      <c r="BC58" s="38"/>
      <c r="BD58" s="8"/>
      <c r="BG58" s="41"/>
    </row>
    <row r="59" spans="1:59" ht="12.75" customHeight="1">
      <c r="B59" s="9">
        <f>IF(SKI_CALCULATOR_TYPE=0,IF(ISBLANK(D59),MAX(B$15:B58),IF(AND(ISNUMBER(L59),L59&gt;0)=TRUE,MAX(B$15:B58)+1,MAX(B$15:B58))),0)</f>
        <v>0</v>
      </c>
      <c r="C59" s="10"/>
      <c r="D59" s="961" t="s">
        <v>152</v>
      </c>
      <c r="E59" s="961"/>
      <c r="F59" s="961"/>
      <c r="G59" s="961"/>
      <c r="H59" s="961"/>
      <c r="I59" s="961"/>
      <c r="J59" s="961"/>
      <c r="K59" s="961"/>
      <c r="L59" s="961"/>
      <c r="M59" s="961"/>
      <c r="N59" s="961"/>
      <c r="O59" s="961"/>
      <c r="P59" s="961"/>
      <c r="Q59" s="961"/>
      <c r="R59" s="961"/>
      <c r="S59" s="961"/>
      <c r="T59" s="961"/>
      <c r="U59" s="961"/>
      <c r="V59" s="961"/>
      <c r="W59" s="961"/>
      <c r="X59" s="961"/>
      <c r="Y59" s="961"/>
      <c r="Z59" s="961"/>
      <c r="AA59" s="961"/>
      <c r="AB59" s="961"/>
      <c r="AC59" s="961"/>
      <c r="AD59" s="961"/>
      <c r="AE59" s="961"/>
      <c r="AF59" s="12"/>
      <c r="AG59" s="149"/>
      <c r="AH59" s="15"/>
      <c r="AI59" s="38"/>
      <c r="AJ59" s="15"/>
      <c r="AK59" s="38"/>
      <c r="AL59" s="15"/>
      <c r="AM59" s="38"/>
      <c r="AN59" s="15"/>
      <c r="AO59" s="38"/>
      <c r="AP59" s="15"/>
      <c r="AQ59" s="38"/>
      <c r="AR59" s="15"/>
      <c r="AS59" s="38"/>
      <c r="AT59" s="15"/>
      <c r="AU59" s="38"/>
      <c r="AV59" s="15"/>
      <c r="AW59" s="38"/>
      <c r="AX59" s="15"/>
      <c r="AY59" s="38"/>
      <c r="AZ59" s="15"/>
      <c r="BA59" s="38"/>
      <c r="BB59" s="15"/>
      <c r="BC59" s="38"/>
      <c r="BD59" s="8"/>
      <c r="BG59" s="41"/>
    </row>
    <row r="60" spans="1:59" ht="12.75" customHeight="1">
      <c r="B60" s="9">
        <f>IF(SKI_CALCULATOR_TYPE=0,IF(ISBLANK(D60),MAX(B$15:B59),IF(AND(ISNUMBER(L60),L60&gt;0)=TRUE,MAX(B$15:B59)+1,MAX(B$15:B59))),0)</f>
        <v>0</v>
      </c>
      <c r="C60" s="13"/>
      <c r="D60" s="953" t="s">
        <v>154</v>
      </c>
      <c r="E60" s="954"/>
      <c r="F60" s="293"/>
      <c r="G60" s="291"/>
      <c r="H60" s="291"/>
      <c r="I60" s="291"/>
      <c r="J60" s="291"/>
      <c r="K60" s="291"/>
      <c r="L60" s="291"/>
      <c r="M60" s="291"/>
      <c r="N60" s="291"/>
      <c r="O60" s="291"/>
      <c r="P60" s="291"/>
      <c r="Q60" s="291"/>
      <c r="R60" s="291"/>
      <c r="S60" s="291"/>
      <c r="T60" s="291"/>
      <c r="U60" s="291"/>
      <c r="V60" s="291"/>
      <c r="W60" s="291"/>
      <c r="X60" s="291"/>
      <c r="Y60" s="291"/>
      <c r="Z60" s="291"/>
      <c r="AA60" s="291"/>
      <c r="AB60" s="291"/>
      <c r="AC60" s="291"/>
      <c r="AD60" s="291"/>
      <c r="AE60" s="291"/>
      <c r="AF60" s="10"/>
      <c r="AI60" s="1"/>
      <c r="AJ60" s="41"/>
      <c r="AK60" s="1"/>
      <c r="AL60" s="41"/>
      <c r="AM60" s="1"/>
      <c r="AN60" s="41"/>
      <c r="AO60" s="1"/>
      <c r="AP60" s="41"/>
      <c r="AQ60" s="1"/>
      <c r="AR60" s="41"/>
      <c r="AS60" s="1"/>
      <c r="AT60" s="41"/>
      <c r="AU60" s="1"/>
      <c r="AV60" s="41"/>
      <c r="AW60" s="1"/>
      <c r="AX60" s="41"/>
      <c r="AY60" s="1"/>
      <c r="AZ60" s="41"/>
      <c r="BA60" s="1"/>
      <c r="BB60" s="41"/>
      <c r="BC60" s="1"/>
      <c r="BD60" s="41"/>
      <c r="BE60" s="1"/>
      <c r="BF60" s="41"/>
    </row>
    <row r="61" spans="1:59" ht="12.75" customHeight="1" thickBot="1">
      <c r="A61" s="6"/>
      <c r="B61" s="9">
        <f>IF(SKI_CALCULATOR_TYPE=0,IF(ISBLANK(D61),MAX(B$15:B60),IF(AND(ISNUMBER(L61),L61&gt;0)=TRUE,MAX(B$15:B60)+1,MAX(B$15:B60))),0)</f>
        <v>0</v>
      </c>
      <c r="C61" s="13"/>
      <c r="D61" s="295" t="s">
        <v>0</v>
      </c>
      <c r="E61" s="313" t="s">
        <v>1</v>
      </c>
      <c r="F61" s="305" t="s">
        <v>43</v>
      </c>
      <c r="G61" s="305" t="s">
        <v>19</v>
      </c>
      <c r="H61" s="327" t="s">
        <v>102</v>
      </c>
      <c r="I61" s="331" t="s">
        <v>21</v>
      </c>
      <c r="J61" s="311" t="s">
        <v>21</v>
      </c>
      <c r="K61" s="317" t="s">
        <v>6</v>
      </c>
      <c r="L61" s="302" t="s">
        <v>5</v>
      </c>
      <c r="M61" s="300" t="s">
        <v>259</v>
      </c>
      <c r="N61" s="303" t="s">
        <v>256</v>
      </c>
      <c r="O61" s="303" t="s">
        <v>257</v>
      </c>
      <c r="P61" s="303" t="s">
        <v>258</v>
      </c>
      <c r="Q61" s="177"/>
      <c r="R61" s="177"/>
      <c r="S61" s="177"/>
      <c r="T61" s="177"/>
      <c r="U61" s="177"/>
      <c r="V61" s="177"/>
      <c r="W61" s="177"/>
      <c r="X61" s="177"/>
      <c r="Y61" s="177"/>
      <c r="Z61" s="177"/>
      <c r="AA61" s="177"/>
      <c r="AB61" s="177"/>
      <c r="AC61" s="177"/>
      <c r="AD61" s="177"/>
      <c r="AE61" s="177"/>
      <c r="AF61" s="10"/>
      <c r="AI61" s="1"/>
      <c r="AJ61" s="41"/>
      <c r="AK61" s="1"/>
      <c r="AL61" s="41"/>
      <c r="AM61" s="1"/>
      <c r="AN61" s="41"/>
      <c r="AO61" s="1"/>
      <c r="AP61" s="41"/>
      <c r="AQ61" s="1"/>
      <c r="AR61" s="41"/>
      <c r="AS61" s="1"/>
      <c r="AT61" s="41"/>
      <c r="AU61" s="1"/>
      <c r="AV61" s="41"/>
      <c r="AW61" s="1"/>
      <c r="AX61" s="41"/>
      <c r="AY61" s="1"/>
      <c r="AZ61" s="41"/>
      <c r="BA61" s="1"/>
      <c r="BB61" s="41"/>
      <c r="BC61" s="1"/>
      <c r="BD61" s="41"/>
      <c r="BE61" s="1"/>
      <c r="BF61" s="41"/>
    </row>
    <row r="62" spans="1:59" ht="12.75" customHeight="1" thickTop="1">
      <c r="A62" s="8"/>
      <c r="B62" s="9">
        <f>IF(SKI_CALCULATOR_TYPE=0,IF(ISBLANK(D62),MAX(B$15:B61),IF(AND(ISNUMBER(L62),L62&gt;0)=TRUE,MAX(B$15:B61)+1,MAX(B$15:B61))),0)</f>
        <v>0</v>
      </c>
      <c r="C62" s="13"/>
      <c r="D62" s="243" t="s">
        <v>306</v>
      </c>
      <c r="E62" s="525" t="str">
        <f>VLOOKUP(D62,SKUS_TO_SIZES,2,FALSE)</f>
        <v>ARCADE RENTAL</v>
      </c>
      <c r="F62" s="526">
        <f>VLOOKUP(D62,SKUS_TO_SIZES,3,FALSE)</f>
        <v>65</v>
      </c>
      <c r="G62" s="526">
        <f>SUM(L62)*F62</f>
        <v>0</v>
      </c>
      <c r="H62" s="526">
        <f>IF(SKI_DISCOUNT_TYPE=1,IF($J$10=0,F62,F62*(SUM(1-$J$10))),IF(I62=0,F62,F62*(SUM(1-I62))))</f>
        <v>65</v>
      </c>
      <c r="I62" s="527">
        <v>0</v>
      </c>
      <c r="J62" s="528">
        <f>$J$7</f>
        <v>0</v>
      </c>
      <c r="K62" s="544">
        <f ca="1">SUM(M62:AD62)*H62</f>
        <v>0</v>
      </c>
      <c r="L62" s="308">
        <v>0</v>
      </c>
      <c r="M62" s="414" t="str">
        <f ca="1">IFERROR(ROUND($L62*HLOOKUP(M$61,INDIRECT("'Hidden Data'!"&amp;HLOOKUP(COLUMN(SKUS_TO_SIZES),NUMBER_TO_LETTER,2,FALSE)&amp;MATCH($D62,'Hidden Data'!$D:$D,0)&amp;":T"&amp;MATCH($D62&amp;"-sizecurve",'Hidden Data'!$D:$D,0)),2,FALSE),0)," ")</f>
        <v xml:space="preserve"> </v>
      </c>
      <c r="N62" s="405">
        <f ca="1">IFERROR(ROUND($L62*HLOOKUP(N$61,INDIRECT("'Hidden Data'!"&amp;HLOOKUP(COLUMN(SKUS_TO_SIZES),NUMBER_TO_LETTER,2,FALSE)&amp;MATCH($D62,'Hidden Data'!$D:$D,0)&amp;":T"&amp;MATCH($D62&amp;"-sizecurve",'Hidden Data'!$D:$D,0)),2,FALSE),0)," ")</f>
        <v>0</v>
      </c>
      <c r="O62" s="405">
        <f ca="1">IFERROR(ROUND($L62*HLOOKUP(O$61,INDIRECT("'Hidden Data'!"&amp;HLOOKUP(COLUMN(SKUS_TO_SIZES),NUMBER_TO_LETTER,2,FALSE)&amp;MATCH($D62,'Hidden Data'!$D:$D,0)&amp;":T"&amp;MATCH($D62&amp;"-sizecurve",'Hidden Data'!$D:$D,0)),2,FALSE),0)," ")</f>
        <v>0</v>
      </c>
      <c r="P62" s="406">
        <f ca="1">IFERROR(ROUND($L62*HLOOKUP(P$61,INDIRECT("'Hidden Data'!"&amp;HLOOKUP(COLUMN(SKUS_TO_SIZES),NUMBER_TO_LETTER,2,FALSE)&amp;MATCH($D62,'Hidden Data'!$D:$D,0)&amp;":T"&amp;MATCH($D62&amp;"-sizecurve",'Hidden Data'!$D:$D,0)),2,FALSE),0)," ")</f>
        <v>0</v>
      </c>
      <c r="Q62" s="178"/>
      <c r="R62" s="178"/>
      <c r="S62" s="178"/>
      <c r="T62" s="178"/>
      <c r="U62" s="178"/>
      <c r="V62" s="178"/>
      <c r="W62" s="178"/>
      <c r="X62" s="178"/>
      <c r="Y62" s="178"/>
      <c r="Z62" s="178"/>
      <c r="AA62" s="178"/>
      <c r="AB62" s="178"/>
      <c r="AC62" s="178"/>
      <c r="AD62" s="178"/>
      <c r="AE62" s="178"/>
      <c r="AF62" s="10"/>
      <c r="AG62" s="1">
        <v>2</v>
      </c>
      <c r="AH62" s="288" t="str">
        <f>D62</f>
        <v>RKPHT06</v>
      </c>
      <c r="AI62" s="130" t="str">
        <f>IF(VLOOKUP($AH62,SKUS_TO_SIZES,AI$11,FALSE)=0,"",VLOOKUP($AH62,SKUS_TO_SIZES,AI$11,FALSE))</f>
        <v>SM</v>
      </c>
      <c r="AJ62" s="129" t="str">
        <f ca="1">IFERROR(IF(HLOOKUP(AI62,$M$61:$AC$63,$AG62,FALSE)=0,"",HLOOKUP(AI62,$M$61:$AC$63,$AG62,FALSE)),"")</f>
        <v/>
      </c>
      <c r="AK62" s="130" t="str">
        <f>IF(VLOOKUP($AH62,SKUS_TO_SIZES,AK$11,FALSE)=0,"",VLOOKUP($AH62,SKUS_TO_SIZES,AK$11,FALSE))</f>
        <v>ML</v>
      </c>
      <c r="AL62" s="129" t="str">
        <f ca="1">IFERROR(IF(HLOOKUP(AK62,$M$61:$AC$63,$AG62,FALSE)=0,"",HLOOKUP(AK62,$M$61:$AC$63,$AG62,FALSE)),"")</f>
        <v/>
      </c>
      <c r="AM62" s="130" t="str">
        <f>IF(VLOOKUP($AH62,SKUS_TO_SIZES,AM$11,FALSE)=0,"",VLOOKUP($AH62,SKUS_TO_SIZES,AM$11,FALSE))</f>
        <v>LXL</v>
      </c>
      <c r="AN62" s="129" t="str">
        <f ca="1">IFERROR(IF(HLOOKUP(AM62,$M$61:$AC$63,$AG62,FALSE)=0,"",HLOOKUP(AM62,$M$61:$AC$63,$AG62,FALSE)),"")</f>
        <v/>
      </c>
      <c r="AO62" s="130" t="str">
        <f>IF(VLOOKUP($AH62,SKUS_TO_SIZES,AO$11,FALSE)=0,"",VLOOKUP($AH62,SKUS_TO_SIZES,AO$11,FALSE))</f>
        <v/>
      </c>
      <c r="AP62" s="129" t="str">
        <f>IFERROR(IF(HLOOKUP(AO62,$M$61:$AC$63,$AG62,FALSE)=0,"",HLOOKUP(AO62,$M$61:$AC$63,$AG62,FALSE)),"")</f>
        <v/>
      </c>
      <c r="AQ62" s="130" t="str">
        <f>IF(VLOOKUP($AH62,SKUS_TO_SIZES,AQ$11,FALSE)=0,"",VLOOKUP($AH62,SKUS_TO_SIZES,AQ$11,FALSE))</f>
        <v/>
      </c>
      <c r="AR62" s="129" t="str">
        <f>IFERROR(IF(HLOOKUP(AQ62,$M$61:$AC$63,$AG62,FALSE)=0,"",HLOOKUP(AQ62,$M$61:$AC$63,$AG62,FALSE)),"")</f>
        <v/>
      </c>
      <c r="AS62" s="130" t="str">
        <f>IF(VLOOKUP($AH62,SKUS_TO_SIZES,AS$11,FALSE)=0,"",VLOOKUP($AH62,SKUS_TO_SIZES,AS$11,FALSE))</f>
        <v/>
      </c>
      <c r="AT62" s="129" t="str">
        <f>IFERROR(IF(HLOOKUP(AS62,$M$61:$AC$63,$AG62,FALSE)=0,"",HLOOKUP(AS62,$M$61:$AC$63,$AG62,FALSE)),"")</f>
        <v/>
      </c>
      <c r="AU62" s="130" t="str">
        <f>IF(VLOOKUP($AH62,SKUS_TO_SIZES,AU$11,FALSE)=0,"",VLOOKUP($AH62,SKUS_TO_SIZES,AU$11,FALSE))</f>
        <v/>
      </c>
      <c r="AV62" s="129" t="str">
        <f>IFERROR(IF(HLOOKUP(AU62,$M$61:$AC$63,$AG62,FALSE)=0,"",HLOOKUP(AU62,$M$61:$AC$63,$AG62,FALSE)),"")</f>
        <v/>
      </c>
      <c r="AW62" s="130" t="str">
        <f>IF(VLOOKUP($AH62,SKUS_TO_SIZES,AW$11,FALSE)=0,"",VLOOKUP($AH62,SKUS_TO_SIZES,AW$11,FALSE))</f>
        <v/>
      </c>
      <c r="AX62" s="129" t="str">
        <f>IFERROR(IF(HLOOKUP(AW62,$M$61:$AC$63,$AG62,FALSE)=0,"",HLOOKUP(AW62,$M$61:$AC$63,$AG62,FALSE)),"")</f>
        <v/>
      </c>
      <c r="AY62" s="130" t="str">
        <f>IF(VLOOKUP($AH62,SKUS_TO_SIZES,AY$11,FALSE)=0,"",VLOOKUP($AH62,SKUS_TO_SIZES,AY$11,FALSE))</f>
        <v/>
      </c>
      <c r="AZ62" s="129" t="str">
        <f>IFERROR(IF(HLOOKUP(AY62,$M$61:$AC$63,$AG62,FALSE)=0,"",HLOOKUP(AY62,$M$61:$AC$63,$AG62,FALSE)),"")</f>
        <v/>
      </c>
      <c r="BA62" s="130" t="str">
        <f>IF(VLOOKUP($AH62,SKUS_TO_SIZES,BA$11,FALSE)=0,"",VLOOKUP($AH62,SKUS_TO_SIZES,BA$11,FALSE))</f>
        <v/>
      </c>
      <c r="BB62" s="129" t="str">
        <f>IFERROR(IF(HLOOKUP(BA62,$M$61:$AC$63,$AG62,FALSE)=0,"",HLOOKUP(BA62,$M$61:$AC$63,$AG62,FALSE)),"")</f>
        <v/>
      </c>
      <c r="BC62" s="130" t="str">
        <f>IF(VLOOKUP($AH62,SKUS_TO_SIZES,BC$11,FALSE)=0,"",VLOOKUP($AH62,SKUS_TO_SIZES,BC$11,FALSE))</f>
        <v/>
      </c>
      <c r="BD62" s="129" t="str">
        <f>IFERROR(IF(HLOOKUP(BC62,$M$61:$AC$63,$AG62,FALSE)=0,"",HLOOKUP(BC62,$M$61:$AC$63,$AG62,FALSE)),"")</f>
        <v/>
      </c>
      <c r="BE62" s="130" t="str">
        <f>IF(VLOOKUP($AH62,SKUS_TO_SIZES,BE$11,FALSE)=0,"",VLOOKUP($AH62,SKUS_TO_SIZES,BE$11,FALSE))</f>
        <v/>
      </c>
      <c r="BF62" s="129" t="str">
        <f>IFERROR(IF(HLOOKUP(BE62,$M$61:$AC$63,$AG62,FALSE)=0,"",HLOOKUP(BE62,$M$61:$AC$63,$AG62,FALSE)),"")</f>
        <v/>
      </c>
    </row>
    <row r="63" spans="1:59" ht="12.75" customHeight="1">
      <c r="A63" s="8"/>
      <c r="B63" s="9">
        <f>IF(SKI_CALCULATOR_TYPE=0,IF(ISBLANK(D63),MAX(B$15:B62),IF(AND(ISNUMBER(L63),L63&gt;0)=TRUE,MAX(B$15:B62)+1,MAX(B$15:B62))),0)</f>
        <v>0</v>
      </c>
      <c r="C63" s="13"/>
      <c r="D63" s="451" t="s">
        <v>304</v>
      </c>
      <c r="E63" s="535" t="str">
        <f>VLOOKUP(D63,SKUS_TO_SIZES,2,FALSE)</f>
        <v>WHOOPEE IMPACTS RENTAL</v>
      </c>
      <c r="F63" s="532">
        <f>VLOOKUP(D63,SKUS_TO_SIZES,3,FALSE)</f>
        <v>50</v>
      </c>
      <c r="G63" s="526">
        <f>SUM(L63)*F63</f>
        <v>0</v>
      </c>
      <c r="H63" s="532">
        <f>IF(SKI_DISCOUNT_TYPE=1,IF($J$10=0,F63,F63*(SUM(1-$J$10))),IF(I63=0,F63,F63*(SUM(1-I63))))</f>
        <v>50</v>
      </c>
      <c r="I63" s="536">
        <v>0</v>
      </c>
      <c r="J63" s="537">
        <f>$J$10</f>
        <v>0</v>
      </c>
      <c r="K63" s="543">
        <f ca="1">SUM(M63:AD63)*H63</f>
        <v>0</v>
      </c>
      <c r="L63" s="393">
        <v>0</v>
      </c>
      <c r="M63" s="407">
        <f ca="1">IFERROR(ROUND($L63*HLOOKUP(M$61,INDIRECT("'Hidden Data'!"&amp;HLOOKUP(COLUMN(SKUS_TO_SIZES),NUMBER_TO_LETTER,2,FALSE)&amp;MATCH($D63,'Hidden Data'!$D:$D,0)&amp;":T"&amp;MATCH($D63&amp;"-sizecurve",'Hidden Data'!$D:$D,0)),2,FALSE),0)," ")</f>
        <v>0</v>
      </c>
      <c r="N63" s="408">
        <f ca="1">IFERROR(ROUND($L63*HLOOKUP(N$61,INDIRECT("'Hidden Data'!"&amp;HLOOKUP(COLUMN(SKUS_TO_SIZES),NUMBER_TO_LETTER,2,FALSE)&amp;MATCH($D63,'Hidden Data'!$D:$D,0)&amp;":T"&amp;MATCH($D63&amp;"-sizecurve",'Hidden Data'!$D:$D,0)),2,FALSE),0)," ")</f>
        <v>0</v>
      </c>
      <c r="O63" s="408" t="str">
        <f ca="1">IFERROR(ROUND($L63*HLOOKUP(O$61,INDIRECT("'Hidden Data'!"&amp;HLOOKUP(COLUMN(SKUS_TO_SIZES),NUMBER_TO_LETTER,2,FALSE)&amp;MATCH($D63,'Hidden Data'!$D:$D,0)&amp;":T"&amp;MATCH($D63&amp;"-sizecurve",'Hidden Data'!$D:$D,0)),2,FALSE),0)," ")</f>
        <v xml:space="preserve"> </v>
      </c>
      <c r="P63" s="411" t="str">
        <f ca="1">IFERROR(ROUND($L63*HLOOKUP(P$61,INDIRECT("'Hidden Data'!"&amp;HLOOKUP(COLUMN(SKUS_TO_SIZES),NUMBER_TO_LETTER,2,FALSE)&amp;MATCH($D63,'Hidden Data'!$D:$D,0)&amp;":T"&amp;MATCH($D63&amp;"-sizecurve",'Hidden Data'!$D:$D,0)),2,FALSE),0)," ")</f>
        <v xml:space="preserve"> </v>
      </c>
      <c r="Q63" s="178"/>
      <c r="R63" s="178"/>
      <c r="S63" s="178"/>
      <c r="T63" s="178"/>
      <c r="U63" s="178"/>
      <c r="V63" s="178"/>
      <c r="W63" s="178"/>
      <c r="X63" s="178"/>
      <c r="Y63" s="178"/>
      <c r="Z63" s="178"/>
      <c r="AA63" s="178"/>
      <c r="AB63" s="178"/>
      <c r="AC63" s="178"/>
      <c r="AD63" s="178"/>
      <c r="AE63" s="178"/>
      <c r="AF63" s="10"/>
      <c r="AG63" s="1">
        <f t="shared" ref="AG63" si="76">AG62+1</f>
        <v>3</v>
      </c>
      <c r="AH63" s="288" t="str">
        <f>D63</f>
        <v>RKPHI05</v>
      </c>
      <c r="AI63" s="130" t="str">
        <f>IF(VLOOKUP($AH63,SKUS_TO_SIZES,AI$11,FALSE)=0,"",VLOOKUP($AH63,SKUS_TO_SIZES,AI$11,FALSE))</f>
        <v>XSS</v>
      </c>
      <c r="AJ63" s="129" t="str">
        <f ca="1">IFERROR(IF(HLOOKUP(AI63,$M$61:$AC$63,$AG63,FALSE)=0,"",HLOOKUP(AI63,$M$61:$AC$63,$AG63,FALSE)),"")</f>
        <v/>
      </c>
      <c r="AK63" s="130" t="str">
        <f>IF(VLOOKUP($AH63,SKUS_TO_SIZES,AK$11,FALSE)=0,"",VLOOKUP($AH63,SKUS_TO_SIZES,AK$11,FALSE))</f>
        <v>SM</v>
      </c>
      <c r="AL63" s="129" t="str">
        <f ca="1">IFERROR(IF(HLOOKUP(AK63,$M$61:$AC$63,$AG63,FALSE)=0,"",HLOOKUP(AK63,$M$61:$AC$63,$AG63,FALSE)),"")</f>
        <v/>
      </c>
      <c r="AM63" s="130" t="str">
        <f>IF(VLOOKUP($AH63,SKUS_TO_SIZES,AM$11,FALSE)=0,"",VLOOKUP($AH63,SKUS_TO_SIZES,AM$11,FALSE))</f>
        <v/>
      </c>
      <c r="AN63" s="129" t="str">
        <f>IFERROR(IF(HLOOKUP(AM63,$M$61:$AC$63,$AG63,FALSE)=0,"",HLOOKUP(AM63,$M$61:$AC$63,$AG63,FALSE)),"")</f>
        <v/>
      </c>
      <c r="AO63" s="130" t="str">
        <f>IF(VLOOKUP($AH63,SKUS_TO_SIZES,AO$11,FALSE)=0,"",VLOOKUP($AH63,SKUS_TO_SIZES,AO$11,FALSE))</f>
        <v/>
      </c>
      <c r="AP63" s="129" t="str">
        <f>IFERROR(IF(HLOOKUP(AO63,$M$61:$AC$63,$AG63,FALSE)=0,"",HLOOKUP(AO63,$M$61:$AC$63,$AG63,FALSE)),"")</f>
        <v/>
      </c>
      <c r="AQ63" s="130" t="str">
        <f>IF(VLOOKUP($AH63,SKUS_TO_SIZES,AQ$11,FALSE)=0,"",VLOOKUP($AH63,SKUS_TO_SIZES,AQ$11,FALSE))</f>
        <v/>
      </c>
      <c r="AR63" s="129" t="str">
        <f>IFERROR(IF(HLOOKUP(AQ63,$M$61:$AC$63,$AG63,FALSE)=0,"",HLOOKUP(AQ63,$M$61:$AC$63,$AG63,FALSE)),"")</f>
        <v/>
      </c>
      <c r="AS63" s="130" t="str">
        <f>IF(VLOOKUP($AH63,SKUS_TO_SIZES,AS$11,FALSE)=0,"",VLOOKUP($AH63,SKUS_TO_SIZES,AS$11,FALSE))</f>
        <v/>
      </c>
      <c r="AT63" s="129" t="str">
        <f>IFERROR(IF(HLOOKUP(AS63,$M$61:$AC$63,$AG63,FALSE)=0,"",HLOOKUP(AS63,$M$61:$AC$63,$AG63,FALSE)),"")</f>
        <v/>
      </c>
      <c r="AU63" s="130" t="str">
        <f>IF(VLOOKUP($AH63,SKUS_TO_SIZES,AU$11,FALSE)=0,"",VLOOKUP($AH63,SKUS_TO_SIZES,AU$11,FALSE))</f>
        <v/>
      </c>
      <c r="AV63" s="129" t="str">
        <f>IFERROR(IF(HLOOKUP(AU63,$M$61:$AC$63,$AG63,FALSE)=0,"",HLOOKUP(AU63,$M$61:$AC$63,$AG63,FALSE)),"")</f>
        <v/>
      </c>
      <c r="AW63" s="130" t="str">
        <f>IF(VLOOKUP($AH63,SKUS_TO_SIZES,AW$11,FALSE)=0,"",VLOOKUP($AH63,SKUS_TO_SIZES,AW$11,FALSE))</f>
        <v/>
      </c>
      <c r="AX63" s="129" t="str">
        <f>IFERROR(IF(HLOOKUP(AW63,$M$61:$AC$63,$AG63,FALSE)=0,"",HLOOKUP(AW63,$M$61:$AC$63,$AG63,FALSE)),"")</f>
        <v/>
      </c>
      <c r="AY63" s="130" t="str">
        <f>IF(VLOOKUP($AH63,SKUS_TO_SIZES,AY$11,FALSE)=0,"",VLOOKUP($AH63,SKUS_TO_SIZES,AY$11,FALSE))</f>
        <v/>
      </c>
      <c r="AZ63" s="129" t="str">
        <f>IFERROR(IF(HLOOKUP(AY63,$M$61:$AC$63,$AG63,FALSE)=0,"",HLOOKUP(AY63,$M$61:$AC$63,$AG63,FALSE)),"")</f>
        <v/>
      </c>
      <c r="BA63" s="130" t="str">
        <f>IF(VLOOKUP($AH63,SKUS_TO_SIZES,BA$11,FALSE)=0,"",VLOOKUP($AH63,SKUS_TO_SIZES,BA$11,FALSE))</f>
        <v/>
      </c>
      <c r="BB63" s="129" t="str">
        <f>IFERROR(IF(HLOOKUP(BA63,$M$61:$AC$63,$AG63,FALSE)=0,"",HLOOKUP(BA63,$M$61:$AC$63,$AG63,FALSE)),"")</f>
        <v/>
      </c>
      <c r="BC63" s="130" t="str">
        <f>IF(VLOOKUP($AH63,SKUS_TO_SIZES,BC$11,FALSE)=0,"",VLOOKUP($AH63,SKUS_TO_SIZES,BC$11,FALSE))</f>
        <v/>
      </c>
      <c r="BD63" s="129" t="str">
        <f>IFERROR(IF(HLOOKUP(BC63,$M$61:$AC$63,$AG63,FALSE)=0,"",HLOOKUP(BC63,$M$61:$AC$63,$AG63,FALSE)),"")</f>
        <v/>
      </c>
      <c r="BE63" s="130" t="str">
        <f>IF(VLOOKUP($AH63,SKUS_TO_SIZES,BE$11,FALSE)=0,"",VLOOKUP($AH63,SKUS_TO_SIZES,BE$11,FALSE))</f>
        <v/>
      </c>
      <c r="BF63" s="129" t="str">
        <f>IFERROR(IF(HLOOKUP(BE63,$M$61:$AC$63,$AG63,FALSE)=0,"",HLOOKUP(BE63,$M$61:$AC$63,$AG63,FALSE)),"")</f>
        <v/>
      </c>
    </row>
    <row r="64" spans="1:59" ht="12.75" customHeight="1">
      <c r="B64" s="9">
        <f>IF(SKI_CALCULATOR_TYPE=0,IF(ISBLANK(D64),MAX(B$15:B63),IF(AND(ISNUMBER(L64),L64&gt;0)=TRUE,MAX(B$15:B63)+1,MAX(B$15:B63))),0)</f>
        <v>0</v>
      </c>
      <c r="C64" s="10"/>
      <c r="D64" s="178"/>
      <c r="E64" s="209"/>
      <c r="F64" s="210"/>
      <c r="G64" s="395">
        <f>SUM(G62:G63)</f>
        <v>0</v>
      </c>
      <c r="H64" s="210"/>
      <c r="I64" s="210"/>
      <c r="J64" s="210"/>
      <c r="K64" s="227">
        <f ca="1">SUM(K62:K63)</f>
        <v>0</v>
      </c>
      <c r="L64" s="310">
        <f ca="1">SUM(M64:AD64)</f>
        <v>0</v>
      </c>
      <c r="M64" s="229">
        <f ca="1">SUM(M62:M63)</f>
        <v>0</v>
      </c>
      <c r="N64" s="235">
        <f ca="1">SUM(N62:N63)</f>
        <v>0</v>
      </c>
      <c r="O64" s="235">
        <f ca="1">SUM(O62:O63)</f>
        <v>0</v>
      </c>
      <c r="P64" s="230">
        <f ca="1">SUM(P62:P63)</f>
        <v>0</v>
      </c>
      <c r="Q64" s="178"/>
      <c r="R64" s="178"/>
      <c r="S64" s="178"/>
      <c r="T64" s="178"/>
      <c r="U64" s="178"/>
      <c r="V64" s="178"/>
      <c r="W64" s="178"/>
      <c r="X64" s="209"/>
      <c r="Y64" s="209"/>
      <c r="Z64" s="209"/>
      <c r="AA64" s="209"/>
      <c r="AB64" s="209"/>
      <c r="AC64" s="209"/>
      <c r="AD64" s="209"/>
      <c r="AE64" s="209"/>
      <c r="AF64" s="10"/>
      <c r="AI64" s="1"/>
      <c r="AJ64" s="41"/>
      <c r="AK64" s="1"/>
      <c r="AL64" s="41"/>
      <c r="AM64" s="1"/>
      <c r="AN64" s="41"/>
      <c r="AO64" s="1"/>
      <c r="AP64" s="41"/>
      <c r="AQ64" s="1"/>
      <c r="AR64" s="41"/>
      <c r="AS64" s="1"/>
      <c r="AT64" s="41"/>
      <c r="AU64" s="1"/>
      <c r="AV64" s="41"/>
      <c r="AW64" s="1"/>
      <c r="AX64" s="41"/>
      <c r="AY64" s="1"/>
      <c r="AZ64" s="41"/>
      <c r="BA64" s="1"/>
      <c r="BB64" s="41"/>
      <c r="BC64" s="1"/>
      <c r="BD64" s="41"/>
      <c r="BE64" s="1"/>
      <c r="BF64" s="41"/>
    </row>
    <row r="65" spans="1:59" ht="12.75" customHeight="1">
      <c r="B65" s="9"/>
      <c r="C65" s="10"/>
      <c r="D65" s="208"/>
      <c r="E65" s="209"/>
      <c r="F65" s="186"/>
      <c r="G65" s="186"/>
      <c r="H65" s="186"/>
      <c r="I65" s="187"/>
      <c r="J65" s="187"/>
      <c r="K65" s="188"/>
      <c r="L65" s="279"/>
      <c r="M65" s="179"/>
      <c r="N65" s="179"/>
      <c r="O65" s="178"/>
      <c r="P65" s="178"/>
      <c r="Q65" s="178"/>
      <c r="R65" s="178"/>
      <c r="S65" s="178"/>
      <c r="T65" s="178"/>
      <c r="U65" s="178"/>
      <c r="V65" s="178"/>
      <c r="W65" s="178"/>
      <c r="X65" s="178"/>
      <c r="Y65" s="178"/>
      <c r="Z65" s="178"/>
      <c r="AA65" s="178"/>
      <c r="AB65" s="178"/>
      <c r="AC65" s="178"/>
      <c r="AD65" s="178"/>
      <c r="AE65" s="178"/>
      <c r="AF65" s="12"/>
      <c r="AG65" s="149"/>
      <c r="AH65" s="15"/>
      <c r="AI65" s="38"/>
      <c r="AJ65" s="15"/>
      <c r="AK65" s="38"/>
      <c r="AL65" s="15"/>
      <c r="AM65" s="38"/>
      <c r="AN65" s="15"/>
      <c r="AO65" s="38"/>
      <c r="AP65" s="15"/>
      <c r="AQ65" s="38"/>
      <c r="AR65" s="15"/>
      <c r="AS65" s="38"/>
      <c r="AT65" s="15"/>
      <c r="AU65" s="38"/>
      <c r="AV65" s="15"/>
      <c r="AW65" s="38"/>
      <c r="AX65" s="15"/>
      <c r="AY65" s="38"/>
      <c r="AZ65" s="15"/>
      <c r="BA65" s="38"/>
      <c r="BB65" s="15"/>
      <c r="BC65" s="38"/>
      <c r="BD65" s="8"/>
      <c r="BG65" s="41"/>
    </row>
    <row r="66" spans="1:59" ht="14" hidden="1">
      <c r="C66" s="10"/>
      <c r="D66" s="961" t="s">
        <v>104</v>
      </c>
      <c r="E66" s="961"/>
      <c r="F66" s="961"/>
      <c r="G66" s="961"/>
      <c r="H66" s="961"/>
      <c r="I66" s="961"/>
      <c r="J66" s="961"/>
      <c r="K66" s="961"/>
      <c r="L66" s="961"/>
      <c r="M66" s="961"/>
      <c r="N66" s="961"/>
      <c r="O66" s="961"/>
      <c r="P66" s="961"/>
      <c r="Q66" s="961"/>
      <c r="R66" s="961"/>
      <c r="S66" s="961"/>
      <c r="T66" s="961"/>
      <c r="U66" s="961"/>
      <c r="V66" s="961"/>
      <c r="W66" s="961"/>
      <c r="X66" s="961"/>
      <c r="Y66" s="961"/>
      <c r="Z66" s="961"/>
      <c r="AA66" s="961"/>
      <c r="AB66" s="961"/>
      <c r="AC66" s="961"/>
      <c r="AD66" s="961"/>
      <c r="AE66" s="961"/>
      <c r="AF66" s="10"/>
      <c r="AI66" s="1"/>
      <c r="BG66" s="41"/>
    </row>
    <row r="67" spans="1:59" s="8" customFormat="1" ht="12.75" hidden="1" customHeight="1">
      <c r="A67" s="1"/>
      <c r="B67" s="9"/>
      <c r="C67" s="12"/>
      <c r="D67" s="957" t="s">
        <v>107</v>
      </c>
      <c r="E67" s="954"/>
      <c r="F67" s="293"/>
      <c r="G67" s="293"/>
      <c r="H67" s="294"/>
      <c r="I67" s="294"/>
      <c r="J67" s="294"/>
      <c r="K67" s="294"/>
      <c r="L67" s="294"/>
      <c r="N67" s="289"/>
      <c r="O67" s="289"/>
      <c r="P67" s="289"/>
      <c r="Q67" s="289"/>
      <c r="R67" s="289"/>
      <c r="S67" s="289"/>
      <c r="T67" s="289"/>
      <c r="U67" s="289"/>
      <c r="V67" s="289"/>
      <c r="W67" s="289"/>
      <c r="X67" s="290"/>
      <c r="Y67" s="290"/>
      <c r="Z67" s="290"/>
      <c r="AA67" s="290"/>
      <c r="AB67" s="290"/>
      <c r="AC67" s="290"/>
      <c r="AD67" s="290"/>
      <c r="AE67" s="290"/>
      <c r="AF67" s="10"/>
    </row>
    <row r="68" spans="1:59" s="8" customFormat="1" ht="12.75" hidden="1" customHeight="1" thickBot="1">
      <c r="A68" s="6"/>
      <c r="B68" s="9">
        <v>0</v>
      </c>
      <c r="C68" s="12"/>
      <c r="D68" s="295" t="s">
        <v>0</v>
      </c>
      <c r="E68" s="296" t="s">
        <v>1</v>
      </c>
      <c r="F68" s="297" t="s">
        <v>43</v>
      </c>
      <c r="G68" s="297" t="s">
        <v>19</v>
      </c>
      <c r="H68" s="327" t="s">
        <v>102</v>
      </c>
      <c r="I68" s="331" t="s">
        <v>21</v>
      </c>
      <c r="J68" s="311" t="s">
        <v>21</v>
      </c>
      <c r="K68" s="317" t="s">
        <v>6</v>
      </c>
      <c r="L68" s="299" t="s">
        <v>5</v>
      </c>
      <c r="M68" s="300" t="s">
        <v>243</v>
      </c>
      <c r="N68" s="302">
        <v>132</v>
      </c>
      <c r="O68" s="302">
        <v>137</v>
      </c>
      <c r="P68" s="302">
        <v>138</v>
      </c>
      <c r="Q68" s="302">
        <v>140</v>
      </c>
      <c r="R68" s="302">
        <v>145</v>
      </c>
      <c r="S68" s="302">
        <v>146</v>
      </c>
      <c r="T68" s="302">
        <v>148</v>
      </c>
      <c r="U68" s="302">
        <v>153</v>
      </c>
      <c r="V68" s="302">
        <v>154</v>
      </c>
      <c r="W68" s="302">
        <v>156</v>
      </c>
      <c r="X68" s="302">
        <v>161</v>
      </c>
      <c r="Y68" s="302">
        <v>162</v>
      </c>
      <c r="Z68" s="302">
        <v>164</v>
      </c>
      <c r="AA68" s="302">
        <v>170</v>
      </c>
      <c r="AB68" s="302">
        <v>172</v>
      </c>
      <c r="AC68" s="302">
        <v>179</v>
      </c>
      <c r="AD68" s="647">
        <v>180</v>
      </c>
      <c r="AE68" s="177"/>
      <c r="AF68" s="10"/>
      <c r="AG68" s="1"/>
      <c r="AI68" s="35"/>
      <c r="AJ68" s="47"/>
      <c r="AK68" s="35"/>
      <c r="AL68" s="47"/>
      <c r="AM68" s="35"/>
      <c r="AN68" s="47"/>
      <c r="AO68" s="35"/>
      <c r="AP68" s="47"/>
      <c r="AQ68" s="35"/>
      <c r="AR68" s="47"/>
      <c r="AS68" s="35"/>
      <c r="AT68" s="47"/>
      <c r="AU68" s="35"/>
      <c r="AV68" s="47"/>
      <c r="AW68" s="35"/>
      <c r="AX68" s="47"/>
      <c r="AY68" s="35"/>
      <c r="AZ68" s="47"/>
      <c r="BA68" s="35"/>
      <c r="BB68" s="47"/>
      <c r="BC68" s="35"/>
      <c r="BD68" s="47"/>
      <c r="BE68" s="35"/>
      <c r="BF68" s="47"/>
    </row>
    <row r="69" spans="1:59" s="8" customFormat="1" ht="12.75" hidden="1" customHeight="1" thickTop="1">
      <c r="B69" s="9">
        <f>IF(SKI_CALCULATOR_TYPE=1,IF(ISBLANK(D69),MAX(B$68:B68),IF(AND(ISNUMBER(L69),L69&gt;0)=TRUE,MAX(B$68:B68)+1,MAX(B$68:B68))),0)</f>
        <v>0</v>
      </c>
      <c r="C69" s="12"/>
      <c r="D69" s="390" t="s">
        <v>292</v>
      </c>
      <c r="E69" s="519" t="str">
        <f t="shared" ref="E69:E75" si="77">VLOOKUP(D69,SKUS_TO_SIZES,2,FALSE)</f>
        <v>EXPERIENCE 80 XPRESS 10 GW B83 RTL 2.0</v>
      </c>
      <c r="F69" s="520">
        <f t="shared" ref="F69:F76" si="78">VLOOKUP(D69,SKUS_TO_SIZES,3,FALSE)</f>
        <v>404</v>
      </c>
      <c r="G69" s="520">
        <f ca="1">SUM(L69)*F69</f>
        <v>0</v>
      </c>
      <c r="H69" s="520">
        <f>IF(SKI_DISCOUNT_TYPE=1,IF($J$7=0,F69,F69*(SUM(1-$J$7))),IF(I69=0,F69,F69*(SUM(1-I69))))</f>
        <v>404</v>
      </c>
      <c r="I69" s="521">
        <v>0</v>
      </c>
      <c r="J69" s="522">
        <f t="shared" ref="J69:J76" si="79">$J$7</f>
        <v>0</v>
      </c>
      <c r="K69" s="523">
        <f ca="1">SUM(M69:AD69)*H69</f>
        <v>0</v>
      </c>
      <c r="L69" s="545">
        <f t="shared" ref="L69:L77" ca="1" si="80">SUM(M69:AD69)</f>
        <v>0</v>
      </c>
      <c r="M69" s="649" t="str">
        <f ca="1">IFERROR(ROUND(HLOOKUP(M$68,INDIRECT("'Hidden Data'!"&amp;HLOOKUP(COLUMN(SKUS_TO_SIZES),NUMBER_TO_LETTER,2,FALSE)&amp;MATCH($D69,'Hidden Data'!$D:$D,0)&amp;":T"&amp;MATCH($D69&amp;"-sizecurve",'Hidden Data'!$D:$D,0)),2,FALSE),0)," ")</f>
        <v xml:space="preserve"> </v>
      </c>
      <c r="N69" s="651"/>
      <c r="O69" s="650" t="str">
        <f ca="1">IFERROR(ROUND(HLOOKUP(O$68,INDIRECT("'Hidden Data'!"&amp;HLOOKUP(COLUMN(SKUS_TO_SIZES),NUMBER_TO_LETTER,2,FALSE)&amp;MATCH($D69,'Hidden Data'!$D:$D,0)&amp;":T"&amp;MATCH($D69&amp;"-sizecurve",'Hidden Data'!$D:$D,0)),2,FALSE),0)," ")</f>
        <v xml:space="preserve"> </v>
      </c>
      <c r="P69" s="650" t="str">
        <f ca="1">IFERROR(ROUND(HLOOKUP(P$68,INDIRECT("'Hidden Data'!"&amp;HLOOKUP(COLUMN(SKUS_TO_SIZES),NUMBER_TO_LETTER,2,FALSE)&amp;MATCH($D69,'Hidden Data'!$D:$D,0)&amp;":T"&amp;MATCH($D69&amp;"-sizecurve",'Hidden Data'!$D:$D,0)),2,FALSE),0)," ")</f>
        <v xml:space="preserve"> </v>
      </c>
      <c r="Q69" s="651"/>
      <c r="R69" s="650" t="str">
        <f ca="1">IFERROR(ROUND(HLOOKUP(R$68,INDIRECT("'Hidden Data'!"&amp;HLOOKUP(COLUMN(SKUS_TO_SIZES),NUMBER_TO_LETTER,2,FALSE)&amp;MATCH($D69,'Hidden Data'!$D:$D,0)&amp;":T"&amp;MATCH($D69&amp;"-sizecurve",'Hidden Data'!$D:$D,0)),2,FALSE),0)," ")</f>
        <v xml:space="preserve"> </v>
      </c>
      <c r="S69" s="650" t="str">
        <f ca="1">IFERROR(ROUND(HLOOKUP(S$68,INDIRECT("'Hidden Data'!"&amp;HLOOKUP(COLUMN(SKUS_TO_SIZES),NUMBER_TO_LETTER,2,FALSE)&amp;MATCH($D69,'Hidden Data'!$D:$D,0)&amp;":T"&amp;MATCH($D69&amp;"-sizecurve",'Hidden Data'!$D:$D,0)),2,FALSE),0)," ")</f>
        <v xml:space="preserve"> </v>
      </c>
      <c r="T69" s="651"/>
      <c r="U69" s="650" t="str">
        <f ca="1">IFERROR(ROUND(HLOOKUP(U$68,INDIRECT("'Hidden Data'!"&amp;HLOOKUP(COLUMN(SKUS_TO_SIZES),NUMBER_TO_LETTER,2,FALSE)&amp;MATCH($D69,'Hidden Data'!$D:$D,0)&amp;":T"&amp;MATCH($D69&amp;"-sizecurve",'Hidden Data'!$D:$D,0)),2,FALSE),0)," ")</f>
        <v xml:space="preserve"> </v>
      </c>
      <c r="V69" s="650" t="str">
        <f ca="1">IFERROR(ROUND(HLOOKUP(V$68,INDIRECT("'Hidden Data'!"&amp;HLOOKUP(COLUMN(SKUS_TO_SIZES),NUMBER_TO_LETTER,2,FALSE)&amp;MATCH($D69,'Hidden Data'!$D:$D,0)&amp;":T"&amp;MATCH($D69&amp;"-sizecurve",'Hidden Data'!$D:$D,0)),2,FALSE),0)," ")</f>
        <v xml:space="preserve"> </v>
      </c>
      <c r="W69" s="651"/>
      <c r="X69" s="650" t="str">
        <f ca="1">IFERROR(ROUND(HLOOKUP(X$68,INDIRECT("'Hidden Data'!"&amp;HLOOKUP(COLUMN(SKUS_TO_SIZES),NUMBER_TO_LETTER,2,FALSE)&amp;MATCH($D69,'Hidden Data'!$D:$D,0)&amp;":T"&amp;MATCH($D69&amp;"-sizecurve",'Hidden Data'!$D:$D,0)),2,FALSE),0)," ")</f>
        <v xml:space="preserve"> </v>
      </c>
      <c r="Y69" s="650" t="str">
        <f ca="1">IFERROR(ROUND(HLOOKUP(Y$68,INDIRECT("'Hidden Data'!"&amp;HLOOKUP(COLUMN(SKUS_TO_SIZES),NUMBER_TO_LETTER,2,FALSE)&amp;MATCH($D69,'Hidden Data'!$D:$D,0)&amp;":T"&amp;MATCH($D69&amp;"-sizecurve",'Hidden Data'!$D:$D,0)),2,FALSE),0)," ")</f>
        <v xml:space="preserve"> </v>
      </c>
      <c r="Z69" s="651"/>
      <c r="AA69" s="650" t="str">
        <f ca="1">IFERROR(ROUND(HLOOKUP(AA$68,INDIRECT("'Hidden Data'!"&amp;HLOOKUP(COLUMN(SKUS_TO_SIZES),NUMBER_TO_LETTER,2,FALSE)&amp;MATCH($D69,'Hidden Data'!$D:$D,0)&amp;":T"&amp;MATCH($D69&amp;"-sizecurve",'Hidden Data'!$D:$D,0)),2,FALSE),0)," ")</f>
        <v xml:space="preserve"> </v>
      </c>
      <c r="AB69" s="651"/>
      <c r="AC69" s="650" t="str">
        <f ca="1">IFERROR(ROUND(HLOOKUP(AC$68,INDIRECT("'Hidden Data'!"&amp;HLOOKUP(COLUMN(SKUS_TO_SIZES),NUMBER_TO_LETTER,2,FALSE)&amp;MATCH($D69,'Hidden Data'!$D:$D,0)&amp;":T"&amp;MATCH($D69&amp;"-sizecurve",'Hidden Data'!$D:$D,0)),2,FALSE),0)," ")</f>
        <v xml:space="preserve"> </v>
      </c>
      <c r="AD69" s="652"/>
      <c r="AE69" s="179"/>
      <c r="AF69" s="10"/>
      <c r="AG69" s="1">
        <v>2</v>
      </c>
      <c r="AH69" s="288" t="str">
        <f t="shared" ref="AH69:AH76" si="81">D69</f>
        <v>RRPFZ05</v>
      </c>
      <c r="AI69" s="127">
        <f t="shared" ref="AI69:AI76" si="82">IF(VLOOKUP($AH69,SKUS_TO_SIZES,AI$11,FALSE)=0,"",VLOOKUP($AH69,SKUS_TO_SIZES,AI$11,FALSE))</f>
        <v>132</v>
      </c>
      <c r="AJ69" s="128" t="str">
        <f t="shared" ref="AJ69:AJ76" si="83">IFERROR(IF(HLOOKUP(AI69,$M$68:$AC$76,$AG69,FALSE)=0,"",HLOOKUP(AI69,$M$68:$AC$76,$AG69,FALSE)),"")</f>
        <v/>
      </c>
      <c r="AK69" s="127">
        <f t="shared" ref="AK69:AK76" si="84">IF(VLOOKUP($AH69,SKUS_TO_SIZES,AK$11,FALSE)=0,"",VLOOKUP($AH69,SKUS_TO_SIZES,AK$11,FALSE))</f>
        <v>140</v>
      </c>
      <c r="AL69" s="128" t="str">
        <f t="shared" ref="AL69:AL76" si="85">IFERROR(IF(HLOOKUP(AK69,$M$68:$AC$76,$AG69,FALSE)=0,"",HLOOKUP(AK69,$M$68:$AC$76,$AG69,FALSE)),"")</f>
        <v/>
      </c>
      <c r="AM69" s="127">
        <f t="shared" ref="AM69:AM76" si="86">IF(VLOOKUP($AH69,SKUS_TO_SIZES,AM$11,FALSE)=0,"",VLOOKUP($AH69,SKUS_TO_SIZES,AM$11,FALSE))</f>
        <v>148</v>
      </c>
      <c r="AN69" s="128" t="str">
        <f t="shared" ref="AN69:AN76" si="87">IFERROR(IF(HLOOKUP(AM69,$M$68:$AC$76,$AG69,FALSE)=0,"",HLOOKUP(AM69,$M$68:$AC$76,$AG69,FALSE)),"")</f>
        <v/>
      </c>
      <c r="AO69" s="127">
        <f t="shared" ref="AO69:AO76" si="88">IF(VLOOKUP($AH69,SKUS_TO_SIZES,AO$11,FALSE)=0,"",VLOOKUP($AH69,SKUS_TO_SIZES,AO$11,FALSE))</f>
        <v>156</v>
      </c>
      <c r="AP69" s="128" t="str">
        <f t="shared" ref="AP69:AP76" si="89">IFERROR(IF(HLOOKUP(AO69,$M$68:$AC$76,$AG69,FALSE)=0,"",HLOOKUP(AO69,$M$68:$AC$76,$AG69,FALSE)),"")</f>
        <v/>
      </c>
      <c r="AQ69" s="127">
        <f t="shared" ref="AQ69:AQ76" si="90">IF(VLOOKUP($AH69,SKUS_TO_SIZES,AQ$11,FALSE)=0,"",VLOOKUP($AH69,SKUS_TO_SIZES,AQ$11,FALSE))</f>
        <v>164</v>
      </c>
      <c r="AR69" s="128" t="str">
        <f t="shared" ref="AR69:AR76" si="91">IFERROR(IF(HLOOKUP(AQ69,$M$68:$AC$76,$AG69,FALSE)=0,"",HLOOKUP(AQ69,$M$68:$AC$76,$AG69,FALSE)),"")</f>
        <v/>
      </c>
      <c r="AS69" s="127">
        <f t="shared" ref="AS69:AS76" si="92">IF(VLOOKUP($AH69,SKUS_TO_SIZES,AS$11,FALSE)=0,"",VLOOKUP($AH69,SKUS_TO_SIZES,AS$11,FALSE))</f>
        <v>172</v>
      </c>
      <c r="AT69" s="128" t="str">
        <f t="shared" ref="AT69:AT76" si="93">IFERROR(IF(HLOOKUP(AS69,$M$68:$AC$76,$AG69,FALSE)=0,"",HLOOKUP(AS69,$M$68:$AC$76,$AG69,FALSE)),"")</f>
        <v/>
      </c>
      <c r="AU69" s="127">
        <f t="shared" ref="AU69:AU76" si="94">IF(VLOOKUP($AH69,SKUS_TO_SIZES,AU$11,FALSE)=0,"",VLOOKUP($AH69,SKUS_TO_SIZES,AU$11,FALSE))</f>
        <v>180</v>
      </c>
      <c r="AV69" s="128" t="str">
        <f t="shared" ref="AV69:AV76" si="95">IFERROR(IF(HLOOKUP(AU69,$M$68:$AC$76,$AG69,FALSE)=0,"",HLOOKUP(AU69,$M$68:$AC$76,$AG69,FALSE)),"")</f>
        <v/>
      </c>
      <c r="AW69" s="127" t="str">
        <f t="shared" ref="AW69:AW76" si="96">IF(VLOOKUP($AH69,SKUS_TO_SIZES,AW$11,FALSE)=0,"",VLOOKUP($AH69,SKUS_TO_SIZES,AW$11,FALSE))</f>
        <v/>
      </c>
      <c r="AX69" s="128" t="str">
        <f t="shared" ref="AX69:AX76" si="97">IFERROR(IF(HLOOKUP(AW69,$M$68:$AC$76,$AG69,FALSE)=0,"",HLOOKUP(AW69,$M$68:$AC$76,$AG69,FALSE)),"")</f>
        <v/>
      </c>
      <c r="AY69" s="127" t="str">
        <f t="shared" ref="AY69:AY76" si="98">IF(VLOOKUP($AH69,SKUS_TO_SIZES,AY$11,FALSE)=0,"",VLOOKUP($AH69,SKUS_TO_SIZES,AY$11,FALSE))</f>
        <v/>
      </c>
      <c r="AZ69" s="128" t="str">
        <f t="shared" ref="AZ69:AZ76" si="99">IFERROR(IF(HLOOKUP(AY69,$M$68:$AC$76,$AG69,FALSE)=0,"",HLOOKUP(AY69,$M$68:$AC$76,$AG69,FALSE)),"")</f>
        <v/>
      </c>
      <c r="BA69" s="127" t="str">
        <f t="shared" ref="BA69:BA76" si="100">IF(VLOOKUP($AH69,SKUS_TO_SIZES,BA$11,FALSE)=0,"",VLOOKUP($AH69,SKUS_TO_SIZES,BA$11,FALSE))</f>
        <v/>
      </c>
      <c r="BB69" s="128" t="str">
        <f t="shared" ref="BB69:BB76" si="101">IFERROR(IF(HLOOKUP(BA69,$M$68:$AC$76,$AG69,FALSE)=0,"",HLOOKUP(BA69,$M$68:$AC$76,$AG69,FALSE)),"")</f>
        <v/>
      </c>
      <c r="BC69" s="127" t="str">
        <f t="shared" ref="BC69:BC76" si="102">IF(VLOOKUP($AH69,SKUS_TO_SIZES,BC$11,FALSE)=0,"",VLOOKUP($AH69,SKUS_TO_SIZES,BC$11,FALSE))</f>
        <v/>
      </c>
      <c r="BD69" s="128" t="str">
        <f t="shared" ref="BD69:BD76" si="103">IFERROR(IF(HLOOKUP(BC69,$M$68:$AC$76,$AG69,FALSE)=0,"",HLOOKUP(BC69,$M$68:$AC$76,$AG69,FALSE)),"")</f>
        <v/>
      </c>
      <c r="BE69" s="127" t="str">
        <f t="shared" ref="BE69:BE76" si="104">IF(VLOOKUP($AH69,SKUS_TO_SIZES,BE$11,FALSE)=0,"",VLOOKUP($AH69,SKUS_TO_SIZES,BE$11,FALSE))</f>
        <v/>
      </c>
      <c r="BF69" s="128" t="str">
        <f t="shared" ref="BF69:BF76" si="105">IFERROR(IF(HLOOKUP(BE69,$M$68:$AC$76,$AG69,FALSE)=0,"",HLOOKUP(BE69,$M$68:$AC$76,$AG69,FALSE)),"")</f>
        <v/>
      </c>
    </row>
    <row r="70" spans="1:59" s="8" customFormat="1" ht="12.75" hidden="1" customHeight="1">
      <c r="B70" s="9">
        <f>IF(SKI_CALCULATOR_TYPE=1,IF(ISBLANK(D70),MAX(B$68:B69),IF(AND(ISNUMBER(L70),L70&gt;0)=TRUE,MAX(B$68:B69)+1,MAX(B$68:B69))),0)</f>
        <v>0</v>
      </c>
      <c r="C70" s="12"/>
      <c r="D70" s="304" t="s">
        <v>294</v>
      </c>
      <c r="E70" s="525" t="str">
        <f t="shared" ref="E70:E73" si="106">VLOOKUP(D70,SKUS_TO_SIZES,2,FALSE)</f>
        <v>EXPERIENCE 78 XPRESS 10 GW B83 RTL 2.0</v>
      </c>
      <c r="F70" s="526">
        <f t="shared" ref="F70:F73" si="107">VLOOKUP(D70,SKUS_TO_SIZES,3,FALSE)</f>
        <v>336</v>
      </c>
      <c r="G70" s="526">
        <f t="shared" ref="G70:G73" ca="1" si="108">SUM(L70)*F70</f>
        <v>0</v>
      </c>
      <c r="H70" s="526">
        <f t="shared" ref="H70:H73" si="109">IF(SKI_DISCOUNT_TYPE=1,IF($J$7=0,F70,F70*(SUM(1-$J$7))),IF(I70=0,F70,F70*(SUM(1-I70))))</f>
        <v>336</v>
      </c>
      <c r="I70" s="527">
        <v>0</v>
      </c>
      <c r="J70" s="528">
        <f t="shared" si="79"/>
        <v>0</v>
      </c>
      <c r="K70" s="529">
        <f t="shared" ref="K70:K74" ca="1" si="110">SUM(M70:AD70)*H70</f>
        <v>0</v>
      </c>
      <c r="L70" s="546">
        <f t="shared" ca="1" si="80"/>
        <v>0</v>
      </c>
      <c r="M70" s="562" t="str">
        <f ca="1">IFERROR(ROUND(HLOOKUP(M$68,INDIRECT("'Hidden Data'!"&amp;HLOOKUP(COLUMN(SKUS_TO_SIZES),NUMBER_TO_LETTER,2,FALSE)&amp;MATCH($D70,'Hidden Data'!$D:$D,0)&amp;":T"&amp;MATCH($D70&amp;"-sizecurve",'Hidden Data'!$D:$D,0)),2,FALSE),0)," ")</f>
        <v xml:space="preserve"> </v>
      </c>
      <c r="N70" s="418"/>
      <c r="O70" s="405" t="str">
        <f ca="1">IFERROR(ROUND(HLOOKUP(O$68,INDIRECT("'Hidden Data'!"&amp;HLOOKUP(COLUMN(SKUS_TO_SIZES),NUMBER_TO_LETTER,2,FALSE)&amp;MATCH($D70,'Hidden Data'!$D:$D,0)&amp;":T"&amp;MATCH($D70&amp;"-sizecurve",'Hidden Data'!$D:$D,0)),2,FALSE),0)," ")</f>
        <v xml:space="preserve"> </v>
      </c>
      <c r="P70" s="405" t="str">
        <f ca="1">IFERROR(ROUND(HLOOKUP(P$68,INDIRECT("'Hidden Data'!"&amp;HLOOKUP(COLUMN(SKUS_TO_SIZES),NUMBER_TO_LETTER,2,FALSE)&amp;MATCH($D70,'Hidden Data'!$D:$D,0)&amp;":T"&amp;MATCH($D70&amp;"-sizecurve",'Hidden Data'!$D:$D,0)),2,FALSE),0)," ")</f>
        <v xml:space="preserve"> </v>
      </c>
      <c r="Q70" s="418"/>
      <c r="R70" s="405" t="str">
        <f ca="1">IFERROR(ROUND(HLOOKUP(R$68,INDIRECT("'Hidden Data'!"&amp;HLOOKUP(COLUMN(SKUS_TO_SIZES),NUMBER_TO_LETTER,2,FALSE)&amp;MATCH($D70,'Hidden Data'!$D:$D,0)&amp;":T"&amp;MATCH($D70&amp;"-sizecurve",'Hidden Data'!$D:$D,0)),2,FALSE),0)," ")</f>
        <v xml:space="preserve"> </v>
      </c>
      <c r="S70" s="405" t="str">
        <f ca="1">IFERROR(ROUND(HLOOKUP(S$68,INDIRECT("'Hidden Data'!"&amp;HLOOKUP(COLUMN(SKUS_TO_SIZES),NUMBER_TO_LETTER,2,FALSE)&amp;MATCH($D70,'Hidden Data'!$D:$D,0)&amp;":T"&amp;MATCH($D70&amp;"-sizecurve",'Hidden Data'!$D:$D,0)),2,FALSE),0)," ")</f>
        <v xml:space="preserve"> </v>
      </c>
      <c r="T70" s="418"/>
      <c r="U70" s="405" t="str">
        <f ca="1">IFERROR(ROUND(HLOOKUP(U$68,INDIRECT("'Hidden Data'!"&amp;HLOOKUP(COLUMN(SKUS_TO_SIZES),NUMBER_TO_LETTER,2,FALSE)&amp;MATCH($D70,'Hidden Data'!$D:$D,0)&amp;":T"&amp;MATCH($D70&amp;"-sizecurve",'Hidden Data'!$D:$D,0)),2,FALSE),0)," ")</f>
        <v xml:space="preserve"> </v>
      </c>
      <c r="V70" s="405" t="str">
        <f ca="1">IFERROR(ROUND(HLOOKUP(V$68,INDIRECT("'Hidden Data'!"&amp;HLOOKUP(COLUMN(SKUS_TO_SIZES),NUMBER_TO_LETTER,2,FALSE)&amp;MATCH($D70,'Hidden Data'!$D:$D,0)&amp;":T"&amp;MATCH($D70&amp;"-sizecurve",'Hidden Data'!$D:$D,0)),2,FALSE),0)," ")</f>
        <v xml:space="preserve"> </v>
      </c>
      <c r="W70" s="418"/>
      <c r="X70" s="405" t="str">
        <f ca="1">IFERROR(ROUND(HLOOKUP(X$68,INDIRECT("'Hidden Data'!"&amp;HLOOKUP(COLUMN(SKUS_TO_SIZES),NUMBER_TO_LETTER,2,FALSE)&amp;MATCH($D70,'Hidden Data'!$D:$D,0)&amp;":T"&amp;MATCH($D70&amp;"-sizecurve",'Hidden Data'!$D:$D,0)),2,FALSE),0)," ")</f>
        <v xml:space="preserve"> </v>
      </c>
      <c r="Y70" s="405" t="str">
        <f ca="1">IFERROR(ROUND(HLOOKUP(Y$68,INDIRECT("'Hidden Data'!"&amp;HLOOKUP(COLUMN(SKUS_TO_SIZES),NUMBER_TO_LETTER,2,FALSE)&amp;MATCH($D70,'Hidden Data'!$D:$D,0)&amp;":T"&amp;MATCH($D70&amp;"-sizecurve",'Hidden Data'!$D:$D,0)),2,FALSE),0)," ")</f>
        <v xml:space="preserve"> </v>
      </c>
      <c r="Z70" s="418"/>
      <c r="AA70" s="405" t="str">
        <f ca="1">IFERROR(ROUND(HLOOKUP(AA$68,INDIRECT("'Hidden Data'!"&amp;HLOOKUP(COLUMN(SKUS_TO_SIZES),NUMBER_TO_LETTER,2,FALSE)&amp;MATCH($D70,'Hidden Data'!$D:$D,0)&amp;":T"&amp;MATCH($D70&amp;"-sizecurve",'Hidden Data'!$D:$D,0)),2,FALSE),0)," ")</f>
        <v xml:space="preserve"> </v>
      </c>
      <c r="AB70" s="418"/>
      <c r="AC70" s="405" t="str">
        <f ca="1">IFERROR(ROUND(HLOOKUP(AC$68,INDIRECT("'Hidden Data'!"&amp;HLOOKUP(COLUMN(SKUS_TO_SIZES),NUMBER_TO_LETTER,2,FALSE)&amp;MATCH($D70,'Hidden Data'!$D:$D,0)&amp;":T"&amp;MATCH($D70&amp;"-sizecurve",'Hidden Data'!$D:$D,0)),2,FALSE),0)," ")</f>
        <v xml:space="preserve"> </v>
      </c>
      <c r="AD70" s="653"/>
      <c r="AE70" s="179"/>
      <c r="AF70" s="10"/>
      <c r="AG70" s="1">
        <f>AG69+1</f>
        <v>3</v>
      </c>
      <c r="AH70" s="288" t="str">
        <f t="shared" si="81"/>
        <v>RRPFZ04</v>
      </c>
      <c r="AI70" s="127">
        <f t="shared" si="82"/>
        <v>132</v>
      </c>
      <c r="AJ70" s="128" t="str">
        <f t="shared" si="83"/>
        <v/>
      </c>
      <c r="AK70" s="127">
        <f t="shared" si="84"/>
        <v>140</v>
      </c>
      <c r="AL70" s="128" t="str">
        <f t="shared" si="85"/>
        <v/>
      </c>
      <c r="AM70" s="127">
        <f t="shared" si="86"/>
        <v>148</v>
      </c>
      <c r="AN70" s="128" t="str">
        <f t="shared" si="87"/>
        <v/>
      </c>
      <c r="AO70" s="127">
        <f t="shared" si="88"/>
        <v>156</v>
      </c>
      <c r="AP70" s="128" t="str">
        <f t="shared" si="89"/>
        <v/>
      </c>
      <c r="AQ70" s="127">
        <f t="shared" si="90"/>
        <v>164</v>
      </c>
      <c r="AR70" s="128" t="str">
        <f t="shared" si="91"/>
        <v/>
      </c>
      <c r="AS70" s="127">
        <f t="shared" si="92"/>
        <v>172</v>
      </c>
      <c r="AT70" s="128" t="str">
        <f t="shared" si="93"/>
        <v/>
      </c>
      <c r="AU70" s="127">
        <f t="shared" si="94"/>
        <v>180</v>
      </c>
      <c r="AV70" s="128" t="str">
        <f t="shared" si="95"/>
        <v/>
      </c>
      <c r="AW70" s="127" t="str">
        <f t="shared" si="96"/>
        <v/>
      </c>
      <c r="AX70" s="128" t="str">
        <f t="shared" si="97"/>
        <v/>
      </c>
      <c r="AY70" s="127" t="str">
        <f t="shared" si="98"/>
        <v/>
      </c>
      <c r="AZ70" s="128" t="str">
        <f t="shared" si="99"/>
        <v/>
      </c>
      <c r="BA70" s="127" t="str">
        <f t="shared" si="100"/>
        <v/>
      </c>
      <c r="BB70" s="128" t="str">
        <f t="shared" si="101"/>
        <v/>
      </c>
      <c r="BC70" s="127" t="str">
        <f t="shared" si="102"/>
        <v/>
      </c>
      <c r="BD70" s="128" t="str">
        <f t="shared" si="103"/>
        <v/>
      </c>
      <c r="BE70" s="127" t="str">
        <f t="shared" si="104"/>
        <v/>
      </c>
      <c r="BF70" s="128" t="str">
        <f t="shared" si="105"/>
        <v/>
      </c>
    </row>
    <row r="71" spans="1:59" s="8" customFormat="1" ht="12.75" hidden="1" customHeight="1">
      <c r="B71" s="9">
        <f>IF(SKI_CALCULATOR_TYPE=1,IF(ISBLANK(D71),MAX(B$68:B70),IF(AND(ISNUMBER(L71),L71&gt;0)=TRUE,MAX(B$68:B70)+1,MAX(B$68:B70))),0)</f>
        <v>0</v>
      </c>
      <c r="C71" s="12"/>
      <c r="D71" s="304" t="s">
        <v>262</v>
      </c>
      <c r="E71" s="525" t="str">
        <f t="shared" si="106"/>
        <v>EXPERIENCE 78 FLASH NX 9 GW FLASH B83</v>
      </c>
      <c r="F71" s="526">
        <f t="shared" si="107"/>
        <v>323</v>
      </c>
      <c r="G71" s="526">
        <f t="shared" ca="1" si="108"/>
        <v>0</v>
      </c>
      <c r="H71" s="526">
        <f t="shared" si="109"/>
        <v>323</v>
      </c>
      <c r="I71" s="527">
        <v>0</v>
      </c>
      <c r="J71" s="528">
        <f t="shared" si="79"/>
        <v>0</v>
      </c>
      <c r="K71" s="529">
        <f t="shared" ca="1" si="110"/>
        <v>0</v>
      </c>
      <c r="L71" s="546">
        <f t="shared" ca="1" si="80"/>
        <v>0</v>
      </c>
      <c r="M71" s="562" t="str">
        <f ca="1">IFERROR(ROUND(HLOOKUP(M$68,INDIRECT("'Hidden Data'!"&amp;HLOOKUP(COLUMN(SKUS_TO_SIZES),NUMBER_TO_LETTER,2,FALSE)&amp;MATCH($D71,'Hidden Data'!$D:$D,0)&amp;":T"&amp;MATCH($D71&amp;"-sizecurve",'Hidden Data'!$D:$D,0)),2,FALSE),0)," ")</f>
        <v xml:space="preserve"> </v>
      </c>
      <c r="N71" s="418"/>
      <c r="O71" s="405" t="str">
        <f ca="1">IFERROR(ROUND(HLOOKUP(O$68,INDIRECT("'Hidden Data'!"&amp;HLOOKUP(COLUMN(SKUS_TO_SIZES),NUMBER_TO_LETTER,2,FALSE)&amp;MATCH($D71,'Hidden Data'!$D:$D,0)&amp;":T"&amp;MATCH($D71&amp;"-sizecurve",'Hidden Data'!$D:$D,0)),2,FALSE),0)," ")</f>
        <v xml:space="preserve"> </v>
      </c>
      <c r="P71" s="405" t="str">
        <f ca="1">IFERROR(ROUND(HLOOKUP(P$68,INDIRECT("'Hidden Data'!"&amp;HLOOKUP(COLUMN(SKUS_TO_SIZES),NUMBER_TO_LETTER,2,FALSE)&amp;MATCH($D71,'Hidden Data'!$D:$D,0)&amp;":T"&amp;MATCH($D71&amp;"-sizecurve",'Hidden Data'!$D:$D,0)),2,FALSE),0)," ")</f>
        <v xml:space="preserve"> </v>
      </c>
      <c r="Q71" s="418"/>
      <c r="R71" s="405" t="str">
        <f ca="1">IFERROR(ROUND(HLOOKUP(R$68,INDIRECT("'Hidden Data'!"&amp;HLOOKUP(COLUMN(SKUS_TO_SIZES),NUMBER_TO_LETTER,2,FALSE)&amp;MATCH($D71,'Hidden Data'!$D:$D,0)&amp;":T"&amp;MATCH($D71&amp;"-sizecurve",'Hidden Data'!$D:$D,0)),2,FALSE),0)," ")</f>
        <v xml:space="preserve"> </v>
      </c>
      <c r="S71" s="405" t="str">
        <f ca="1">IFERROR(ROUND(HLOOKUP(S$68,INDIRECT("'Hidden Data'!"&amp;HLOOKUP(COLUMN(SKUS_TO_SIZES),NUMBER_TO_LETTER,2,FALSE)&amp;MATCH($D71,'Hidden Data'!$D:$D,0)&amp;":T"&amp;MATCH($D71&amp;"-sizecurve",'Hidden Data'!$D:$D,0)),2,FALSE),0)," ")</f>
        <v xml:space="preserve"> </v>
      </c>
      <c r="T71" s="418"/>
      <c r="U71" s="405" t="str">
        <f ca="1">IFERROR(ROUND(HLOOKUP(U$68,INDIRECT("'Hidden Data'!"&amp;HLOOKUP(COLUMN(SKUS_TO_SIZES),NUMBER_TO_LETTER,2,FALSE)&amp;MATCH($D71,'Hidden Data'!$D:$D,0)&amp;":T"&amp;MATCH($D71&amp;"-sizecurve",'Hidden Data'!$D:$D,0)),2,FALSE),0)," ")</f>
        <v xml:space="preserve"> </v>
      </c>
      <c r="V71" s="405" t="str">
        <f ca="1">IFERROR(ROUND(HLOOKUP(V$68,INDIRECT("'Hidden Data'!"&amp;HLOOKUP(COLUMN(SKUS_TO_SIZES),NUMBER_TO_LETTER,2,FALSE)&amp;MATCH($D71,'Hidden Data'!$D:$D,0)&amp;":T"&amp;MATCH($D71&amp;"-sizecurve",'Hidden Data'!$D:$D,0)),2,FALSE),0)," ")</f>
        <v xml:space="preserve"> </v>
      </c>
      <c r="W71" s="418"/>
      <c r="X71" s="405" t="str">
        <f ca="1">IFERROR(ROUND(HLOOKUP(X$68,INDIRECT("'Hidden Data'!"&amp;HLOOKUP(COLUMN(SKUS_TO_SIZES),NUMBER_TO_LETTER,2,FALSE)&amp;MATCH($D71,'Hidden Data'!$D:$D,0)&amp;":T"&amp;MATCH($D71&amp;"-sizecurve",'Hidden Data'!$D:$D,0)),2,FALSE),0)," ")</f>
        <v xml:space="preserve"> </v>
      </c>
      <c r="Y71" s="405" t="str">
        <f ca="1">IFERROR(ROUND(HLOOKUP(Y$68,INDIRECT("'Hidden Data'!"&amp;HLOOKUP(COLUMN(SKUS_TO_SIZES),NUMBER_TO_LETTER,2,FALSE)&amp;MATCH($D71,'Hidden Data'!$D:$D,0)&amp;":T"&amp;MATCH($D71&amp;"-sizecurve",'Hidden Data'!$D:$D,0)),2,FALSE),0)," ")</f>
        <v xml:space="preserve"> </v>
      </c>
      <c r="Z71" s="418"/>
      <c r="AA71" s="405" t="str">
        <f ca="1">IFERROR(ROUND(HLOOKUP(AA$68,INDIRECT("'Hidden Data'!"&amp;HLOOKUP(COLUMN(SKUS_TO_SIZES),NUMBER_TO_LETTER,2,FALSE)&amp;MATCH($D71,'Hidden Data'!$D:$D,0)&amp;":T"&amp;MATCH($D71&amp;"-sizecurve",'Hidden Data'!$D:$D,0)),2,FALSE),0)," ")</f>
        <v xml:space="preserve"> </v>
      </c>
      <c r="AB71" s="418"/>
      <c r="AC71" s="405" t="str">
        <f ca="1">IFERROR(ROUND(HLOOKUP(AC$68,INDIRECT("'Hidden Data'!"&amp;HLOOKUP(COLUMN(SKUS_TO_SIZES),NUMBER_TO_LETTER,2,FALSE)&amp;MATCH($D71,'Hidden Data'!$D:$D,0)&amp;":T"&amp;MATCH($D71&amp;"-sizecurve",'Hidden Data'!$D:$D,0)),2,FALSE),0)," ")</f>
        <v xml:space="preserve"> </v>
      </c>
      <c r="AD71" s="653"/>
      <c r="AE71" s="179"/>
      <c r="AF71" s="10"/>
      <c r="AG71" s="1">
        <f t="shared" ref="AG71:AG76" si="111">AG70+1</f>
        <v>4</v>
      </c>
      <c r="AH71" s="288" t="str">
        <f t="shared" si="81"/>
        <v>RROFZ09</v>
      </c>
      <c r="AI71" s="127">
        <f t="shared" si="82"/>
        <v>132</v>
      </c>
      <c r="AJ71" s="128" t="str">
        <f t="shared" si="83"/>
        <v/>
      </c>
      <c r="AK71" s="127">
        <f t="shared" si="84"/>
        <v>140</v>
      </c>
      <c r="AL71" s="128" t="str">
        <f t="shared" si="85"/>
        <v/>
      </c>
      <c r="AM71" s="127">
        <f t="shared" si="86"/>
        <v>148</v>
      </c>
      <c r="AN71" s="128" t="str">
        <f t="shared" si="87"/>
        <v/>
      </c>
      <c r="AO71" s="127">
        <f t="shared" si="88"/>
        <v>156</v>
      </c>
      <c r="AP71" s="128" t="str">
        <f t="shared" si="89"/>
        <v/>
      </c>
      <c r="AQ71" s="127">
        <f t="shared" si="90"/>
        <v>164</v>
      </c>
      <c r="AR71" s="128" t="str">
        <f t="shared" si="91"/>
        <v/>
      </c>
      <c r="AS71" s="127">
        <f t="shared" si="92"/>
        <v>172</v>
      </c>
      <c r="AT71" s="128" t="str">
        <f t="shared" si="93"/>
        <v/>
      </c>
      <c r="AU71" s="127">
        <f t="shared" si="94"/>
        <v>180</v>
      </c>
      <c r="AV71" s="128" t="str">
        <f t="shared" si="95"/>
        <v/>
      </c>
      <c r="AW71" s="127" t="str">
        <f t="shared" si="96"/>
        <v/>
      </c>
      <c r="AX71" s="128" t="str">
        <f t="shared" si="97"/>
        <v/>
      </c>
      <c r="AY71" s="127" t="str">
        <f t="shared" si="98"/>
        <v/>
      </c>
      <c r="AZ71" s="128" t="str">
        <f t="shared" si="99"/>
        <v/>
      </c>
      <c r="BA71" s="127" t="str">
        <f t="shared" si="100"/>
        <v/>
      </c>
      <c r="BB71" s="128" t="str">
        <f t="shared" si="101"/>
        <v/>
      </c>
      <c r="BC71" s="127" t="str">
        <f t="shared" si="102"/>
        <v/>
      </c>
      <c r="BD71" s="128" t="str">
        <f t="shared" si="103"/>
        <v/>
      </c>
      <c r="BE71" s="127" t="str">
        <f t="shared" si="104"/>
        <v/>
      </c>
      <c r="BF71" s="128" t="str">
        <f t="shared" si="105"/>
        <v/>
      </c>
    </row>
    <row r="72" spans="1:59" s="8" customFormat="1" ht="12.75" hidden="1" customHeight="1">
      <c r="B72" s="9">
        <f>IF(SKI_CALCULATOR_TYPE=1,IF(ISBLANK(D72),MAX(B$68:B71),IF(AND(ISNUMBER(L72),L72&gt;0)=TRUE,MAX(B$68:B71)+1,MAX(B$68:B71))),0)</f>
        <v>0</v>
      </c>
      <c r="C72" s="12"/>
      <c r="D72" s="304" t="s">
        <v>263</v>
      </c>
      <c r="E72" s="525" t="str">
        <f t="shared" ref="E72" si="112">VLOOKUP(D72,SKUS_TO_SIZES,2,FALSE)</f>
        <v>REACT RT XPRESS XPRESS 10 GW B83</v>
      </c>
      <c r="F72" s="526">
        <f t="shared" ref="F72" si="113">VLOOKUP(D72,SKUS_TO_SIZES,3,FALSE)</f>
        <v>237</v>
      </c>
      <c r="G72" s="526">
        <f ca="1">SUM(L72)*F72</f>
        <v>0</v>
      </c>
      <c r="H72" s="526">
        <f t="shared" ref="H72" si="114">IF(SKI_DISCOUNT_TYPE=1,IF($J$7=0,F72,F72*(SUM(1-$J$7))),IF(I72=0,F72,F72*(SUM(1-I72))))</f>
        <v>237</v>
      </c>
      <c r="I72" s="527">
        <v>0</v>
      </c>
      <c r="J72" s="528">
        <f t="shared" si="79"/>
        <v>0</v>
      </c>
      <c r="K72" s="529">
        <f t="shared" ca="1" si="110"/>
        <v>0</v>
      </c>
      <c r="L72" s="546">
        <f t="shared" ca="1" si="80"/>
        <v>0</v>
      </c>
      <c r="M72" s="562" t="str">
        <f ca="1">IFERROR(ROUND(HLOOKUP(M$68,INDIRECT("'Hidden Data'!"&amp;HLOOKUP(COLUMN(SKUS_TO_SIZES),NUMBER_TO_LETTER,2,FALSE)&amp;MATCH($D72,'Hidden Data'!$D:$D,0)&amp;":T"&amp;MATCH($D72&amp;"-sizecurve",'Hidden Data'!$D:$D,0)),2,FALSE),0)," ")</f>
        <v xml:space="preserve"> </v>
      </c>
      <c r="N72" s="405" t="str">
        <f ca="1">IFERROR(ROUND(HLOOKUP(N$68,INDIRECT("'Hidden Data'!"&amp;HLOOKUP(COLUMN(SKUS_TO_SIZES),NUMBER_TO_LETTER,2,FALSE)&amp;MATCH($D72,'Hidden Data'!$D:$D,0)&amp;":T"&amp;MATCH($D72&amp;"-sizecurve",'Hidden Data'!$D:$D,0)),2,FALSE),0)," ")</f>
        <v xml:space="preserve"> </v>
      </c>
      <c r="O72" s="418"/>
      <c r="P72" s="405" t="str">
        <f ca="1">IFERROR(ROUND(HLOOKUP(P$68,INDIRECT("'Hidden Data'!"&amp;HLOOKUP(COLUMN(SKUS_TO_SIZES),NUMBER_TO_LETTER,2,FALSE)&amp;MATCH($D72,'Hidden Data'!$D:$D,0)&amp;":T"&amp;MATCH($D72&amp;"-sizecurve",'Hidden Data'!$D:$D,0)),2,FALSE),0)," ")</f>
        <v xml:space="preserve"> </v>
      </c>
      <c r="Q72" s="405" t="str">
        <f ca="1">IFERROR(ROUND(HLOOKUP(Q$68,INDIRECT("'Hidden Data'!"&amp;HLOOKUP(COLUMN(SKUS_TO_SIZES),NUMBER_TO_LETTER,2,FALSE)&amp;MATCH($D72,'Hidden Data'!$D:$D,0)&amp;":T"&amp;MATCH($D72&amp;"-sizecurve",'Hidden Data'!$D:$D,0)),2,FALSE),0)," ")</f>
        <v xml:space="preserve"> </v>
      </c>
      <c r="R72" s="418"/>
      <c r="S72" s="405" t="str">
        <f ca="1">IFERROR(ROUND(HLOOKUP(S$68,INDIRECT("'Hidden Data'!"&amp;HLOOKUP(COLUMN(SKUS_TO_SIZES),NUMBER_TO_LETTER,2,FALSE)&amp;MATCH($D72,'Hidden Data'!$D:$D,0)&amp;":T"&amp;MATCH($D72&amp;"-sizecurve",'Hidden Data'!$D:$D,0)),2,FALSE),0)," ")</f>
        <v xml:space="preserve"> </v>
      </c>
      <c r="T72" s="405" t="str">
        <f ca="1">IFERROR(ROUND(HLOOKUP(T$68,INDIRECT("'Hidden Data'!"&amp;HLOOKUP(COLUMN(SKUS_TO_SIZES),NUMBER_TO_LETTER,2,FALSE)&amp;MATCH($D72,'Hidden Data'!$D:$D,0)&amp;":T"&amp;MATCH($D72&amp;"-sizecurve",'Hidden Data'!$D:$D,0)),2,FALSE),0)," ")</f>
        <v xml:space="preserve"> </v>
      </c>
      <c r="U72" s="418"/>
      <c r="V72" s="405" t="str">
        <f ca="1">IFERROR(ROUND(HLOOKUP(V$68,INDIRECT("'Hidden Data'!"&amp;HLOOKUP(COLUMN(SKUS_TO_SIZES),NUMBER_TO_LETTER,2,FALSE)&amp;MATCH($D72,'Hidden Data'!$D:$D,0)&amp;":T"&amp;MATCH($D72&amp;"-sizecurve",'Hidden Data'!$D:$D,0)),2,FALSE),0)," ")</f>
        <v xml:space="preserve"> </v>
      </c>
      <c r="W72" s="405" t="str">
        <f ca="1">IFERROR(ROUND(HLOOKUP(W$68,INDIRECT("'Hidden Data'!"&amp;HLOOKUP(COLUMN(SKUS_TO_SIZES),NUMBER_TO_LETTER,2,FALSE)&amp;MATCH($D72,'Hidden Data'!$D:$D,0)&amp;":T"&amp;MATCH($D72&amp;"-sizecurve",'Hidden Data'!$D:$D,0)),2,FALSE),0)," ")</f>
        <v xml:space="preserve"> </v>
      </c>
      <c r="X72" s="418"/>
      <c r="Y72" s="405" t="str">
        <f ca="1">IFERROR(ROUND(HLOOKUP(Y$68,INDIRECT("'Hidden Data'!"&amp;HLOOKUP(COLUMN(SKUS_TO_SIZES),NUMBER_TO_LETTER,2,FALSE)&amp;MATCH($D72,'Hidden Data'!$D:$D,0)&amp;":T"&amp;MATCH($D72&amp;"-sizecurve",'Hidden Data'!$D:$D,0)),2,FALSE),0)," ")</f>
        <v xml:space="preserve"> </v>
      </c>
      <c r="Z72" s="405" t="str">
        <f ca="1">IFERROR(ROUND(HLOOKUP(Z$68,INDIRECT("'Hidden Data'!"&amp;HLOOKUP(COLUMN(SKUS_TO_SIZES),NUMBER_TO_LETTER,2,FALSE)&amp;MATCH($D72,'Hidden Data'!$D:$D,0)&amp;":T"&amp;MATCH($D72&amp;"-sizecurve",'Hidden Data'!$D:$D,0)),2,FALSE),0)," ")</f>
        <v xml:space="preserve"> </v>
      </c>
      <c r="AA72" s="418"/>
      <c r="AB72" s="405" t="str">
        <f ca="1">IFERROR(ROUND(HLOOKUP(AB$68,INDIRECT("'Hidden Data'!"&amp;HLOOKUP(COLUMN(SKUS_TO_SIZES),NUMBER_TO_LETTER,2,FALSE)&amp;MATCH($D72,'Hidden Data'!$D:$D,0)&amp;":T"&amp;MATCH($D72&amp;"-sizecurve",'Hidden Data'!$D:$D,0)),2,FALSE),0)," ")</f>
        <v xml:space="preserve"> </v>
      </c>
      <c r="AC72" s="418"/>
      <c r="AD72" s="449" t="str">
        <f ca="1">IFERROR(ROUND(HLOOKUP(AD$68,INDIRECT("'Hidden Data'!"&amp;HLOOKUP(COLUMN(SKUS_TO_SIZES),NUMBER_TO_LETTER,2,FALSE)&amp;MATCH($D72,'Hidden Data'!$D:$D,0)&amp;":T"&amp;MATCH($D72&amp;"-sizecurve",'Hidden Data'!$D:$D,0)),2,FALSE),0)," ")</f>
        <v xml:space="preserve"> </v>
      </c>
      <c r="AE72" s="179"/>
      <c r="AF72" s="10"/>
      <c r="AG72" s="1">
        <f t="shared" si="111"/>
        <v>5</v>
      </c>
      <c r="AH72" s="288" t="str">
        <f t="shared" si="81"/>
        <v>RROJP01</v>
      </c>
      <c r="AI72" s="127">
        <f t="shared" si="82"/>
        <v>137</v>
      </c>
      <c r="AJ72" s="128" t="str">
        <f t="shared" si="83"/>
        <v/>
      </c>
      <c r="AK72" s="127">
        <f t="shared" si="84"/>
        <v>145</v>
      </c>
      <c r="AL72" s="128" t="str">
        <f t="shared" si="85"/>
        <v/>
      </c>
      <c r="AM72" s="127">
        <f t="shared" si="86"/>
        <v>153</v>
      </c>
      <c r="AN72" s="128" t="str">
        <f t="shared" si="87"/>
        <v/>
      </c>
      <c r="AO72" s="127">
        <f t="shared" si="88"/>
        <v>161</v>
      </c>
      <c r="AP72" s="128" t="str">
        <f t="shared" si="89"/>
        <v/>
      </c>
      <c r="AQ72" s="127">
        <f t="shared" si="90"/>
        <v>170</v>
      </c>
      <c r="AR72" s="128" t="str">
        <f t="shared" si="91"/>
        <v/>
      </c>
      <c r="AS72" s="127">
        <f t="shared" si="92"/>
        <v>179</v>
      </c>
      <c r="AT72" s="128" t="str">
        <f t="shared" si="93"/>
        <v/>
      </c>
      <c r="AU72" s="127" t="str">
        <f t="shared" si="94"/>
        <v/>
      </c>
      <c r="AV72" s="128" t="str">
        <f t="shared" si="95"/>
        <v/>
      </c>
      <c r="AW72" s="127" t="str">
        <f t="shared" si="96"/>
        <v/>
      </c>
      <c r="AX72" s="128" t="str">
        <f t="shared" si="97"/>
        <v/>
      </c>
      <c r="AY72" s="127" t="str">
        <f t="shared" si="98"/>
        <v/>
      </c>
      <c r="AZ72" s="128" t="str">
        <f t="shared" si="99"/>
        <v/>
      </c>
      <c r="BA72" s="127" t="str">
        <f t="shared" si="100"/>
        <v/>
      </c>
      <c r="BB72" s="128" t="str">
        <f t="shared" si="101"/>
        <v/>
      </c>
      <c r="BC72" s="127" t="str">
        <f t="shared" si="102"/>
        <v/>
      </c>
      <c r="BD72" s="128" t="str">
        <f t="shared" si="103"/>
        <v/>
      </c>
      <c r="BE72" s="127" t="str">
        <f t="shared" si="104"/>
        <v/>
      </c>
      <c r="BF72" s="128" t="str">
        <f t="shared" si="105"/>
        <v/>
      </c>
    </row>
    <row r="73" spans="1:59" s="8" customFormat="1" ht="12.75" hidden="1" customHeight="1">
      <c r="B73" s="9">
        <f>IF(SKI_CALCULATOR_TYPE=1,IF(ISBLANK(D73),MAX(B$68:B72),IF(AND(ISNUMBER(L73),L73&gt;0)=TRUE,MAX(B$68:B72)+1,MAX(B$68:B72))),0)</f>
        <v>0</v>
      </c>
      <c r="C73" s="12"/>
      <c r="D73" s="304" t="s">
        <v>307</v>
      </c>
      <c r="E73" s="525" t="str">
        <f t="shared" si="106"/>
        <v>FORZA 20° FG XPRESS XPRESS 10 GW B83 BLACK</v>
      </c>
      <c r="F73" s="526">
        <f t="shared" si="107"/>
        <v>288</v>
      </c>
      <c r="G73" s="526">
        <f t="shared" ca="1" si="108"/>
        <v>0</v>
      </c>
      <c r="H73" s="526">
        <f t="shared" si="109"/>
        <v>288</v>
      </c>
      <c r="I73" s="527">
        <v>0</v>
      </c>
      <c r="J73" s="528">
        <f t="shared" si="79"/>
        <v>0</v>
      </c>
      <c r="K73" s="529">
        <f t="shared" ca="1" si="110"/>
        <v>0</v>
      </c>
      <c r="L73" s="546">
        <f t="shared" ca="1" si="80"/>
        <v>0</v>
      </c>
      <c r="M73" s="562" t="str">
        <f ca="1">IFERROR(ROUND(HLOOKUP(M$68,INDIRECT("'Hidden Data'!"&amp;HLOOKUP(COLUMN(SKUS_TO_SIZES),NUMBER_TO_LETTER,2,FALSE)&amp;MATCH($D73,'Hidden Data'!$D:$D,0)&amp;":T"&amp;MATCH($D73&amp;"-sizecurve",'Hidden Data'!$D:$D,0)),2,FALSE),0)," ")</f>
        <v xml:space="preserve"> </v>
      </c>
      <c r="N73" s="405" t="str">
        <f ca="1">IFERROR(ROUND(HLOOKUP(N$68,INDIRECT("'Hidden Data'!"&amp;HLOOKUP(COLUMN(SKUS_TO_SIZES),NUMBER_TO_LETTER,2,FALSE)&amp;MATCH($D73,'Hidden Data'!$D:$D,0)&amp;":T"&amp;MATCH($D73&amp;"-sizecurve",'Hidden Data'!$D:$D,0)),2,FALSE),0)," ")</f>
        <v xml:space="preserve"> </v>
      </c>
      <c r="O73" s="405" t="str">
        <f ca="1">IFERROR(ROUND(HLOOKUP(O$68,INDIRECT("'Hidden Data'!"&amp;HLOOKUP(COLUMN(SKUS_TO_SIZES),NUMBER_TO_LETTER,2,FALSE)&amp;MATCH($D73,'Hidden Data'!$D:$D,0)&amp;":T"&amp;MATCH($D73&amp;"-sizecurve",'Hidden Data'!$D:$D,0)),2,FALSE),0)," ")</f>
        <v xml:space="preserve"> </v>
      </c>
      <c r="P73" s="405" t="str">
        <f ca="1">IFERROR(ROUND(HLOOKUP(P$68,INDIRECT("'Hidden Data'!"&amp;HLOOKUP(COLUMN(SKUS_TO_SIZES),NUMBER_TO_LETTER,2,FALSE)&amp;MATCH($D73,'Hidden Data'!$D:$D,0)&amp;":T"&amp;MATCH($D73&amp;"-sizecurve",'Hidden Data'!$D:$D,0)),2,FALSE),0)," ")</f>
        <v xml:space="preserve"> </v>
      </c>
      <c r="Q73" s="405" t="str">
        <f ca="1">IFERROR(ROUND(HLOOKUP(Q$68,INDIRECT("'Hidden Data'!"&amp;HLOOKUP(COLUMN(SKUS_TO_SIZES),NUMBER_TO_LETTER,2,FALSE)&amp;MATCH($D73,'Hidden Data'!$D:$D,0)&amp;":T"&amp;MATCH($D73&amp;"-sizecurve",'Hidden Data'!$D:$D,0)),2,FALSE),0)," ")</f>
        <v xml:space="preserve"> </v>
      </c>
      <c r="R73" s="405" t="str">
        <f ca="1">IFERROR(ROUND(HLOOKUP(R$68,INDIRECT("'Hidden Data'!"&amp;HLOOKUP(COLUMN(SKUS_TO_SIZES),NUMBER_TO_LETTER,2,FALSE)&amp;MATCH($D73,'Hidden Data'!$D:$D,0)&amp;":T"&amp;MATCH($D73&amp;"-sizecurve",'Hidden Data'!$D:$D,0)),2,FALSE),0)," ")</f>
        <v xml:space="preserve"> </v>
      </c>
      <c r="S73" s="405" t="str">
        <f ca="1">IFERROR(ROUND(HLOOKUP(S$68,INDIRECT("'Hidden Data'!"&amp;HLOOKUP(COLUMN(SKUS_TO_SIZES),NUMBER_TO_LETTER,2,FALSE)&amp;MATCH($D73,'Hidden Data'!$D:$D,0)&amp;":T"&amp;MATCH($D73&amp;"-sizecurve",'Hidden Data'!$D:$D,0)),2,FALSE),0)," ")</f>
        <v xml:space="preserve"> </v>
      </c>
      <c r="T73" s="418"/>
      <c r="U73" s="405" t="str">
        <f ca="1">IFERROR(ROUND(HLOOKUP(U$68,INDIRECT("'Hidden Data'!"&amp;HLOOKUP(COLUMN(SKUS_TO_SIZES),NUMBER_TO_LETTER,2,FALSE)&amp;MATCH($D73,'Hidden Data'!$D:$D,0)&amp;":T"&amp;MATCH($D73&amp;"-sizecurve",'Hidden Data'!$D:$D,0)),2,FALSE),0)," ")</f>
        <v xml:space="preserve"> </v>
      </c>
      <c r="V73" s="405" t="str">
        <f ca="1">IFERROR(ROUND(HLOOKUP(V$68,INDIRECT("'Hidden Data'!"&amp;HLOOKUP(COLUMN(SKUS_TO_SIZES),NUMBER_TO_LETTER,2,FALSE)&amp;MATCH($D73,'Hidden Data'!$D:$D,0)&amp;":T"&amp;MATCH($D73&amp;"-sizecurve",'Hidden Data'!$D:$D,0)),2,FALSE),0)," ")</f>
        <v xml:space="preserve"> </v>
      </c>
      <c r="W73" s="418"/>
      <c r="X73" s="405" t="str">
        <f ca="1">IFERROR(ROUND(HLOOKUP(X$68,INDIRECT("'Hidden Data'!"&amp;HLOOKUP(COLUMN(SKUS_TO_SIZES),NUMBER_TO_LETTER,2,FALSE)&amp;MATCH($D73,'Hidden Data'!$D:$D,0)&amp;":T"&amp;MATCH($D73&amp;"-sizecurve",'Hidden Data'!$D:$D,0)),2,FALSE),0)," ")</f>
        <v xml:space="preserve"> </v>
      </c>
      <c r="Y73" s="405" t="str">
        <f ca="1">IFERROR(ROUND(HLOOKUP(Y$68,INDIRECT("'Hidden Data'!"&amp;HLOOKUP(COLUMN(SKUS_TO_SIZES),NUMBER_TO_LETTER,2,FALSE)&amp;MATCH($D73,'Hidden Data'!$D:$D,0)&amp;":T"&amp;MATCH($D73&amp;"-sizecurve",'Hidden Data'!$D:$D,0)),2,FALSE),0)," ")</f>
        <v xml:space="preserve"> </v>
      </c>
      <c r="Z73" s="418"/>
      <c r="AA73" s="405" t="str">
        <f ca="1">IFERROR(ROUND(HLOOKUP(AA$68,INDIRECT("'Hidden Data'!"&amp;HLOOKUP(COLUMN(SKUS_TO_SIZES),NUMBER_TO_LETTER,2,FALSE)&amp;MATCH($D73,'Hidden Data'!$D:$D,0)&amp;":T"&amp;MATCH($D73&amp;"-sizecurve",'Hidden Data'!$D:$D,0)),2,FALSE),0)," ")</f>
        <v xml:space="preserve"> </v>
      </c>
      <c r="AB73" s="405" t="str">
        <f ca="1">IFERROR(ROUND(HLOOKUP(AB$68,INDIRECT("'Hidden Data'!"&amp;HLOOKUP(COLUMN(SKUS_TO_SIZES),NUMBER_TO_LETTER,2,FALSE)&amp;MATCH($D73,'Hidden Data'!$D:$D,0)&amp;":T"&amp;MATCH($D73&amp;"-sizecurve",'Hidden Data'!$D:$D,0)),2,FALSE),0)," ")</f>
        <v xml:space="preserve"> </v>
      </c>
      <c r="AC73" s="418"/>
      <c r="AD73" s="449" t="str">
        <f ca="1">IFERROR(ROUND(HLOOKUP(AD$68,INDIRECT("'Hidden Data'!"&amp;HLOOKUP(COLUMN(SKUS_TO_SIZES),NUMBER_TO_LETTER,2,FALSE)&amp;MATCH($D73,'Hidden Data'!$D:$D,0)&amp;":T"&amp;MATCH($D73&amp;"-sizecurve",'Hidden Data'!$D:$D,0)),2,FALSE),0)," ")</f>
        <v xml:space="preserve"> </v>
      </c>
      <c r="AE73" s="179"/>
      <c r="AF73" s="10"/>
      <c r="AG73" s="1">
        <f t="shared" si="111"/>
        <v>6</v>
      </c>
      <c r="AH73" s="288" t="str">
        <f t="shared" si="81"/>
        <v>RROPV01</v>
      </c>
      <c r="AI73" s="127">
        <f t="shared" si="82"/>
        <v>148</v>
      </c>
      <c r="AJ73" s="128" t="str">
        <f t="shared" si="83"/>
        <v/>
      </c>
      <c r="AK73" s="127">
        <f t="shared" si="84"/>
        <v>156</v>
      </c>
      <c r="AL73" s="128" t="str">
        <f t="shared" si="85"/>
        <v/>
      </c>
      <c r="AM73" s="127">
        <f t="shared" si="86"/>
        <v>164</v>
      </c>
      <c r="AN73" s="128" t="str">
        <f t="shared" si="87"/>
        <v/>
      </c>
      <c r="AO73" s="127">
        <f t="shared" si="88"/>
        <v>171</v>
      </c>
      <c r="AP73" s="128" t="str">
        <f t="shared" si="89"/>
        <v/>
      </c>
      <c r="AQ73" s="127">
        <f t="shared" si="90"/>
        <v>179</v>
      </c>
      <c r="AR73" s="128" t="str">
        <f t="shared" si="91"/>
        <v/>
      </c>
      <c r="AS73" s="127" t="str">
        <f t="shared" si="92"/>
        <v/>
      </c>
      <c r="AT73" s="128" t="str">
        <f t="shared" si="93"/>
        <v/>
      </c>
      <c r="AU73" s="127" t="str">
        <f t="shared" si="94"/>
        <v/>
      </c>
      <c r="AV73" s="128" t="str">
        <f t="shared" si="95"/>
        <v/>
      </c>
      <c r="AW73" s="127" t="str">
        <f t="shared" si="96"/>
        <v/>
      </c>
      <c r="AX73" s="128" t="str">
        <f t="shared" si="97"/>
        <v/>
      </c>
      <c r="AY73" s="127" t="str">
        <f t="shared" si="98"/>
        <v/>
      </c>
      <c r="AZ73" s="128" t="str">
        <f t="shared" si="99"/>
        <v/>
      </c>
      <c r="BA73" s="127" t="str">
        <f t="shared" si="100"/>
        <v/>
      </c>
      <c r="BB73" s="128" t="str">
        <f t="shared" si="101"/>
        <v/>
      </c>
      <c r="BC73" s="127" t="str">
        <f t="shared" si="102"/>
        <v/>
      </c>
      <c r="BD73" s="128" t="str">
        <f t="shared" si="103"/>
        <v/>
      </c>
      <c r="BE73" s="127" t="str">
        <f t="shared" si="104"/>
        <v/>
      </c>
      <c r="BF73" s="128" t="str">
        <f t="shared" si="105"/>
        <v/>
      </c>
    </row>
    <row r="74" spans="1:59" s="8" customFormat="1" ht="12.75" hidden="1" customHeight="1">
      <c r="B74" s="9">
        <f>IF(SKI_CALCULATOR_TYPE=1,IF(ISBLANK(D74),MAX(B$68:B73),IF(AND(ISNUMBER(L74),L74&gt;0)=TRUE,MAX(B$68:B73)+1,MAX(B$68:B73))),0)</f>
        <v>0</v>
      </c>
      <c r="C74" s="12"/>
      <c r="D74" s="304" t="s">
        <v>309</v>
      </c>
      <c r="E74" s="525" t="str">
        <f t="shared" si="77"/>
        <v>NOVA 2 XPRESS XPRESS W 10 GW B83 GRANIT WHITE</v>
      </c>
      <c r="F74" s="526">
        <f t="shared" si="78"/>
        <v>288</v>
      </c>
      <c r="G74" s="526">
        <f ca="1">SUM(L74)*F74</f>
        <v>0</v>
      </c>
      <c r="H74" s="526">
        <f>IF(SKI_DISCOUNT_TYPE=1,IF($J$7=0,F74,F74*(SUM(1-$J$7))),IF(I74=0,F74,F74*(SUM(1-I74))))</f>
        <v>288</v>
      </c>
      <c r="I74" s="527">
        <v>0</v>
      </c>
      <c r="J74" s="528">
        <f>$J$7</f>
        <v>0</v>
      </c>
      <c r="K74" s="529">
        <f t="shared" ca="1" si="110"/>
        <v>0</v>
      </c>
      <c r="L74" s="546">
        <f t="shared" ca="1" si="80"/>
        <v>0</v>
      </c>
      <c r="M74" s="562" t="str">
        <f ca="1">IFERROR(ROUND(HLOOKUP(M$68,INDIRECT("'Hidden Data'!"&amp;HLOOKUP(COLUMN(SKUS_TO_SIZES),NUMBER_TO_LETTER,2,FALSE)&amp;MATCH($D74,'Hidden Data'!$D:$D,0)&amp;":T"&amp;MATCH($D74&amp;"-sizecurve",'Hidden Data'!$D:$D,0)),2,FALSE),0)," ")</f>
        <v xml:space="preserve"> </v>
      </c>
      <c r="N74" s="405" t="str">
        <f ca="1">IFERROR(ROUND(HLOOKUP(N$68,INDIRECT("'Hidden Data'!"&amp;HLOOKUP(COLUMN(SKUS_TO_SIZES),NUMBER_TO_LETTER,2,FALSE)&amp;MATCH($D74,'Hidden Data'!$D:$D,0)&amp;":T"&amp;MATCH($D74&amp;"-sizecurve",'Hidden Data'!$D:$D,0)),2,FALSE),0)," ")</f>
        <v xml:space="preserve"> </v>
      </c>
      <c r="O74" s="405" t="str">
        <f ca="1">IFERROR(ROUND(HLOOKUP(O$68,INDIRECT("'Hidden Data'!"&amp;HLOOKUP(COLUMN(SKUS_TO_SIZES),NUMBER_TO_LETTER,2,FALSE)&amp;MATCH($D74,'Hidden Data'!$D:$D,0)&amp;":T"&amp;MATCH($D74&amp;"-sizecurve",'Hidden Data'!$D:$D,0)),2,FALSE),0)," ")</f>
        <v xml:space="preserve"> </v>
      </c>
      <c r="P74" s="418"/>
      <c r="Q74" s="405" t="str">
        <f ca="1">IFERROR(ROUND(HLOOKUP(Q$68,INDIRECT("'Hidden Data'!"&amp;HLOOKUP(COLUMN(SKUS_TO_SIZES),NUMBER_TO_LETTER,2,FALSE)&amp;MATCH($D74,'Hidden Data'!$D:$D,0)&amp;":T"&amp;MATCH($D74&amp;"-sizecurve",'Hidden Data'!$D:$D,0)),2,FALSE),0)," ")</f>
        <v xml:space="preserve"> </v>
      </c>
      <c r="R74" s="405" t="str">
        <f ca="1">IFERROR(ROUND(HLOOKUP(R$68,INDIRECT("'Hidden Data'!"&amp;HLOOKUP(COLUMN(SKUS_TO_SIZES),NUMBER_TO_LETTER,2,FALSE)&amp;MATCH($D74,'Hidden Data'!$D:$D,0)&amp;":T"&amp;MATCH($D74&amp;"-sizecurve",'Hidden Data'!$D:$D,0)),2,FALSE),0)," ")</f>
        <v xml:space="preserve"> </v>
      </c>
      <c r="S74" s="418"/>
      <c r="T74" s="405" t="str">
        <f ca="1">IFERROR(ROUND(HLOOKUP(T$68,INDIRECT("'Hidden Data'!"&amp;HLOOKUP(COLUMN(SKUS_TO_SIZES),NUMBER_TO_LETTER,2,FALSE)&amp;MATCH($D74,'Hidden Data'!$D:$D,0)&amp;":T"&amp;MATCH($D74&amp;"-sizecurve",'Hidden Data'!$D:$D,0)),2,FALSE),0)," ")</f>
        <v xml:space="preserve"> </v>
      </c>
      <c r="U74" s="405" t="str">
        <f ca="1">IFERROR(ROUND(HLOOKUP(U$68,INDIRECT("'Hidden Data'!"&amp;HLOOKUP(COLUMN(SKUS_TO_SIZES),NUMBER_TO_LETTER,2,FALSE)&amp;MATCH($D74,'Hidden Data'!$D:$D,0)&amp;":T"&amp;MATCH($D74&amp;"-sizecurve",'Hidden Data'!$D:$D,0)),2,FALSE),0)," ")</f>
        <v xml:space="preserve"> </v>
      </c>
      <c r="V74" s="418"/>
      <c r="W74" s="405" t="str">
        <f ca="1">IFERROR(ROUND(HLOOKUP(W$68,INDIRECT("'Hidden Data'!"&amp;HLOOKUP(COLUMN(SKUS_TO_SIZES),NUMBER_TO_LETTER,2,FALSE)&amp;MATCH($D74,'Hidden Data'!$D:$D,0)&amp;":T"&amp;MATCH($D74&amp;"-sizecurve",'Hidden Data'!$D:$D,0)),2,FALSE),0)," ")</f>
        <v xml:space="preserve"> </v>
      </c>
      <c r="X74" s="405" t="str">
        <f ca="1">IFERROR(ROUND(HLOOKUP(X$68,INDIRECT("'Hidden Data'!"&amp;HLOOKUP(COLUMN(SKUS_TO_SIZES),NUMBER_TO_LETTER,2,FALSE)&amp;MATCH($D74,'Hidden Data'!$D:$D,0)&amp;":T"&amp;MATCH($D74&amp;"-sizecurve",'Hidden Data'!$D:$D,0)),2,FALSE),0)," ")</f>
        <v xml:space="preserve"> </v>
      </c>
      <c r="Y74" s="418"/>
      <c r="Z74" s="405" t="str">
        <f ca="1">IFERROR(ROUND(HLOOKUP(Z$68,INDIRECT("'Hidden Data'!"&amp;HLOOKUP(COLUMN(SKUS_TO_SIZES),NUMBER_TO_LETTER,2,FALSE)&amp;MATCH($D74,'Hidden Data'!$D:$D,0)&amp;":T"&amp;MATCH($D74&amp;"-sizecurve",'Hidden Data'!$D:$D,0)),2,FALSE),0)," ")</f>
        <v xml:space="preserve"> </v>
      </c>
      <c r="AA74" s="405" t="str">
        <f ca="1">IFERROR(ROUND(HLOOKUP(AA$68,INDIRECT("'Hidden Data'!"&amp;HLOOKUP(COLUMN(SKUS_TO_SIZES),NUMBER_TO_LETTER,2,FALSE)&amp;MATCH($D74,'Hidden Data'!$D:$D,0)&amp;":T"&amp;MATCH($D74&amp;"-sizecurve",'Hidden Data'!$D:$D,0)),2,FALSE),0)," ")</f>
        <v xml:space="preserve"> </v>
      </c>
      <c r="AB74" s="405" t="str">
        <f ca="1">IFERROR(ROUND(HLOOKUP(AB$68,INDIRECT("'Hidden Data'!"&amp;HLOOKUP(COLUMN(SKUS_TO_SIZES),NUMBER_TO_LETTER,2,FALSE)&amp;MATCH($D74,'Hidden Data'!$D:$D,0)&amp;":T"&amp;MATCH($D74&amp;"-sizecurve",'Hidden Data'!$D:$D,0)),2,FALSE),0)," ")</f>
        <v xml:space="preserve"> </v>
      </c>
      <c r="AC74" s="405" t="str">
        <f ca="1">IFERROR(ROUND(HLOOKUP(AC$68,INDIRECT("'Hidden Data'!"&amp;HLOOKUP(COLUMN(SKUS_TO_SIZES),NUMBER_TO_LETTER,2,FALSE)&amp;MATCH($D74,'Hidden Data'!$D:$D,0)&amp;":T"&amp;MATCH($D74&amp;"-sizecurve",'Hidden Data'!$D:$D,0)),2,FALSE),0)," ")</f>
        <v xml:space="preserve"> </v>
      </c>
      <c r="AD74" s="449" t="str">
        <f ca="1">IFERROR(ROUND(HLOOKUP(AD$68,INDIRECT("'Hidden Data'!"&amp;HLOOKUP(COLUMN(SKUS_TO_SIZES),NUMBER_TO_LETTER,2,FALSE)&amp;MATCH($D74,'Hidden Data'!$D:$D,0)&amp;":T"&amp;MATCH($D74&amp;"-sizecurve",'Hidden Data'!$D:$D,0)),2,FALSE),0)," ")</f>
        <v xml:space="preserve"> </v>
      </c>
      <c r="AE74" s="179"/>
      <c r="AF74" s="10"/>
      <c r="AG74" s="1">
        <f t="shared" si="111"/>
        <v>7</v>
      </c>
      <c r="AH74" s="288" t="str">
        <f t="shared" si="81"/>
        <v>RRPPV02</v>
      </c>
      <c r="AI74" s="127">
        <f t="shared" si="82"/>
        <v>138</v>
      </c>
      <c r="AJ74" s="128" t="str">
        <f t="shared" si="83"/>
        <v/>
      </c>
      <c r="AK74" s="127">
        <f t="shared" si="84"/>
        <v>146</v>
      </c>
      <c r="AL74" s="128" t="str">
        <f t="shared" si="85"/>
        <v/>
      </c>
      <c r="AM74" s="127">
        <f t="shared" si="86"/>
        <v>154</v>
      </c>
      <c r="AN74" s="128" t="str">
        <f t="shared" si="87"/>
        <v/>
      </c>
      <c r="AO74" s="127">
        <f t="shared" si="88"/>
        <v>162</v>
      </c>
      <c r="AP74" s="128" t="str">
        <f t="shared" si="89"/>
        <v/>
      </c>
      <c r="AQ74" s="127" t="str">
        <f t="shared" si="90"/>
        <v/>
      </c>
      <c r="AR74" s="128" t="str">
        <f t="shared" si="91"/>
        <v/>
      </c>
      <c r="AS74" s="127" t="str">
        <f t="shared" si="92"/>
        <v/>
      </c>
      <c r="AT74" s="128" t="str">
        <f t="shared" si="93"/>
        <v/>
      </c>
      <c r="AU74" s="127" t="str">
        <f t="shared" si="94"/>
        <v/>
      </c>
      <c r="AV74" s="128" t="str">
        <f t="shared" si="95"/>
        <v/>
      </c>
      <c r="AW74" s="127" t="str">
        <f t="shared" si="96"/>
        <v/>
      </c>
      <c r="AX74" s="128" t="str">
        <f t="shared" si="97"/>
        <v/>
      </c>
      <c r="AY74" s="127" t="str">
        <f t="shared" si="98"/>
        <v/>
      </c>
      <c r="AZ74" s="128" t="str">
        <f t="shared" si="99"/>
        <v/>
      </c>
      <c r="BA74" s="127" t="str">
        <f t="shared" si="100"/>
        <v/>
      </c>
      <c r="BB74" s="128" t="str">
        <f t="shared" si="101"/>
        <v/>
      </c>
      <c r="BC74" s="127" t="str">
        <f t="shared" si="102"/>
        <v/>
      </c>
      <c r="BD74" s="128" t="str">
        <f t="shared" si="103"/>
        <v/>
      </c>
      <c r="BE74" s="127" t="str">
        <f t="shared" si="104"/>
        <v/>
      </c>
      <c r="BF74" s="128" t="str">
        <f t="shared" si="105"/>
        <v/>
      </c>
    </row>
    <row r="75" spans="1:59" s="8" customFormat="1" ht="12.75" hidden="1" customHeight="1">
      <c r="B75" s="9">
        <f>IF(SKI_CALCULATOR_TYPE=1,IF(ISBLANK(D75),MAX(B$68:B74),IF(AND(ISNUMBER(L75),L75&gt;0)=TRUE,MAX(B$68:B74)+1,MAX(B$68:B74))),0)</f>
        <v>0</v>
      </c>
      <c r="C75" s="12"/>
      <c r="D75" s="304" t="s">
        <v>311</v>
      </c>
      <c r="E75" s="525" t="str">
        <f t="shared" si="77"/>
        <v>EXPERIENCE 78 OPEN</v>
      </c>
      <c r="F75" s="526">
        <f t="shared" si="78"/>
        <v>224</v>
      </c>
      <c r="G75" s="526">
        <f ca="1">SUM(L75)*F75</f>
        <v>0</v>
      </c>
      <c r="H75" s="526">
        <f t="shared" ref="H75" si="115">IF(SKI_DISCOUNT_TYPE=1,IF($J$7=0,F75,F75*(SUM(1-$J$7))),IF(I75=0,F75,F75*(SUM(1-I75))))</f>
        <v>224</v>
      </c>
      <c r="I75" s="527">
        <v>0</v>
      </c>
      <c r="J75" s="528">
        <f>$J$7</f>
        <v>0</v>
      </c>
      <c r="K75" s="529">
        <f ca="1">SUM(M75:AD75)*H75</f>
        <v>0</v>
      </c>
      <c r="L75" s="546">
        <f t="shared" ca="1" si="80"/>
        <v>0</v>
      </c>
      <c r="M75" s="562" t="str">
        <f ca="1">IFERROR(ROUND(HLOOKUP(M$68,INDIRECT("'Hidden Data'!"&amp;HLOOKUP(COLUMN(SKUS_TO_SIZES),NUMBER_TO_LETTER,2,FALSE)&amp;MATCH($D75,'Hidden Data'!$D:$D,0)&amp;":T"&amp;MATCH($D75&amp;"-sizecurve",'Hidden Data'!$D:$D,0)),2,FALSE),0)," ")</f>
        <v xml:space="preserve"> </v>
      </c>
      <c r="N75" s="418"/>
      <c r="O75" s="405" t="str">
        <f ca="1">IFERROR(ROUND(HLOOKUP(O$68,INDIRECT("'Hidden Data'!"&amp;HLOOKUP(COLUMN(SKUS_TO_SIZES),NUMBER_TO_LETTER,2,FALSE)&amp;MATCH($D75,'Hidden Data'!$D:$D,0)&amp;":T"&amp;MATCH($D75&amp;"-sizecurve",'Hidden Data'!$D:$D,0)),2,FALSE),0)," ")</f>
        <v xml:space="preserve"> </v>
      </c>
      <c r="P75" s="405" t="str">
        <f ca="1">IFERROR(ROUND(HLOOKUP(P$68,INDIRECT("'Hidden Data'!"&amp;HLOOKUP(COLUMN(SKUS_TO_SIZES),NUMBER_TO_LETTER,2,FALSE)&amp;MATCH($D75,'Hidden Data'!$D:$D,0)&amp;":T"&amp;MATCH($D75&amp;"-sizecurve",'Hidden Data'!$D:$D,0)),2,FALSE),0)," ")</f>
        <v xml:space="preserve"> </v>
      </c>
      <c r="Q75" s="418"/>
      <c r="R75" s="405" t="str">
        <f ca="1">IFERROR(ROUND(HLOOKUP(R$68,INDIRECT("'Hidden Data'!"&amp;HLOOKUP(COLUMN(SKUS_TO_SIZES),NUMBER_TO_LETTER,2,FALSE)&amp;MATCH($D75,'Hidden Data'!$D:$D,0)&amp;":T"&amp;MATCH($D75&amp;"-sizecurve",'Hidden Data'!$D:$D,0)),2,FALSE),0)," ")</f>
        <v xml:space="preserve"> </v>
      </c>
      <c r="S75" s="405" t="str">
        <f ca="1">IFERROR(ROUND(HLOOKUP(S$68,INDIRECT("'Hidden Data'!"&amp;HLOOKUP(COLUMN(SKUS_TO_SIZES),NUMBER_TO_LETTER,2,FALSE)&amp;MATCH($D75,'Hidden Data'!$D:$D,0)&amp;":T"&amp;MATCH($D75&amp;"-sizecurve",'Hidden Data'!$D:$D,0)),2,FALSE),0)," ")</f>
        <v xml:space="preserve"> </v>
      </c>
      <c r="T75" s="418"/>
      <c r="U75" s="405" t="str">
        <f ca="1">IFERROR(ROUND(HLOOKUP(U$68,INDIRECT("'Hidden Data'!"&amp;HLOOKUP(COLUMN(SKUS_TO_SIZES),NUMBER_TO_LETTER,2,FALSE)&amp;MATCH($D75,'Hidden Data'!$D:$D,0)&amp;":T"&amp;MATCH($D75&amp;"-sizecurve",'Hidden Data'!$D:$D,0)),2,FALSE),0)," ")</f>
        <v xml:space="preserve"> </v>
      </c>
      <c r="V75" s="405" t="str">
        <f ca="1">IFERROR(ROUND(HLOOKUP(V$68,INDIRECT("'Hidden Data'!"&amp;HLOOKUP(COLUMN(SKUS_TO_SIZES),NUMBER_TO_LETTER,2,FALSE)&amp;MATCH($D75,'Hidden Data'!$D:$D,0)&amp;":T"&amp;MATCH($D75&amp;"-sizecurve",'Hidden Data'!$D:$D,0)),2,FALSE),0)," ")</f>
        <v xml:space="preserve"> </v>
      </c>
      <c r="W75" s="418"/>
      <c r="X75" s="405" t="str">
        <f ca="1">IFERROR(ROUND(HLOOKUP(X$68,INDIRECT("'Hidden Data'!"&amp;HLOOKUP(COLUMN(SKUS_TO_SIZES),NUMBER_TO_LETTER,2,FALSE)&amp;MATCH($D75,'Hidden Data'!$D:$D,0)&amp;":T"&amp;MATCH($D75&amp;"-sizecurve",'Hidden Data'!$D:$D,0)),2,FALSE),0)," ")</f>
        <v xml:space="preserve"> </v>
      </c>
      <c r="Y75" s="405" t="str">
        <f ca="1">IFERROR(ROUND(HLOOKUP(Y$68,INDIRECT("'Hidden Data'!"&amp;HLOOKUP(COLUMN(SKUS_TO_SIZES),NUMBER_TO_LETTER,2,FALSE)&amp;MATCH($D75,'Hidden Data'!$D:$D,0)&amp;":T"&amp;MATCH($D75&amp;"-sizecurve",'Hidden Data'!$D:$D,0)),2,FALSE),0)," ")</f>
        <v xml:space="preserve"> </v>
      </c>
      <c r="Z75" s="418"/>
      <c r="AA75" s="405" t="str">
        <f ca="1">IFERROR(ROUND(HLOOKUP(AA$68,INDIRECT("'Hidden Data'!"&amp;HLOOKUP(COLUMN(SKUS_TO_SIZES),NUMBER_TO_LETTER,2,FALSE)&amp;MATCH($D75,'Hidden Data'!$D:$D,0)&amp;":T"&amp;MATCH($D75&amp;"-sizecurve",'Hidden Data'!$D:$D,0)),2,FALSE),0)," ")</f>
        <v xml:space="preserve"> </v>
      </c>
      <c r="AB75" s="418"/>
      <c r="AC75" s="405" t="str">
        <f ca="1">IFERROR(ROUND(HLOOKUP(AC$68,INDIRECT("'Hidden Data'!"&amp;HLOOKUP(COLUMN(SKUS_TO_SIZES),NUMBER_TO_LETTER,2,FALSE)&amp;MATCH($D75,'Hidden Data'!$D:$D,0)&amp;":T"&amp;MATCH($D75&amp;"-sizecurve",'Hidden Data'!$D:$D,0)),2,FALSE),0)," ")</f>
        <v xml:space="preserve"> </v>
      </c>
      <c r="AD75" s="653"/>
      <c r="AE75" s="179"/>
      <c r="AF75" s="10"/>
      <c r="AG75" s="1">
        <f t="shared" si="111"/>
        <v>8</v>
      </c>
      <c r="AH75" s="288" t="str">
        <f t="shared" ref="AH75" si="116">D75</f>
        <v>RAOFZ09</v>
      </c>
      <c r="AI75" s="127">
        <f t="shared" si="82"/>
        <v>132</v>
      </c>
      <c r="AJ75" s="128" t="str">
        <f t="shared" si="83"/>
        <v/>
      </c>
      <c r="AK75" s="127">
        <f t="shared" si="84"/>
        <v>140</v>
      </c>
      <c r="AL75" s="128" t="str">
        <f t="shared" si="85"/>
        <v/>
      </c>
      <c r="AM75" s="127">
        <f t="shared" si="86"/>
        <v>148</v>
      </c>
      <c r="AN75" s="128" t="str">
        <f t="shared" si="87"/>
        <v/>
      </c>
      <c r="AO75" s="127">
        <f t="shared" si="88"/>
        <v>156</v>
      </c>
      <c r="AP75" s="128" t="str">
        <f t="shared" si="89"/>
        <v/>
      </c>
      <c r="AQ75" s="127">
        <f t="shared" si="90"/>
        <v>164</v>
      </c>
      <c r="AR75" s="128" t="str">
        <f t="shared" si="91"/>
        <v/>
      </c>
      <c r="AS75" s="127">
        <f t="shared" si="92"/>
        <v>172</v>
      </c>
      <c r="AT75" s="128" t="str">
        <f t="shared" si="93"/>
        <v/>
      </c>
      <c r="AU75" s="127">
        <f t="shared" si="94"/>
        <v>180</v>
      </c>
      <c r="AV75" s="128" t="str">
        <f t="shared" si="95"/>
        <v/>
      </c>
      <c r="AW75" s="127" t="str">
        <f t="shared" si="96"/>
        <v/>
      </c>
      <c r="AX75" s="128" t="str">
        <f t="shared" si="97"/>
        <v/>
      </c>
      <c r="AY75" s="127" t="str">
        <f t="shared" si="98"/>
        <v/>
      </c>
      <c r="AZ75" s="128" t="str">
        <f t="shared" si="99"/>
        <v/>
      </c>
      <c r="BA75" s="127" t="str">
        <f t="shared" si="100"/>
        <v/>
      </c>
      <c r="BB75" s="128" t="str">
        <f t="shared" si="101"/>
        <v/>
      </c>
      <c r="BC75" s="127" t="str">
        <f t="shared" si="102"/>
        <v/>
      </c>
      <c r="BD75" s="128" t="str">
        <f t="shared" si="103"/>
        <v/>
      </c>
      <c r="BE75" s="127" t="str">
        <f t="shared" si="104"/>
        <v/>
      </c>
      <c r="BF75" s="128" t="str">
        <f t="shared" si="105"/>
        <v/>
      </c>
    </row>
    <row r="76" spans="1:59" s="8" customFormat="1" ht="12.75" hidden="1" customHeight="1">
      <c r="B76" s="9">
        <f>IF(SKI_CALCULATOR_TYPE=1,IF(ISBLANK(D76),MAX(B$68:B75),IF(AND(ISNUMBER(L76),L76&gt;0)=TRUE,MAX(B$68:B75)+1,MAX(B$68:B75))),0)</f>
        <v>0</v>
      </c>
      <c r="C76" s="12"/>
      <c r="D76" s="450" t="s">
        <v>241</v>
      </c>
      <c r="E76" s="531" t="str">
        <f>VLOOKUP(D76,SKUS_TO_SIZES,2,FALSE)</f>
        <v>RNTL INV. BAR CODES (100 PAIR/PACK)</v>
      </c>
      <c r="F76" s="547">
        <f t="shared" si="78"/>
        <v>42</v>
      </c>
      <c r="G76" s="547">
        <f t="shared" ref="G76" ca="1" si="117">SUM(L76)*F76</f>
        <v>0</v>
      </c>
      <c r="H76" s="547">
        <f t="shared" ref="H76" si="118">IF(SKI_DISCOUNT_TYPE=1,IF($J$7=0,F76,F76*(SUM(1-$J$7))),IF(I76=0,F76,F76*(SUM(1-I76))))</f>
        <v>42</v>
      </c>
      <c r="I76" s="555">
        <v>0</v>
      </c>
      <c r="J76" s="556">
        <f t="shared" si="79"/>
        <v>0</v>
      </c>
      <c r="K76" s="529">
        <f ca="1">SUM(M76:AD76)*H76</f>
        <v>0</v>
      </c>
      <c r="L76" s="546">
        <f t="shared" ca="1" si="80"/>
        <v>0</v>
      </c>
      <c r="M76" s="770"/>
      <c r="N76" s="466" t="str">
        <f ca="1">IFERROR(ROUND(HLOOKUP(N$68,INDIRECT("'Hidden Data'!"&amp;HLOOKUP(COLUMN(SKUS_TO_SIZES),NUMBER_TO_LETTER,2,FALSE)&amp;MATCH($D76,'Hidden Data'!$D:$D,0)&amp;":T"&amp;MATCH($D76&amp;"-sizecurve",'Hidden Data'!$D:$D,0)),2,FALSE),0)," ")</f>
        <v xml:space="preserve"> </v>
      </c>
      <c r="O76" s="466" t="str">
        <f ca="1">IFERROR(ROUND(HLOOKUP(O$68,INDIRECT("'Hidden Data'!"&amp;HLOOKUP(COLUMN(SKUS_TO_SIZES),NUMBER_TO_LETTER,2,FALSE)&amp;MATCH($D76,'Hidden Data'!$D:$D,0)&amp;":T"&amp;MATCH($D76&amp;"-sizecurve",'Hidden Data'!$D:$D,0)),2,FALSE),0)," ")</f>
        <v xml:space="preserve"> </v>
      </c>
      <c r="P76" s="466" t="str">
        <f ca="1">IFERROR(ROUND(HLOOKUP(P$68,INDIRECT("'Hidden Data'!"&amp;HLOOKUP(COLUMN(SKUS_TO_SIZES),NUMBER_TO_LETTER,2,FALSE)&amp;MATCH($D76,'Hidden Data'!$D:$D,0)&amp;":T"&amp;MATCH($D76&amp;"-sizecurve",'Hidden Data'!$D:$D,0)),2,FALSE),0)," ")</f>
        <v xml:space="preserve"> </v>
      </c>
      <c r="Q76" s="466" t="str">
        <f ca="1">IFERROR(ROUND(HLOOKUP(Q$68,INDIRECT("'Hidden Data'!"&amp;HLOOKUP(COLUMN(SKUS_TO_SIZES),NUMBER_TO_LETTER,2,FALSE)&amp;MATCH($D76,'Hidden Data'!$D:$D,0)&amp;":T"&amp;MATCH($D76&amp;"-sizecurve",'Hidden Data'!$D:$D,0)),2,FALSE),0)," ")</f>
        <v xml:space="preserve"> </v>
      </c>
      <c r="R76" s="466" t="str">
        <f ca="1">IFERROR(ROUND(HLOOKUP(R$68,INDIRECT("'Hidden Data'!"&amp;HLOOKUP(COLUMN(SKUS_TO_SIZES),NUMBER_TO_LETTER,2,FALSE)&amp;MATCH($D76,'Hidden Data'!$D:$D,0)&amp;":T"&amp;MATCH($D76&amp;"-sizecurve",'Hidden Data'!$D:$D,0)),2,FALSE),0)," ")</f>
        <v xml:space="preserve"> </v>
      </c>
      <c r="S76" s="466" t="str">
        <f ca="1">IFERROR(ROUND(HLOOKUP(S$68,INDIRECT("'Hidden Data'!"&amp;HLOOKUP(COLUMN(SKUS_TO_SIZES),NUMBER_TO_LETTER,2,FALSE)&amp;MATCH($D76,'Hidden Data'!$D:$D,0)&amp;":T"&amp;MATCH($D76&amp;"-sizecurve",'Hidden Data'!$D:$D,0)),2,FALSE),0)," ")</f>
        <v xml:space="preserve"> </v>
      </c>
      <c r="T76" s="466" t="str">
        <f ca="1">IFERROR(ROUND(HLOOKUP(T$68,INDIRECT("'Hidden Data'!"&amp;HLOOKUP(COLUMN(SKUS_TO_SIZES),NUMBER_TO_LETTER,2,FALSE)&amp;MATCH($D76,'Hidden Data'!$D:$D,0)&amp;":T"&amp;MATCH($D76&amp;"-sizecurve",'Hidden Data'!$D:$D,0)),2,FALSE),0)," ")</f>
        <v xml:space="preserve"> </v>
      </c>
      <c r="U76" s="466" t="str">
        <f ca="1">IFERROR(ROUND(HLOOKUP(U$68,INDIRECT("'Hidden Data'!"&amp;HLOOKUP(COLUMN(SKUS_TO_SIZES),NUMBER_TO_LETTER,2,FALSE)&amp;MATCH($D76,'Hidden Data'!$D:$D,0)&amp;":T"&amp;MATCH($D76&amp;"-sizecurve",'Hidden Data'!$D:$D,0)),2,FALSE),0)," ")</f>
        <v xml:space="preserve"> </v>
      </c>
      <c r="V76" s="466" t="str">
        <f ca="1">IFERROR(ROUND(HLOOKUP(V$68,INDIRECT("'Hidden Data'!"&amp;HLOOKUP(COLUMN(SKUS_TO_SIZES),NUMBER_TO_LETTER,2,FALSE)&amp;MATCH($D76,'Hidden Data'!$D:$D,0)&amp;":T"&amp;MATCH($D76&amp;"-sizecurve",'Hidden Data'!$D:$D,0)),2,FALSE),0)," ")</f>
        <v xml:space="preserve"> </v>
      </c>
      <c r="W76" s="466" t="str">
        <f ca="1">IFERROR(ROUND(HLOOKUP(W$68,INDIRECT("'Hidden Data'!"&amp;HLOOKUP(COLUMN(SKUS_TO_SIZES),NUMBER_TO_LETTER,2,FALSE)&amp;MATCH($D76,'Hidden Data'!$D:$D,0)&amp;":T"&amp;MATCH($D76&amp;"-sizecurve",'Hidden Data'!$D:$D,0)),2,FALSE),0)," ")</f>
        <v xml:space="preserve"> </v>
      </c>
      <c r="X76" s="466" t="str">
        <f ca="1">IFERROR(ROUND(HLOOKUP(X$68,INDIRECT("'Hidden Data'!"&amp;HLOOKUP(COLUMN(SKUS_TO_SIZES),NUMBER_TO_LETTER,2,FALSE)&amp;MATCH($D76,'Hidden Data'!$D:$D,0)&amp;":T"&amp;MATCH($D76&amp;"-sizecurve",'Hidden Data'!$D:$D,0)),2,FALSE),0)," ")</f>
        <v xml:space="preserve"> </v>
      </c>
      <c r="Y76" s="466" t="str">
        <f ca="1">IFERROR(ROUND(HLOOKUP(Y$68,INDIRECT("'Hidden Data'!"&amp;HLOOKUP(COLUMN(SKUS_TO_SIZES),NUMBER_TO_LETTER,2,FALSE)&amp;MATCH($D76,'Hidden Data'!$D:$D,0)&amp;":T"&amp;MATCH($D76&amp;"-sizecurve",'Hidden Data'!$D:$D,0)),2,FALSE),0)," ")</f>
        <v xml:space="preserve"> </v>
      </c>
      <c r="Z76" s="466" t="str">
        <f ca="1">IFERROR(ROUND(HLOOKUP(Z$68,INDIRECT("'Hidden Data'!"&amp;HLOOKUP(COLUMN(SKUS_TO_SIZES),NUMBER_TO_LETTER,2,FALSE)&amp;MATCH($D76,'Hidden Data'!$D:$D,0)&amp;":T"&amp;MATCH($D76&amp;"-sizecurve",'Hidden Data'!$D:$D,0)),2,FALSE),0)," ")</f>
        <v xml:space="preserve"> </v>
      </c>
      <c r="AA76" s="466" t="str">
        <f ca="1">IFERROR(ROUND(HLOOKUP(AA$68,INDIRECT("'Hidden Data'!"&amp;HLOOKUP(COLUMN(SKUS_TO_SIZES),NUMBER_TO_LETTER,2,FALSE)&amp;MATCH($D76,'Hidden Data'!$D:$D,0)&amp;":T"&amp;MATCH($D76&amp;"-sizecurve",'Hidden Data'!$D:$D,0)),2,FALSE),0)," ")</f>
        <v xml:space="preserve"> </v>
      </c>
      <c r="AB76" s="466" t="str">
        <f ca="1">IFERROR(ROUND(HLOOKUP(AB$68,INDIRECT("'Hidden Data'!"&amp;HLOOKUP(COLUMN(SKUS_TO_SIZES),NUMBER_TO_LETTER,2,FALSE)&amp;MATCH($D76,'Hidden Data'!$D:$D,0)&amp;":T"&amp;MATCH($D76&amp;"-sizecurve",'Hidden Data'!$D:$D,0)),2,FALSE),0)," ")</f>
        <v xml:space="preserve"> </v>
      </c>
      <c r="AC76" s="466" t="str">
        <f ca="1">IFERROR(ROUND(HLOOKUP(AC$68,INDIRECT("'Hidden Data'!"&amp;HLOOKUP(COLUMN(SKUS_TO_SIZES),NUMBER_TO_LETTER,2,FALSE)&amp;MATCH($D76,'Hidden Data'!$D:$D,0)&amp;":T"&amp;MATCH($D76&amp;"-sizecurve",'Hidden Data'!$D:$D,0)),2,FALSE),0)," ")</f>
        <v xml:space="preserve"> </v>
      </c>
      <c r="AD76" s="449" t="str">
        <f ca="1">IFERROR(ROUND(HLOOKUP(AD$68,INDIRECT("'Hidden Data'!"&amp;HLOOKUP(COLUMN(SKUS_TO_SIZES),NUMBER_TO_LETTER,2,FALSE)&amp;MATCH($D76,'Hidden Data'!$D:$D,0)&amp;":T"&amp;MATCH($D76&amp;"-sizecurve",'Hidden Data'!$D:$D,0)),2,FALSE),0)," ")</f>
        <v xml:space="preserve"> </v>
      </c>
      <c r="AE76" s="179"/>
      <c r="AF76" s="10"/>
      <c r="AG76" s="1">
        <f t="shared" si="111"/>
        <v>9</v>
      </c>
      <c r="AH76" s="288" t="str">
        <f t="shared" si="81"/>
        <v>RVFN001</v>
      </c>
      <c r="AI76" s="127" t="str">
        <f t="shared" si="82"/>
        <v>PACK</v>
      </c>
      <c r="AJ76" s="128" t="str">
        <f t="shared" si="83"/>
        <v/>
      </c>
      <c r="AK76" s="127" t="str">
        <f t="shared" si="84"/>
        <v/>
      </c>
      <c r="AL76" s="128" t="str">
        <f t="shared" si="85"/>
        <v/>
      </c>
      <c r="AM76" s="127" t="str">
        <f t="shared" si="86"/>
        <v/>
      </c>
      <c r="AN76" s="128" t="str">
        <f t="shared" si="87"/>
        <v/>
      </c>
      <c r="AO76" s="127" t="str">
        <f t="shared" si="88"/>
        <v/>
      </c>
      <c r="AP76" s="128" t="str">
        <f t="shared" si="89"/>
        <v/>
      </c>
      <c r="AQ76" s="127" t="str">
        <f t="shared" si="90"/>
        <v/>
      </c>
      <c r="AR76" s="128" t="str">
        <f t="shared" si="91"/>
        <v/>
      </c>
      <c r="AS76" s="127" t="str">
        <f t="shared" si="92"/>
        <v/>
      </c>
      <c r="AT76" s="128" t="str">
        <f t="shared" si="93"/>
        <v/>
      </c>
      <c r="AU76" s="127" t="str">
        <f t="shared" si="94"/>
        <v/>
      </c>
      <c r="AV76" s="128" t="str">
        <f t="shared" si="95"/>
        <v/>
      </c>
      <c r="AW76" s="127" t="str">
        <f t="shared" si="96"/>
        <v/>
      </c>
      <c r="AX76" s="128" t="str">
        <f t="shared" si="97"/>
        <v/>
      </c>
      <c r="AY76" s="127" t="str">
        <f t="shared" si="98"/>
        <v/>
      </c>
      <c r="AZ76" s="128" t="str">
        <f t="shared" si="99"/>
        <v/>
      </c>
      <c r="BA76" s="127" t="str">
        <f t="shared" si="100"/>
        <v/>
      </c>
      <c r="BB76" s="128" t="str">
        <f t="shared" si="101"/>
        <v/>
      </c>
      <c r="BC76" s="127" t="str">
        <f t="shared" si="102"/>
        <v/>
      </c>
      <c r="BD76" s="128" t="str">
        <f t="shared" si="103"/>
        <v/>
      </c>
      <c r="BE76" s="127" t="str">
        <f t="shared" si="104"/>
        <v/>
      </c>
      <c r="BF76" s="128" t="str">
        <f t="shared" si="105"/>
        <v/>
      </c>
    </row>
    <row r="77" spans="1:59" s="6" customFormat="1" ht="12.75" hidden="1" customHeight="1">
      <c r="A77" s="8"/>
      <c r="B77" s="9">
        <f>IF(SKI_CALCULATOR_TYPE=1,IF(ISBLANK(D77),MAX(B$68:B76),IF(AND(ISNUMBER(L77),L77&gt;0)=TRUE,MAX(B$68:B76)+1,MAX(B$68:B76))),0)</f>
        <v>0</v>
      </c>
      <c r="C77" s="13"/>
      <c r="D77" s="178"/>
      <c r="E77" s="209"/>
      <c r="F77" s="214"/>
      <c r="G77" s="457">
        <f ca="1">SUM(G69:G76)</f>
        <v>0</v>
      </c>
      <c r="H77" s="214"/>
      <c r="I77" s="214"/>
      <c r="J77" s="214"/>
      <c r="K77" s="663">
        <f ca="1">SUM(K69:K76)</f>
        <v>0</v>
      </c>
      <c r="L77" s="658">
        <f t="shared" ca="1" si="80"/>
        <v>0</v>
      </c>
      <c r="M77" s="442">
        <f t="shared" ref="M77:AD77" ca="1" si="119">SUM(M69:M76)</f>
        <v>0</v>
      </c>
      <c r="N77" s="648">
        <f t="shared" ca="1" si="119"/>
        <v>0</v>
      </c>
      <c r="O77" s="648">
        <f t="shared" ca="1" si="119"/>
        <v>0</v>
      </c>
      <c r="P77" s="648">
        <f t="shared" ca="1" si="119"/>
        <v>0</v>
      </c>
      <c r="Q77" s="648">
        <f t="shared" ca="1" si="119"/>
        <v>0</v>
      </c>
      <c r="R77" s="648">
        <f t="shared" ca="1" si="119"/>
        <v>0</v>
      </c>
      <c r="S77" s="648">
        <f t="shared" ca="1" si="119"/>
        <v>0</v>
      </c>
      <c r="T77" s="648">
        <f t="shared" ca="1" si="119"/>
        <v>0</v>
      </c>
      <c r="U77" s="648">
        <f t="shared" ca="1" si="119"/>
        <v>0</v>
      </c>
      <c r="V77" s="648">
        <f t="shared" ca="1" si="119"/>
        <v>0</v>
      </c>
      <c r="W77" s="648">
        <f t="shared" ca="1" si="119"/>
        <v>0</v>
      </c>
      <c r="X77" s="648">
        <f t="shared" ca="1" si="119"/>
        <v>0</v>
      </c>
      <c r="Y77" s="648">
        <f t="shared" ca="1" si="119"/>
        <v>0</v>
      </c>
      <c r="Z77" s="648">
        <f t="shared" ca="1" si="119"/>
        <v>0</v>
      </c>
      <c r="AA77" s="648">
        <f t="shared" ca="1" si="119"/>
        <v>0</v>
      </c>
      <c r="AB77" s="648">
        <f t="shared" ca="1" si="119"/>
        <v>0</v>
      </c>
      <c r="AC77" s="648">
        <f t="shared" ca="1" si="119"/>
        <v>0</v>
      </c>
      <c r="AD77" s="648">
        <f t="shared" ca="1" si="119"/>
        <v>0</v>
      </c>
      <c r="AE77" s="179"/>
      <c r="AF77" s="10"/>
      <c r="AG77" s="1"/>
      <c r="AJ77" s="45"/>
      <c r="AL77" s="45"/>
      <c r="AN77" s="45"/>
      <c r="AP77" s="45"/>
      <c r="AR77" s="45"/>
      <c r="AT77" s="45"/>
      <c r="AV77" s="45"/>
      <c r="AX77" s="45"/>
      <c r="AZ77" s="45"/>
      <c r="BB77" s="45"/>
      <c r="BD77" s="45"/>
      <c r="BF77" s="45"/>
    </row>
    <row r="78" spans="1:59" s="6" customFormat="1" ht="12.75" hidden="1" customHeight="1">
      <c r="A78" s="8"/>
      <c r="B78" s="9">
        <f>IF(SKI_CALCULATOR_TYPE=1,IF(ISBLANK(D78),MAX(B$68:B77),IF(AND(ISNUMBER(L78),L78&gt;0)=TRUE,MAX(B$68:B77)+1,MAX(B$68:B77))),0)</f>
        <v>0</v>
      </c>
      <c r="C78" s="13"/>
      <c r="D78" s="955" t="s">
        <v>108</v>
      </c>
      <c r="E78" s="956"/>
      <c r="F78" s="291"/>
      <c r="G78" s="291"/>
      <c r="H78" s="291"/>
      <c r="I78" s="291"/>
      <c r="J78" s="291"/>
      <c r="K78" s="291"/>
      <c r="L78" s="291"/>
      <c r="M78" s="291"/>
      <c r="N78" s="291"/>
      <c r="O78" s="291"/>
      <c r="P78" s="291"/>
      <c r="Q78" s="291"/>
      <c r="R78" s="291"/>
      <c r="S78" s="291"/>
      <c r="T78" s="291"/>
      <c r="U78" s="291"/>
      <c r="V78" s="291"/>
      <c r="W78" s="291"/>
      <c r="X78" s="291"/>
      <c r="Y78" s="291"/>
      <c r="Z78" s="291"/>
      <c r="AA78" s="291"/>
      <c r="AB78" s="291"/>
      <c r="AC78" s="291"/>
      <c r="AD78" s="291"/>
      <c r="AE78" s="291"/>
      <c r="AF78" s="10"/>
      <c r="AG78" s="8"/>
      <c r="AJ78" s="45"/>
      <c r="AL78" s="45"/>
      <c r="AN78" s="45"/>
      <c r="AP78" s="45"/>
      <c r="AR78" s="45"/>
      <c r="AT78" s="45"/>
      <c r="AV78" s="45"/>
      <c r="AX78" s="45"/>
      <c r="AZ78" s="45"/>
      <c r="BB78" s="45"/>
      <c r="BD78" s="45"/>
      <c r="BF78" s="45"/>
    </row>
    <row r="79" spans="1:59" s="8" customFormat="1" ht="12.75" hidden="1" customHeight="1" thickBot="1">
      <c r="B79" s="9">
        <f>IF(SKI_CALCULATOR_TYPE=1,IF(ISBLANK(D79),MAX(B$68:B78),IF(AND(ISNUMBER(L79),L79&gt;0)=TRUE,MAX(B$68:B78)+1,MAX(B$68:B78))),0)</f>
        <v>0</v>
      </c>
      <c r="C79" s="12"/>
      <c r="D79" s="295" t="s">
        <v>0</v>
      </c>
      <c r="E79" s="313" t="s">
        <v>1</v>
      </c>
      <c r="F79" s="305" t="s">
        <v>43</v>
      </c>
      <c r="G79" s="305" t="s">
        <v>19</v>
      </c>
      <c r="H79" s="327" t="s">
        <v>102</v>
      </c>
      <c r="I79" s="331" t="s">
        <v>21</v>
      </c>
      <c r="J79" s="311" t="s">
        <v>21</v>
      </c>
      <c r="K79" s="317" t="s">
        <v>6</v>
      </c>
      <c r="L79" s="302" t="s">
        <v>5</v>
      </c>
      <c r="M79" s="300">
        <v>22.5</v>
      </c>
      <c r="N79" s="301">
        <v>23.5</v>
      </c>
      <c r="O79" s="301">
        <v>24.5</v>
      </c>
      <c r="P79" s="301">
        <v>25.5</v>
      </c>
      <c r="Q79" s="301">
        <v>26.5</v>
      </c>
      <c r="R79" s="301">
        <v>27.5</v>
      </c>
      <c r="S79" s="301">
        <v>28.5</v>
      </c>
      <c r="T79" s="301">
        <v>29.5</v>
      </c>
      <c r="U79" s="301">
        <v>30.5</v>
      </c>
      <c r="V79" s="301">
        <v>31.5</v>
      </c>
      <c r="W79" s="301">
        <v>32.5</v>
      </c>
      <c r="X79" s="303">
        <v>33.5</v>
      </c>
      <c r="Y79" s="177"/>
      <c r="Z79" s="177"/>
      <c r="AA79" s="177"/>
      <c r="AB79" s="177"/>
      <c r="AC79" s="177"/>
      <c r="AD79" s="177"/>
      <c r="AE79" s="177"/>
      <c r="AF79" s="10"/>
      <c r="AG79" s="1"/>
      <c r="AI79" s="35"/>
      <c r="AJ79" s="47"/>
      <c r="AK79" s="35"/>
      <c r="AL79" s="47"/>
      <c r="AM79" s="35"/>
      <c r="AN79" s="47"/>
      <c r="AO79" s="35"/>
      <c r="AP79" s="47"/>
      <c r="AQ79" s="35"/>
      <c r="AR79" s="47"/>
      <c r="AS79" s="35"/>
      <c r="AT79" s="47"/>
      <c r="AU79" s="35"/>
      <c r="AV79" s="47"/>
      <c r="AW79" s="35"/>
      <c r="AX79" s="47"/>
      <c r="AY79" s="35"/>
      <c r="AZ79" s="47"/>
      <c r="BA79" s="35"/>
      <c r="BB79" s="47"/>
      <c r="BC79" s="35"/>
      <c r="BD79" s="47"/>
      <c r="BE79" s="35"/>
      <c r="BF79" s="47"/>
    </row>
    <row r="80" spans="1:59" s="8" customFormat="1" ht="12.75" hidden="1" customHeight="1" thickTop="1">
      <c r="A80" s="1"/>
      <c r="B80" s="9">
        <f>IF(SKI_CALCULATOR_TYPE=1,IF(ISBLANK(D80),MAX(B$68:B79),IF(AND(ISNUMBER(L80),L80&gt;0)=TRUE,MAX(B$68:B79)+1,MAX(B$68:B79))),0)</f>
        <v>0</v>
      </c>
      <c r="C80" s="12"/>
      <c r="D80" s="464" t="s">
        <v>264</v>
      </c>
      <c r="E80" s="519" t="str">
        <f t="shared" ref="E80:E84" si="120">VLOOKUP(D80,SKUS_TO_SIZES,2,FALSE)</f>
        <v>SPEED RENTAL HV+ GW - BLACK</v>
      </c>
      <c r="F80" s="520">
        <f t="shared" ref="F80" si="121">VLOOKUP(D80,SKUS_TO_SIZES,3,FALSE)</f>
        <v>200</v>
      </c>
      <c r="G80" s="520">
        <f t="shared" ref="G80" ca="1" si="122">SUM(L80)*F80</f>
        <v>0</v>
      </c>
      <c r="H80" s="520">
        <f t="shared" ref="H80" si="123">IF(SKI_DISCOUNT_TYPE=1,IF($J$7=0,F80,F80*(SUM(1-$J$7))),IF(I80=0,F80,F80*(SUM(1-I80))))</f>
        <v>200</v>
      </c>
      <c r="I80" s="521">
        <v>0</v>
      </c>
      <c r="J80" s="522">
        <f t="shared" ref="J80:J84" si="124">$J$7</f>
        <v>0</v>
      </c>
      <c r="K80" s="523">
        <f ca="1">SUM(M80:AC80)*H80</f>
        <v>0</v>
      </c>
      <c r="L80" s="551">
        <f ca="1">SUM(M80:AD80)</f>
        <v>0</v>
      </c>
      <c r="M80" s="548" t="str">
        <f ca="1">IFERROR(ROUND(HLOOKUP(M$79,INDIRECT("'Hidden Data'!"&amp;HLOOKUP(COLUMN(SKUS_TO_SIZES),NUMBER_TO_LETTER,2,FALSE)&amp;MATCH($D80,'Hidden Data'!$D:$D,0)&amp;":T"&amp;MATCH($D80&amp;"-sizecurve",'Hidden Data'!$D:$D,0)),2,FALSE),0)," ")</f>
        <v xml:space="preserve"> </v>
      </c>
      <c r="N80" s="461" t="str">
        <f ca="1">IFERROR(ROUND(HLOOKUP(N$79,INDIRECT("'Hidden Data'!"&amp;HLOOKUP(COLUMN(SKUS_TO_SIZES),NUMBER_TO_LETTER,2,FALSE)&amp;MATCH($D80,'Hidden Data'!$D:$D,0)&amp;":T"&amp;MATCH($D80&amp;"-sizecurve",'Hidden Data'!$D:$D,0)),2,FALSE),0)," ")</f>
        <v xml:space="preserve"> </v>
      </c>
      <c r="O80" s="418"/>
      <c r="P80" s="418"/>
      <c r="Q80" s="418"/>
      <c r="R80" s="418"/>
      <c r="S80" s="418"/>
      <c r="T80" s="418"/>
      <c r="U80" s="418"/>
      <c r="V80" s="418"/>
      <c r="W80" s="418"/>
      <c r="X80" s="509"/>
      <c r="Y80" s="179"/>
      <c r="Z80" s="179"/>
      <c r="AA80" s="179"/>
      <c r="AB80" s="179"/>
      <c r="AC80" s="179"/>
      <c r="AD80" s="179"/>
      <c r="AE80" s="179"/>
      <c r="AF80" s="10"/>
      <c r="AG80" s="1">
        <v>2</v>
      </c>
      <c r="AH80" s="288" t="str">
        <f>D80</f>
        <v>RBO8420</v>
      </c>
      <c r="AI80" s="468">
        <f t="shared" ref="AI80:AW84" si="125">IF(VLOOKUP($AH80,SKUS_TO_SIZES,AI$11,FALSE)=0,"",VLOOKUP($AH80,SKUS_TO_SIZES,AI$11,FALSE))</f>
        <v>24.5</v>
      </c>
      <c r="AJ80" s="128" t="str">
        <f>IFERROR(IF(HLOOKUP(AI80,$M$79:$AC$84,$AG80,FALSE)=0,"",HLOOKUP(AI80,$M$79:$AC$84,$AG80,FALSE)),"")</f>
        <v/>
      </c>
      <c r="AK80" s="468">
        <f t="shared" si="125"/>
        <v>25.5</v>
      </c>
      <c r="AL80" s="128" t="str">
        <f>IFERROR(IF(HLOOKUP(AK80,$M$79:$AC$84,$AG80,FALSE)=0,"",HLOOKUP(AK80,$M$79:$AC$84,$AG80,FALSE)),"")</f>
        <v/>
      </c>
      <c r="AM80" s="468">
        <f t="shared" si="125"/>
        <v>26.5</v>
      </c>
      <c r="AN80" s="128" t="str">
        <f>IFERROR(IF(HLOOKUP(AM80,$M$79:$AC$84,$AG80,FALSE)=0,"",HLOOKUP(AM80,$M$79:$AC$84,$AG80,FALSE)),"")</f>
        <v/>
      </c>
      <c r="AO80" s="468">
        <f t="shared" si="125"/>
        <v>27.5</v>
      </c>
      <c r="AP80" s="128" t="str">
        <f>IFERROR(IF(HLOOKUP(AO80,$M$79:$AC$84,$AG80,FALSE)=0,"",HLOOKUP(AO80,$M$79:$AC$84,$AG80,FALSE)),"")</f>
        <v/>
      </c>
      <c r="AQ80" s="468">
        <f t="shared" si="125"/>
        <v>28.5</v>
      </c>
      <c r="AR80" s="128" t="str">
        <f>IFERROR(IF(HLOOKUP(AQ80,$M$79:$AC$84,$AG80,FALSE)=0,"",HLOOKUP(AQ80,$M$79:$AC$84,$AG80,FALSE)),"")</f>
        <v/>
      </c>
      <c r="AS80" s="468">
        <f t="shared" si="125"/>
        <v>29.5</v>
      </c>
      <c r="AT80" s="128" t="str">
        <f>IFERROR(IF(HLOOKUP(AS80,$M$79:$AC$84,$AG80,FALSE)=0,"",HLOOKUP(AS80,$M$79:$AC$84,$AG80,FALSE)),"")</f>
        <v/>
      </c>
      <c r="AU80" s="468">
        <f t="shared" si="125"/>
        <v>30.5</v>
      </c>
      <c r="AV80" s="128" t="str">
        <f>IFERROR(IF(HLOOKUP(AU80,$M$79:$AC$84,$AG80,FALSE)=0,"",HLOOKUP(AU80,$M$79:$AC$84,$AG80,FALSE)),"")</f>
        <v/>
      </c>
      <c r="AW80" s="468">
        <f t="shared" si="125"/>
        <v>31.5</v>
      </c>
      <c r="AX80" s="128" t="str">
        <f>IFERROR(IF(HLOOKUP(AW80,$M$79:$AC$84,$AG80,FALSE)=0,"",HLOOKUP(AW80,$M$79:$AC$84,$AG80,FALSE)),"")</f>
        <v/>
      </c>
      <c r="AY80" s="468">
        <f t="shared" ref="AY80:BE84" si="126">IF(VLOOKUP($AH80,SKUS_TO_SIZES,AY$11,FALSE)=0,"",VLOOKUP($AH80,SKUS_TO_SIZES,AY$11,FALSE))</f>
        <v>32.5</v>
      </c>
      <c r="AZ80" s="128" t="str">
        <f>IFERROR(IF(HLOOKUP(AY80,$M$79:$AC$84,$AG80,FALSE)=0,"",HLOOKUP(AY80,$M$79:$AC$84,$AG80,FALSE)),"")</f>
        <v/>
      </c>
      <c r="BA80" s="468">
        <f t="shared" si="126"/>
        <v>33.5</v>
      </c>
      <c r="BB80" s="128" t="str">
        <f>IFERROR(IF(HLOOKUP(BA80,$M$79:$AC$84,$AG80,FALSE)=0,"",HLOOKUP(BA80,$M$79:$AC$84,$AG80,FALSE)),"")</f>
        <v/>
      </c>
      <c r="BC80" s="468" t="str">
        <f t="shared" si="126"/>
        <v/>
      </c>
      <c r="BD80" s="128" t="str">
        <f>IFERROR(IF(HLOOKUP(BC80,$M$79:$AC$84,$AG80,FALSE)=0,"",HLOOKUP(BC80,$M$79:$AC$84,$AG80,FALSE)),"")</f>
        <v/>
      </c>
      <c r="BE80" s="468" t="str">
        <f t="shared" si="126"/>
        <v/>
      </c>
      <c r="BF80" s="128" t="str">
        <f>IFERROR(IF(HLOOKUP(BE80,$M$79:$AC$84,$AG80,FALSE)=0,"",HLOOKUP(BE80,$M$79:$AC$84,$AG80,FALSE)),"")</f>
        <v/>
      </c>
    </row>
    <row r="81" spans="1:59" s="8" customFormat="1" ht="12.75" hidden="1" customHeight="1">
      <c r="A81" s="1"/>
      <c r="B81" s="9">
        <f>IF(SKI_CALCULATOR_TYPE=1,IF(ISBLANK(D81),MAX(B$68:B80),IF(AND(ISNUMBER(L81),L81&gt;0)=TRUE,MAX(B$68:B80)+1,MAX(B$68:B80))),0)</f>
        <v>0</v>
      </c>
      <c r="C81" s="12"/>
      <c r="D81" s="307" t="s">
        <v>265</v>
      </c>
      <c r="E81" s="525" t="str">
        <f t="shared" si="120"/>
        <v>PURE COMFORT RENTAL GW - BLACK</v>
      </c>
      <c r="F81" s="526">
        <f t="shared" ref="F81" si="127">VLOOKUP(D81,SKUS_TO_SIZES,3,FALSE)</f>
        <v>200</v>
      </c>
      <c r="G81" s="526">
        <f t="shared" ref="G81" ca="1" si="128">SUM(L81)*F81</f>
        <v>0</v>
      </c>
      <c r="H81" s="526">
        <f t="shared" ref="H81:H82" si="129">IF(SKI_DISCOUNT_TYPE=1,IF($J$7=0,F81,F81*(SUM(1-$J$7))),IF(I81=0,F81,F81*(SUM(1-I81))))</f>
        <v>200</v>
      </c>
      <c r="I81" s="527">
        <v>0</v>
      </c>
      <c r="J81" s="528">
        <f t="shared" si="124"/>
        <v>0</v>
      </c>
      <c r="K81" s="529">
        <f ca="1">SUM(M81:AC81)*H81</f>
        <v>0</v>
      </c>
      <c r="L81" s="552">
        <f t="shared" ref="L81:L85" ca="1" si="130">SUM(M81:AD81)</f>
        <v>0</v>
      </c>
      <c r="M81" s="511"/>
      <c r="N81" s="418"/>
      <c r="O81" s="418"/>
      <c r="P81" s="418"/>
      <c r="Q81" s="418"/>
      <c r="R81" s="418"/>
      <c r="S81" s="432" t="str">
        <f ca="1">IFERROR(ROUND(HLOOKUP(S$79,INDIRECT("'Hidden Data'!"&amp;HLOOKUP(COLUMN(SKUS_TO_SIZES),NUMBER_TO_LETTER,2,FALSE)&amp;MATCH($D81,'Hidden Data'!$D:$D,0)&amp;":T"&amp;MATCH($D81&amp;"-sizecurve",'Hidden Data'!$D:$D,0)),2,FALSE),0)," ")</f>
        <v xml:space="preserve"> </v>
      </c>
      <c r="T81" s="432" t="str">
        <f ca="1">IFERROR(ROUND(HLOOKUP(T$79,INDIRECT("'Hidden Data'!"&amp;HLOOKUP(COLUMN(SKUS_TO_SIZES),NUMBER_TO_LETTER,2,FALSE)&amp;MATCH($D81,'Hidden Data'!$D:$D,0)&amp;":T"&amp;MATCH($D81&amp;"-sizecurve",'Hidden Data'!$D:$D,0)),2,FALSE),0)," ")</f>
        <v xml:space="preserve"> </v>
      </c>
      <c r="U81" s="432" t="str">
        <f ca="1">IFERROR(ROUND(HLOOKUP(U$79,INDIRECT("'Hidden Data'!"&amp;HLOOKUP(COLUMN(SKUS_TO_SIZES),NUMBER_TO_LETTER,2,FALSE)&amp;MATCH($D81,'Hidden Data'!$D:$D,0)&amp;":T"&amp;MATCH($D81&amp;"-sizecurve",'Hidden Data'!$D:$D,0)),2,FALSE),0)," ")</f>
        <v xml:space="preserve"> </v>
      </c>
      <c r="V81" s="432" t="str">
        <f ca="1">IFERROR(ROUND(HLOOKUP(V$79,INDIRECT("'Hidden Data'!"&amp;HLOOKUP(COLUMN(SKUS_TO_SIZES),NUMBER_TO_LETTER,2,FALSE)&amp;MATCH($D81,'Hidden Data'!$D:$D,0)&amp;":T"&amp;MATCH($D81&amp;"-sizecurve",'Hidden Data'!$D:$D,0)),2,FALSE),0)," ")</f>
        <v xml:space="preserve"> </v>
      </c>
      <c r="W81" s="432" t="str">
        <f ca="1">IFERROR(ROUND(HLOOKUP(W$79,INDIRECT("'Hidden Data'!"&amp;HLOOKUP(COLUMN(SKUS_TO_SIZES),NUMBER_TO_LETTER,2,FALSE)&amp;MATCH($D81,'Hidden Data'!$D:$D,0)&amp;":T"&amp;MATCH($D81&amp;"-sizecurve",'Hidden Data'!$D:$D,0)),2,FALSE),0)," ")</f>
        <v xml:space="preserve"> </v>
      </c>
      <c r="X81" s="510" t="str">
        <f ca="1">IFERROR(ROUND(HLOOKUP(X$79,INDIRECT("'Hidden Data'!"&amp;HLOOKUP(COLUMN(SKUS_TO_SIZES),NUMBER_TO_LETTER,2,FALSE)&amp;MATCH($D81,'Hidden Data'!$D:$D,0)&amp;":T"&amp;MATCH($D81&amp;"-sizecurve",'Hidden Data'!$D:$D,0)),2,FALSE),0)," ")</f>
        <v xml:space="preserve"> </v>
      </c>
      <c r="Y81" s="179"/>
      <c r="Z81" s="179"/>
      <c r="AA81" s="179"/>
      <c r="AB81" s="179"/>
      <c r="AC81" s="179"/>
      <c r="AD81" s="179"/>
      <c r="AE81" s="179"/>
      <c r="AF81" s="10"/>
      <c r="AG81" s="1">
        <f>AG80+1</f>
        <v>3</v>
      </c>
      <c r="AH81" s="288" t="str">
        <f>D81</f>
        <v>RBN8440</v>
      </c>
      <c r="AI81" s="468">
        <f t="shared" si="125"/>
        <v>22.5</v>
      </c>
      <c r="AJ81" s="128" t="str">
        <f>IFERROR(IF(HLOOKUP(AI81,$M$79:$AC$84,$AG81,FALSE)=0,"",HLOOKUP(AI81,$M$79:$AC$84,$AG81,FALSE)),"")</f>
        <v/>
      </c>
      <c r="AK81" s="468">
        <f t="shared" si="125"/>
        <v>23.5</v>
      </c>
      <c r="AL81" s="128" t="str">
        <f>IFERROR(IF(HLOOKUP(AK81,$M$79:$AC$84,$AG81,FALSE)=0,"",HLOOKUP(AK81,$M$79:$AC$84,$AG81,FALSE)),"")</f>
        <v/>
      </c>
      <c r="AM81" s="468">
        <f t="shared" si="125"/>
        <v>24.5</v>
      </c>
      <c r="AN81" s="128" t="str">
        <f>IFERROR(IF(HLOOKUP(AM81,$M$79:$AC$84,$AG81,FALSE)=0,"",HLOOKUP(AM81,$M$79:$AC$84,$AG81,FALSE)),"")</f>
        <v/>
      </c>
      <c r="AO81" s="468">
        <f t="shared" si="125"/>
        <v>25.5</v>
      </c>
      <c r="AP81" s="128" t="str">
        <f>IFERROR(IF(HLOOKUP(AO81,$M$79:$AC$84,$AG81,FALSE)=0,"",HLOOKUP(AO81,$M$79:$AC$84,$AG81,FALSE)),"")</f>
        <v/>
      </c>
      <c r="AQ81" s="468">
        <f t="shared" si="125"/>
        <v>26.5</v>
      </c>
      <c r="AR81" s="128" t="str">
        <f>IFERROR(IF(HLOOKUP(AQ81,$M$79:$AC$84,$AG81,FALSE)=0,"",HLOOKUP(AQ81,$M$79:$AC$84,$AG81,FALSE)),"")</f>
        <v/>
      </c>
      <c r="AS81" s="468">
        <f t="shared" si="125"/>
        <v>27.5</v>
      </c>
      <c r="AT81" s="128" t="str">
        <f>IFERROR(IF(HLOOKUP(AS81,$M$79:$AC$84,$AG81,FALSE)=0,"",HLOOKUP(AS81,$M$79:$AC$84,$AG81,FALSE)),"")</f>
        <v/>
      </c>
      <c r="AU81" s="468" t="str">
        <f t="shared" si="125"/>
        <v/>
      </c>
      <c r="AV81" s="128" t="str">
        <f>IFERROR(IF(HLOOKUP(AU81,$M$79:$AC$84,$AG81,FALSE)=0,"",HLOOKUP(AU81,$M$79:$AC$84,$AG81,FALSE)),"")</f>
        <v/>
      </c>
      <c r="AW81" s="468" t="str">
        <f t="shared" si="125"/>
        <v/>
      </c>
      <c r="AX81" s="128" t="str">
        <f>IFERROR(IF(HLOOKUP(AW81,$M$79:$AC$84,$AG81,FALSE)=0,"",HLOOKUP(AW81,$M$79:$AC$84,$AG81,FALSE)),"")</f>
        <v/>
      </c>
      <c r="AY81" s="468" t="str">
        <f t="shared" si="126"/>
        <v/>
      </c>
      <c r="AZ81" s="128" t="str">
        <f>IFERROR(IF(HLOOKUP(AY81,$M$79:$AC$84,$AG81,FALSE)=0,"",HLOOKUP(AY81,$M$79:$AC$84,$AG81,FALSE)),"")</f>
        <v/>
      </c>
      <c r="BA81" s="468" t="str">
        <f t="shared" si="126"/>
        <v/>
      </c>
      <c r="BB81" s="128" t="str">
        <f>IFERROR(IF(HLOOKUP(BA81,$M$79:$AC$84,$AG81,FALSE)=0,"",HLOOKUP(BA81,$M$79:$AC$84,$AG81,FALSE)),"")</f>
        <v/>
      </c>
      <c r="BC81" s="468" t="str">
        <f t="shared" si="126"/>
        <v/>
      </c>
      <c r="BD81" s="128" t="str">
        <f>IFERROR(IF(HLOOKUP(BC81,$M$79:$AC$84,$AG81,FALSE)=0,"",HLOOKUP(BC81,$M$79:$AC$84,$AG81,FALSE)),"")</f>
        <v/>
      </c>
      <c r="BE81" s="468" t="str">
        <f t="shared" si="126"/>
        <v/>
      </c>
      <c r="BF81" s="128" t="str">
        <f>IFERROR(IF(HLOOKUP(BE81,$M$79:$AC$84,$AG81,FALSE)=0,"",HLOOKUP(BE81,$M$79:$AC$84,$AG81,FALSE)),"")</f>
        <v/>
      </c>
    </row>
    <row r="82" spans="1:59" s="8" customFormat="1" ht="12.75" hidden="1" customHeight="1">
      <c r="A82" s="1"/>
      <c r="B82" s="9">
        <f>IF(SKI_CALCULATOR_TYPE=1,IF(ISBLANK(D82),MAX(B$68:B81),IF(AND(ISNUMBER(L82),L82&gt;0)=TRUE,MAX(B$68:B81)+1,MAX(B$68:B81))),0)</f>
        <v>0</v>
      </c>
      <c r="C82" s="12"/>
      <c r="D82" s="307" t="s">
        <v>266</v>
      </c>
      <c r="E82" s="525" t="str">
        <f t="shared" si="120"/>
        <v>EVO RENTAL GW - BLACK</v>
      </c>
      <c r="F82" s="526">
        <f t="shared" ref="F82:F84" si="131">VLOOKUP(D82,SKUS_TO_SIZES,3,FALSE)</f>
        <v>160</v>
      </c>
      <c r="G82" s="526">
        <f t="shared" ref="G82:G84" ca="1" si="132">SUM(L82)*F82</f>
        <v>0</v>
      </c>
      <c r="H82" s="526">
        <f t="shared" si="129"/>
        <v>160</v>
      </c>
      <c r="I82" s="527">
        <v>0</v>
      </c>
      <c r="J82" s="528">
        <f t="shared" si="124"/>
        <v>0</v>
      </c>
      <c r="K82" s="529">
        <f ca="1">SUM(M82:AC82)*H82</f>
        <v>0</v>
      </c>
      <c r="L82" s="552">
        <f t="shared" ca="1" si="130"/>
        <v>0</v>
      </c>
      <c r="M82" s="549" t="str">
        <f ca="1">IFERROR(ROUND(HLOOKUP(M$79,INDIRECT("'Hidden Data'!"&amp;HLOOKUP(COLUMN(SKUS_TO_SIZES),NUMBER_TO_LETTER,2,FALSE)&amp;MATCH($D82,'Hidden Data'!$D:$D,0)&amp;":T"&amp;MATCH($D82&amp;"-sizecurve",'Hidden Data'!$D:$D,0)),2,FALSE),0)," ")</f>
        <v xml:space="preserve"> </v>
      </c>
      <c r="N82" s="432" t="str">
        <f ca="1">IFERROR(ROUND(HLOOKUP(N$79,INDIRECT("'Hidden Data'!"&amp;HLOOKUP(COLUMN(SKUS_TO_SIZES),NUMBER_TO_LETTER,2,FALSE)&amp;MATCH($D82,'Hidden Data'!$D:$D,0)&amp;":T"&amp;MATCH($D82&amp;"-sizecurve",'Hidden Data'!$D:$D,0)),2,FALSE),0)," ")</f>
        <v xml:space="preserve"> </v>
      </c>
      <c r="O82" s="418"/>
      <c r="P82" s="418"/>
      <c r="Q82" s="418"/>
      <c r="R82" s="418"/>
      <c r="S82" s="418"/>
      <c r="T82" s="418"/>
      <c r="U82" s="418"/>
      <c r="V82" s="418"/>
      <c r="W82" s="418"/>
      <c r="X82" s="512"/>
      <c r="Y82" s="179"/>
      <c r="Z82" s="179"/>
      <c r="AA82" s="179"/>
      <c r="AB82" s="179"/>
      <c r="AC82" s="179"/>
      <c r="AD82" s="179"/>
      <c r="AE82" s="179"/>
      <c r="AF82" s="10"/>
      <c r="AG82" s="1">
        <f t="shared" ref="AG82:AG84" si="133">AG81+1</f>
        <v>4</v>
      </c>
      <c r="AH82" s="288" t="str">
        <f>D82</f>
        <v>RBO8460</v>
      </c>
      <c r="AI82" s="468">
        <f t="shared" si="125"/>
        <v>24.5</v>
      </c>
      <c r="AJ82" s="128" t="str">
        <f>IFERROR(IF(HLOOKUP(AI82,$M$79:$AC$84,$AG82,FALSE)=0,"",HLOOKUP(AI82,$M$79:$AC$84,$AG82,FALSE)),"")</f>
        <v/>
      </c>
      <c r="AK82" s="468">
        <f t="shared" si="125"/>
        <v>25.5</v>
      </c>
      <c r="AL82" s="128" t="str">
        <f>IFERROR(IF(HLOOKUP(AK82,$M$79:$AC$84,$AG82,FALSE)=0,"",HLOOKUP(AK82,$M$79:$AC$84,$AG82,FALSE)),"")</f>
        <v/>
      </c>
      <c r="AM82" s="468">
        <f t="shared" si="125"/>
        <v>26.5</v>
      </c>
      <c r="AN82" s="128" t="str">
        <f>IFERROR(IF(HLOOKUP(AM82,$M$79:$AC$84,$AG82,FALSE)=0,"",HLOOKUP(AM82,$M$79:$AC$84,$AG82,FALSE)),"")</f>
        <v/>
      </c>
      <c r="AO82" s="468">
        <f t="shared" si="125"/>
        <v>27.5</v>
      </c>
      <c r="AP82" s="128" t="str">
        <f>IFERROR(IF(HLOOKUP(AO82,$M$79:$AC$84,$AG82,FALSE)=0,"",HLOOKUP(AO82,$M$79:$AC$84,$AG82,FALSE)),"")</f>
        <v/>
      </c>
      <c r="AQ82" s="468">
        <f t="shared" si="125"/>
        <v>28.5</v>
      </c>
      <c r="AR82" s="128" t="str">
        <f>IFERROR(IF(HLOOKUP(AQ82,$M$79:$AC$84,$AG82,FALSE)=0,"",HLOOKUP(AQ82,$M$79:$AC$84,$AG82,FALSE)),"")</f>
        <v/>
      </c>
      <c r="AS82" s="468">
        <f t="shared" si="125"/>
        <v>29.5</v>
      </c>
      <c r="AT82" s="128" t="str">
        <f>IFERROR(IF(HLOOKUP(AS82,$M$79:$AC$84,$AG82,FALSE)=0,"",HLOOKUP(AS82,$M$79:$AC$84,$AG82,FALSE)),"")</f>
        <v/>
      </c>
      <c r="AU82" s="468">
        <f t="shared" si="125"/>
        <v>30.5</v>
      </c>
      <c r="AV82" s="128" t="str">
        <f>IFERROR(IF(HLOOKUP(AU82,$M$79:$AC$84,$AG82,FALSE)=0,"",HLOOKUP(AU82,$M$79:$AC$84,$AG82,FALSE)),"")</f>
        <v/>
      </c>
      <c r="AW82" s="468">
        <f t="shared" si="125"/>
        <v>31.5</v>
      </c>
      <c r="AX82" s="128" t="str">
        <f>IFERROR(IF(HLOOKUP(AW82,$M$79:$AC$84,$AG82,FALSE)=0,"",HLOOKUP(AW82,$M$79:$AC$84,$AG82,FALSE)),"")</f>
        <v/>
      </c>
      <c r="AY82" s="468">
        <f t="shared" si="126"/>
        <v>32.5</v>
      </c>
      <c r="AZ82" s="128" t="str">
        <f>IFERROR(IF(HLOOKUP(AY82,$M$79:$AC$84,$AG82,FALSE)=0,"",HLOOKUP(AY82,$M$79:$AC$84,$AG82,FALSE)),"")</f>
        <v/>
      </c>
      <c r="BA82" s="468">
        <f t="shared" si="126"/>
        <v>33.5</v>
      </c>
      <c r="BB82" s="128" t="str">
        <f>IFERROR(IF(HLOOKUP(BA82,$M$79:$AC$84,$AG82,FALSE)=0,"",HLOOKUP(BA82,$M$79:$AC$84,$AG82,FALSE)),"")</f>
        <v/>
      </c>
      <c r="BC82" s="468" t="str">
        <f t="shared" si="126"/>
        <v/>
      </c>
      <c r="BD82" s="128" t="str">
        <f>IFERROR(IF(HLOOKUP(BC82,$M$79:$AC$84,$AG82,FALSE)=0,"",HLOOKUP(BC82,$M$79:$AC$84,$AG82,FALSE)),"")</f>
        <v/>
      </c>
      <c r="BE82" s="468" t="str">
        <f t="shared" si="126"/>
        <v/>
      </c>
      <c r="BF82" s="128" t="str">
        <f>IFERROR(IF(HLOOKUP(BE82,$M$79:$AC$84,$AG82,FALSE)=0,"",HLOOKUP(BE82,$M$79:$AC$84,$AG82,FALSE)),"")</f>
        <v/>
      </c>
    </row>
    <row r="83" spans="1:59" s="8" customFormat="1" ht="12.75" hidden="1" customHeight="1">
      <c r="A83" s="1"/>
      <c r="B83" s="9">
        <f>IF(SKI_CALCULATOR_TYPE=1,IF(ISBLANK(D83),MAX(B$68:B82),IF(AND(ISNUMBER(L83),L83&gt;0)=TRUE,MAX(B$68:B82)+1,MAX(B$68:B82))),0)</f>
        <v>0</v>
      </c>
      <c r="C83" s="12"/>
      <c r="D83" s="307" t="s">
        <v>267</v>
      </c>
      <c r="E83" s="525" t="str">
        <f t="shared" si="120"/>
        <v>KELIA RENTAL GW - BLACK</v>
      </c>
      <c r="F83" s="526">
        <f t="shared" si="131"/>
        <v>160</v>
      </c>
      <c r="G83" s="526">
        <f t="shared" ca="1" si="132"/>
        <v>0</v>
      </c>
      <c r="H83" s="526">
        <f t="shared" ref="H83:H84" si="134">IF(SKI_DISCOUNT_TYPE=1,IF($J$7=0,F83,F83*(SUM(1-$J$7))),IF(I83=0,F83,F83*(SUM(1-I83))))</f>
        <v>160</v>
      </c>
      <c r="I83" s="527">
        <v>0</v>
      </c>
      <c r="J83" s="528">
        <f t="shared" si="124"/>
        <v>0</v>
      </c>
      <c r="K83" s="529">
        <f ca="1">SUM(M83:AC83)*H83</f>
        <v>0</v>
      </c>
      <c r="L83" s="552">
        <f t="shared" ca="1" si="130"/>
        <v>0</v>
      </c>
      <c r="M83" s="511"/>
      <c r="N83" s="418"/>
      <c r="O83" s="418"/>
      <c r="P83" s="418"/>
      <c r="Q83" s="418"/>
      <c r="R83" s="418"/>
      <c r="S83" s="432" t="str">
        <f ca="1">IFERROR(ROUND(HLOOKUP(S$79,INDIRECT("'Hidden Data'!"&amp;HLOOKUP(COLUMN(SKUS_TO_SIZES),NUMBER_TO_LETTER,2,FALSE)&amp;MATCH($D83,'Hidden Data'!$D:$D,0)&amp;":T"&amp;MATCH($D83&amp;"-sizecurve",'Hidden Data'!$D:$D,0)),2,FALSE),0)," ")</f>
        <v xml:space="preserve"> </v>
      </c>
      <c r="T83" s="432" t="str">
        <f ca="1">IFERROR(ROUND(HLOOKUP(T$79,INDIRECT("'Hidden Data'!"&amp;HLOOKUP(COLUMN(SKUS_TO_SIZES),NUMBER_TO_LETTER,2,FALSE)&amp;MATCH($D83,'Hidden Data'!$D:$D,0)&amp;":T"&amp;MATCH($D83&amp;"-sizecurve",'Hidden Data'!$D:$D,0)),2,FALSE),0)," ")</f>
        <v xml:space="preserve"> </v>
      </c>
      <c r="U83" s="432" t="str">
        <f ca="1">IFERROR(ROUND(HLOOKUP(U$79,INDIRECT("'Hidden Data'!"&amp;HLOOKUP(COLUMN(SKUS_TO_SIZES),NUMBER_TO_LETTER,2,FALSE)&amp;MATCH($D83,'Hidden Data'!$D:$D,0)&amp;":T"&amp;MATCH($D83&amp;"-sizecurve",'Hidden Data'!$D:$D,0)),2,FALSE),0)," ")</f>
        <v xml:space="preserve"> </v>
      </c>
      <c r="V83" s="432" t="str">
        <f ca="1">IFERROR(ROUND(HLOOKUP(V$79,INDIRECT("'Hidden Data'!"&amp;HLOOKUP(COLUMN(SKUS_TO_SIZES),NUMBER_TO_LETTER,2,FALSE)&amp;MATCH($D83,'Hidden Data'!$D:$D,0)&amp;":T"&amp;MATCH($D83&amp;"-sizecurve",'Hidden Data'!$D:$D,0)),2,FALSE),0)," ")</f>
        <v xml:space="preserve"> </v>
      </c>
      <c r="W83" s="432" t="str">
        <f ca="1">IFERROR(ROUND(HLOOKUP(W$79,INDIRECT("'Hidden Data'!"&amp;HLOOKUP(COLUMN(SKUS_TO_SIZES),NUMBER_TO_LETTER,2,FALSE)&amp;MATCH($D83,'Hidden Data'!$D:$D,0)&amp;":T"&amp;MATCH($D83&amp;"-sizecurve",'Hidden Data'!$D:$D,0)),2,FALSE),0)," ")</f>
        <v xml:space="preserve"> </v>
      </c>
      <c r="X83" s="510" t="str">
        <f ca="1">IFERROR(ROUND(HLOOKUP(X$79,INDIRECT("'Hidden Data'!"&amp;HLOOKUP(COLUMN(SKUS_TO_SIZES),NUMBER_TO_LETTER,2,FALSE)&amp;MATCH($D83,'Hidden Data'!$D:$D,0)&amp;":T"&amp;MATCH($D83&amp;"-sizecurve",'Hidden Data'!$D:$D,0)),2,FALSE),0)," ")</f>
        <v xml:space="preserve"> </v>
      </c>
      <c r="Y83" s="179"/>
      <c r="Z83" s="179"/>
      <c r="AA83" s="179"/>
      <c r="AB83" s="179"/>
      <c r="AC83" s="179"/>
      <c r="AD83" s="179"/>
      <c r="AE83" s="179"/>
      <c r="AF83" s="10"/>
      <c r="AG83" s="1">
        <f t="shared" si="133"/>
        <v>5</v>
      </c>
      <c r="AH83" s="288" t="str">
        <f>D83</f>
        <v>RBO8490</v>
      </c>
      <c r="AI83" s="468">
        <f t="shared" si="125"/>
        <v>22.5</v>
      </c>
      <c r="AJ83" s="128" t="str">
        <f>IFERROR(IF(HLOOKUP(AI83,$M$79:$AC$84,$AG83,FALSE)=0,"",HLOOKUP(AI83,$M$79:$AC$84,$AG83,FALSE)),"")</f>
        <v/>
      </c>
      <c r="AK83" s="468">
        <f t="shared" si="125"/>
        <v>23.5</v>
      </c>
      <c r="AL83" s="128" t="str">
        <f>IFERROR(IF(HLOOKUP(AK83,$M$79:$AC$84,$AG83,FALSE)=0,"",HLOOKUP(AK83,$M$79:$AC$84,$AG83,FALSE)),"")</f>
        <v/>
      </c>
      <c r="AM83" s="468">
        <f t="shared" si="125"/>
        <v>24.5</v>
      </c>
      <c r="AN83" s="128" t="str">
        <f>IFERROR(IF(HLOOKUP(AM83,$M$79:$AC$84,$AG83,FALSE)=0,"",HLOOKUP(AM83,$M$79:$AC$84,$AG83,FALSE)),"")</f>
        <v/>
      </c>
      <c r="AO83" s="468">
        <f t="shared" si="125"/>
        <v>25.5</v>
      </c>
      <c r="AP83" s="128" t="str">
        <f>IFERROR(IF(HLOOKUP(AO83,$M$79:$AC$84,$AG83,FALSE)=0,"",HLOOKUP(AO83,$M$79:$AC$84,$AG83,FALSE)),"")</f>
        <v/>
      </c>
      <c r="AQ83" s="468">
        <f t="shared" si="125"/>
        <v>26.5</v>
      </c>
      <c r="AR83" s="128" t="str">
        <f>IFERROR(IF(HLOOKUP(AQ83,$M$79:$AC$84,$AG83,FALSE)=0,"",HLOOKUP(AQ83,$M$79:$AC$84,$AG83,FALSE)),"")</f>
        <v/>
      </c>
      <c r="AS83" s="468">
        <f t="shared" si="125"/>
        <v>27.5</v>
      </c>
      <c r="AT83" s="128" t="str">
        <f>IFERROR(IF(HLOOKUP(AS83,$M$79:$AC$84,$AG83,FALSE)=0,"",HLOOKUP(AS83,$M$79:$AC$84,$AG83,FALSE)),"")</f>
        <v/>
      </c>
      <c r="AU83" s="468" t="str">
        <f t="shared" si="125"/>
        <v/>
      </c>
      <c r="AV83" s="128" t="str">
        <f>IFERROR(IF(HLOOKUP(AU83,$M$79:$AC$84,$AG83,FALSE)=0,"",HLOOKUP(AU83,$M$79:$AC$84,$AG83,FALSE)),"")</f>
        <v/>
      </c>
      <c r="AW83" s="468" t="str">
        <f t="shared" si="125"/>
        <v/>
      </c>
      <c r="AX83" s="128" t="str">
        <f>IFERROR(IF(HLOOKUP(AW83,$M$79:$AC$84,$AG83,FALSE)=0,"",HLOOKUP(AW83,$M$79:$AC$84,$AG83,FALSE)),"")</f>
        <v/>
      </c>
      <c r="AY83" s="468" t="str">
        <f t="shared" si="126"/>
        <v/>
      </c>
      <c r="AZ83" s="128" t="str">
        <f>IFERROR(IF(HLOOKUP(AY83,$M$79:$AC$84,$AG83,FALSE)=0,"",HLOOKUP(AY83,$M$79:$AC$84,$AG83,FALSE)),"")</f>
        <v/>
      </c>
      <c r="BA83" s="468" t="str">
        <f t="shared" si="126"/>
        <v/>
      </c>
      <c r="BB83" s="128" t="str">
        <f>IFERROR(IF(HLOOKUP(BA83,$M$79:$AC$84,$AG83,FALSE)=0,"",HLOOKUP(BA83,$M$79:$AC$84,$AG83,FALSE)),"")</f>
        <v/>
      </c>
      <c r="BC83" s="468" t="str">
        <f t="shared" si="126"/>
        <v/>
      </c>
      <c r="BD83" s="128" t="str">
        <f>IFERROR(IF(HLOOKUP(BC83,$M$79:$AC$84,$AG83,FALSE)=0,"",HLOOKUP(BC83,$M$79:$AC$84,$AG83,FALSE)),"")</f>
        <v/>
      </c>
      <c r="BE83" s="468" t="str">
        <f t="shared" si="126"/>
        <v/>
      </c>
      <c r="BF83" s="128" t="str">
        <f>IFERROR(IF(HLOOKUP(BE83,$M$79:$AC$84,$AG83,FALSE)=0,"",HLOOKUP(BE83,$M$79:$AC$84,$AG83,FALSE)),"")</f>
        <v/>
      </c>
    </row>
    <row r="84" spans="1:59" s="8" customFormat="1" ht="12.75" hidden="1" customHeight="1">
      <c r="A84" s="1"/>
      <c r="B84" s="9">
        <f>IF(SKI_CALCULATOR_TYPE=1,IF(ISBLANK(D84),MAX(B$68:B83),IF(AND(ISNUMBER(L84),L84&gt;0)=TRUE,MAX(B$68:B83)+1,MAX(B$68:B83))),0)</f>
        <v>0</v>
      </c>
      <c r="C84" s="12"/>
      <c r="D84" s="450" t="s">
        <v>268</v>
      </c>
      <c r="E84" s="535" t="str">
        <f t="shared" si="120"/>
        <v>FLASH RENTAL GW - BLACK</v>
      </c>
      <c r="F84" s="532">
        <f t="shared" si="131"/>
        <v>155</v>
      </c>
      <c r="G84" s="532">
        <f t="shared" si="132"/>
        <v>0</v>
      </c>
      <c r="H84" s="532">
        <f t="shared" si="134"/>
        <v>155</v>
      </c>
      <c r="I84" s="536">
        <v>0</v>
      </c>
      <c r="J84" s="537">
        <f t="shared" si="124"/>
        <v>0</v>
      </c>
      <c r="K84" s="538">
        <f>SUM(M84:AC84)*H84</f>
        <v>0</v>
      </c>
      <c r="L84" s="553">
        <f t="shared" si="130"/>
        <v>0</v>
      </c>
      <c r="M84" s="550"/>
      <c r="N84" s="420"/>
      <c r="O84" s="420"/>
      <c r="P84" s="420"/>
      <c r="Q84" s="420"/>
      <c r="R84" s="420"/>
      <c r="S84" s="420"/>
      <c r="T84" s="420"/>
      <c r="U84" s="420"/>
      <c r="V84" s="420"/>
      <c r="W84" s="420"/>
      <c r="X84" s="513"/>
      <c r="Y84" s="179"/>
      <c r="Z84" s="179"/>
      <c r="AA84" s="179"/>
      <c r="AB84" s="179"/>
      <c r="AC84" s="179"/>
      <c r="AD84" s="179"/>
      <c r="AE84" s="179"/>
      <c r="AF84" s="10"/>
      <c r="AG84" s="1">
        <f t="shared" si="133"/>
        <v>6</v>
      </c>
      <c r="AH84" s="288" t="str">
        <f>D84</f>
        <v>RBO8450</v>
      </c>
      <c r="AI84" s="468">
        <f t="shared" si="125"/>
        <v>22.5</v>
      </c>
      <c r="AJ84" s="128" t="str">
        <f>IFERROR(IF(HLOOKUP(AI84,$M$79:$AC$84,$AG84,FALSE)=0,"",HLOOKUP(AI84,$M$79:$AC$84,$AG84,FALSE)),"")</f>
        <v/>
      </c>
      <c r="AK84" s="468">
        <f t="shared" si="125"/>
        <v>23.5</v>
      </c>
      <c r="AL84" s="128" t="str">
        <f>IFERROR(IF(HLOOKUP(AK84,$M$79:$AC$84,$AG84,FALSE)=0,"",HLOOKUP(AK84,$M$79:$AC$84,$AG84,FALSE)),"")</f>
        <v/>
      </c>
      <c r="AM84" s="468">
        <f t="shared" si="125"/>
        <v>24.5</v>
      </c>
      <c r="AN84" s="128" t="str">
        <f>IFERROR(IF(HLOOKUP(AM84,$M$79:$AC$84,$AG84,FALSE)=0,"",HLOOKUP(AM84,$M$79:$AC$84,$AG84,FALSE)),"")</f>
        <v/>
      </c>
      <c r="AO84" s="468">
        <f t="shared" si="125"/>
        <v>25.5</v>
      </c>
      <c r="AP84" s="128" t="str">
        <f>IFERROR(IF(HLOOKUP(AO84,$M$79:$AC$84,$AG84,FALSE)=0,"",HLOOKUP(AO84,$M$79:$AC$84,$AG84,FALSE)),"")</f>
        <v/>
      </c>
      <c r="AQ84" s="468">
        <f t="shared" si="125"/>
        <v>26.5</v>
      </c>
      <c r="AR84" s="128" t="str">
        <f>IFERROR(IF(HLOOKUP(AQ84,$M$79:$AC$84,$AG84,FALSE)=0,"",HLOOKUP(AQ84,$M$79:$AC$84,$AG84,FALSE)),"")</f>
        <v/>
      </c>
      <c r="AS84" s="468">
        <f t="shared" si="125"/>
        <v>27.5</v>
      </c>
      <c r="AT84" s="128" t="str">
        <f>IFERROR(IF(HLOOKUP(AS84,$M$79:$AC$84,$AG84,FALSE)=0,"",HLOOKUP(AS84,$M$79:$AC$84,$AG84,FALSE)),"")</f>
        <v/>
      </c>
      <c r="AU84" s="468">
        <f t="shared" si="125"/>
        <v>28.5</v>
      </c>
      <c r="AV84" s="128" t="str">
        <f>IFERROR(IF(HLOOKUP(AU84,$M$79:$AC$84,$AG84,FALSE)=0,"",HLOOKUP(AU84,$M$79:$AC$84,$AG84,FALSE)),"")</f>
        <v/>
      </c>
      <c r="AW84" s="468">
        <f t="shared" si="125"/>
        <v>29.5</v>
      </c>
      <c r="AX84" s="128" t="str">
        <f>IFERROR(IF(HLOOKUP(AW84,$M$79:$AC$84,$AG84,FALSE)=0,"",HLOOKUP(AW84,$M$79:$AC$84,$AG84,FALSE)),"")</f>
        <v/>
      </c>
      <c r="AY84" s="468">
        <f t="shared" si="126"/>
        <v>30.5</v>
      </c>
      <c r="AZ84" s="128" t="str">
        <f>IFERROR(IF(HLOOKUP(AY84,$M$79:$AC$84,$AG84,FALSE)=0,"",HLOOKUP(AY84,$M$79:$AC$84,$AG84,FALSE)),"")</f>
        <v/>
      </c>
      <c r="BA84" s="468">
        <f t="shared" si="126"/>
        <v>31.5</v>
      </c>
      <c r="BB84" s="128" t="str">
        <f>IFERROR(IF(HLOOKUP(BA84,$M$79:$AC$84,$AG84,FALSE)=0,"",HLOOKUP(BA84,$M$79:$AC$84,$AG84,FALSE)),"")</f>
        <v/>
      </c>
      <c r="BC84" s="468">
        <f t="shared" si="126"/>
        <v>32.5</v>
      </c>
      <c r="BD84" s="128" t="str">
        <f>IFERROR(IF(HLOOKUP(BC84,$M$79:$AC$84,$AG84,FALSE)=0,"",HLOOKUP(BC84,$M$79:$AC$84,$AG84,FALSE)),"")</f>
        <v/>
      </c>
      <c r="BE84" s="468">
        <f t="shared" si="126"/>
        <v>33.5</v>
      </c>
      <c r="BF84" s="128" t="str">
        <f>IFERROR(IF(HLOOKUP(BE84,$M$79:$AC$84,$AG84,FALSE)=0,"",HLOOKUP(BE84,$M$79:$AC$84,$AG84,FALSE)),"")</f>
        <v/>
      </c>
    </row>
    <row r="85" spans="1:59" s="6" customFormat="1" ht="12.75" hidden="1" customHeight="1">
      <c r="B85" s="9">
        <f>IF(SKI_CALCULATOR_TYPE=1,IF(ISBLANK(D85),MAX(B$68:B84),IF(AND(ISNUMBER(L85),L85&gt;0)=TRUE,MAX(B$68:B84)+1,MAX(B$68:B84))),0)</f>
        <v>0</v>
      </c>
      <c r="C85" s="13"/>
      <c r="D85" s="178"/>
      <c r="E85" s="209"/>
      <c r="F85" s="209"/>
      <c r="G85" s="463">
        <f ca="1">SUM(G80:G84)</f>
        <v>0</v>
      </c>
      <c r="H85" s="210"/>
      <c r="I85" s="210"/>
      <c r="J85" s="210"/>
      <c r="K85" s="309">
        <f ca="1">SUM(K80:K84)</f>
        <v>0</v>
      </c>
      <c r="L85" s="310">
        <f t="shared" ca="1" si="130"/>
        <v>0</v>
      </c>
      <c r="M85" s="394">
        <f t="shared" ref="M85:X85" ca="1" si="135">SUM(M80:M84)</f>
        <v>0</v>
      </c>
      <c r="N85" s="184">
        <f t="shared" ca="1" si="135"/>
        <v>0</v>
      </c>
      <c r="O85" s="184">
        <f t="shared" si="135"/>
        <v>0</v>
      </c>
      <c r="P85" s="184">
        <f t="shared" si="135"/>
        <v>0</v>
      </c>
      <c r="Q85" s="184">
        <f t="shared" si="135"/>
        <v>0</v>
      </c>
      <c r="R85" s="184">
        <f t="shared" si="135"/>
        <v>0</v>
      </c>
      <c r="S85" s="184">
        <f t="shared" ca="1" si="135"/>
        <v>0</v>
      </c>
      <c r="T85" s="184">
        <f t="shared" ca="1" si="135"/>
        <v>0</v>
      </c>
      <c r="U85" s="184">
        <f t="shared" ca="1" si="135"/>
        <v>0</v>
      </c>
      <c r="V85" s="184">
        <f t="shared" ca="1" si="135"/>
        <v>0</v>
      </c>
      <c r="W85" s="184">
        <f t="shared" ca="1" si="135"/>
        <v>0</v>
      </c>
      <c r="X85" s="182">
        <f t="shared" ca="1" si="135"/>
        <v>0</v>
      </c>
      <c r="Y85" s="179"/>
      <c r="Z85" s="179"/>
      <c r="AA85" s="179"/>
      <c r="AB85" s="179"/>
      <c r="AC85" s="179"/>
      <c r="AD85" s="179"/>
      <c r="AE85" s="179"/>
      <c r="AF85" s="10"/>
      <c r="AG85" s="1"/>
      <c r="AJ85" s="45"/>
      <c r="AL85" s="45"/>
      <c r="AN85" s="45"/>
      <c r="AP85" s="45"/>
      <c r="AR85" s="45"/>
      <c r="AT85" s="45"/>
      <c r="AV85" s="45"/>
      <c r="AX85" s="45"/>
      <c r="AZ85" s="45"/>
      <c r="BB85" s="45"/>
      <c r="BD85" s="45"/>
      <c r="BF85" s="45"/>
    </row>
    <row r="86" spans="1:59" ht="12.75" hidden="1" customHeight="1">
      <c r="A86" s="8"/>
      <c r="B86" s="9">
        <f>IF(SKI_CALCULATOR_TYPE=1,IF(ISBLANK(D86),MAX(B$68:B85),IF(AND(ISNUMBER(L86),L86&gt;0)=TRUE,MAX(B$68:B85)+1,MAX(B$68:B85))),0)</f>
        <v>0</v>
      </c>
      <c r="C86" s="13"/>
      <c r="D86" s="953" t="s">
        <v>109</v>
      </c>
      <c r="E86" s="954"/>
      <c r="F86" s="293"/>
      <c r="G86" s="291"/>
      <c r="H86" s="291"/>
      <c r="I86" s="291"/>
      <c r="J86" s="291"/>
      <c r="K86" s="291"/>
      <c r="L86" s="291"/>
      <c r="M86" s="291"/>
      <c r="N86" s="291"/>
      <c r="O86" s="291"/>
      <c r="P86" s="291"/>
      <c r="Q86" s="291"/>
      <c r="R86" s="291"/>
      <c r="S86" s="291"/>
      <c r="T86" s="291"/>
      <c r="U86" s="291"/>
      <c r="V86" s="291"/>
      <c r="W86" s="291"/>
      <c r="X86" s="291"/>
      <c r="Y86" s="291"/>
      <c r="Z86" s="291"/>
      <c r="AA86" s="291"/>
      <c r="AB86" s="291"/>
      <c r="AC86" s="291"/>
      <c r="AD86" s="291"/>
      <c r="AE86" s="291"/>
      <c r="AF86" s="10"/>
      <c r="AI86" s="1"/>
      <c r="AJ86" s="41"/>
      <c r="AK86" s="1"/>
      <c r="AL86" s="41"/>
      <c r="AM86" s="1"/>
      <c r="AN86" s="41"/>
      <c r="AO86" s="1"/>
      <c r="AP86" s="41"/>
      <c r="AQ86" s="1"/>
      <c r="AR86" s="41"/>
      <c r="AS86" s="1"/>
      <c r="AT86" s="41"/>
      <c r="AU86" s="1"/>
      <c r="AV86" s="41"/>
      <c r="AW86" s="1"/>
      <c r="AX86" s="41"/>
      <c r="AY86" s="1"/>
      <c r="AZ86" s="41"/>
      <c r="BA86" s="1"/>
      <c r="BB86" s="41"/>
      <c r="BC86" s="1"/>
      <c r="BD86" s="41"/>
      <c r="BE86" s="1"/>
      <c r="BF86" s="41"/>
    </row>
    <row r="87" spans="1:59" ht="12.75" hidden="1" customHeight="1" thickBot="1">
      <c r="A87" s="8"/>
      <c r="B87" s="9">
        <f>IF(SKI_CALCULATOR_TYPE=1,IF(ISBLANK(D87),MAX(B$68:B86),IF(AND(ISNUMBER(L87),L87&gt;0)=TRUE,MAX(B$68:B86)+1,MAX(B$68:B86))),0)</f>
        <v>0</v>
      </c>
      <c r="C87" s="13"/>
      <c r="D87" s="295" t="s">
        <v>0</v>
      </c>
      <c r="E87" s="313" t="s">
        <v>1</v>
      </c>
      <c r="F87" s="305" t="s">
        <v>43</v>
      </c>
      <c r="G87" s="305" t="s">
        <v>19</v>
      </c>
      <c r="H87" s="327" t="s">
        <v>102</v>
      </c>
      <c r="I87" s="331" t="s">
        <v>21</v>
      </c>
      <c r="J87" s="311" t="s">
        <v>21</v>
      </c>
      <c r="K87" s="317" t="s">
        <v>6</v>
      </c>
      <c r="L87" s="302" t="s">
        <v>5</v>
      </c>
      <c r="M87" s="300">
        <v>110</v>
      </c>
      <c r="N87" s="301">
        <v>115</v>
      </c>
      <c r="O87" s="301">
        <v>120</v>
      </c>
      <c r="P87" s="301">
        <v>125</v>
      </c>
      <c r="Q87" s="301">
        <v>130</v>
      </c>
      <c r="R87" s="301">
        <v>135</v>
      </c>
      <c r="S87" s="301">
        <v>140</v>
      </c>
      <c r="T87" s="303" t="s">
        <v>125</v>
      </c>
      <c r="U87" s="177"/>
      <c r="V87" s="177"/>
      <c r="W87" s="177"/>
      <c r="X87" s="177"/>
      <c r="Y87" s="177"/>
      <c r="Z87" s="177"/>
      <c r="AA87" s="177"/>
      <c r="AB87" s="177"/>
      <c r="AC87" s="177"/>
      <c r="AD87" s="177"/>
      <c r="AE87" s="177"/>
      <c r="AF87" s="10"/>
      <c r="AI87" s="35"/>
      <c r="AJ87" s="47"/>
      <c r="AK87" s="35"/>
      <c r="AL87" s="47"/>
      <c r="AM87" s="35"/>
      <c r="AN87" s="47"/>
      <c r="AO87" s="35"/>
      <c r="AP87" s="47"/>
      <c r="AQ87" s="35"/>
      <c r="AR87" s="47"/>
      <c r="AS87" s="35"/>
      <c r="AT87" s="47"/>
      <c r="AU87" s="35"/>
      <c r="AV87" s="47"/>
      <c r="AW87" s="35"/>
      <c r="AX87" s="47"/>
      <c r="AY87" s="35"/>
      <c r="AZ87" s="47"/>
      <c r="BA87" s="35"/>
      <c r="BB87" s="47"/>
      <c r="BC87" s="35"/>
      <c r="BD87" s="47"/>
      <c r="BE87" s="35"/>
      <c r="BF87" s="47"/>
    </row>
    <row r="88" spans="1:59" ht="12.75" hidden="1" customHeight="1" thickTop="1">
      <c r="B88" s="9">
        <f>IF(SKI_CALCULATOR_TYPE=1,IF(ISBLANK(D88),MAX(B$68:B87),IF(AND(ISNUMBER(L88),L88&gt;0)=TRUE,MAX(B$68:B87)+1,MAX(B$68:B87))),0)</f>
        <v>0</v>
      </c>
      <c r="C88" s="13"/>
      <c r="D88" s="307" t="s">
        <v>275</v>
      </c>
      <c r="E88" s="519" t="str">
        <f>VLOOKUP(D88,SKUS_TO_SIZES,2,FALSE)</f>
        <v>RENTAL TELESCOPIC SR</v>
      </c>
      <c r="F88" s="520">
        <f>VLOOKUP(D88,SKUS_TO_SIZES,3,FALSE)</f>
        <v>40</v>
      </c>
      <c r="G88" s="520">
        <f ca="1">SUM(L88)*F88</f>
        <v>0</v>
      </c>
      <c r="H88" s="520">
        <f>IF(SKI_DISCOUNT_TYPE=1,IF($J$7=0,F88,F88*(SUM(1-$J$7))),IF(I88=0,F88,F88*(SUM(1-I88))))</f>
        <v>40</v>
      </c>
      <c r="I88" s="521">
        <v>0</v>
      </c>
      <c r="J88" s="522">
        <f>$J$7</f>
        <v>0</v>
      </c>
      <c r="K88" s="523">
        <f ca="1">SUM(M88:AC88)*H88</f>
        <v>0</v>
      </c>
      <c r="L88" s="551">
        <f ca="1">SUM(M88:AD88)</f>
        <v>0</v>
      </c>
      <c r="M88" s="412" t="str">
        <f ca="1">IFERROR(ROUND(HLOOKUP(M$87,INDIRECT("'Hidden Data'!"&amp;HLOOKUP(COLUMN(SKUS_TO_SIZES),NUMBER_TO_LETTER,2,FALSE)&amp;MATCH($D88,'Hidden Data'!$D:$D,0)&amp;":T"&amp;MATCH($D88&amp;"-sizecurve",'Hidden Data'!$D:$D,0)),2,FALSE),0)," ")</f>
        <v xml:space="preserve"> </v>
      </c>
      <c r="N88" s="409" t="str">
        <f ca="1">IFERROR(ROUND(HLOOKUP(N$87,INDIRECT("'Hidden Data'!"&amp;HLOOKUP(COLUMN(SKUS_TO_SIZES),NUMBER_TO_LETTER,2,FALSE)&amp;MATCH($D88,'Hidden Data'!$D:$D,0)&amp;":T"&amp;MATCH($D88&amp;"-sizecurve",'Hidden Data'!$D:$D,0)),2,FALSE),0)," ")</f>
        <v xml:space="preserve"> </v>
      </c>
      <c r="O88" s="409" t="str">
        <f ca="1">IFERROR(ROUND(HLOOKUP(O$87,INDIRECT("'Hidden Data'!"&amp;HLOOKUP(COLUMN(SKUS_TO_SIZES),NUMBER_TO_LETTER,2,FALSE)&amp;MATCH($D88,'Hidden Data'!$D:$D,0)&amp;":T"&amp;MATCH($D88&amp;"-sizecurve",'Hidden Data'!$D:$D,0)),2,FALSE),0)," ")</f>
        <v xml:space="preserve"> </v>
      </c>
      <c r="P88" s="409" t="str">
        <f ca="1">IFERROR(ROUND(HLOOKUP(P$87,INDIRECT("'Hidden Data'!"&amp;HLOOKUP(COLUMN(SKUS_TO_SIZES),NUMBER_TO_LETTER,2,FALSE)&amp;MATCH($D88,'Hidden Data'!$D:$D,0)&amp;":T"&amp;MATCH($D88&amp;"-sizecurve",'Hidden Data'!$D:$D,0)),2,FALSE),0)," ")</f>
        <v xml:space="preserve"> </v>
      </c>
      <c r="Q88" s="409" t="str">
        <f ca="1">IFERROR(ROUND(HLOOKUP(Q$87,INDIRECT("'Hidden Data'!"&amp;HLOOKUP(COLUMN(SKUS_TO_SIZES),NUMBER_TO_LETTER,2,FALSE)&amp;MATCH($D88,'Hidden Data'!$D:$D,0)&amp;":T"&amp;MATCH($D88&amp;"-sizecurve",'Hidden Data'!$D:$D,0)),2,FALSE),0)," ")</f>
        <v xml:space="preserve"> </v>
      </c>
      <c r="R88" s="409" t="str">
        <f ca="1">IFERROR(ROUND(HLOOKUP(R$87,INDIRECT("'Hidden Data'!"&amp;HLOOKUP(COLUMN(SKUS_TO_SIZES),NUMBER_TO_LETTER,2,FALSE)&amp;MATCH($D88,'Hidden Data'!$D:$D,0)&amp;":T"&amp;MATCH($D88&amp;"-sizecurve",'Hidden Data'!$D:$D,0)),2,FALSE),0)," ")</f>
        <v xml:space="preserve"> </v>
      </c>
      <c r="S88" s="409" t="str">
        <f ca="1">IFERROR(ROUND(HLOOKUP(S$87,INDIRECT("'Hidden Data'!"&amp;HLOOKUP(COLUMN(SKUS_TO_SIZES),NUMBER_TO_LETTER,2,FALSE)&amp;MATCH($D88,'Hidden Data'!$D:$D,0)&amp;":T"&amp;MATCH($D88&amp;"-sizecurve",'Hidden Data'!$D:$D,0)),2,FALSE),0)," ")</f>
        <v xml:space="preserve"> </v>
      </c>
      <c r="T88" s="417"/>
      <c r="U88" s="178"/>
      <c r="V88" s="178"/>
      <c r="W88" s="178"/>
      <c r="X88" s="178"/>
      <c r="Y88" s="178"/>
      <c r="Z88" s="178"/>
      <c r="AA88" s="178"/>
      <c r="AB88" s="178"/>
      <c r="AC88" s="178"/>
      <c r="AD88" s="178"/>
      <c r="AE88" s="178"/>
      <c r="AF88" s="10"/>
      <c r="AG88" s="1">
        <v>2</v>
      </c>
      <c r="AH88" s="288" t="str">
        <f>D88</f>
        <v>RDO7020</v>
      </c>
      <c r="AI88" s="127" t="str">
        <f>IF(VLOOKUP($AH88,SKUS_TO_SIZES,AI$11,FALSE)=0,"",VLOOKUP($AH88,SKUS_TO_SIZES,AI$11,FALSE))</f>
        <v>Adjust.</v>
      </c>
      <c r="AJ88" s="128" t="str">
        <f>IFERROR(IF(HLOOKUP(AI88,$M$87:$AC$90,$AG88,FALSE)=0,"",HLOOKUP(AI88,$M$87:$AC$90,$AG88,FALSE)),"")</f>
        <v/>
      </c>
      <c r="AK88" s="127" t="str">
        <f>IF(VLOOKUP($AH88,SKUS_TO_SIZES,AK$11,FALSE)=0,"",VLOOKUP($AH88,SKUS_TO_SIZES,AK$11,FALSE))</f>
        <v/>
      </c>
      <c r="AL88" s="128" t="str">
        <f>IFERROR(IF(HLOOKUP(AK88,$M$87:$AC$90,$AG88,FALSE)=0,"",HLOOKUP(AK88,$M$87:$AC$90,$AG88,FALSE)),"")</f>
        <v/>
      </c>
      <c r="AM88" s="127" t="str">
        <f>IF(VLOOKUP($AH88,SKUS_TO_SIZES,AM$11,FALSE)=0,"",VLOOKUP($AH88,SKUS_TO_SIZES,AM$11,FALSE))</f>
        <v/>
      </c>
      <c r="AN88" s="128" t="str">
        <f>IFERROR(IF(HLOOKUP(AM88,$M$87:$AC$90,$AG88,FALSE)=0,"",HLOOKUP(AM88,$M$87:$AC$90,$AG88,FALSE)),"")</f>
        <v/>
      </c>
      <c r="AO88" s="127" t="str">
        <f>IF(VLOOKUP($AH88,SKUS_TO_SIZES,AO$11,FALSE)=0,"",VLOOKUP($AH88,SKUS_TO_SIZES,AO$11,FALSE))</f>
        <v/>
      </c>
      <c r="AP88" s="128" t="str">
        <f>IFERROR(IF(HLOOKUP(AO88,$M$87:$AC$90,$AG88,FALSE)=0,"",HLOOKUP(AO88,$M$87:$AC$90,$AG88,FALSE)),"")</f>
        <v/>
      </c>
      <c r="AQ88" s="127" t="str">
        <f>IF(VLOOKUP($AH88,SKUS_TO_SIZES,AQ$11,FALSE)=0,"",VLOOKUP($AH88,SKUS_TO_SIZES,AQ$11,FALSE))</f>
        <v/>
      </c>
      <c r="AR88" s="128" t="str">
        <f>IFERROR(IF(HLOOKUP(AQ88,$M$87:$AC$90,$AG88,FALSE)=0,"",HLOOKUP(AQ88,$M$87:$AC$90,$AG88,FALSE)),"")</f>
        <v/>
      </c>
      <c r="AS88" s="127" t="str">
        <f>IF(VLOOKUP($AH88,SKUS_TO_SIZES,AS$11,FALSE)=0,"",VLOOKUP($AH88,SKUS_TO_SIZES,AS$11,FALSE))</f>
        <v/>
      </c>
      <c r="AT88" s="128" t="str">
        <f>IFERROR(IF(HLOOKUP(AS88,$M$87:$AC$90,$AG88,FALSE)=0,"",HLOOKUP(AS88,$M$87:$AC$90,$AG88,FALSE)),"")</f>
        <v/>
      </c>
      <c r="AU88" s="127" t="str">
        <f>IF(VLOOKUP($AH88,SKUS_TO_SIZES,AU$11,FALSE)=0,"",VLOOKUP($AH88,SKUS_TO_SIZES,AU$11,FALSE))</f>
        <v/>
      </c>
      <c r="AV88" s="128" t="str">
        <f>IFERROR(IF(HLOOKUP(AU88,$M$87:$AC$90,$AG88,FALSE)=0,"",HLOOKUP(AU88,$M$87:$AC$90,$AG88,FALSE)),"")</f>
        <v/>
      </c>
      <c r="AW88" s="127" t="str">
        <f>IF(VLOOKUP($AH88,SKUS_TO_SIZES,AW$11,FALSE)=0,"",VLOOKUP($AH88,SKUS_TO_SIZES,AW$11,FALSE))</f>
        <v/>
      </c>
      <c r="AX88" s="128" t="str">
        <f>IFERROR(IF(HLOOKUP(AW88,$M$87:$AC$90,$AG88,FALSE)=0,"",HLOOKUP(AW88,$M$87:$AC$90,$AG88,FALSE)),"")</f>
        <v/>
      </c>
      <c r="AY88" s="127" t="str">
        <f>IF(VLOOKUP($AH88,SKUS_TO_SIZES,AY$11,FALSE)=0,"",VLOOKUP($AH88,SKUS_TO_SIZES,AY$11,FALSE))</f>
        <v/>
      </c>
      <c r="AZ88" s="128" t="str">
        <f>IFERROR(IF(HLOOKUP(AY88,$M$87:$AC$90,$AG88,FALSE)=0,"",HLOOKUP(AY88,$M$87:$AC$90,$AG88,FALSE)),"")</f>
        <v/>
      </c>
      <c r="BA88" s="127" t="str">
        <f>IF(VLOOKUP($AH88,SKUS_TO_SIZES,BA$11,FALSE)=0,"",VLOOKUP($AH88,SKUS_TO_SIZES,BA$11,FALSE))</f>
        <v/>
      </c>
      <c r="BB88" s="128" t="str">
        <f>IFERROR(IF(HLOOKUP(BA88,$M$87:$AC$90,$AG88,FALSE)=0,"",HLOOKUP(BA88,$M$87:$AC$90,$AG88,FALSE)),"")</f>
        <v/>
      </c>
      <c r="BC88" s="127" t="str">
        <f>IF(VLOOKUP($AH88,SKUS_TO_SIZES,BC$11,FALSE)=0,"",VLOOKUP($AH88,SKUS_TO_SIZES,BC$11,FALSE))</f>
        <v/>
      </c>
      <c r="BD88" s="128" t="str">
        <f>IFERROR(IF(HLOOKUP(BC88,$M$87:$AC$90,$AG88,FALSE)=0,"",HLOOKUP(BC88,$M$87:$AC$90,$AG88,FALSE)),"")</f>
        <v/>
      </c>
      <c r="BE88" s="127" t="str">
        <f>IF(VLOOKUP($AH88,SKUS_TO_SIZES,BE$11,FALSE)=0,"",VLOOKUP($AH88,SKUS_TO_SIZES,BE$11,FALSE))</f>
        <v/>
      </c>
      <c r="BF88" s="128" t="str">
        <f>IFERROR(IF(HLOOKUP(BE88,$M$87:$AC$90,$AG88,FALSE)=0,"",HLOOKUP(BE88,$M$87:$AC$90,$AG88,FALSE)),"")</f>
        <v/>
      </c>
    </row>
    <row r="89" spans="1:59" ht="12.75" hidden="1" customHeight="1">
      <c r="B89" s="9">
        <f>IF(SKI_CALCULATOR_TYPE=1,IF(ISBLANK(D89),MAX(B$68:B88),IF(AND(ISNUMBER(L89),L89&gt;0)=TRUE,MAX(B$68:B88)+1,MAX(B$68:B88))),0)</f>
        <v>0</v>
      </c>
      <c r="C89" s="13"/>
      <c r="D89" s="316" t="s">
        <v>273</v>
      </c>
      <c r="E89" s="525" t="str">
        <f t="shared" ref="E89" si="136">VLOOKUP(D89,SKUS_TO_SIZES,2,FALSE)</f>
        <v>RENTAL FIBER SR</v>
      </c>
      <c r="F89" s="526">
        <f t="shared" ref="F89" si="137">VLOOKUP(D89,SKUS_TO_SIZES,3,FALSE)</f>
        <v>33</v>
      </c>
      <c r="G89" s="526">
        <f ca="1">SUM(L89)*F89</f>
        <v>0</v>
      </c>
      <c r="H89" s="526">
        <f>IF(SKI_DISCOUNT_TYPE=1,IF($J$7=0,F89,F89*(SUM(1-$J$7))),IF(I89=0,F89,F89*(SUM(1-I89))))</f>
        <v>33</v>
      </c>
      <c r="I89" s="527">
        <v>0</v>
      </c>
      <c r="J89" s="528">
        <f t="shared" ref="J89" si="138">$J$7</f>
        <v>0</v>
      </c>
      <c r="K89" s="529">
        <f ca="1">SUM(M89:AC89)*H89</f>
        <v>0</v>
      </c>
      <c r="L89" s="552">
        <f t="shared" ref="L89:L91" ca="1" si="139">SUM(M89:AD89)</f>
        <v>0</v>
      </c>
      <c r="M89" s="421"/>
      <c r="N89" s="418"/>
      <c r="O89" s="418"/>
      <c r="P89" s="418"/>
      <c r="Q89" s="418"/>
      <c r="R89" s="418"/>
      <c r="S89" s="418"/>
      <c r="T89" s="410" t="str">
        <f ca="1">IFERROR(ROUND(HLOOKUP(T$87,INDIRECT("'Hidden Data'!"&amp;HLOOKUP(COLUMN(SKUS_TO_SIZES),NUMBER_TO_LETTER,2,FALSE)&amp;MATCH($D89,'Hidden Data'!$D:$D,0)&amp;":T"&amp;MATCH($D89&amp;"-sizecurve",'Hidden Data'!$D:$D,0)),2,FALSE),0)," ")</f>
        <v xml:space="preserve"> </v>
      </c>
      <c r="U89" s="178"/>
      <c r="V89" s="178"/>
      <c r="W89" s="178"/>
      <c r="X89" s="178"/>
      <c r="Y89" s="178"/>
      <c r="Z89" s="178"/>
      <c r="AA89" s="178"/>
      <c r="AB89" s="178"/>
      <c r="AC89" s="178"/>
      <c r="AD89" s="178"/>
      <c r="AE89" s="178"/>
      <c r="AF89" s="10"/>
      <c r="AG89" s="1">
        <f t="shared" ref="AG89:AG90" si="140">AG88+1</f>
        <v>3</v>
      </c>
      <c r="AH89" s="288" t="str">
        <f>D89</f>
        <v>RDO7010</v>
      </c>
      <c r="AI89" s="127">
        <f>IF(VLOOKUP($AH89,SKUS_TO_SIZES,AI$11,FALSE)=0,"",VLOOKUP($AH89,SKUS_TO_SIZES,AI$11,FALSE))</f>
        <v>110</v>
      </c>
      <c r="AJ89" s="128" t="str">
        <f>IFERROR(IF(HLOOKUP(AI89,$M$87:$AC$90,$AG89,FALSE)=0,"",HLOOKUP(AI89,$M$87:$AC$90,$AG89,FALSE)),"")</f>
        <v/>
      </c>
      <c r="AK89" s="127">
        <f>IF(VLOOKUP($AH89,SKUS_TO_SIZES,AK$11,FALSE)=0,"",VLOOKUP($AH89,SKUS_TO_SIZES,AK$11,FALSE))</f>
        <v>115</v>
      </c>
      <c r="AL89" s="128" t="str">
        <f>IFERROR(IF(HLOOKUP(AK89,$M$87:$AC$90,$AG89,FALSE)=0,"",HLOOKUP(AK89,$M$87:$AC$90,$AG89,FALSE)),"")</f>
        <v/>
      </c>
      <c r="AM89" s="127">
        <f>IF(VLOOKUP($AH89,SKUS_TO_SIZES,AM$11,FALSE)=0,"",VLOOKUP($AH89,SKUS_TO_SIZES,AM$11,FALSE))</f>
        <v>120</v>
      </c>
      <c r="AN89" s="128" t="str">
        <f>IFERROR(IF(HLOOKUP(AM89,$M$87:$AC$90,$AG89,FALSE)=0,"",HLOOKUP(AM89,$M$87:$AC$90,$AG89,FALSE)),"")</f>
        <v/>
      </c>
      <c r="AO89" s="127">
        <f>IF(VLOOKUP($AH89,SKUS_TO_SIZES,AO$11,FALSE)=0,"",VLOOKUP($AH89,SKUS_TO_SIZES,AO$11,FALSE))</f>
        <v>125</v>
      </c>
      <c r="AP89" s="128" t="str">
        <f>IFERROR(IF(HLOOKUP(AO89,$M$87:$AC$90,$AG89,FALSE)=0,"",HLOOKUP(AO89,$M$87:$AC$90,$AG89,FALSE)),"")</f>
        <v/>
      </c>
      <c r="AQ89" s="127">
        <f>IF(VLOOKUP($AH89,SKUS_TO_SIZES,AQ$11,FALSE)=0,"",VLOOKUP($AH89,SKUS_TO_SIZES,AQ$11,FALSE))</f>
        <v>130</v>
      </c>
      <c r="AR89" s="128" t="str">
        <f>IFERROR(IF(HLOOKUP(AQ89,$M$87:$AC$90,$AG89,FALSE)=0,"",HLOOKUP(AQ89,$M$87:$AC$90,$AG89,FALSE)),"")</f>
        <v/>
      </c>
      <c r="AS89" s="127">
        <f>IF(VLOOKUP($AH89,SKUS_TO_SIZES,AS$11,FALSE)=0,"",VLOOKUP($AH89,SKUS_TO_SIZES,AS$11,FALSE))</f>
        <v>135</v>
      </c>
      <c r="AT89" s="128" t="str">
        <f>IFERROR(IF(HLOOKUP(AS89,$M$87:$AC$90,$AG89,FALSE)=0,"",HLOOKUP(AS89,$M$87:$AC$90,$AG89,FALSE)),"")</f>
        <v/>
      </c>
      <c r="AU89" s="127">
        <f>IF(VLOOKUP($AH89,SKUS_TO_SIZES,AU$11,FALSE)=0,"",VLOOKUP($AH89,SKUS_TO_SIZES,AU$11,FALSE))</f>
        <v>140</v>
      </c>
      <c r="AV89" s="128" t="str">
        <f>IFERROR(IF(HLOOKUP(AU89,$M$87:$AC$90,$AG89,FALSE)=0,"",HLOOKUP(AU89,$M$87:$AC$90,$AG89,FALSE)),"")</f>
        <v/>
      </c>
      <c r="AW89" s="127" t="str">
        <f>IF(VLOOKUP($AH89,SKUS_TO_SIZES,AW$11,FALSE)=0,"",VLOOKUP($AH89,SKUS_TO_SIZES,AW$11,FALSE))</f>
        <v/>
      </c>
      <c r="AX89" s="128" t="str">
        <f>IFERROR(IF(HLOOKUP(AW89,$M$87:$AC$90,$AG89,FALSE)=0,"",HLOOKUP(AW89,$M$87:$AC$90,$AG89,FALSE)),"")</f>
        <v/>
      </c>
      <c r="AY89" s="127" t="str">
        <f>IF(VLOOKUP($AH89,SKUS_TO_SIZES,AY$11,FALSE)=0,"",VLOOKUP($AH89,SKUS_TO_SIZES,AY$11,FALSE))</f>
        <v/>
      </c>
      <c r="AZ89" s="128" t="str">
        <f>IFERROR(IF(HLOOKUP(AY89,$M$87:$AC$90,$AG89,FALSE)=0,"",HLOOKUP(AY89,$M$87:$AC$90,$AG89,FALSE)),"")</f>
        <v/>
      </c>
      <c r="BA89" s="127" t="str">
        <f>IF(VLOOKUP($AH89,SKUS_TO_SIZES,BA$11,FALSE)=0,"",VLOOKUP($AH89,SKUS_TO_SIZES,BA$11,FALSE))</f>
        <v/>
      </c>
      <c r="BB89" s="128" t="str">
        <f>IFERROR(IF(HLOOKUP(BA89,$M$87:$AC$90,$AG89,FALSE)=0,"",HLOOKUP(BA89,$M$87:$AC$90,$AG89,FALSE)),"")</f>
        <v/>
      </c>
      <c r="BC89" s="127" t="str">
        <f>IF(VLOOKUP($AH89,SKUS_TO_SIZES,BC$11,FALSE)=0,"",VLOOKUP($AH89,SKUS_TO_SIZES,BC$11,FALSE))</f>
        <v/>
      </c>
      <c r="BD89" s="128" t="str">
        <f>IFERROR(IF(HLOOKUP(BC89,$M$87:$AC$90,$AG89,FALSE)=0,"",HLOOKUP(BC89,$M$87:$AC$90,$AG89,FALSE)),"")</f>
        <v/>
      </c>
      <c r="BE89" s="127" t="str">
        <f>IF(VLOOKUP($AH89,SKUS_TO_SIZES,BE$11,FALSE)=0,"",VLOOKUP($AH89,SKUS_TO_SIZES,BE$11,FALSE))</f>
        <v/>
      </c>
      <c r="BF89" s="128" t="str">
        <f>IFERROR(IF(HLOOKUP(BE89,$M$87:$AC$90,$AG89,FALSE)=0,"",HLOOKUP(BE89,$M$87:$AC$90,$AG89,FALSE)),"")</f>
        <v/>
      </c>
    </row>
    <row r="90" spans="1:59" ht="12.75" hidden="1" customHeight="1">
      <c r="B90" s="9">
        <f>IF(SKI_CALCULATOR_TYPE=1,IF(ISBLANK(D90),MAX(B$68:B89),IF(AND(ISNUMBER(L90),L90&gt;0)=TRUE,MAX(B$68:B89)+1,MAX(B$68:B89))),0)</f>
        <v>0</v>
      </c>
      <c r="C90" s="13"/>
      <c r="D90" s="314" t="s">
        <v>274</v>
      </c>
      <c r="E90" s="535" t="str">
        <f>VLOOKUP(D90,SKUS_TO_SIZES,2,FALSE)</f>
        <v>RENTAL SR</v>
      </c>
      <c r="F90" s="532">
        <f>VLOOKUP(D90,SKUS_TO_SIZES,3,FALSE)</f>
        <v>29</v>
      </c>
      <c r="G90" s="532">
        <f ca="1">SUM(L90)*F90</f>
        <v>0</v>
      </c>
      <c r="H90" s="532">
        <f>IF(SKI_DISCOUNT_TYPE=1,IF($J$7=0,F90,F90*(SUM(1-$J$7))),IF(I90=0,F90,F90*(SUM(1-I90))))</f>
        <v>29</v>
      </c>
      <c r="I90" s="536">
        <v>0</v>
      </c>
      <c r="J90" s="537">
        <f>$J$7</f>
        <v>0</v>
      </c>
      <c r="K90" s="538">
        <f ca="1">SUM(M90:AC90)*H90</f>
        <v>0</v>
      </c>
      <c r="L90" s="553">
        <f t="shared" ca="1" si="139"/>
        <v>0</v>
      </c>
      <c r="M90" s="419"/>
      <c r="N90" s="420"/>
      <c r="O90" s="420"/>
      <c r="P90" s="420"/>
      <c r="Q90" s="420"/>
      <c r="R90" s="420"/>
      <c r="S90" s="420"/>
      <c r="T90" s="411" t="str">
        <f ca="1">IFERROR(ROUND(HLOOKUP(T$87,INDIRECT("'Hidden Data'!"&amp;HLOOKUP(COLUMN(SKUS_TO_SIZES),NUMBER_TO_LETTER,2,FALSE)&amp;MATCH($D90,'Hidden Data'!$D:$D,0)&amp;":T"&amp;MATCH($D90&amp;"-sizecurve",'Hidden Data'!$D:$D,0)),2,FALSE),0)," ")</f>
        <v xml:space="preserve"> </v>
      </c>
      <c r="U90" s="178"/>
      <c r="V90" s="178"/>
      <c r="W90" s="178"/>
      <c r="X90" s="178"/>
      <c r="Y90" s="178"/>
      <c r="Z90" s="178"/>
      <c r="AA90" s="178"/>
      <c r="AB90" s="178"/>
      <c r="AC90" s="178"/>
      <c r="AD90" s="178"/>
      <c r="AE90" s="178"/>
      <c r="AF90" s="10"/>
      <c r="AG90" s="1">
        <f t="shared" si="140"/>
        <v>4</v>
      </c>
      <c r="AH90" s="288" t="str">
        <f>D90</f>
        <v>RDO7000</v>
      </c>
      <c r="AI90" s="127">
        <f>IF(VLOOKUP($AH90,SKUS_TO_SIZES,AI$11,FALSE)=0,"",VLOOKUP($AH90,SKUS_TO_SIZES,AI$11,FALSE))</f>
        <v>110</v>
      </c>
      <c r="AJ90" s="128" t="str">
        <f>IFERROR(IF(HLOOKUP(AI90,$M$87:$AC$90,$AG90,FALSE)=0,"",HLOOKUP(AI90,$M$87:$AC$90,$AG90,FALSE)),"")</f>
        <v/>
      </c>
      <c r="AK90" s="127">
        <f>IF(VLOOKUP($AH90,SKUS_TO_SIZES,AK$11,FALSE)=0,"",VLOOKUP($AH90,SKUS_TO_SIZES,AK$11,FALSE))</f>
        <v>115</v>
      </c>
      <c r="AL90" s="128" t="str">
        <f>IFERROR(IF(HLOOKUP(AK90,$M$87:$AC$90,$AG90,FALSE)=0,"",HLOOKUP(AK90,$M$87:$AC$90,$AG90,FALSE)),"")</f>
        <v/>
      </c>
      <c r="AM90" s="127">
        <f>IF(VLOOKUP($AH90,SKUS_TO_SIZES,AM$11,FALSE)=0,"",VLOOKUP($AH90,SKUS_TO_SIZES,AM$11,FALSE))</f>
        <v>120</v>
      </c>
      <c r="AN90" s="128" t="str">
        <f>IFERROR(IF(HLOOKUP(AM90,$M$87:$AC$90,$AG90,FALSE)=0,"",HLOOKUP(AM90,$M$87:$AC$90,$AG90,FALSE)),"")</f>
        <v/>
      </c>
      <c r="AO90" s="127">
        <f>IF(VLOOKUP($AH90,SKUS_TO_SIZES,AO$11,FALSE)=0,"",VLOOKUP($AH90,SKUS_TO_SIZES,AO$11,FALSE))</f>
        <v>125</v>
      </c>
      <c r="AP90" s="128" t="str">
        <f>IFERROR(IF(HLOOKUP(AO90,$M$87:$AC$90,$AG90,FALSE)=0,"",HLOOKUP(AO90,$M$87:$AC$90,$AG90,FALSE)),"")</f>
        <v/>
      </c>
      <c r="AQ90" s="127">
        <f>IF(VLOOKUP($AH90,SKUS_TO_SIZES,AQ$11,FALSE)=0,"",VLOOKUP($AH90,SKUS_TO_SIZES,AQ$11,FALSE))</f>
        <v>130</v>
      </c>
      <c r="AR90" s="128" t="str">
        <f>IFERROR(IF(HLOOKUP(AQ90,$M$87:$AC$90,$AG90,FALSE)=0,"",HLOOKUP(AQ90,$M$87:$AC$90,$AG90,FALSE)),"")</f>
        <v/>
      </c>
      <c r="AS90" s="127">
        <f>IF(VLOOKUP($AH90,SKUS_TO_SIZES,AS$11,FALSE)=0,"",VLOOKUP($AH90,SKUS_TO_SIZES,AS$11,FALSE))</f>
        <v>135</v>
      </c>
      <c r="AT90" s="128" t="str">
        <f>IFERROR(IF(HLOOKUP(AS90,$M$87:$AC$90,$AG90,FALSE)=0,"",HLOOKUP(AS90,$M$87:$AC$90,$AG90,FALSE)),"")</f>
        <v/>
      </c>
      <c r="AU90" s="127">
        <f>IF(VLOOKUP($AH90,SKUS_TO_SIZES,AU$11,FALSE)=0,"",VLOOKUP($AH90,SKUS_TO_SIZES,AU$11,FALSE))</f>
        <v>140</v>
      </c>
      <c r="AV90" s="128" t="str">
        <f>IFERROR(IF(HLOOKUP(AU90,$M$87:$AC$90,$AG90,FALSE)=0,"",HLOOKUP(AU90,$M$87:$AC$90,$AG90,FALSE)),"")</f>
        <v/>
      </c>
      <c r="AW90" s="127" t="str">
        <f>IF(VLOOKUP($AH90,SKUS_TO_SIZES,AW$11,FALSE)=0,"",VLOOKUP($AH90,SKUS_TO_SIZES,AW$11,FALSE))</f>
        <v/>
      </c>
      <c r="AX90" s="128" t="str">
        <f>IFERROR(IF(HLOOKUP(AW90,$M$87:$AC$90,$AG90,FALSE)=0,"",HLOOKUP(AW90,$M$87:$AC$90,$AG90,FALSE)),"")</f>
        <v/>
      </c>
      <c r="AY90" s="127" t="str">
        <f>IF(VLOOKUP($AH90,SKUS_TO_SIZES,AY$11,FALSE)=0,"",VLOOKUP($AH90,SKUS_TO_SIZES,AY$11,FALSE))</f>
        <v/>
      </c>
      <c r="AZ90" s="128" t="str">
        <f>IFERROR(IF(HLOOKUP(AY90,$M$87:$AC$90,$AG90,FALSE)=0,"",HLOOKUP(AY90,$M$87:$AC$90,$AG90,FALSE)),"")</f>
        <v/>
      </c>
      <c r="BA90" s="127" t="str">
        <f>IF(VLOOKUP($AH90,SKUS_TO_SIZES,BA$11,FALSE)=0,"",VLOOKUP($AH90,SKUS_TO_SIZES,BA$11,FALSE))</f>
        <v/>
      </c>
      <c r="BB90" s="128" t="str">
        <f>IFERROR(IF(HLOOKUP(BA90,$M$87:$AC$90,$AG90,FALSE)=0,"",HLOOKUP(BA90,$M$87:$AC$90,$AG90,FALSE)),"")</f>
        <v/>
      </c>
      <c r="BC90" s="127" t="str">
        <f>IF(VLOOKUP($AH90,SKUS_TO_SIZES,BC$11,FALSE)=0,"",VLOOKUP($AH90,SKUS_TO_SIZES,BC$11,FALSE))</f>
        <v/>
      </c>
      <c r="BD90" s="128" t="str">
        <f>IFERROR(IF(HLOOKUP(BC90,$M$87:$AC$90,$AG90,FALSE)=0,"",HLOOKUP(BC90,$M$87:$AC$90,$AG90,FALSE)),"")</f>
        <v/>
      </c>
      <c r="BE90" s="127" t="str">
        <f>IF(VLOOKUP($AH90,SKUS_TO_SIZES,BE$11,FALSE)=0,"",VLOOKUP($AH90,SKUS_TO_SIZES,BE$11,FALSE))</f>
        <v/>
      </c>
      <c r="BF90" s="128" t="str">
        <f>IFERROR(IF(HLOOKUP(BE90,$M$87:$AC$90,$AG90,FALSE)=0,"",HLOOKUP(BE90,$M$87:$AC$90,$AG90,FALSE)),"")</f>
        <v/>
      </c>
    </row>
    <row r="91" spans="1:59" ht="12.75" hidden="1" customHeight="1">
      <c r="B91" s="9">
        <f>IF(SKI_CALCULATOR_TYPE=1,IF(ISBLANK(D91),MAX(B$68:B90),IF(AND(ISNUMBER(L91),L91&gt;0)=TRUE,MAX(B$68:B90)+1,MAX(B$68:B90))),0)</f>
        <v>0</v>
      </c>
      <c r="C91" s="10"/>
      <c r="D91" s="178"/>
      <c r="E91" s="209"/>
      <c r="F91" s="210"/>
      <c r="G91" s="395">
        <f ca="1">SUM(G88:G90)</f>
        <v>0</v>
      </c>
      <c r="H91" s="210"/>
      <c r="I91" s="210"/>
      <c r="J91" s="210"/>
      <c r="K91" s="309">
        <f ca="1">SUM(K88:K90)</f>
        <v>0</v>
      </c>
      <c r="L91" s="310">
        <f t="shared" ca="1" si="139"/>
        <v>0</v>
      </c>
      <c r="M91" s="229">
        <f ca="1">SUM(M88:M90)</f>
        <v>0</v>
      </c>
      <c r="N91" s="235">
        <f t="shared" ref="N91" ca="1" si="141">SUM(N88:N90)</f>
        <v>0</v>
      </c>
      <c r="O91" s="235">
        <f t="shared" ref="O91" ca="1" si="142">SUM(O88:O90)</f>
        <v>0</v>
      </c>
      <c r="P91" s="235">
        <f t="shared" ref="P91" ca="1" si="143">SUM(P88:P90)</f>
        <v>0</v>
      </c>
      <c r="Q91" s="235">
        <f ca="1">SUM(Q88:Q90)</f>
        <v>0</v>
      </c>
      <c r="R91" s="235">
        <f t="shared" ref="R91" ca="1" si="144">SUM(R88:R90)</f>
        <v>0</v>
      </c>
      <c r="S91" s="235">
        <f ca="1">SUM(S88:S90)</f>
        <v>0</v>
      </c>
      <c r="T91" s="230">
        <f ca="1">SUM(T88:T90)</f>
        <v>0</v>
      </c>
      <c r="U91" s="178"/>
      <c r="V91" s="178"/>
      <c r="W91" s="178"/>
      <c r="X91" s="209"/>
      <c r="Y91" s="209"/>
      <c r="Z91" s="209"/>
      <c r="AA91" s="209"/>
      <c r="AB91" s="209"/>
      <c r="AC91" s="209"/>
      <c r="AD91" s="209"/>
      <c r="AE91" s="209"/>
      <c r="AF91" s="10"/>
      <c r="AI91" s="1"/>
      <c r="AJ91" s="41"/>
      <c r="AK91" s="1"/>
      <c r="AL91" s="41"/>
      <c r="AM91" s="1"/>
      <c r="AN91" s="41"/>
      <c r="AO91" s="1"/>
      <c r="AP91" s="41"/>
      <c r="AQ91" s="1"/>
      <c r="AR91" s="41"/>
      <c r="AS91" s="1"/>
      <c r="AT91" s="41"/>
      <c r="AU91" s="1"/>
      <c r="AV91" s="41"/>
      <c r="AW91" s="1"/>
      <c r="AX91" s="41"/>
      <c r="AY91" s="1"/>
      <c r="AZ91" s="41"/>
      <c r="BA91" s="1"/>
      <c r="BB91" s="41"/>
      <c r="BC91" s="1"/>
      <c r="BD91" s="41"/>
      <c r="BE91" s="1"/>
      <c r="BF91" s="41"/>
    </row>
    <row r="92" spans="1:59" ht="12.75" hidden="1" customHeight="1">
      <c r="B92" s="9">
        <f>IF(SKI_CALCULATOR_TYPE=1,IF(ISBLANK(D92),MAX(B$68:B91),IF(AND(ISNUMBER(L92),L92&gt;0)=TRUE,MAX(B$68:B91)+1,MAX(B$68:B91))),0)</f>
        <v>0</v>
      </c>
      <c r="C92" s="10"/>
      <c r="D92" s="208"/>
      <c r="E92" s="209"/>
      <c r="F92" s="186"/>
      <c r="G92" s="186"/>
      <c r="H92" s="186"/>
      <c r="I92" s="187"/>
      <c r="J92" s="187"/>
      <c r="K92" s="188"/>
      <c r="L92" s="279"/>
      <c r="M92" s="179"/>
      <c r="N92" s="179"/>
      <c r="O92" s="178"/>
      <c r="P92" s="178"/>
      <c r="Q92" s="178"/>
      <c r="R92" s="178"/>
      <c r="S92" s="178"/>
      <c r="T92" s="178"/>
      <c r="U92" s="178"/>
      <c r="V92" s="178"/>
      <c r="W92" s="178"/>
      <c r="X92" s="178"/>
      <c r="Y92" s="178"/>
      <c r="Z92" s="178"/>
      <c r="AA92" s="178"/>
      <c r="AB92" s="178"/>
      <c r="AC92" s="178"/>
      <c r="AD92" s="178"/>
      <c r="AE92" s="178"/>
      <c r="AF92" s="12"/>
      <c r="AG92" s="149"/>
      <c r="AH92" s="15"/>
      <c r="AI92" s="38"/>
      <c r="AJ92" s="15"/>
      <c r="AK92" s="38"/>
      <c r="AL92" s="15"/>
      <c r="AM92" s="38"/>
      <c r="AN92" s="15"/>
      <c r="AO92" s="38"/>
      <c r="AP92" s="15"/>
      <c r="AQ92" s="38"/>
      <c r="AR92" s="15"/>
      <c r="AS92" s="38"/>
      <c r="AT92" s="15"/>
      <c r="AU92" s="38"/>
      <c r="AV92" s="15"/>
      <c r="AW92" s="38"/>
      <c r="AX92" s="15"/>
      <c r="AY92" s="38"/>
      <c r="AZ92" s="15"/>
      <c r="BA92" s="38"/>
      <c r="BB92" s="15"/>
      <c r="BC92" s="38"/>
      <c r="BD92" s="8"/>
      <c r="BG92" s="41"/>
    </row>
    <row r="93" spans="1:59" s="8" customFormat="1" ht="14" hidden="1">
      <c r="A93" s="1"/>
      <c r="B93" s="9">
        <f>IF(SKI_CALCULATOR_TYPE=1,IF(ISBLANK(D93),MAX(B$68:B92),IF(AND(ISNUMBER(L93),L93&gt;0)=TRUE,MAX(B$68:B92)+1,MAX(B$68:B92))),0)</f>
        <v>0</v>
      </c>
      <c r="C93" s="12"/>
      <c r="D93" s="961" t="s">
        <v>103</v>
      </c>
      <c r="E93" s="961"/>
      <c r="F93" s="961"/>
      <c r="G93" s="961"/>
      <c r="H93" s="961"/>
      <c r="I93" s="961"/>
      <c r="J93" s="961"/>
      <c r="K93" s="961"/>
      <c r="L93" s="961"/>
      <c r="M93" s="961"/>
      <c r="N93" s="961"/>
      <c r="O93" s="961"/>
      <c r="P93" s="961"/>
      <c r="Q93" s="961"/>
      <c r="R93" s="961"/>
      <c r="S93" s="961"/>
      <c r="T93" s="961"/>
      <c r="U93" s="961"/>
      <c r="V93" s="961"/>
      <c r="W93" s="961"/>
      <c r="X93" s="961"/>
      <c r="Y93" s="961"/>
      <c r="Z93" s="961"/>
      <c r="AA93" s="961"/>
      <c r="AB93" s="961"/>
      <c r="AC93" s="961"/>
      <c r="AD93" s="961"/>
      <c r="AE93" s="961"/>
      <c r="AF93" s="10"/>
      <c r="AJ93" s="43"/>
      <c r="AL93" s="43"/>
      <c r="AN93" s="43"/>
      <c r="AP93" s="43"/>
      <c r="AR93" s="43"/>
      <c r="AT93" s="43"/>
      <c r="AV93" s="43"/>
      <c r="AX93" s="43"/>
      <c r="AZ93" s="43"/>
      <c r="BB93" s="43"/>
      <c r="BD93" s="43"/>
      <c r="BF93" s="43"/>
    </row>
    <row r="94" spans="1:59" ht="12.75" hidden="1" customHeight="1">
      <c r="B94" s="9">
        <f>IF(SKI_CALCULATOR_TYPE=1,IF(ISBLANK(D94),MAX(B$68:B93),IF(AND(ISNUMBER(L94),L94&gt;0)=TRUE,MAX(B$68:B93)+1,MAX(B$68:B93))),0)</f>
        <v>0</v>
      </c>
      <c r="C94" s="10"/>
      <c r="D94" s="955" t="s">
        <v>110</v>
      </c>
      <c r="E94" s="956"/>
      <c r="F94" s="293"/>
      <c r="G94" s="291"/>
      <c r="H94" s="289"/>
      <c r="I94" s="289"/>
      <c r="J94" s="289"/>
      <c r="K94" s="289"/>
      <c r="L94" s="289"/>
      <c r="M94" s="289"/>
      <c r="N94" s="289"/>
      <c r="O94" s="289"/>
      <c r="P94" s="289"/>
      <c r="Q94" s="289"/>
      <c r="R94" s="289"/>
      <c r="S94" s="289"/>
      <c r="X94" s="8"/>
      <c r="Y94" s="8"/>
      <c r="Z94" s="8"/>
      <c r="AA94" s="8"/>
      <c r="AB94" s="8"/>
      <c r="AC94" s="8"/>
      <c r="AD94" s="8"/>
      <c r="AE94" s="8"/>
      <c r="AF94" s="10"/>
      <c r="AI94" s="1"/>
      <c r="AJ94" s="41"/>
      <c r="AK94" s="1"/>
      <c r="AL94" s="41"/>
      <c r="AM94" s="1"/>
      <c r="AN94" s="41"/>
      <c r="AO94" s="1"/>
      <c r="AP94" s="41"/>
      <c r="AQ94" s="1"/>
      <c r="AR94" s="41"/>
      <c r="AS94" s="1"/>
      <c r="AT94" s="41"/>
      <c r="AU94" s="1"/>
      <c r="AV94" s="41"/>
      <c r="AW94" s="1"/>
      <c r="AX94" s="41"/>
      <c r="AY94" s="1"/>
      <c r="AZ94" s="41"/>
      <c r="BA94" s="1"/>
      <c r="BB94" s="41"/>
      <c r="BC94" s="1"/>
      <c r="BD94" s="41"/>
      <c r="BE94" s="1"/>
      <c r="BF94" s="41"/>
    </row>
    <row r="95" spans="1:59" ht="12.75" hidden="1" customHeight="1" thickBot="1">
      <c r="B95" s="9">
        <f>IF(SKI_CALCULATOR_TYPE=1,IF(ISBLANK(D95),MAX(B$68:B94),IF(AND(ISNUMBER(L95),L95&gt;0)=TRUE,MAX(B$68:B94)+1,MAX(B$68:B94))),0)</f>
        <v>0</v>
      </c>
      <c r="C95" s="10"/>
      <c r="D95" s="295" t="s">
        <v>0</v>
      </c>
      <c r="E95" s="313" t="s">
        <v>1</v>
      </c>
      <c r="F95" s="305" t="s">
        <v>43</v>
      </c>
      <c r="G95" s="305" t="s">
        <v>19</v>
      </c>
      <c r="H95" s="327" t="s">
        <v>102</v>
      </c>
      <c r="I95" s="331" t="s">
        <v>21</v>
      </c>
      <c r="J95" s="311" t="s">
        <v>21</v>
      </c>
      <c r="K95" s="306" t="s">
        <v>6</v>
      </c>
      <c r="L95" s="302" t="s">
        <v>5</v>
      </c>
      <c r="M95" s="300">
        <v>70</v>
      </c>
      <c r="N95" s="301">
        <v>80</v>
      </c>
      <c r="O95" s="301">
        <v>92</v>
      </c>
      <c r="P95" s="301">
        <v>104</v>
      </c>
      <c r="Q95" s="301">
        <v>110</v>
      </c>
      <c r="R95" s="301">
        <v>116</v>
      </c>
      <c r="S95" s="303">
        <v>122</v>
      </c>
      <c r="T95" s="303">
        <v>128</v>
      </c>
      <c r="U95" s="303">
        <v>140</v>
      </c>
      <c r="V95" s="209"/>
      <c r="W95" s="209"/>
      <c r="X95" s="209"/>
      <c r="Y95" s="209"/>
      <c r="Z95" s="209"/>
      <c r="AA95" s="209"/>
      <c r="AB95" s="209"/>
      <c r="AC95" s="209"/>
      <c r="AD95" s="209"/>
      <c r="AE95" s="209"/>
      <c r="AF95" s="10"/>
      <c r="AI95" s="1"/>
      <c r="AJ95" s="41"/>
      <c r="AK95" s="1"/>
      <c r="AL95" s="41"/>
      <c r="AM95" s="1"/>
      <c r="AN95" s="41"/>
      <c r="AO95" s="1"/>
      <c r="AP95" s="41"/>
      <c r="AQ95" s="1"/>
      <c r="AR95" s="41"/>
      <c r="AS95" s="1"/>
      <c r="AT95" s="41"/>
      <c r="AU95" s="1"/>
      <c r="AV95" s="41"/>
      <c r="AW95" s="1"/>
      <c r="AX95" s="41"/>
      <c r="AY95" s="1"/>
      <c r="AZ95" s="41"/>
      <c r="BA95" s="1"/>
      <c r="BB95" s="41"/>
      <c r="BC95" s="1"/>
      <c r="BD95" s="41"/>
      <c r="BE95" s="1"/>
      <c r="BF95" s="41"/>
    </row>
    <row r="96" spans="1:59" ht="12.75" hidden="1" customHeight="1" thickTop="1">
      <c r="A96" s="8"/>
      <c r="B96" s="9">
        <f>IF(SKI_CALCULATOR_TYPE=1,IF(ISBLANK(D96),MAX(B$68:B95),IF(AND(ISNUMBER(L96),L96&gt;0)=TRUE,MAX(B$68:B95)+1,MAX(B$68:B95))),0)</f>
        <v>0</v>
      </c>
      <c r="C96" s="10"/>
      <c r="D96" s="390" t="s">
        <v>276</v>
      </c>
      <c r="E96" s="519" t="str">
        <f>VLOOKUP(D96,SKUS_TO_SIZES,2,FALSE)</f>
        <v>EXPERIENCE JR KID-X KID 4 GW B76</v>
      </c>
      <c r="F96" s="520">
        <f>VLOOKUP(D96,SKUS_TO_SIZES,3,FALSE)</f>
        <v>189</v>
      </c>
      <c r="G96" s="520">
        <f ca="1">SUM(M96:W96)*F96</f>
        <v>0</v>
      </c>
      <c r="H96" s="520">
        <f>IF(SKI_DISCOUNT_TYPE=1,IF($J$10=0,F96,F96*(SUM(1-$J$10))),IF(I96=0,F96,F96*(SUM(1-I96))))</f>
        <v>189</v>
      </c>
      <c r="I96" s="521">
        <v>0</v>
      </c>
      <c r="J96" s="522">
        <f>$J$10</f>
        <v>0</v>
      </c>
      <c r="K96" s="523">
        <f ca="1">SUM(M96:AC96)*H96</f>
        <v>0</v>
      </c>
      <c r="L96" s="551">
        <f ca="1">SUM(M96:AD96)</f>
        <v>0</v>
      </c>
      <c r="M96" s="554" t="str">
        <f ca="1">IFERROR(ROUND(HLOOKUP(M$95,INDIRECT("'Hidden Data'!"&amp;HLOOKUP(COLUMN(SKUS_TO_SIZES),NUMBER_TO_LETTER,2,FALSE)&amp;MATCH($D96,'Hidden Data'!$D:$D,0)&amp;":T"&amp;MATCH($D96&amp;"-sizecurve",'Hidden Data'!$D:$D,0)),2,FALSE),0)," ")</f>
        <v xml:space="preserve"> </v>
      </c>
      <c r="N96" s="409" t="str">
        <f ca="1">IFERROR(ROUND(HLOOKUP(N$95,INDIRECT("'Hidden Data'!"&amp;HLOOKUP(COLUMN(SKUS_TO_SIZES),NUMBER_TO_LETTER,2,FALSE)&amp;MATCH($D96,'Hidden Data'!$D:$D,0)&amp;":T"&amp;MATCH($D96&amp;"-sizecurve",'Hidden Data'!$D:$D,0)),2,FALSE),0)," ")</f>
        <v xml:space="preserve"> </v>
      </c>
      <c r="O96" s="409" t="str">
        <f ca="1">IFERROR(ROUND(HLOOKUP(O$95,INDIRECT("'Hidden Data'!"&amp;HLOOKUP(COLUMN(SKUS_TO_SIZES),NUMBER_TO_LETTER,2,FALSE)&amp;MATCH($D96,'Hidden Data'!$D:$D,0)&amp;":T"&amp;MATCH($D96&amp;"-sizecurve",'Hidden Data'!$D:$D,0)),2,FALSE),0)," ")</f>
        <v xml:space="preserve"> </v>
      </c>
      <c r="P96" s="416"/>
      <c r="Q96" s="416"/>
      <c r="R96" s="416"/>
      <c r="S96" s="416"/>
      <c r="T96" s="416"/>
      <c r="U96" s="417"/>
      <c r="V96" s="209"/>
      <c r="W96" s="209"/>
      <c r="X96" s="209"/>
      <c r="Y96" s="209"/>
      <c r="Z96" s="209"/>
      <c r="AA96" s="209"/>
      <c r="AB96" s="209"/>
      <c r="AC96" s="209"/>
      <c r="AD96" s="209"/>
      <c r="AE96" s="209"/>
      <c r="AF96" s="10"/>
      <c r="AG96" s="1">
        <v>2</v>
      </c>
      <c r="AH96" s="288" t="str">
        <f>D96</f>
        <v>RROJC05W</v>
      </c>
      <c r="AI96" s="130">
        <f>IF(VLOOKUP($AH96,SKUS_TO_SIZES,AI$11,FALSE)=0,"",VLOOKUP($AH96,SKUS_TO_SIZES,AI$11,FALSE))</f>
        <v>104</v>
      </c>
      <c r="AJ96" s="129" t="str">
        <f>IFERROR(IF(HLOOKUP(AI96,$M$95:$AC$97,$AG96,FALSE)=0,"",HLOOKUP(AI96,$M$95:$AC$97,$AG96,FALSE)),"")</f>
        <v/>
      </c>
      <c r="AK96" s="130">
        <f>IF(VLOOKUP($AH96,SKUS_TO_SIZES,AK$11,FALSE)=0,"",VLOOKUP($AH96,SKUS_TO_SIZES,AK$11,FALSE))</f>
        <v>110</v>
      </c>
      <c r="AL96" s="129" t="str">
        <f>IFERROR(IF(HLOOKUP(AK96,$M$95:$AC$97,$AG96,FALSE)=0,"",HLOOKUP(AK96,$M$95:$AC$97,$AG96,FALSE)),"")</f>
        <v/>
      </c>
      <c r="AM96" s="130">
        <f>IF(VLOOKUP($AH96,SKUS_TO_SIZES,AM$11,FALSE)=0,"",VLOOKUP($AH96,SKUS_TO_SIZES,AM$11,FALSE))</f>
        <v>116</v>
      </c>
      <c r="AN96" s="129" t="str">
        <f>IFERROR(IF(HLOOKUP(AM96,$M$95:$AC$97,$AG96,FALSE)=0,"",HLOOKUP(AM96,$M$95:$AC$97,$AG96,FALSE)),"")</f>
        <v/>
      </c>
      <c r="AO96" s="130">
        <f>IF(VLOOKUP($AH96,SKUS_TO_SIZES,AO$11,FALSE)=0,"",VLOOKUP($AH96,SKUS_TO_SIZES,AO$11,FALSE))</f>
        <v>122</v>
      </c>
      <c r="AP96" s="129" t="str">
        <f>IFERROR(IF(HLOOKUP(AO96,$M$95:$AC$97,$AG96,FALSE)=0,"",HLOOKUP(AO96,$M$95:$AC$97,$AG96,FALSE)),"")</f>
        <v/>
      </c>
      <c r="AQ96" s="130">
        <f>IF(VLOOKUP($AH96,SKUS_TO_SIZES,AQ$11,FALSE)=0,"",VLOOKUP($AH96,SKUS_TO_SIZES,AQ$11,FALSE))</f>
        <v>128</v>
      </c>
      <c r="AR96" s="129" t="str">
        <f>IFERROR(IF(HLOOKUP(AQ96,$M$95:$AC$97,$AG96,FALSE)=0,"",HLOOKUP(AQ96,$M$95:$AC$97,$AG96,FALSE)),"")</f>
        <v/>
      </c>
      <c r="AS96" s="130">
        <f>IF(VLOOKUP($AH96,SKUS_TO_SIZES,AS$11,FALSE)=0,"",VLOOKUP($AH96,SKUS_TO_SIZES,AS$11,FALSE))</f>
        <v>140</v>
      </c>
      <c r="AT96" s="129" t="str">
        <f>IFERROR(IF(HLOOKUP(AS96,$M$95:$AC$97,$AG96,FALSE)=0,"",HLOOKUP(AS96,$M$95:$AC$97,$AG96,FALSE)),"")</f>
        <v/>
      </c>
      <c r="AU96" s="130" t="str">
        <f>IF(VLOOKUP($AH96,SKUS_TO_SIZES,AU$11,FALSE)=0,"",VLOOKUP($AH96,SKUS_TO_SIZES,AU$11,FALSE))</f>
        <v/>
      </c>
      <c r="AV96" s="129" t="str">
        <f>IFERROR(IF(HLOOKUP(AU96,$M$95:$AC$97,$AG96,FALSE)=0,"",HLOOKUP(AU96,$M$95:$AC$97,$AG96,FALSE)),"")</f>
        <v/>
      </c>
      <c r="AW96" s="130" t="str">
        <f>IF(VLOOKUP($AH96,SKUS_TO_SIZES,AW$11,FALSE)=0,"",VLOOKUP($AH96,SKUS_TO_SIZES,AW$11,FALSE))</f>
        <v/>
      </c>
      <c r="AX96" s="129" t="str">
        <f>IFERROR(IF(HLOOKUP(AW96,$M$95:$AC$97,$AG96,FALSE)=0,"",HLOOKUP(AW96,$M$95:$AC$97,$AG96,FALSE)),"")</f>
        <v/>
      </c>
      <c r="AY96" s="130" t="str">
        <f>IF(VLOOKUP($AH96,SKUS_TO_SIZES,AY$11,FALSE)=0,"",VLOOKUP($AH96,SKUS_TO_SIZES,AY$11,FALSE))</f>
        <v/>
      </c>
      <c r="AZ96" s="129" t="str">
        <f>IFERROR(IF(HLOOKUP(AY96,$M$95:$AC$97,$AG96,FALSE)=0,"",HLOOKUP(AY96,$M$95:$AC$97,$AG96,FALSE)),"")</f>
        <v/>
      </c>
      <c r="BA96" s="130" t="str">
        <f>IF(VLOOKUP($AH96,SKUS_TO_SIZES,BA$11,FALSE)=0,"",VLOOKUP($AH96,SKUS_TO_SIZES,BA$11,FALSE))</f>
        <v/>
      </c>
      <c r="BB96" s="129" t="str">
        <f>IFERROR(IF(HLOOKUP(BA96,$M$95:$AC$97,$AG96,FALSE)=0,"",HLOOKUP(BA96,$M$95:$AC$97,$AG96,FALSE)),"")</f>
        <v/>
      </c>
      <c r="BC96" s="130" t="str">
        <f>IF(VLOOKUP($AH96,SKUS_TO_SIZES,BC$11,FALSE)=0,"",VLOOKUP($AH96,SKUS_TO_SIZES,BC$11,FALSE))</f>
        <v/>
      </c>
      <c r="BD96" s="129" t="str">
        <f>IFERROR(IF(HLOOKUP(BC96,$M$95:$AC$97,$AG96,FALSE)=0,"",HLOOKUP(BC96,$M$95:$AC$97,$AG96,FALSE)),"")</f>
        <v/>
      </c>
      <c r="BE96" s="130" t="str">
        <f>IF(VLOOKUP($AH96,SKUS_TO_SIZES,BE$11,FALSE)=0,"",VLOOKUP($AH96,SKUS_TO_SIZES,BE$11,FALSE))</f>
        <v/>
      </c>
      <c r="BF96" s="129" t="str">
        <f>IFERROR(IF(HLOOKUP(BE96,$M$95:$AC$97,$AG96,FALSE)=0,"",HLOOKUP(BE96,$M$95:$AC$97,$AG96,FALSE)),"")</f>
        <v/>
      </c>
      <c r="BG96" s="8"/>
    </row>
    <row r="97" spans="1:59" ht="12.75" hidden="1" customHeight="1">
      <c r="A97" s="8"/>
      <c r="B97" s="9">
        <f>IF(SKI_CALCULATOR_TYPE=1,IF(ISBLANK(D97),MAX(B$68:B96),IF(AND(ISNUMBER(L97),L97&gt;0)=TRUE,MAX(B$68:B96)+1,MAX(B$68:B96))),0)</f>
        <v>0</v>
      </c>
      <c r="C97" s="10"/>
      <c r="D97" s="450" t="s">
        <v>277</v>
      </c>
      <c r="E97" s="525" t="str">
        <f>VLOOKUP(D97,SKUS_TO_SIZES,2,FALSE)</f>
        <v>EXPERIENCE KID KID-X KID 4 GW B76</v>
      </c>
      <c r="F97" s="526">
        <f>VLOOKUP(D97,SKUS_TO_SIZES,3,FALSE)</f>
        <v>172</v>
      </c>
      <c r="G97" s="526">
        <f>SUM(M97:W97)*F97</f>
        <v>0</v>
      </c>
      <c r="H97" s="526">
        <f>IF(SKI_DISCOUNT_TYPE=1,IF($J$10=0,F97,F97*(SUM(1-$J$10))),IF(I97=0,F97,F97*(SUM(1-I97))))</f>
        <v>172</v>
      </c>
      <c r="I97" s="527">
        <v>0</v>
      </c>
      <c r="J97" s="528">
        <f>$J$10</f>
        <v>0</v>
      </c>
      <c r="K97" s="661">
        <f>SUM(M97:AC97)*H97</f>
        <v>0</v>
      </c>
      <c r="L97" s="662">
        <f t="shared" ref="L97:L98" si="145">SUM(M97:AD97)</f>
        <v>0</v>
      </c>
      <c r="M97" s="419"/>
      <c r="N97" s="420"/>
      <c r="O97" s="420"/>
      <c r="P97" s="413"/>
      <c r="Q97" s="413"/>
      <c r="R97" s="413"/>
      <c r="S97" s="413"/>
      <c r="T97" s="413"/>
      <c r="U97" s="411"/>
      <c r="V97" s="209"/>
      <c r="W97" s="209"/>
      <c r="X97" s="209"/>
      <c r="Y97" s="209"/>
      <c r="Z97" s="209"/>
      <c r="AA97" s="209"/>
      <c r="AB97" s="209"/>
      <c r="AC97" s="209"/>
      <c r="AD97" s="209"/>
      <c r="AE97" s="209"/>
      <c r="AF97" s="10"/>
      <c r="AG97" s="1">
        <f>AG96+1</f>
        <v>3</v>
      </c>
      <c r="AH97" s="288" t="str">
        <f>D97</f>
        <v>RROWE03</v>
      </c>
      <c r="AI97" s="130">
        <f>IF(VLOOKUP($AH97,SKUS_TO_SIZES,AI$11,FALSE)=0,"",VLOOKUP($AH97,SKUS_TO_SIZES,AI$11,FALSE))</f>
        <v>70</v>
      </c>
      <c r="AJ97" s="129" t="str">
        <f>IFERROR(IF(HLOOKUP(AI97,$M$95:$AC$97,$AG97,FALSE)=0,"",HLOOKUP(AI97,$M$95:$AC$97,$AG97,FALSE)),"")</f>
        <v/>
      </c>
      <c r="AK97" s="130">
        <f>IF(VLOOKUP($AH97,SKUS_TO_SIZES,AK$11,FALSE)=0,"",VLOOKUP($AH97,SKUS_TO_SIZES,AK$11,FALSE))</f>
        <v>80</v>
      </c>
      <c r="AL97" s="129" t="str">
        <f>IFERROR(IF(HLOOKUP(AK97,$M$95:$AC$97,$AG97,FALSE)=0,"",HLOOKUP(AK97,$M$95:$AC$97,$AG97,FALSE)),"")</f>
        <v/>
      </c>
      <c r="AM97" s="130">
        <f>IF(VLOOKUP($AH97,SKUS_TO_SIZES,AM$11,FALSE)=0,"",VLOOKUP($AH97,SKUS_TO_SIZES,AM$11,FALSE))</f>
        <v>92</v>
      </c>
      <c r="AN97" s="129" t="str">
        <f>IFERROR(IF(HLOOKUP(AM97,$M$95:$AC$97,$AG97,FALSE)=0,"",HLOOKUP(AM97,$M$95:$AC$97,$AG97,FALSE)),"")</f>
        <v/>
      </c>
      <c r="AO97" s="130" t="str">
        <f>IF(VLOOKUP($AH97,SKUS_TO_SIZES,AO$11,FALSE)=0,"",VLOOKUP($AH97,SKUS_TO_SIZES,AO$11,FALSE))</f>
        <v/>
      </c>
      <c r="AP97" s="129" t="str">
        <f>IFERROR(IF(HLOOKUP(AO97,$M$95:$AC$97,$AG97,FALSE)=0,"",HLOOKUP(AO97,$M$95:$AC$97,$AG97,FALSE)),"")</f>
        <v/>
      </c>
      <c r="AQ97" s="130" t="str">
        <f>IF(VLOOKUP($AH97,SKUS_TO_SIZES,AQ$11,FALSE)=0,"",VLOOKUP($AH97,SKUS_TO_SIZES,AQ$11,FALSE))</f>
        <v/>
      </c>
      <c r="AR97" s="129" t="str">
        <f>IFERROR(IF(HLOOKUP(AQ97,$M$95:$AC$97,$AG97,FALSE)=0,"",HLOOKUP(AQ97,$M$95:$AC$97,$AG97,FALSE)),"")</f>
        <v/>
      </c>
      <c r="AS97" s="130" t="str">
        <f>IF(VLOOKUP($AH97,SKUS_TO_SIZES,AS$11,FALSE)=0,"",VLOOKUP($AH97,SKUS_TO_SIZES,AS$11,FALSE))</f>
        <v/>
      </c>
      <c r="AT97" s="129" t="str">
        <f>IFERROR(IF(HLOOKUP(AS97,$M$95:$AC$97,$AG97,FALSE)=0,"",HLOOKUP(AS97,$M$95:$AC$97,$AG97,FALSE)),"")</f>
        <v/>
      </c>
      <c r="AU97" s="130" t="str">
        <f>IF(VLOOKUP($AH97,SKUS_TO_SIZES,AU$11,FALSE)=0,"",VLOOKUP($AH97,SKUS_TO_SIZES,AU$11,FALSE))</f>
        <v/>
      </c>
      <c r="AV97" s="129" t="str">
        <f>IFERROR(IF(HLOOKUP(AU97,$M$95:$AC$97,$AG97,FALSE)=0,"",HLOOKUP(AU97,$M$95:$AC$97,$AG97,FALSE)),"")</f>
        <v/>
      </c>
      <c r="AW97" s="130" t="str">
        <f>IF(VLOOKUP($AH97,SKUS_TO_SIZES,AW$11,FALSE)=0,"",VLOOKUP($AH97,SKUS_TO_SIZES,AW$11,FALSE))</f>
        <v/>
      </c>
      <c r="AX97" s="129" t="str">
        <f>IFERROR(IF(HLOOKUP(AW97,$M$95:$AC$97,$AG97,FALSE)=0,"",HLOOKUP(AW97,$M$95:$AC$97,$AG97,FALSE)),"")</f>
        <v/>
      </c>
      <c r="AY97" s="130" t="str">
        <f>IF(VLOOKUP($AH97,SKUS_TO_SIZES,AY$11,FALSE)=0,"",VLOOKUP($AH97,SKUS_TO_SIZES,AY$11,FALSE))</f>
        <v/>
      </c>
      <c r="AZ97" s="129" t="str">
        <f>IFERROR(IF(HLOOKUP(AY97,$M$95:$AC$97,$AG97,FALSE)=0,"",HLOOKUP(AY97,$M$95:$AC$97,$AG97,FALSE)),"")</f>
        <v/>
      </c>
      <c r="BA97" s="130" t="str">
        <f>IF(VLOOKUP($AH97,SKUS_TO_SIZES,BA$11,FALSE)=0,"",VLOOKUP($AH97,SKUS_TO_SIZES,BA$11,FALSE))</f>
        <v/>
      </c>
      <c r="BB97" s="129" t="str">
        <f>IFERROR(IF(HLOOKUP(BA97,$M$95:$AC$97,$AG97,FALSE)=0,"",HLOOKUP(BA97,$M$95:$AC$97,$AG97,FALSE)),"")</f>
        <v/>
      </c>
      <c r="BC97" s="130" t="str">
        <f>IF(VLOOKUP($AH97,SKUS_TO_SIZES,BC$11,FALSE)=0,"",VLOOKUP($AH97,SKUS_TO_SIZES,BC$11,FALSE))</f>
        <v/>
      </c>
      <c r="BD97" s="129" t="str">
        <f>IFERROR(IF(HLOOKUP(BC97,$M$95:$AC$97,$AG97,FALSE)=0,"",HLOOKUP(BC97,$M$95:$AC$97,$AG97,FALSE)),"")</f>
        <v/>
      </c>
      <c r="BE97" s="130" t="str">
        <f>IF(VLOOKUP($AH97,SKUS_TO_SIZES,BE$11,FALSE)=0,"",VLOOKUP($AH97,SKUS_TO_SIZES,BE$11,FALSE))</f>
        <v/>
      </c>
      <c r="BF97" s="129" t="str">
        <f>IFERROR(IF(HLOOKUP(BE97,$M$95:$AC$97,$AG97,FALSE)=0,"",HLOOKUP(BE97,$M$95:$AC$97,$AG97,FALSE)),"")</f>
        <v/>
      </c>
      <c r="BG97" s="8"/>
    </row>
    <row r="98" spans="1:59" ht="12.75" hidden="1" customHeight="1">
      <c r="A98" s="8"/>
      <c r="B98" s="9">
        <f>IF(SKI_CALCULATOR_TYPE=1,IF(ISBLANK(D98),MAX(B$68:B97),IF(AND(ISNUMBER(L98),L98&gt;0)=TRUE,MAX(B$68:B97)+1,MAX(B$68:B97))),0)</f>
        <v>0</v>
      </c>
      <c r="C98" s="10"/>
      <c r="D98" s="178"/>
      <c r="E98" s="180"/>
      <c r="F98" s="210"/>
      <c r="G98" s="395">
        <f ca="1">SUM(G96:G97)</f>
        <v>0</v>
      </c>
      <c r="H98" s="210"/>
      <c r="I98" s="210"/>
      <c r="J98" s="210"/>
      <c r="K98" s="663">
        <f ca="1">SUM(K96:K97)</f>
        <v>0</v>
      </c>
      <c r="L98" s="664">
        <f t="shared" ca="1" si="145"/>
        <v>0</v>
      </c>
      <c r="M98" s="234">
        <f t="shared" ref="M98:U98" ca="1" si="146">SUM(M96:M97)</f>
        <v>0</v>
      </c>
      <c r="N98" s="235">
        <f t="shared" ca="1" si="146"/>
        <v>0</v>
      </c>
      <c r="O98" s="235">
        <f t="shared" ca="1" si="146"/>
        <v>0</v>
      </c>
      <c r="P98" s="235">
        <f t="shared" si="146"/>
        <v>0</v>
      </c>
      <c r="Q98" s="235">
        <f t="shared" si="146"/>
        <v>0</v>
      </c>
      <c r="R98" s="235">
        <f t="shared" si="146"/>
        <v>0</v>
      </c>
      <c r="S98" s="235">
        <f t="shared" si="146"/>
        <v>0</v>
      </c>
      <c r="T98" s="235">
        <f t="shared" si="146"/>
        <v>0</v>
      </c>
      <c r="U98" s="230">
        <f t="shared" si="146"/>
        <v>0</v>
      </c>
      <c r="V98" s="209"/>
      <c r="W98" s="209"/>
      <c r="X98" s="209"/>
      <c r="Y98" s="209"/>
      <c r="Z98" s="209"/>
      <c r="AA98" s="209"/>
      <c r="AB98" s="209"/>
      <c r="AC98" s="209"/>
      <c r="AD98" s="209"/>
      <c r="AE98" s="209"/>
      <c r="AF98" s="10"/>
      <c r="AI98" s="1"/>
      <c r="AJ98" s="41"/>
      <c r="AK98" s="1"/>
      <c r="AL98" s="41"/>
      <c r="AM98" s="1"/>
      <c r="AN98" s="41"/>
      <c r="AO98" s="1"/>
      <c r="AP98" s="41"/>
      <c r="AQ98" s="1"/>
      <c r="AR98" s="41"/>
      <c r="AS98" s="1"/>
      <c r="AT98" s="41"/>
      <c r="AU98" s="1"/>
      <c r="AV98" s="41"/>
      <c r="AW98" s="1"/>
      <c r="AX98" s="41"/>
      <c r="AY98" s="1"/>
      <c r="AZ98" s="41"/>
      <c r="BA98" s="1"/>
      <c r="BB98" s="41"/>
      <c r="BC98" s="1"/>
      <c r="BD98" s="41"/>
      <c r="BE98" s="1"/>
      <c r="BF98" s="41"/>
    </row>
    <row r="99" spans="1:59" ht="12.75" hidden="1" customHeight="1">
      <c r="A99" s="8"/>
      <c r="B99" s="9">
        <f>IF(SKI_CALCULATOR_TYPE=1,IF(ISBLANK(D99),MAX(B$68:B98),IF(AND(ISNUMBER(L99),L99&gt;0)=TRUE,MAX(B$68:B98)+1,MAX(B$68:B98))),0)</f>
        <v>0</v>
      </c>
      <c r="C99" s="10"/>
      <c r="D99" s="953" t="s">
        <v>111</v>
      </c>
      <c r="E99" s="954"/>
      <c r="F99" s="293"/>
      <c r="G99" s="291"/>
      <c r="H99" s="291"/>
      <c r="I99" s="291"/>
      <c r="J99" s="291"/>
      <c r="K99" s="291"/>
      <c r="L99" s="291"/>
      <c r="M99" s="291"/>
      <c r="N99" s="291"/>
      <c r="O99" s="291"/>
      <c r="P99" s="291"/>
      <c r="Q99" s="155"/>
      <c r="R99" s="156"/>
      <c r="S99" s="292"/>
      <c r="T99" s="1"/>
      <c r="U99" s="1"/>
      <c r="V99" s="1"/>
      <c r="W99" s="1"/>
      <c r="X99" s="1"/>
      <c r="Y99" s="1"/>
      <c r="AF99" s="10"/>
      <c r="AI99" s="1"/>
      <c r="AJ99" s="41"/>
      <c r="AK99" s="1"/>
      <c r="AL99" s="41"/>
      <c r="AM99" s="1"/>
      <c r="AN99" s="41"/>
      <c r="AO99" s="1"/>
      <c r="AP99" s="41"/>
      <c r="AQ99" s="1"/>
      <c r="AR99" s="41"/>
      <c r="AS99" s="1"/>
      <c r="AT99" s="41"/>
      <c r="AU99" s="1"/>
      <c r="AV99" s="41"/>
      <c r="AW99" s="1"/>
      <c r="AX99" s="41"/>
      <c r="AY99" s="1"/>
      <c r="AZ99" s="41"/>
      <c r="BA99" s="1"/>
      <c r="BB99" s="41"/>
      <c r="BC99" s="1"/>
      <c r="BD99" s="41"/>
      <c r="BE99" s="1"/>
      <c r="BF99" s="41"/>
    </row>
    <row r="100" spans="1:59" ht="12.75" hidden="1" customHeight="1" thickBot="1">
      <c r="A100" s="8"/>
      <c r="B100" s="9">
        <f>IF(SKI_CALCULATOR_TYPE=1,IF(ISBLANK(D100),MAX(B$68:B99),IF(AND(ISNUMBER(L100),L100&gt;0)=TRUE,MAX(B$68:B99)+1,MAX(B$68:B99))),0)</f>
        <v>0</v>
      </c>
      <c r="C100" s="10"/>
      <c r="D100" s="295" t="s">
        <v>0</v>
      </c>
      <c r="E100" s="313" t="s">
        <v>1</v>
      </c>
      <c r="F100" s="305" t="s">
        <v>43</v>
      </c>
      <c r="G100" s="305" t="s">
        <v>19</v>
      </c>
      <c r="H100" s="327" t="s">
        <v>102</v>
      </c>
      <c r="I100" s="331" t="s">
        <v>21</v>
      </c>
      <c r="J100" s="311" t="s">
        <v>21</v>
      </c>
      <c r="K100" s="317" t="s">
        <v>6</v>
      </c>
      <c r="L100" s="302" t="s">
        <v>5</v>
      </c>
      <c r="M100" s="300">
        <v>15.5</v>
      </c>
      <c r="N100" s="301">
        <v>16.5</v>
      </c>
      <c r="O100" s="301">
        <v>17.5</v>
      </c>
      <c r="P100" s="301">
        <v>18.5</v>
      </c>
      <c r="Q100" s="301">
        <v>19.5</v>
      </c>
      <c r="R100" s="301">
        <v>20.5</v>
      </c>
      <c r="S100" s="301">
        <v>21.5</v>
      </c>
      <c r="T100" s="301">
        <v>22.5</v>
      </c>
      <c r="U100" s="301">
        <v>23.5</v>
      </c>
      <c r="V100" s="301">
        <v>24.5</v>
      </c>
      <c r="W100" s="301">
        <v>25.5</v>
      </c>
      <c r="X100" s="303">
        <v>26.5</v>
      </c>
      <c r="Y100" s="177"/>
      <c r="Z100" s="177"/>
      <c r="AA100" s="177"/>
      <c r="AB100" s="177"/>
      <c r="AC100" s="177"/>
      <c r="AD100" s="177"/>
      <c r="AE100" s="177"/>
      <c r="AF100" s="10"/>
      <c r="AI100" s="35"/>
      <c r="AJ100" s="47"/>
      <c r="AK100" s="35"/>
      <c r="AL100" s="47"/>
      <c r="AM100" s="35"/>
      <c r="AN100" s="47"/>
      <c r="AO100" s="35"/>
      <c r="AP100" s="47"/>
      <c r="AQ100" s="35"/>
      <c r="AR100" s="47"/>
      <c r="AS100" s="35"/>
      <c r="AT100" s="47"/>
      <c r="AU100" s="35"/>
      <c r="AV100" s="47"/>
      <c r="AW100" s="35"/>
      <c r="AX100" s="47"/>
      <c r="AY100" s="35"/>
      <c r="AZ100" s="47"/>
      <c r="BA100" s="35"/>
      <c r="BB100" s="47"/>
      <c r="BC100" s="35"/>
      <c r="BD100" s="47"/>
      <c r="BE100" s="35"/>
      <c r="BF100" s="47"/>
    </row>
    <row r="101" spans="1:59" ht="12.75" hidden="1" customHeight="1" thickTop="1">
      <c r="B101" s="9">
        <f>IF(SKI_CALCULATOR_TYPE=1,IF(ISBLANK(D101),MAX(B$68:B100),IF(AND(ISNUMBER(L101),L101&gt;0)=TRUE,MAX(B$68:B100)+1,MAX(B$68:B100))),0)</f>
        <v>0</v>
      </c>
      <c r="C101" s="10"/>
      <c r="D101" s="315" t="s">
        <v>300</v>
      </c>
      <c r="E101" s="519" t="str">
        <f>VLOOKUP(D101,SKUS_TO_SIZES,2,FALSE)</f>
        <v>COMP J4 BLACK</v>
      </c>
      <c r="F101" s="520">
        <f>VLOOKUP(D101,SKUS_TO_SIZES,3,FALSE)</f>
        <v>120</v>
      </c>
      <c r="G101" s="520">
        <f t="shared" ref="G101:G103" ca="1" si="147">SUM(L101)*F101</f>
        <v>0</v>
      </c>
      <c r="H101" s="520">
        <f>IF(SKI_DISCOUNT_TYPE=1,IF($J$10=0,F101,F101*(SUM(1-$J$10))),IF(I101=0,F101,F101*(SUM(1-I101))))</f>
        <v>120</v>
      </c>
      <c r="I101" s="521">
        <v>0</v>
      </c>
      <c r="J101" s="522">
        <f>$J$10</f>
        <v>0</v>
      </c>
      <c r="K101" s="523">
        <f ca="1">SUM(M101:AC101)*H101</f>
        <v>0</v>
      </c>
      <c r="L101" s="551">
        <f ca="1">SUM(M101:AD101)</f>
        <v>0</v>
      </c>
      <c r="M101" s="412" t="str">
        <f ca="1">IFERROR(ROUND(HLOOKUP(M$100,INDIRECT("'Hidden Data'!"&amp;HLOOKUP(COLUMN(SKUS_TO_SIZES),NUMBER_TO_LETTER,2,FALSE)&amp;MATCH($D101,'Hidden Data'!$D:$D,0)&amp;":T"&amp;MATCH($D101&amp;"-sizecurve",'Hidden Data'!$D:$D,0)),2,FALSE),0)," ")</f>
        <v xml:space="preserve"> </v>
      </c>
      <c r="N101" s="409" t="str">
        <f ca="1">IFERROR(ROUND(HLOOKUP(N$100,INDIRECT("'Hidden Data'!"&amp;HLOOKUP(COLUMN(SKUS_TO_SIZES),NUMBER_TO_LETTER,2,FALSE)&amp;MATCH($D101,'Hidden Data'!$D:$D,0)&amp;":T"&amp;MATCH($D101&amp;"-sizecurve",'Hidden Data'!$D:$D,0)),2,FALSE),0)," ")</f>
        <v xml:space="preserve"> </v>
      </c>
      <c r="O101" s="409" t="str">
        <f ca="1">IFERROR(ROUND(HLOOKUP(O$100,INDIRECT("'Hidden Data'!"&amp;HLOOKUP(COLUMN(SKUS_TO_SIZES),NUMBER_TO_LETTER,2,FALSE)&amp;MATCH($D101,'Hidden Data'!$D:$D,0)&amp;":T"&amp;MATCH($D101&amp;"-sizecurve",'Hidden Data'!$D:$D,0)),2,FALSE),0)," ")</f>
        <v xml:space="preserve"> </v>
      </c>
      <c r="P101" s="409" t="str">
        <f ca="1">IFERROR(ROUND(HLOOKUP(P$100,INDIRECT("'Hidden Data'!"&amp;HLOOKUP(COLUMN(SKUS_TO_SIZES),NUMBER_TO_LETTER,2,FALSE)&amp;MATCH($D101,'Hidden Data'!$D:$D,0)&amp;":T"&amp;MATCH($D101&amp;"-sizecurve",'Hidden Data'!$D:$D,0)),2,FALSE),0)," ")</f>
        <v xml:space="preserve"> </v>
      </c>
      <c r="Q101" s="409" t="str">
        <f ca="1">IFERROR(ROUND(HLOOKUP(Q$100,INDIRECT("'Hidden Data'!"&amp;HLOOKUP(COLUMN(SKUS_TO_SIZES),NUMBER_TO_LETTER,2,FALSE)&amp;MATCH($D101,'Hidden Data'!$D:$D,0)&amp;":T"&amp;MATCH($D101&amp;"-sizecurve",'Hidden Data'!$D:$D,0)),2,FALSE),0)," ")</f>
        <v xml:space="preserve"> </v>
      </c>
      <c r="R101" s="409" t="str">
        <f ca="1">IFERROR(ROUND(HLOOKUP(R$100,INDIRECT("'Hidden Data'!"&amp;HLOOKUP(COLUMN(SKUS_TO_SIZES),NUMBER_TO_LETTER,2,FALSE)&amp;MATCH($D101,'Hidden Data'!$D:$D,0)&amp;":T"&amp;MATCH($D101&amp;"-sizecurve",'Hidden Data'!$D:$D,0)),2,FALSE),0)," ")</f>
        <v xml:space="preserve"> </v>
      </c>
      <c r="S101" s="409" t="str">
        <f ca="1">IFERROR(ROUND(HLOOKUP(S$100,INDIRECT("'Hidden Data'!"&amp;HLOOKUP(COLUMN(SKUS_TO_SIZES),NUMBER_TO_LETTER,2,FALSE)&amp;MATCH($D101,'Hidden Data'!$D:$D,0)&amp;":T"&amp;MATCH($D101&amp;"-sizecurve",'Hidden Data'!$D:$D,0)),2,FALSE),0)," ")</f>
        <v xml:space="preserve"> </v>
      </c>
      <c r="T101" s="416"/>
      <c r="U101" s="416"/>
      <c r="V101" s="416"/>
      <c r="W101" s="416"/>
      <c r="X101" s="417"/>
      <c r="Y101" s="179"/>
      <c r="Z101" s="179"/>
      <c r="AA101" s="179"/>
      <c r="AB101" s="179"/>
      <c r="AC101" s="179"/>
      <c r="AD101" s="179"/>
      <c r="AE101" s="179"/>
      <c r="AF101" s="10"/>
      <c r="AG101" s="1">
        <v>2</v>
      </c>
      <c r="AH101" s="288" t="str">
        <f>D101</f>
        <v>RBP5070</v>
      </c>
      <c r="AI101" s="127">
        <f>IF(VLOOKUP($AH101,SKUS_TO_SIZES,AI$11,FALSE)=0,"",VLOOKUP($AH101,SKUS_TO_SIZES,AI$11,FALSE))</f>
        <v>22.5</v>
      </c>
      <c r="AJ101" s="128" t="str">
        <f>IFERROR(IF(HLOOKUP(AI101,$M$100:$AC$103,$AG101,FALSE)=0,"",HLOOKUP(AI101,$M$100:$AC$103,$AG101,FALSE)),"")</f>
        <v/>
      </c>
      <c r="AK101" s="127">
        <f>IF(VLOOKUP($AH101,SKUS_TO_SIZES,AK$11,FALSE)=0,"",VLOOKUP($AH101,SKUS_TO_SIZES,AK$11,FALSE))</f>
        <v>23.5</v>
      </c>
      <c r="AL101" s="128" t="str">
        <f>IFERROR(IF(HLOOKUP(AK101,$M$100:$AC$103,$AG101,FALSE)=0,"",HLOOKUP(AK101,$M$100:$AC$103,$AG101,FALSE)),"")</f>
        <v/>
      </c>
      <c r="AM101" s="127">
        <f>IF(VLOOKUP($AH101,SKUS_TO_SIZES,AM$11,FALSE)=0,"",VLOOKUP($AH101,SKUS_TO_SIZES,AM$11,FALSE))</f>
        <v>24.5</v>
      </c>
      <c r="AN101" s="128" t="str">
        <f>IFERROR(IF(HLOOKUP(AM101,$M$100:$AC$103,$AG101,FALSE)=0,"",HLOOKUP(AM101,$M$100:$AC$103,$AG101,FALSE)),"")</f>
        <v/>
      </c>
      <c r="AO101" s="127">
        <f>IF(VLOOKUP($AH101,SKUS_TO_SIZES,AO$11,FALSE)=0,"",VLOOKUP($AH101,SKUS_TO_SIZES,AO$11,FALSE))</f>
        <v>25.5</v>
      </c>
      <c r="AP101" s="128" t="str">
        <f>IFERROR(IF(HLOOKUP(AO101,$M$100:$AC$103,$AG101,FALSE)=0,"",HLOOKUP(AO101,$M$100:$AC$103,$AG101,FALSE)),"")</f>
        <v/>
      </c>
      <c r="AQ101" s="127">
        <f>IF(VLOOKUP($AH101,SKUS_TO_SIZES,AQ$11,FALSE)=0,"",VLOOKUP($AH101,SKUS_TO_SIZES,AQ$11,FALSE))</f>
        <v>26.5</v>
      </c>
      <c r="AR101" s="128" t="str">
        <f>IFERROR(IF(HLOOKUP(AQ101,$M$100:$AC$103,$AG101,FALSE)=0,"",HLOOKUP(AQ101,$M$100:$AC$103,$AG101,FALSE)),"")</f>
        <v/>
      </c>
      <c r="AS101" s="127" t="str">
        <f>IF(VLOOKUP($AH101,SKUS_TO_SIZES,AS$11,FALSE)=0,"",VLOOKUP($AH101,SKUS_TO_SIZES,AS$11,FALSE))</f>
        <v/>
      </c>
      <c r="AT101" s="128" t="str">
        <f>IFERROR(IF(HLOOKUP(AS101,$M$100:$AC$103,$AG101,FALSE)=0,"",HLOOKUP(AS101,$M$100:$AC$103,$AG101,FALSE)),"")</f>
        <v/>
      </c>
      <c r="AU101" s="127" t="str">
        <f>IF(VLOOKUP($AH101,SKUS_TO_SIZES,AU$11,FALSE)=0,"",VLOOKUP($AH101,SKUS_TO_SIZES,AU$11,FALSE))</f>
        <v/>
      </c>
      <c r="AV101" s="128" t="str">
        <f>IFERROR(IF(HLOOKUP(AU101,$M$100:$AC$103,$AG101,FALSE)=0,"",HLOOKUP(AU101,$M$100:$AC$103,$AG101,FALSE)),"")</f>
        <v/>
      </c>
      <c r="AW101" s="127" t="str">
        <f>IF(VLOOKUP($AH101,SKUS_TO_SIZES,AW$11,FALSE)=0,"",VLOOKUP($AH101,SKUS_TO_SIZES,AW$11,FALSE))</f>
        <v/>
      </c>
      <c r="AX101" s="128" t="str">
        <f>IFERROR(IF(HLOOKUP(AW101,$M$100:$AC$103,$AG101,FALSE)=0,"",HLOOKUP(AW101,$M$100:$AC$103,$AG101,FALSE)),"")</f>
        <v/>
      </c>
      <c r="AY101" s="127" t="str">
        <f>IF(VLOOKUP($AH101,SKUS_TO_SIZES,AY$11,FALSE)=0,"",VLOOKUP($AH101,SKUS_TO_SIZES,AY$11,FALSE))</f>
        <v/>
      </c>
      <c r="AZ101" s="128" t="str">
        <f>IFERROR(IF(HLOOKUP(AY101,$M$100:$AC$103,$AG101,FALSE)=0,"",HLOOKUP(AY101,$M$100:$AC$103,$AG101,FALSE)),"")</f>
        <v/>
      </c>
      <c r="BA101" s="127" t="str">
        <f>IF(VLOOKUP($AH101,SKUS_TO_SIZES,BA$11,FALSE)=0,"",VLOOKUP($AH101,SKUS_TO_SIZES,BA$11,FALSE))</f>
        <v/>
      </c>
      <c r="BB101" s="128" t="str">
        <f>IFERROR(IF(HLOOKUP(BA101,$M$100:$AC$103,$AG101,FALSE)=0,"",HLOOKUP(BA101,$M$100:$AC$103,$AG101,FALSE)),"")</f>
        <v/>
      </c>
      <c r="BC101" s="127" t="str">
        <f>IF(VLOOKUP($AH101,SKUS_TO_SIZES,BC$11,FALSE)=0,"",VLOOKUP($AH101,SKUS_TO_SIZES,BC$11,FALSE))</f>
        <v/>
      </c>
      <c r="BD101" s="128" t="str">
        <f>IFERROR(IF(HLOOKUP(BC101,$M$100:$AC$103,$AG101,FALSE)=0,"",HLOOKUP(BC101,$M$100:$AC$103,$AG101,FALSE)),"")</f>
        <v/>
      </c>
      <c r="BE101" s="127" t="str">
        <f>IF(VLOOKUP($AH101,SKUS_TO_SIZES,BE$11,FALSE)=0,"",VLOOKUP($AH101,SKUS_TO_SIZES,BE$11,FALSE))</f>
        <v/>
      </c>
      <c r="BF101" s="128" t="str">
        <f>IFERROR(IF(HLOOKUP(BE101,$M$100:$AC$103,$AG101,FALSE)=0,"",HLOOKUP(BE101,$M$100:$AC$103,$AG101,FALSE)),"")</f>
        <v/>
      </c>
      <c r="BG101" s="8"/>
    </row>
    <row r="102" spans="1:59" ht="12.75" hidden="1" customHeight="1">
      <c r="B102" s="9">
        <f>IF(SKI_CALCULATOR_TYPE=1,IF(ISBLANK(D102),MAX(B$68:B101),IF(AND(ISNUMBER(L102),L102&gt;0)=TRUE,MAX(B$68:B101)+1,MAX(B$68:B101))),0)</f>
        <v>0</v>
      </c>
      <c r="C102" s="10"/>
      <c r="D102" s="316" t="s">
        <v>301</v>
      </c>
      <c r="E102" s="525" t="str">
        <f>VLOOKUP(D102,SKUS_TO_SIZES,2,FALSE)</f>
        <v>COMP J3 BLACK</v>
      </c>
      <c r="F102" s="526">
        <f>VLOOKUP(D102,SKUS_TO_SIZES,3,FALSE)</f>
        <v>105</v>
      </c>
      <c r="G102" s="526">
        <f t="shared" ca="1" si="147"/>
        <v>0</v>
      </c>
      <c r="H102" s="526">
        <f>IF(SKI_DISCOUNT_TYPE=1,IF($J$10=0,F102,F102*(SUM(1-$J$10))),IF(I102=0,F102,F102*(SUM(1-I102))))</f>
        <v>105</v>
      </c>
      <c r="I102" s="527">
        <v>0</v>
      </c>
      <c r="J102" s="528">
        <f>$J$10</f>
        <v>0</v>
      </c>
      <c r="K102" s="529">
        <f ca="1">SUM(M102:AC102)*H102</f>
        <v>0</v>
      </c>
      <c r="L102" s="552">
        <f ca="1">SUM(M102:AD102)</f>
        <v>0</v>
      </c>
      <c r="M102" s="414" t="str">
        <f ca="1">IFERROR(ROUND(HLOOKUP(M$100,INDIRECT("'Hidden Data'!"&amp;HLOOKUP(COLUMN(SKUS_TO_SIZES),NUMBER_TO_LETTER,2,FALSE)&amp;MATCH($D102,'Hidden Data'!$D:$D,0)&amp;":T"&amp;MATCH($D102&amp;"-sizecurve",'Hidden Data'!$D:$D,0)),2,FALSE),0)," ")</f>
        <v xml:space="preserve"> </v>
      </c>
      <c r="N102" s="415" t="str">
        <f ca="1">IFERROR(ROUND(HLOOKUP(N$100,INDIRECT("'Hidden Data'!"&amp;HLOOKUP(COLUMN(SKUS_TO_SIZES),NUMBER_TO_LETTER,2,FALSE)&amp;MATCH($D102,'Hidden Data'!$D:$D,0)&amp;":T"&amp;MATCH($D102&amp;"-sizecurve",'Hidden Data'!$D:$D,0)),2,FALSE),0)," ")</f>
        <v xml:space="preserve"> </v>
      </c>
      <c r="O102" s="418"/>
      <c r="P102" s="418"/>
      <c r="Q102" s="418"/>
      <c r="R102" s="418"/>
      <c r="S102" s="418"/>
      <c r="T102" s="415" t="str">
        <f ca="1">IFERROR(ROUND(HLOOKUP(T$100,INDIRECT("'Hidden Data'!"&amp;HLOOKUP(COLUMN(SKUS_TO_SIZES),NUMBER_TO_LETTER,2,FALSE)&amp;MATCH($D102,'Hidden Data'!$D:$D,0)&amp;":T"&amp;MATCH($D102&amp;"-sizecurve",'Hidden Data'!$D:$D,0)),2,FALSE),0)," ")</f>
        <v xml:space="preserve"> </v>
      </c>
      <c r="U102" s="415" t="str">
        <f ca="1">IFERROR(ROUND(HLOOKUP(U$100,INDIRECT("'Hidden Data'!"&amp;HLOOKUP(COLUMN(SKUS_TO_SIZES),NUMBER_TO_LETTER,2,FALSE)&amp;MATCH($D102,'Hidden Data'!$D:$D,0)&amp;":T"&amp;MATCH($D102&amp;"-sizecurve",'Hidden Data'!$D:$D,0)),2,FALSE),0)," ")</f>
        <v xml:space="preserve"> </v>
      </c>
      <c r="V102" s="415" t="str">
        <f ca="1">IFERROR(ROUND(HLOOKUP(V$100,INDIRECT("'Hidden Data'!"&amp;HLOOKUP(COLUMN(SKUS_TO_SIZES),NUMBER_TO_LETTER,2,FALSE)&amp;MATCH($D102,'Hidden Data'!$D:$D,0)&amp;":T"&amp;MATCH($D102&amp;"-sizecurve",'Hidden Data'!$D:$D,0)),2,FALSE),0)," ")</f>
        <v xml:space="preserve"> </v>
      </c>
      <c r="W102" s="415" t="str">
        <f ca="1">IFERROR(ROUND(HLOOKUP(W$100,INDIRECT("'Hidden Data'!"&amp;HLOOKUP(COLUMN(SKUS_TO_SIZES),NUMBER_TO_LETTER,2,FALSE)&amp;MATCH($D102,'Hidden Data'!$D:$D,0)&amp;":T"&amp;MATCH($D102&amp;"-sizecurve",'Hidden Data'!$D:$D,0)),2,FALSE),0)," ")</f>
        <v xml:space="preserve"> </v>
      </c>
      <c r="X102" s="410" t="str">
        <f ca="1">IFERROR(ROUND(HLOOKUP(X$100,INDIRECT("'Hidden Data'!"&amp;HLOOKUP(COLUMN(SKUS_TO_SIZES),NUMBER_TO_LETTER,2,FALSE)&amp;MATCH($D102,'Hidden Data'!$D:$D,0)&amp;":T"&amp;MATCH($D102&amp;"-sizecurve",'Hidden Data'!$D:$D,0)),2,FALSE),0)," ")</f>
        <v xml:space="preserve"> </v>
      </c>
      <c r="Y102" s="179"/>
      <c r="Z102" s="179"/>
      <c r="AA102" s="179"/>
      <c r="AB102" s="179"/>
      <c r="AC102" s="179"/>
      <c r="AD102" s="179"/>
      <c r="AE102" s="179"/>
      <c r="AF102" s="10"/>
      <c r="AG102" s="1">
        <f t="shared" ref="AG102:AG103" si="148">AG101+1</f>
        <v>3</v>
      </c>
      <c r="AH102" s="288" t="str">
        <f>D102</f>
        <v>RBP5120</v>
      </c>
      <c r="AI102" s="127">
        <f>IF(VLOOKUP($AH102,SKUS_TO_SIZES,AI$11,FALSE)=0,"",VLOOKUP($AH102,SKUS_TO_SIZES,AI$11,FALSE))</f>
        <v>17.5</v>
      </c>
      <c r="AJ102" s="128" t="str">
        <f>IFERROR(IF(HLOOKUP(AI102,$M$100:$AC$103,$AG102,FALSE)=0,"",HLOOKUP(AI102,$M$100:$AC$103,$AG102,FALSE)),"")</f>
        <v/>
      </c>
      <c r="AK102" s="127">
        <f>IF(VLOOKUP($AH102,SKUS_TO_SIZES,AK$11,FALSE)=0,"",VLOOKUP($AH102,SKUS_TO_SIZES,AK$11,FALSE))</f>
        <v>18.5</v>
      </c>
      <c r="AL102" s="128" t="str">
        <f>IFERROR(IF(HLOOKUP(AK102,$M$100:$AC$103,$AG102,FALSE)=0,"",HLOOKUP(AK102,$M$100:$AC$103,$AG102,FALSE)),"")</f>
        <v/>
      </c>
      <c r="AM102" s="127">
        <f>IF(VLOOKUP($AH102,SKUS_TO_SIZES,AM$11,FALSE)=0,"",VLOOKUP($AH102,SKUS_TO_SIZES,AM$11,FALSE))</f>
        <v>19.5</v>
      </c>
      <c r="AN102" s="128" t="str">
        <f>IFERROR(IF(HLOOKUP(AM102,$M$100:$AC$103,$AG102,FALSE)=0,"",HLOOKUP(AM102,$M$100:$AC$103,$AG102,FALSE)),"")</f>
        <v/>
      </c>
      <c r="AO102" s="127">
        <f>IF(VLOOKUP($AH102,SKUS_TO_SIZES,AO$11,FALSE)=0,"",VLOOKUP($AH102,SKUS_TO_SIZES,AO$11,FALSE))</f>
        <v>20.5</v>
      </c>
      <c r="AP102" s="128" t="str">
        <f>IFERROR(IF(HLOOKUP(AO102,$M$100:$AC$103,$AG102,FALSE)=0,"",HLOOKUP(AO102,$M$100:$AC$103,$AG102,FALSE)),"")</f>
        <v/>
      </c>
      <c r="AQ102" s="127">
        <f>IF(VLOOKUP($AH102,SKUS_TO_SIZES,AQ$11,FALSE)=0,"",VLOOKUP($AH102,SKUS_TO_SIZES,AQ$11,FALSE))</f>
        <v>21.5</v>
      </c>
      <c r="AR102" s="128" t="str">
        <f>IFERROR(IF(HLOOKUP(AQ102,$M$100:$AC$103,$AG102,FALSE)=0,"",HLOOKUP(AQ102,$M$100:$AC$103,$AG102,FALSE)),"")</f>
        <v/>
      </c>
      <c r="AS102" s="127" t="str">
        <f>IF(VLOOKUP($AH102,SKUS_TO_SIZES,AS$11,FALSE)=0,"",VLOOKUP($AH102,SKUS_TO_SIZES,AS$11,FALSE))</f>
        <v/>
      </c>
      <c r="AT102" s="128" t="str">
        <f>IFERROR(IF(HLOOKUP(AS102,$M$100:$AC$103,$AG102,FALSE)=0,"",HLOOKUP(AS102,$M$100:$AC$103,$AG102,FALSE)),"")</f>
        <v/>
      </c>
      <c r="AU102" s="127" t="str">
        <f>IF(VLOOKUP($AH102,SKUS_TO_SIZES,AU$11,FALSE)=0,"",VLOOKUP($AH102,SKUS_TO_SIZES,AU$11,FALSE))</f>
        <v/>
      </c>
      <c r="AV102" s="128" t="str">
        <f>IFERROR(IF(HLOOKUP(AU102,$M$100:$AC$103,$AG102,FALSE)=0,"",HLOOKUP(AU102,$M$100:$AC$103,$AG102,FALSE)),"")</f>
        <v/>
      </c>
      <c r="AW102" s="127" t="str">
        <f>IF(VLOOKUP($AH102,SKUS_TO_SIZES,AW$11,FALSE)=0,"",VLOOKUP($AH102,SKUS_TO_SIZES,AW$11,FALSE))</f>
        <v/>
      </c>
      <c r="AX102" s="128" t="str">
        <f>IFERROR(IF(HLOOKUP(AW102,$M$100:$AC$103,$AG102,FALSE)=0,"",HLOOKUP(AW102,$M$100:$AC$103,$AG102,FALSE)),"")</f>
        <v/>
      </c>
      <c r="AY102" s="127" t="str">
        <f>IF(VLOOKUP($AH102,SKUS_TO_SIZES,AY$11,FALSE)=0,"",VLOOKUP($AH102,SKUS_TO_SIZES,AY$11,FALSE))</f>
        <v/>
      </c>
      <c r="AZ102" s="128" t="str">
        <f>IFERROR(IF(HLOOKUP(AY102,$M$100:$AC$103,$AG102,FALSE)=0,"",HLOOKUP(AY102,$M$100:$AC$103,$AG102,FALSE)),"")</f>
        <v/>
      </c>
      <c r="BA102" s="127" t="str">
        <f>IF(VLOOKUP($AH102,SKUS_TO_SIZES,BA$11,FALSE)=0,"",VLOOKUP($AH102,SKUS_TO_SIZES,BA$11,FALSE))</f>
        <v/>
      </c>
      <c r="BB102" s="128" t="str">
        <f>IFERROR(IF(HLOOKUP(BA102,$M$100:$AC$103,$AG102,FALSE)=0,"",HLOOKUP(BA102,$M$100:$AC$103,$AG102,FALSE)),"")</f>
        <v/>
      </c>
      <c r="BC102" s="127" t="str">
        <f>IF(VLOOKUP($AH102,SKUS_TO_SIZES,BC$11,FALSE)=0,"",VLOOKUP($AH102,SKUS_TO_SIZES,BC$11,FALSE))</f>
        <v/>
      </c>
      <c r="BD102" s="128" t="str">
        <f>IFERROR(IF(HLOOKUP(BC102,$M$100:$AC$103,$AG102,FALSE)=0,"",HLOOKUP(BC102,$M$100:$AC$103,$AG102,FALSE)),"")</f>
        <v/>
      </c>
      <c r="BE102" s="127" t="str">
        <f>IF(VLOOKUP($AH102,SKUS_TO_SIZES,BE$11,FALSE)=0,"",VLOOKUP($AH102,SKUS_TO_SIZES,BE$11,FALSE))</f>
        <v/>
      </c>
      <c r="BF102" s="128" t="str">
        <f>IFERROR(IF(HLOOKUP(BE102,$M$100:$AC$103,$AG102,FALSE)=0,"",HLOOKUP(BE102,$M$100:$AC$103,$AG102,FALSE)),"")</f>
        <v/>
      </c>
      <c r="BG102" s="8"/>
    </row>
    <row r="103" spans="1:59" ht="12.75" hidden="1" customHeight="1">
      <c r="B103" s="9">
        <f>IF(SKI_CALCULATOR_TYPE=1,IF(ISBLANK(D103),MAX(B$68:B102),IF(AND(ISNUMBER(L103),L103&gt;0)=TRUE,MAX(B$68:B102)+1,MAX(B$68:B102))),0)</f>
        <v>0</v>
      </c>
      <c r="C103" s="10"/>
      <c r="D103" s="314" t="s">
        <v>302</v>
      </c>
      <c r="E103" s="535" t="str">
        <f>VLOOKUP(D103,SKUS_TO_SIZES,2,FALSE)</f>
        <v>COMP J1 BLACK</v>
      </c>
      <c r="F103" s="532">
        <f>VLOOKUP(D103,SKUS_TO_SIZES,3,FALSE)</f>
        <v>84</v>
      </c>
      <c r="G103" s="532">
        <f t="shared" ca="1" si="147"/>
        <v>0</v>
      </c>
      <c r="H103" s="532">
        <f>IF(SKI_DISCOUNT_TYPE=1,IF($J$10=0,F103,F103*(SUM(1-$J$10))),IF(I103=0,F103,F103*(SUM(1-I103))))</f>
        <v>84</v>
      </c>
      <c r="I103" s="536">
        <v>0</v>
      </c>
      <c r="J103" s="537">
        <f>$J$10</f>
        <v>0</v>
      </c>
      <c r="K103" s="538">
        <f ca="1">SUM(M103:AC103)*H103</f>
        <v>0</v>
      </c>
      <c r="L103" s="553">
        <f t="shared" ref="L103:L104" ca="1" si="149">SUM(M103:AD103)</f>
        <v>0</v>
      </c>
      <c r="M103" s="419"/>
      <c r="N103" s="420"/>
      <c r="O103" s="420"/>
      <c r="P103" s="413" t="str">
        <f ca="1">IFERROR(ROUND(HLOOKUP(P$100,INDIRECT("'Hidden Data'!"&amp;HLOOKUP(COLUMN(SKUS_TO_SIZES),NUMBER_TO_LETTER,2,FALSE)&amp;MATCH($D103,'Hidden Data'!$D:$D,0)&amp;":T"&amp;MATCH($D103&amp;"-sizecurve",'Hidden Data'!$D:$D,0)),2,FALSE),0)," ")</f>
        <v xml:space="preserve"> </v>
      </c>
      <c r="Q103" s="413" t="str">
        <f ca="1">IFERROR(ROUND(HLOOKUP(Q$100,INDIRECT("'Hidden Data'!"&amp;HLOOKUP(COLUMN(SKUS_TO_SIZES),NUMBER_TO_LETTER,2,FALSE)&amp;MATCH($D103,'Hidden Data'!$D:$D,0)&amp;":T"&amp;MATCH($D103&amp;"-sizecurve",'Hidden Data'!$D:$D,0)),2,FALSE),0)," ")</f>
        <v xml:space="preserve"> </v>
      </c>
      <c r="R103" s="413" t="str">
        <f ca="1">IFERROR(ROUND(HLOOKUP(R$100,INDIRECT("'Hidden Data'!"&amp;HLOOKUP(COLUMN(SKUS_TO_SIZES),NUMBER_TO_LETTER,2,FALSE)&amp;MATCH($D103,'Hidden Data'!$D:$D,0)&amp;":T"&amp;MATCH($D103&amp;"-sizecurve",'Hidden Data'!$D:$D,0)),2,FALSE),0)," ")</f>
        <v xml:space="preserve"> </v>
      </c>
      <c r="S103" s="413" t="str">
        <f ca="1">IFERROR(ROUND(HLOOKUP(S$100,INDIRECT("'Hidden Data'!"&amp;HLOOKUP(COLUMN(SKUS_TO_SIZES),NUMBER_TO_LETTER,2,FALSE)&amp;MATCH($D103,'Hidden Data'!$D:$D,0)&amp;":T"&amp;MATCH($D103&amp;"-sizecurve",'Hidden Data'!$D:$D,0)),2,FALSE),0)," ")</f>
        <v xml:space="preserve"> </v>
      </c>
      <c r="T103" s="413" t="str">
        <f ca="1">IFERROR(ROUND(HLOOKUP(T$100,INDIRECT("'Hidden Data'!"&amp;HLOOKUP(COLUMN(SKUS_TO_SIZES),NUMBER_TO_LETTER,2,FALSE)&amp;MATCH($D103,'Hidden Data'!$D:$D,0)&amp;":T"&amp;MATCH($D103&amp;"-sizecurve",'Hidden Data'!$D:$D,0)),2,FALSE),0)," ")</f>
        <v xml:space="preserve"> </v>
      </c>
      <c r="U103" s="413" t="str">
        <f ca="1">IFERROR(ROUND(HLOOKUP(U$100,INDIRECT("'Hidden Data'!"&amp;HLOOKUP(COLUMN(SKUS_TO_SIZES),NUMBER_TO_LETTER,2,FALSE)&amp;MATCH($D103,'Hidden Data'!$D:$D,0)&amp;":T"&amp;MATCH($D103&amp;"-sizecurve",'Hidden Data'!$D:$D,0)),2,FALSE),0)," ")</f>
        <v xml:space="preserve"> </v>
      </c>
      <c r="V103" s="413" t="str">
        <f ca="1">IFERROR(ROUND(HLOOKUP(V$100,INDIRECT("'Hidden Data'!"&amp;HLOOKUP(COLUMN(SKUS_TO_SIZES),NUMBER_TO_LETTER,2,FALSE)&amp;MATCH($D103,'Hidden Data'!$D:$D,0)&amp;":T"&amp;MATCH($D103&amp;"-sizecurve",'Hidden Data'!$D:$D,0)),2,FALSE),0)," ")</f>
        <v xml:space="preserve"> </v>
      </c>
      <c r="W103" s="413" t="str">
        <f ca="1">IFERROR(ROUND(HLOOKUP(W$100,INDIRECT("'Hidden Data'!"&amp;HLOOKUP(COLUMN(SKUS_TO_SIZES),NUMBER_TO_LETTER,2,FALSE)&amp;MATCH($D103,'Hidden Data'!$D:$D,0)&amp;":T"&amp;MATCH($D103&amp;"-sizecurve",'Hidden Data'!$D:$D,0)),2,FALSE),0)," ")</f>
        <v xml:space="preserve"> </v>
      </c>
      <c r="X103" s="411" t="str">
        <f ca="1">IFERROR(ROUND(HLOOKUP(X$100,INDIRECT("'Hidden Data'!"&amp;HLOOKUP(COLUMN(SKUS_TO_SIZES),NUMBER_TO_LETTER,2,FALSE)&amp;MATCH($D103,'Hidden Data'!$D:$D,0)&amp;":T"&amp;MATCH($D103&amp;"-sizecurve",'Hidden Data'!$D:$D,0)),2,FALSE),0)," ")</f>
        <v xml:space="preserve"> </v>
      </c>
      <c r="Y103" s="179"/>
      <c r="Z103" s="179"/>
      <c r="AA103" s="179"/>
      <c r="AB103" s="179"/>
      <c r="AC103" s="179"/>
      <c r="AD103" s="179"/>
      <c r="AE103" s="179"/>
      <c r="AF103" s="10"/>
      <c r="AG103" s="1">
        <f t="shared" si="148"/>
        <v>4</v>
      </c>
      <c r="AH103" s="288" t="str">
        <f>D103</f>
        <v>RBP6020</v>
      </c>
      <c r="AI103" s="127">
        <f>IF(VLOOKUP($AH103,SKUS_TO_SIZES,AI$11,FALSE)=0,"",VLOOKUP($AH103,SKUS_TO_SIZES,AI$11,FALSE))</f>
        <v>15.5</v>
      </c>
      <c r="AJ103" s="128" t="str">
        <f>IFERROR(IF(HLOOKUP(AI103,$M$100:$AC$103,$AG103,FALSE)=0,"",HLOOKUP(AI103,$M$100:$AC$103,$AG103,FALSE)),"")</f>
        <v/>
      </c>
      <c r="AK103" s="127">
        <f>IF(VLOOKUP($AH103,SKUS_TO_SIZES,AK$11,FALSE)=0,"",VLOOKUP($AH103,SKUS_TO_SIZES,AK$11,FALSE))</f>
        <v>16.5</v>
      </c>
      <c r="AL103" s="128" t="str">
        <f>IFERROR(IF(HLOOKUP(AK103,$M$100:$AC$103,$AG103,FALSE)=0,"",HLOOKUP(AK103,$M$100:$AC$103,$AG103,FALSE)),"")</f>
        <v/>
      </c>
      <c r="AM103" s="127">
        <f>IF(VLOOKUP($AH103,SKUS_TO_SIZES,AM$11,FALSE)=0,"",VLOOKUP($AH103,SKUS_TO_SIZES,AM$11,FALSE))</f>
        <v>17.5</v>
      </c>
      <c r="AN103" s="128" t="str">
        <f>IFERROR(IF(HLOOKUP(AM103,$M$100:$AC$103,$AG103,FALSE)=0,"",HLOOKUP(AM103,$M$100:$AC$103,$AG103,FALSE)),"")</f>
        <v/>
      </c>
      <c r="AO103" s="127" t="str">
        <f>IF(VLOOKUP($AH103,SKUS_TO_SIZES,AO$11,FALSE)=0,"",VLOOKUP($AH103,SKUS_TO_SIZES,AO$11,FALSE))</f>
        <v/>
      </c>
      <c r="AP103" s="128" t="str">
        <f>IFERROR(IF(HLOOKUP(AO103,$M$100:$AC$103,$AG103,FALSE)=0,"",HLOOKUP(AO103,$M$100:$AC$103,$AG103,FALSE)),"")</f>
        <v/>
      </c>
      <c r="AQ103" s="127" t="str">
        <f>IF(VLOOKUP($AH103,SKUS_TO_SIZES,AQ$11,FALSE)=0,"",VLOOKUP($AH103,SKUS_TO_SIZES,AQ$11,FALSE))</f>
        <v/>
      </c>
      <c r="AR103" s="128" t="str">
        <f>IFERROR(IF(HLOOKUP(AQ103,$M$100:$AC$103,$AG103,FALSE)=0,"",HLOOKUP(AQ103,$M$100:$AC$103,$AG103,FALSE)),"")</f>
        <v/>
      </c>
      <c r="AS103" s="127" t="str">
        <f>IF(VLOOKUP($AH103,SKUS_TO_SIZES,AS$11,FALSE)=0,"",VLOOKUP($AH103,SKUS_TO_SIZES,AS$11,FALSE))</f>
        <v/>
      </c>
      <c r="AT103" s="128" t="str">
        <f>IFERROR(IF(HLOOKUP(AS103,$M$100:$AC$103,$AG103,FALSE)=0,"",HLOOKUP(AS103,$M$100:$AC$103,$AG103,FALSE)),"")</f>
        <v/>
      </c>
      <c r="AU103" s="127" t="str">
        <f>IF(VLOOKUP($AH103,SKUS_TO_SIZES,AU$11,FALSE)=0,"",VLOOKUP($AH103,SKUS_TO_SIZES,AU$11,FALSE))</f>
        <v/>
      </c>
      <c r="AV103" s="128" t="str">
        <f>IFERROR(IF(HLOOKUP(AU103,$M$100:$AC$103,$AG103,FALSE)=0,"",HLOOKUP(AU103,$M$100:$AC$103,$AG103,FALSE)),"")</f>
        <v/>
      </c>
      <c r="AW103" s="127" t="str">
        <f>IF(VLOOKUP($AH103,SKUS_TO_SIZES,AW$11,FALSE)=0,"",VLOOKUP($AH103,SKUS_TO_SIZES,AW$11,FALSE))</f>
        <v/>
      </c>
      <c r="AX103" s="128" t="str">
        <f>IFERROR(IF(HLOOKUP(AW103,$M$100:$AC$103,$AG103,FALSE)=0,"",HLOOKUP(AW103,$M$100:$AC$103,$AG103,FALSE)),"")</f>
        <v/>
      </c>
      <c r="AY103" s="127" t="str">
        <f>IF(VLOOKUP($AH103,SKUS_TO_SIZES,AY$11,FALSE)=0,"",VLOOKUP($AH103,SKUS_TO_SIZES,AY$11,FALSE))</f>
        <v/>
      </c>
      <c r="AZ103" s="128" t="str">
        <f>IFERROR(IF(HLOOKUP(AY103,$M$100:$AC$103,$AG103,FALSE)=0,"",HLOOKUP(AY103,$M$100:$AC$103,$AG103,FALSE)),"")</f>
        <v/>
      </c>
      <c r="BA103" s="127" t="str">
        <f>IF(VLOOKUP($AH103,SKUS_TO_SIZES,BA$11,FALSE)=0,"",VLOOKUP($AH103,SKUS_TO_SIZES,BA$11,FALSE))</f>
        <v/>
      </c>
      <c r="BB103" s="128" t="str">
        <f>IFERROR(IF(HLOOKUP(BA103,$M$100:$AC$103,$AG103,FALSE)=0,"",HLOOKUP(BA103,$M$100:$AC$103,$AG103,FALSE)),"")</f>
        <v/>
      </c>
      <c r="BC103" s="127" t="str">
        <f>IF(VLOOKUP($AH103,SKUS_TO_SIZES,BC$11,FALSE)=0,"",VLOOKUP($AH103,SKUS_TO_SIZES,BC$11,FALSE))</f>
        <v/>
      </c>
      <c r="BD103" s="128" t="str">
        <f>IFERROR(IF(HLOOKUP(BC103,$M$100:$AC$103,$AG103,FALSE)=0,"",HLOOKUP(BC103,$M$100:$AC$103,$AG103,FALSE)),"")</f>
        <v/>
      </c>
      <c r="BE103" s="127" t="str">
        <f>IF(VLOOKUP($AH103,SKUS_TO_SIZES,BE$11,FALSE)=0,"",VLOOKUP($AH103,SKUS_TO_SIZES,BE$11,FALSE))</f>
        <v/>
      </c>
      <c r="BF103" s="128" t="str">
        <f>IFERROR(IF(HLOOKUP(BE103,$M$100:$AC$103,$AG103,FALSE)=0,"",HLOOKUP(BE103,$M$100:$AC$103,$AG103,FALSE)),"")</f>
        <v/>
      </c>
      <c r="BG103" s="8"/>
    </row>
    <row r="104" spans="1:59" ht="12.75" hidden="1" customHeight="1">
      <c r="B104" s="9">
        <f>IF(SKI_CALCULATOR_TYPE=1,IF(ISBLANK(D104),MAX(B$68:B103),IF(AND(ISNUMBER(L104),L104&gt;0)=TRUE,MAX(B$68:B103)+1,MAX(B$68:B103))),0)</f>
        <v>0</v>
      </c>
      <c r="C104" s="10"/>
      <c r="D104" s="178"/>
      <c r="E104" s="209"/>
      <c r="F104" s="210"/>
      <c r="G104" s="395">
        <f ca="1">SUM(G101:G103)</f>
        <v>0</v>
      </c>
      <c r="H104" s="210"/>
      <c r="I104" s="210"/>
      <c r="J104" s="210"/>
      <c r="K104" s="309">
        <f ca="1">SUM(K101:K103)</f>
        <v>0</v>
      </c>
      <c r="L104" s="310">
        <f t="shared" ca="1" si="149"/>
        <v>0</v>
      </c>
      <c r="M104" s="394">
        <f ca="1">SUM(M101:M103)</f>
        <v>0</v>
      </c>
      <c r="N104" s="184">
        <f t="shared" ref="N104:W104" ca="1" si="150">SUM(N101:N103)</f>
        <v>0</v>
      </c>
      <c r="O104" s="184">
        <f t="shared" ca="1" si="150"/>
        <v>0</v>
      </c>
      <c r="P104" s="184">
        <f t="shared" ca="1" si="150"/>
        <v>0</v>
      </c>
      <c r="Q104" s="184">
        <f t="shared" ca="1" si="150"/>
        <v>0</v>
      </c>
      <c r="R104" s="184">
        <f t="shared" ca="1" si="150"/>
        <v>0</v>
      </c>
      <c r="S104" s="184">
        <f t="shared" ca="1" si="150"/>
        <v>0</v>
      </c>
      <c r="T104" s="184">
        <f t="shared" ca="1" si="150"/>
        <v>0</v>
      </c>
      <c r="U104" s="184">
        <f t="shared" ca="1" si="150"/>
        <v>0</v>
      </c>
      <c r="V104" s="184">
        <f t="shared" ca="1" si="150"/>
        <v>0</v>
      </c>
      <c r="W104" s="184">
        <f t="shared" ca="1" si="150"/>
        <v>0</v>
      </c>
      <c r="X104" s="182">
        <f ca="1">SUM(X101:X103)</f>
        <v>0</v>
      </c>
      <c r="Y104" s="179"/>
      <c r="Z104" s="179"/>
      <c r="AA104" s="179"/>
      <c r="AB104" s="179"/>
      <c r="AC104" s="179"/>
      <c r="AD104" s="179"/>
      <c r="AE104" s="179"/>
      <c r="AF104" s="10"/>
      <c r="AI104" s="1"/>
      <c r="AJ104" s="41"/>
      <c r="AK104" s="1"/>
      <c r="AL104" s="41"/>
      <c r="AM104" s="1"/>
      <c r="AN104" s="41"/>
      <c r="AO104" s="1"/>
      <c r="AP104" s="41"/>
      <c r="AQ104" s="1"/>
      <c r="AR104" s="41"/>
      <c r="AS104" s="1"/>
      <c r="AT104" s="41"/>
      <c r="AU104" s="1"/>
      <c r="AV104" s="41"/>
      <c r="AW104" s="1"/>
      <c r="AX104" s="41"/>
      <c r="AY104" s="1"/>
      <c r="AZ104" s="41"/>
      <c r="BA104" s="1"/>
      <c r="BB104" s="41"/>
      <c r="BC104" s="1"/>
      <c r="BD104" s="41"/>
      <c r="BE104" s="1"/>
      <c r="BF104" s="41"/>
    </row>
    <row r="105" spans="1:59" ht="12.75" hidden="1" customHeight="1">
      <c r="B105" s="9">
        <f>IF(SKI_CALCULATOR_TYPE=1,IF(ISBLANK(D105),MAX(B$68:B104),IF(AND(ISNUMBER(L105),L105&gt;0)=TRUE,MAX(B$68:B104)+1,MAX(B$68:B104))),0)</f>
        <v>0</v>
      </c>
      <c r="C105" s="13"/>
      <c r="D105" s="953" t="s">
        <v>112</v>
      </c>
      <c r="E105" s="954"/>
      <c r="F105" s="293"/>
      <c r="G105" s="291"/>
      <c r="H105" s="291"/>
      <c r="I105" s="291"/>
      <c r="J105" s="291"/>
      <c r="K105" s="291"/>
      <c r="L105" s="291"/>
      <c r="M105" s="291"/>
      <c r="N105" s="291"/>
      <c r="O105" s="291"/>
      <c r="P105" s="291"/>
      <c r="Q105" s="291"/>
      <c r="R105" s="291"/>
      <c r="S105" s="291"/>
      <c r="T105" s="291"/>
      <c r="U105" s="291"/>
      <c r="V105" s="291"/>
      <c r="W105" s="291"/>
      <c r="X105" s="291"/>
      <c r="Y105" s="291"/>
      <c r="Z105" s="291"/>
      <c r="AA105" s="291"/>
      <c r="AB105" s="291"/>
      <c r="AC105" s="291"/>
      <c r="AD105" s="291"/>
      <c r="AE105" s="291"/>
      <c r="AF105" s="10"/>
      <c r="AI105" s="1"/>
      <c r="AJ105" s="41"/>
      <c r="AK105" s="1"/>
      <c r="AL105" s="41"/>
      <c r="AM105" s="1"/>
      <c r="AN105" s="41"/>
      <c r="AO105" s="1"/>
      <c r="AP105" s="41"/>
      <c r="AQ105" s="1"/>
      <c r="AR105" s="41"/>
      <c r="AS105" s="1"/>
      <c r="AT105" s="41"/>
      <c r="AU105" s="1"/>
      <c r="AV105" s="41"/>
      <c r="AW105" s="1"/>
      <c r="AX105" s="41"/>
      <c r="AY105" s="1"/>
      <c r="AZ105" s="41"/>
      <c r="BA105" s="1"/>
      <c r="BB105" s="41"/>
      <c r="BC105" s="1"/>
      <c r="BD105" s="41"/>
      <c r="BE105" s="1"/>
      <c r="BF105" s="41"/>
    </row>
    <row r="106" spans="1:59" ht="12.75" hidden="1" customHeight="1" thickBot="1">
      <c r="A106" s="6"/>
      <c r="B106" s="9">
        <f>IF(SKI_CALCULATOR_TYPE=1,IF(ISBLANK(D106),MAX(B$68:B105),IF(AND(ISNUMBER(L106),L106&gt;0)=TRUE,MAX(B$68:B105)+1,MAX(B$68:B105))),0)</f>
        <v>0</v>
      </c>
      <c r="C106" s="13"/>
      <c r="D106" s="295" t="s">
        <v>0</v>
      </c>
      <c r="E106" s="313" t="s">
        <v>1</v>
      </c>
      <c r="F106" s="305" t="s">
        <v>43</v>
      </c>
      <c r="G106" s="305" t="s">
        <v>19</v>
      </c>
      <c r="H106" s="327" t="s">
        <v>102</v>
      </c>
      <c r="I106" s="331" t="s">
        <v>21</v>
      </c>
      <c r="J106" s="311" t="s">
        <v>21</v>
      </c>
      <c r="K106" s="317" t="s">
        <v>6</v>
      </c>
      <c r="L106" s="302" t="s">
        <v>5</v>
      </c>
      <c r="M106" s="300">
        <v>70</v>
      </c>
      <c r="N106" s="301">
        <v>75</v>
      </c>
      <c r="O106" s="301">
        <v>80</v>
      </c>
      <c r="P106" s="301">
        <v>85</v>
      </c>
      <c r="Q106" s="301">
        <v>90</v>
      </c>
      <c r="R106" s="301">
        <v>95</v>
      </c>
      <c r="S106" s="301">
        <v>100</v>
      </c>
      <c r="T106" s="301">
        <v>105</v>
      </c>
      <c r="U106" s="303" t="s">
        <v>125</v>
      </c>
      <c r="V106" s="177"/>
      <c r="W106" s="177"/>
      <c r="X106" s="177"/>
      <c r="Y106" s="177"/>
      <c r="Z106" s="177"/>
      <c r="AA106" s="177"/>
      <c r="AB106" s="177"/>
      <c r="AC106" s="177"/>
      <c r="AD106" s="177"/>
      <c r="AE106" s="177"/>
      <c r="AF106" s="10"/>
      <c r="AI106" s="35"/>
      <c r="AJ106" s="47"/>
      <c r="AK106" s="35"/>
      <c r="AL106" s="47"/>
      <c r="AM106" s="35"/>
      <c r="AN106" s="47"/>
      <c r="AO106" s="35"/>
      <c r="AP106" s="47"/>
      <c r="AQ106" s="35"/>
      <c r="AR106" s="47"/>
      <c r="AS106" s="35"/>
      <c r="AT106" s="47"/>
      <c r="AU106" s="35"/>
      <c r="AV106" s="47"/>
      <c r="AW106" s="35"/>
      <c r="AX106" s="47"/>
      <c r="AY106" s="35"/>
      <c r="AZ106" s="47"/>
      <c r="BA106" s="35"/>
      <c r="BB106" s="47"/>
      <c r="BC106" s="35"/>
      <c r="BD106" s="47"/>
      <c r="BE106" s="35"/>
      <c r="BF106" s="47"/>
    </row>
    <row r="107" spans="1:59" ht="12.75" hidden="1" customHeight="1" thickTop="1">
      <c r="A107" s="8"/>
      <c r="B107" s="9">
        <f>IF(SKI_CALCULATOR_TYPE=1,IF(ISBLANK(D107),MAX(B$68:B106),IF(AND(ISNUMBER(L107),L107&gt;0)=TRUE,MAX(B$68:B106)+1,MAX(B$68:B106))),0)</f>
        <v>0</v>
      </c>
      <c r="C107" s="13"/>
      <c r="D107" s="315" t="s">
        <v>278</v>
      </c>
      <c r="E107" s="519" t="str">
        <f>VLOOKUP(D107,SKUS_TO_SIZES,2,FALSE)</f>
        <v>RENTAL TELESCOPIC JR</v>
      </c>
      <c r="F107" s="520">
        <f>VLOOKUP(D107,SKUS_TO_SIZES,3,FALSE)</f>
        <v>37</v>
      </c>
      <c r="G107" s="520">
        <f t="shared" ref="G107:G108" ca="1" si="151">SUM(L107)*F107</f>
        <v>0</v>
      </c>
      <c r="H107" s="520">
        <f>IF(SKI_DISCOUNT_TYPE=1,IF($J$10=0,F107,F107*(SUM(1-$J$10))),IF(I107=0,F107,F107*(SUM(1-I107))))</f>
        <v>37</v>
      </c>
      <c r="I107" s="521">
        <v>0</v>
      </c>
      <c r="J107" s="522">
        <f>$J$10</f>
        <v>0</v>
      </c>
      <c r="K107" s="523">
        <f ca="1">SUM(M107:AC107)*H107</f>
        <v>0</v>
      </c>
      <c r="L107" s="551">
        <f ca="1">SUM(M107:AD107)</f>
        <v>0</v>
      </c>
      <c r="M107" s="412" t="str">
        <f ca="1">IFERROR(ROUND(HLOOKUP(M$106,INDIRECT("'Hidden Data'!"&amp;HLOOKUP(COLUMN(SKUS_TO_SIZES),NUMBER_TO_LETTER,2,FALSE)&amp;MATCH($D107,'Hidden Data'!$D:$D,0)&amp;":T"&amp;MATCH($D107&amp;"-sizecurve",'Hidden Data'!$D:$D,0)),2,FALSE),0)," ")</f>
        <v xml:space="preserve"> </v>
      </c>
      <c r="N107" s="409" t="str">
        <f ca="1">IFERROR(ROUND(HLOOKUP(N$106,INDIRECT("'Hidden Data'!"&amp;HLOOKUP(COLUMN(SKUS_TO_SIZES),NUMBER_TO_LETTER,2,FALSE)&amp;MATCH($D107,'Hidden Data'!$D:$D,0)&amp;":T"&amp;MATCH($D107&amp;"-sizecurve",'Hidden Data'!$D:$D,0)),2,FALSE),0)," ")</f>
        <v xml:space="preserve"> </v>
      </c>
      <c r="O107" s="409" t="str">
        <f ca="1">IFERROR(ROUND(HLOOKUP(O$106,INDIRECT("'Hidden Data'!"&amp;HLOOKUP(COLUMN(SKUS_TO_SIZES),NUMBER_TO_LETTER,2,FALSE)&amp;MATCH($D107,'Hidden Data'!$D:$D,0)&amp;":T"&amp;MATCH($D107&amp;"-sizecurve",'Hidden Data'!$D:$D,0)),2,FALSE),0)," ")</f>
        <v xml:space="preserve"> </v>
      </c>
      <c r="P107" s="409" t="str">
        <f ca="1">IFERROR(ROUND(HLOOKUP(P$106,INDIRECT("'Hidden Data'!"&amp;HLOOKUP(COLUMN(SKUS_TO_SIZES),NUMBER_TO_LETTER,2,FALSE)&amp;MATCH($D107,'Hidden Data'!$D:$D,0)&amp;":T"&amp;MATCH($D107&amp;"-sizecurve",'Hidden Data'!$D:$D,0)),2,FALSE),0)," ")</f>
        <v xml:space="preserve"> </v>
      </c>
      <c r="Q107" s="409" t="str">
        <f ca="1">IFERROR(ROUND(HLOOKUP(Q$106,INDIRECT("'Hidden Data'!"&amp;HLOOKUP(COLUMN(SKUS_TO_SIZES),NUMBER_TO_LETTER,2,FALSE)&amp;MATCH($D107,'Hidden Data'!$D:$D,0)&amp;":T"&amp;MATCH($D107&amp;"-sizecurve",'Hidden Data'!$D:$D,0)),2,FALSE),0)," ")</f>
        <v xml:space="preserve"> </v>
      </c>
      <c r="R107" s="409" t="str">
        <f ca="1">IFERROR(ROUND(HLOOKUP(R$106,INDIRECT("'Hidden Data'!"&amp;HLOOKUP(COLUMN(SKUS_TO_SIZES),NUMBER_TO_LETTER,2,FALSE)&amp;MATCH($D107,'Hidden Data'!$D:$D,0)&amp;":T"&amp;MATCH($D107&amp;"-sizecurve",'Hidden Data'!$D:$D,0)),2,FALSE),0)," ")</f>
        <v xml:space="preserve"> </v>
      </c>
      <c r="S107" s="409" t="str">
        <f ca="1">IFERROR(ROUND(HLOOKUP(S$106,INDIRECT("'Hidden Data'!"&amp;HLOOKUP(COLUMN(SKUS_TO_SIZES),NUMBER_TO_LETTER,2,FALSE)&amp;MATCH($D107,'Hidden Data'!$D:$D,0)&amp;":T"&amp;MATCH($D107&amp;"-sizecurve",'Hidden Data'!$D:$D,0)),2,FALSE),0)," ")</f>
        <v xml:space="preserve"> </v>
      </c>
      <c r="T107" s="409" t="str">
        <f ca="1">IFERROR(ROUND(HLOOKUP(T$106,INDIRECT("'Hidden Data'!"&amp;HLOOKUP(COLUMN(SKUS_TO_SIZES),NUMBER_TO_LETTER,2,FALSE)&amp;MATCH($D107,'Hidden Data'!$D:$D,0)&amp;":T"&amp;MATCH($D107&amp;"-sizecurve",'Hidden Data'!$D:$D,0)),2,FALSE),0)," ")</f>
        <v xml:space="preserve"> </v>
      </c>
      <c r="U107" s="417"/>
      <c r="V107" s="178"/>
      <c r="W107" s="178"/>
      <c r="X107" s="178"/>
      <c r="Y107" s="178"/>
      <c r="Z107" s="178"/>
      <c r="AA107" s="178"/>
      <c r="AB107" s="178"/>
      <c r="AC107" s="178"/>
      <c r="AD107" s="178"/>
      <c r="AE107" s="178"/>
      <c r="AF107" s="10"/>
      <c r="AG107" s="1">
        <v>2</v>
      </c>
      <c r="AH107" s="288" t="str">
        <f>D107</f>
        <v>RDO7050</v>
      </c>
      <c r="AI107" s="127" t="str">
        <f>IF(VLOOKUP($AH107,SKUS_TO_SIZES,AI$11,FALSE)=0,"",VLOOKUP($AH107,SKUS_TO_SIZES,AI$11,FALSE))</f>
        <v>Adjust.</v>
      </c>
      <c r="AJ107" s="128" t="str">
        <f>IFERROR(IF(HLOOKUP(AI107,$M$106:$AC$109,$AG107,FALSE)=0,"",HLOOKUP(AI107,$M$106:$AC$109,$AG107,FALSE)),"")</f>
        <v/>
      </c>
      <c r="AK107" s="127" t="str">
        <f>IF(VLOOKUP($AH107,SKUS_TO_SIZES,AK$11,FALSE)=0,"",VLOOKUP($AH107,SKUS_TO_SIZES,AK$11,FALSE))</f>
        <v/>
      </c>
      <c r="AL107" s="128" t="str">
        <f>IFERROR(IF(HLOOKUP(AK107,$M$106:$AC$109,$AG107,FALSE)=0,"",HLOOKUP(AK107,$M$106:$AC$109,$AG107,FALSE)),"")</f>
        <v/>
      </c>
      <c r="AM107" s="127" t="str">
        <f>IF(VLOOKUP($AH107,SKUS_TO_SIZES,AM$11,FALSE)=0,"",VLOOKUP($AH107,SKUS_TO_SIZES,AM$11,FALSE))</f>
        <v/>
      </c>
      <c r="AN107" s="128" t="str">
        <f>IFERROR(IF(HLOOKUP(AM107,$M$106:$AC$109,$AG107,FALSE)=0,"",HLOOKUP(AM107,$M$106:$AC$109,$AG107,FALSE)),"")</f>
        <v/>
      </c>
      <c r="AO107" s="127" t="str">
        <f>IF(VLOOKUP($AH107,SKUS_TO_SIZES,AO$11,FALSE)=0,"",VLOOKUP($AH107,SKUS_TO_SIZES,AO$11,FALSE))</f>
        <v/>
      </c>
      <c r="AP107" s="128" t="str">
        <f>IFERROR(IF(HLOOKUP(AO107,$M$106:$AC$109,$AG107,FALSE)=0,"",HLOOKUP(AO107,$M$106:$AC$109,$AG107,FALSE)),"")</f>
        <v/>
      </c>
      <c r="AQ107" s="127" t="str">
        <f>IF(VLOOKUP($AH107,SKUS_TO_SIZES,AQ$11,FALSE)=0,"",VLOOKUP($AH107,SKUS_TO_SIZES,AQ$11,FALSE))</f>
        <v/>
      </c>
      <c r="AR107" s="128" t="str">
        <f>IFERROR(IF(HLOOKUP(AQ107,$M$106:$AC$109,$AG107,FALSE)=0,"",HLOOKUP(AQ107,$M$106:$AC$109,$AG107,FALSE)),"")</f>
        <v/>
      </c>
      <c r="AS107" s="127" t="str">
        <f>IF(VLOOKUP($AH107,SKUS_TO_SIZES,AS$11,FALSE)=0,"",VLOOKUP($AH107,SKUS_TO_SIZES,AS$11,FALSE))</f>
        <v/>
      </c>
      <c r="AT107" s="128" t="str">
        <f>IFERROR(IF(HLOOKUP(AS107,$M$106:$AC$109,$AG107,FALSE)=0,"",HLOOKUP(AS107,$M$106:$AC$109,$AG107,FALSE)),"")</f>
        <v/>
      </c>
      <c r="AU107" s="127" t="str">
        <f>IF(VLOOKUP($AH107,SKUS_TO_SIZES,AU$11,FALSE)=0,"",VLOOKUP($AH107,SKUS_TO_SIZES,AU$11,FALSE))</f>
        <v/>
      </c>
      <c r="AV107" s="128" t="str">
        <f>IFERROR(IF(HLOOKUP(AU107,$M$106:$AC$109,$AG107,FALSE)=0,"",HLOOKUP(AU107,$M$106:$AC$109,$AG107,FALSE)),"")</f>
        <v/>
      </c>
      <c r="AW107" s="127" t="str">
        <f>IF(VLOOKUP($AH107,SKUS_TO_SIZES,AW$11,FALSE)=0,"",VLOOKUP($AH107,SKUS_TO_SIZES,AW$11,FALSE))</f>
        <v/>
      </c>
      <c r="AX107" s="128" t="str">
        <f>IFERROR(IF(HLOOKUP(AW107,$M$106:$AC$109,$AG107,FALSE)=0,"",HLOOKUP(AW107,$M$106:$AC$109,$AG107,FALSE)),"")</f>
        <v/>
      </c>
      <c r="AY107" s="127" t="str">
        <f>IF(VLOOKUP($AH107,SKUS_TO_SIZES,AY$11,FALSE)=0,"",VLOOKUP($AH107,SKUS_TO_SIZES,AY$11,FALSE))</f>
        <v/>
      </c>
      <c r="AZ107" s="128" t="str">
        <f>IFERROR(IF(HLOOKUP(AY107,$M$106:$AC$109,$AG107,FALSE)=0,"",HLOOKUP(AY107,$M$106:$AC$109,$AG107,FALSE)),"")</f>
        <v/>
      </c>
      <c r="BA107" s="127" t="str">
        <f>IF(VLOOKUP($AH107,SKUS_TO_SIZES,BA$11,FALSE)=0,"",VLOOKUP($AH107,SKUS_TO_SIZES,BA$11,FALSE))</f>
        <v/>
      </c>
      <c r="BB107" s="128" t="str">
        <f>IFERROR(IF(HLOOKUP(BA107,$M$106:$AC$109,$AG107,FALSE)=0,"",HLOOKUP(BA107,$M$106:$AC$109,$AG107,FALSE)),"")</f>
        <v/>
      </c>
      <c r="BC107" s="127" t="str">
        <f>IF(VLOOKUP($AH107,SKUS_TO_SIZES,BC$11,FALSE)=0,"",VLOOKUP($AH107,SKUS_TO_SIZES,BC$11,FALSE))</f>
        <v/>
      </c>
      <c r="BD107" s="128" t="str">
        <f>IFERROR(IF(HLOOKUP(BC107,$M$106:$AC$109,$AG107,FALSE)=0,"",HLOOKUP(BC107,$M$106:$AC$109,$AG107,FALSE)),"")</f>
        <v/>
      </c>
      <c r="BE107" s="127" t="str">
        <f>IF(VLOOKUP($AH107,SKUS_TO_SIZES,BE$11,FALSE)=0,"",VLOOKUP($AH107,SKUS_TO_SIZES,BE$11,FALSE))</f>
        <v/>
      </c>
      <c r="BF107" s="128" t="str">
        <f>IFERROR(IF(HLOOKUP(BE107,$M$106:$AC$109,$AG107,FALSE)=0,"",HLOOKUP(BE107,$M$106:$AC$109,$AG107,FALSE)),"")</f>
        <v/>
      </c>
    </row>
    <row r="108" spans="1:59" ht="12.75" hidden="1" customHeight="1">
      <c r="A108" s="8"/>
      <c r="B108" s="9">
        <f>IF(SKI_CALCULATOR_TYPE=1,IF(ISBLANK(D108),MAX(B$68:B107),IF(AND(ISNUMBER(L108),L108&gt;0)=TRUE,MAX(B$68:B107)+1,MAX(B$68:B107))),0)</f>
        <v>0</v>
      </c>
      <c r="C108" s="13"/>
      <c r="D108" s="316" t="s">
        <v>279</v>
      </c>
      <c r="E108" s="525" t="str">
        <f t="shared" ref="E108" si="152">VLOOKUP(D108,SKUS_TO_SIZES,2,FALSE)</f>
        <v>RENTAL FIBER JR</v>
      </c>
      <c r="F108" s="526">
        <f t="shared" ref="F108" si="153">VLOOKUP(D108,SKUS_TO_SIZES,3,FALSE)</f>
        <v>30</v>
      </c>
      <c r="G108" s="526">
        <f t="shared" ca="1" si="151"/>
        <v>0</v>
      </c>
      <c r="H108" s="526">
        <f>IF(SKI_DISCOUNT_TYPE=1,IF($J$10=0,F108,F108*(SUM(1-$J$10))),IF(I108=0,F108,F108*(SUM(1-I108))))</f>
        <v>30</v>
      </c>
      <c r="I108" s="527">
        <v>0</v>
      </c>
      <c r="J108" s="528">
        <f>$J$10</f>
        <v>0</v>
      </c>
      <c r="K108" s="529">
        <f ca="1">SUM(M108:AC108)*H108</f>
        <v>0</v>
      </c>
      <c r="L108" s="552">
        <f t="shared" ref="L108:L110" ca="1" si="154">SUM(M108:AD108)</f>
        <v>0</v>
      </c>
      <c r="M108" s="421"/>
      <c r="N108" s="418"/>
      <c r="O108" s="418"/>
      <c r="P108" s="418"/>
      <c r="Q108" s="418"/>
      <c r="R108" s="418"/>
      <c r="S108" s="418"/>
      <c r="T108" s="418"/>
      <c r="U108" s="410" t="str">
        <f ca="1">IFERROR(ROUND(HLOOKUP(U$106,INDIRECT("'Hidden Data'!"&amp;HLOOKUP(COLUMN(SKUS_TO_SIZES),NUMBER_TO_LETTER,2,FALSE)&amp;MATCH($D108,'Hidden Data'!$D:$D,0)&amp;":T"&amp;MATCH($D108&amp;"-sizecurve",'Hidden Data'!$D:$D,0)),2,FALSE),0)," ")</f>
        <v xml:space="preserve"> </v>
      </c>
      <c r="V108" s="178"/>
      <c r="W108" s="178"/>
      <c r="X108" s="178"/>
      <c r="Y108" s="178"/>
      <c r="Z108" s="178"/>
      <c r="AA108" s="178"/>
      <c r="AB108" s="178"/>
      <c r="AC108" s="178"/>
      <c r="AD108" s="178"/>
      <c r="AE108" s="178"/>
      <c r="AF108" s="10"/>
      <c r="AG108" s="1">
        <f t="shared" ref="AG108:AG109" si="155">AG107+1</f>
        <v>3</v>
      </c>
      <c r="AH108" s="288" t="str">
        <f>D108</f>
        <v>RDO7040</v>
      </c>
      <c r="AI108" s="127">
        <f>IF(VLOOKUP($AH108,SKUS_TO_SIZES,AI$11,FALSE)=0,"",VLOOKUP($AH108,SKUS_TO_SIZES,AI$11,FALSE))</f>
        <v>70</v>
      </c>
      <c r="AJ108" s="128" t="str">
        <f>IFERROR(IF(HLOOKUP(AI108,$M$106:$AC$109,$AG108,FALSE)=0,"",HLOOKUP(AI108,$M$106:$AC$109,$AG108,FALSE)),"")</f>
        <v/>
      </c>
      <c r="AK108" s="127">
        <f>IF(VLOOKUP($AH108,SKUS_TO_SIZES,AK$11,FALSE)=0,"",VLOOKUP($AH108,SKUS_TO_SIZES,AK$11,FALSE))</f>
        <v>75</v>
      </c>
      <c r="AL108" s="128" t="str">
        <f>IFERROR(IF(HLOOKUP(AK108,$M$106:$AC$109,$AG108,FALSE)=0,"",HLOOKUP(AK108,$M$106:$AC$109,$AG108,FALSE)),"")</f>
        <v/>
      </c>
      <c r="AM108" s="127">
        <f>IF(VLOOKUP($AH108,SKUS_TO_SIZES,AM$11,FALSE)=0,"",VLOOKUP($AH108,SKUS_TO_SIZES,AM$11,FALSE))</f>
        <v>80</v>
      </c>
      <c r="AN108" s="128" t="str">
        <f>IFERROR(IF(HLOOKUP(AM108,$M$106:$AC$109,$AG108,FALSE)=0,"",HLOOKUP(AM108,$M$106:$AC$109,$AG108,FALSE)),"")</f>
        <v/>
      </c>
      <c r="AO108" s="127">
        <f>IF(VLOOKUP($AH108,SKUS_TO_SIZES,AO$11,FALSE)=0,"",VLOOKUP($AH108,SKUS_TO_SIZES,AO$11,FALSE))</f>
        <v>85</v>
      </c>
      <c r="AP108" s="128" t="str">
        <f>IFERROR(IF(HLOOKUP(AO108,$M$106:$AC$109,$AG108,FALSE)=0,"",HLOOKUP(AO108,$M$106:$AC$109,$AG108,FALSE)),"")</f>
        <v/>
      </c>
      <c r="AQ108" s="127">
        <f>IF(VLOOKUP($AH108,SKUS_TO_SIZES,AQ$11,FALSE)=0,"",VLOOKUP($AH108,SKUS_TO_SIZES,AQ$11,FALSE))</f>
        <v>90</v>
      </c>
      <c r="AR108" s="128" t="str">
        <f>IFERROR(IF(HLOOKUP(AQ108,$M$106:$AC$109,$AG108,FALSE)=0,"",HLOOKUP(AQ108,$M$106:$AC$109,$AG108,FALSE)),"")</f>
        <v/>
      </c>
      <c r="AS108" s="127">
        <f>IF(VLOOKUP($AH108,SKUS_TO_SIZES,AS$11,FALSE)=0,"",VLOOKUP($AH108,SKUS_TO_SIZES,AS$11,FALSE))</f>
        <v>95</v>
      </c>
      <c r="AT108" s="128" t="str">
        <f>IFERROR(IF(HLOOKUP(AS108,$M$106:$AC$109,$AG108,FALSE)=0,"",HLOOKUP(AS108,$M$106:$AC$109,$AG108,FALSE)),"")</f>
        <v/>
      </c>
      <c r="AU108" s="127">
        <f>IF(VLOOKUP($AH108,SKUS_TO_SIZES,AU$11,FALSE)=0,"",VLOOKUP($AH108,SKUS_TO_SIZES,AU$11,FALSE))</f>
        <v>100</v>
      </c>
      <c r="AV108" s="128" t="str">
        <f>IFERROR(IF(HLOOKUP(AU108,$M$106:$AC$109,$AG108,FALSE)=0,"",HLOOKUP(AU108,$M$106:$AC$109,$AG108,FALSE)),"")</f>
        <v/>
      </c>
      <c r="AW108" s="127">
        <f>IF(VLOOKUP($AH108,SKUS_TO_SIZES,AW$11,FALSE)=0,"",VLOOKUP($AH108,SKUS_TO_SIZES,AW$11,FALSE))</f>
        <v>105</v>
      </c>
      <c r="AX108" s="128" t="str">
        <f>IFERROR(IF(HLOOKUP(AW108,$M$106:$AC$109,$AG108,FALSE)=0,"",HLOOKUP(AW108,$M$106:$AC$109,$AG108,FALSE)),"")</f>
        <v/>
      </c>
      <c r="AY108" s="127" t="str">
        <f>IF(VLOOKUP($AH108,SKUS_TO_SIZES,AY$11,FALSE)=0,"",VLOOKUP($AH108,SKUS_TO_SIZES,AY$11,FALSE))</f>
        <v/>
      </c>
      <c r="AZ108" s="128" t="str">
        <f>IFERROR(IF(HLOOKUP(AY108,$M$106:$AC$109,$AG108,FALSE)=0,"",HLOOKUP(AY108,$M$106:$AC$109,$AG108,FALSE)),"")</f>
        <v/>
      </c>
      <c r="BA108" s="127" t="str">
        <f>IF(VLOOKUP($AH108,SKUS_TO_SIZES,BA$11,FALSE)=0,"",VLOOKUP($AH108,SKUS_TO_SIZES,BA$11,FALSE))</f>
        <v/>
      </c>
      <c r="BB108" s="128" t="str">
        <f>IFERROR(IF(HLOOKUP(BA108,$M$106:$AC$109,$AG108,FALSE)=0,"",HLOOKUP(BA108,$M$106:$AC$109,$AG108,FALSE)),"")</f>
        <v/>
      </c>
      <c r="BC108" s="127" t="str">
        <f>IF(VLOOKUP($AH108,SKUS_TO_SIZES,BC$11,FALSE)=0,"",VLOOKUP($AH108,SKUS_TO_SIZES,BC$11,FALSE))</f>
        <v/>
      </c>
      <c r="BD108" s="128" t="str">
        <f>IFERROR(IF(HLOOKUP(BC108,$M$106:$AC$109,$AG108,FALSE)=0,"",HLOOKUP(BC108,$M$106:$AC$109,$AG108,FALSE)),"")</f>
        <v/>
      </c>
      <c r="BE108" s="127" t="str">
        <f>IF(VLOOKUP($AH108,SKUS_TO_SIZES,BE$11,FALSE)=0,"",VLOOKUP($AH108,SKUS_TO_SIZES,BE$11,FALSE))</f>
        <v/>
      </c>
      <c r="BF108" s="128" t="str">
        <f>IFERROR(IF(HLOOKUP(BE108,$M$106:$AC$109,$AG108,FALSE)=0,"",HLOOKUP(BE108,$M$106:$AC$109,$AG108,FALSE)),"")</f>
        <v/>
      </c>
    </row>
    <row r="109" spans="1:59" ht="12.75" hidden="1" customHeight="1">
      <c r="A109" s="8"/>
      <c r="B109" s="9">
        <f>IF(SKI_CALCULATOR_TYPE=1,IF(ISBLANK(D109),MAX(B$68:B108),IF(AND(ISNUMBER(L109),L109&gt;0)=TRUE,MAX(B$68:B108)+1,MAX(B$68:B108))),0)</f>
        <v>0</v>
      </c>
      <c r="C109" s="13"/>
      <c r="D109" s="314" t="s">
        <v>280</v>
      </c>
      <c r="E109" s="535" t="str">
        <f>VLOOKUP(D109,SKUS_TO_SIZES,2,FALSE)</f>
        <v>RENTAL JR</v>
      </c>
      <c r="F109" s="532">
        <f>VLOOKUP(D109,SKUS_TO_SIZES,3,FALSE)</f>
        <v>26</v>
      </c>
      <c r="G109" s="532">
        <f ca="1">SUM(L109)*F109</f>
        <v>0</v>
      </c>
      <c r="H109" s="532">
        <f>IF(SKI_DISCOUNT_TYPE=1,IF($J$10=0,F109,F109*(SUM(1-$J$10))),IF(I109=0,F109,F109*(SUM(1-I109))))</f>
        <v>26</v>
      </c>
      <c r="I109" s="536">
        <v>0</v>
      </c>
      <c r="J109" s="537">
        <f>$J$10</f>
        <v>0</v>
      </c>
      <c r="K109" s="538">
        <f ca="1">SUM(M109:AC109)*H109</f>
        <v>0</v>
      </c>
      <c r="L109" s="553">
        <f t="shared" ca="1" si="154"/>
        <v>0</v>
      </c>
      <c r="M109" s="419"/>
      <c r="N109" s="420"/>
      <c r="O109" s="420"/>
      <c r="P109" s="420"/>
      <c r="Q109" s="420"/>
      <c r="R109" s="420"/>
      <c r="S109" s="420"/>
      <c r="T109" s="420"/>
      <c r="U109" s="411" t="str">
        <f ca="1">IFERROR(ROUND(HLOOKUP(U$106,INDIRECT("'Hidden Data'!"&amp;HLOOKUP(COLUMN(SKUS_TO_SIZES),NUMBER_TO_LETTER,2,FALSE)&amp;MATCH($D109,'Hidden Data'!$D:$D,0)&amp;":T"&amp;MATCH($D109&amp;"-sizecurve",'Hidden Data'!$D:$D,0)),2,FALSE),0)," ")</f>
        <v xml:space="preserve"> </v>
      </c>
      <c r="V109" s="178"/>
      <c r="W109" s="178"/>
      <c r="X109" s="178"/>
      <c r="Y109" s="178"/>
      <c r="Z109" s="178"/>
      <c r="AA109" s="178"/>
      <c r="AB109" s="178"/>
      <c r="AC109" s="178"/>
      <c r="AD109" s="178"/>
      <c r="AE109" s="178"/>
      <c r="AF109" s="10"/>
      <c r="AG109" s="1">
        <f t="shared" si="155"/>
        <v>4</v>
      </c>
      <c r="AH109" s="288" t="str">
        <f>D109</f>
        <v>RDO7030</v>
      </c>
      <c r="AI109" s="127">
        <f>IF(VLOOKUP($AH109,SKUS_TO_SIZES,AI$11,FALSE)=0,"",VLOOKUP($AH109,SKUS_TO_SIZES,AI$11,FALSE))</f>
        <v>70</v>
      </c>
      <c r="AJ109" s="128" t="str">
        <f>IFERROR(IF(HLOOKUP(AI109,$M$106:$AC$109,$AG109,FALSE)=0,"",HLOOKUP(AI109,$M$106:$AC$109,$AG109,FALSE)),"")</f>
        <v/>
      </c>
      <c r="AK109" s="127">
        <f>IF(VLOOKUP($AH109,SKUS_TO_SIZES,AK$11,FALSE)=0,"",VLOOKUP($AH109,SKUS_TO_SIZES,AK$11,FALSE))</f>
        <v>75</v>
      </c>
      <c r="AL109" s="128" t="str">
        <f>IFERROR(IF(HLOOKUP(AK109,$M$106:$AC$109,$AG109,FALSE)=0,"",HLOOKUP(AK109,$M$106:$AC$109,$AG109,FALSE)),"")</f>
        <v/>
      </c>
      <c r="AM109" s="127">
        <f>IF(VLOOKUP($AH109,SKUS_TO_SIZES,AM$11,FALSE)=0,"",VLOOKUP($AH109,SKUS_TO_SIZES,AM$11,FALSE))</f>
        <v>80</v>
      </c>
      <c r="AN109" s="128" t="str">
        <f>IFERROR(IF(HLOOKUP(AM109,$M$106:$AC$109,$AG109,FALSE)=0,"",HLOOKUP(AM109,$M$106:$AC$109,$AG109,FALSE)),"")</f>
        <v/>
      </c>
      <c r="AO109" s="127">
        <f>IF(VLOOKUP($AH109,SKUS_TO_SIZES,AO$11,FALSE)=0,"",VLOOKUP($AH109,SKUS_TO_SIZES,AO$11,FALSE))</f>
        <v>85</v>
      </c>
      <c r="AP109" s="128" t="str">
        <f>IFERROR(IF(HLOOKUP(AO109,$M$106:$AC$109,$AG109,FALSE)=0,"",HLOOKUP(AO109,$M$106:$AC$109,$AG109,FALSE)),"")</f>
        <v/>
      </c>
      <c r="AQ109" s="127">
        <f>IF(VLOOKUP($AH109,SKUS_TO_SIZES,AQ$11,FALSE)=0,"",VLOOKUP($AH109,SKUS_TO_SIZES,AQ$11,FALSE))</f>
        <v>90</v>
      </c>
      <c r="AR109" s="128" t="str">
        <f>IFERROR(IF(HLOOKUP(AQ109,$M$106:$AC$109,$AG109,FALSE)=0,"",HLOOKUP(AQ109,$M$106:$AC$109,$AG109,FALSE)),"")</f>
        <v/>
      </c>
      <c r="AS109" s="127">
        <f>IF(VLOOKUP($AH109,SKUS_TO_SIZES,AS$11,FALSE)=0,"",VLOOKUP($AH109,SKUS_TO_SIZES,AS$11,FALSE))</f>
        <v>95</v>
      </c>
      <c r="AT109" s="128" t="str">
        <f>IFERROR(IF(HLOOKUP(AS109,$M$106:$AC$109,$AG109,FALSE)=0,"",HLOOKUP(AS109,$M$106:$AC$109,$AG109,FALSE)),"")</f>
        <v/>
      </c>
      <c r="AU109" s="127">
        <f>IF(VLOOKUP($AH109,SKUS_TO_SIZES,AU$11,FALSE)=0,"",VLOOKUP($AH109,SKUS_TO_SIZES,AU$11,FALSE))</f>
        <v>100</v>
      </c>
      <c r="AV109" s="128" t="str">
        <f>IFERROR(IF(HLOOKUP(AU109,$M$106:$AC$109,$AG109,FALSE)=0,"",HLOOKUP(AU109,$M$106:$AC$109,$AG109,FALSE)),"")</f>
        <v/>
      </c>
      <c r="AW109" s="127">
        <f>IF(VLOOKUP($AH109,SKUS_TO_SIZES,AW$11,FALSE)=0,"",VLOOKUP($AH109,SKUS_TO_SIZES,AW$11,FALSE))</f>
        <v>105</v>
      </c>
      <c r="AX109" s="128" t="str">
        <f>IFERROR(IF(HLOOKUP(AW109,$M$106:$AC$109,$AG109,FALSE)=0,"",HLOOKUP(AW109,$M$106:$AC$109,$AG109,FALSE)),"")</f>
        <v/>
      </c>
      <c r="AY109" s="127" t="str">
        <f>IF(VLOOKUP($AH109,SKUS_TO_SIZES,AY$11,FALSE)=0,"",VLOOKUP($AH109,SKUS_TO_SIZES,AY$11,FALSE))</f>
        <v/>
      </c>
      <c r="AZ109" s="128" t="str">
        <f>IFERROR(IF(HLOOKUP(AY109,$M$106:$AC$109,$AG109,FALSE)=0,"",HLOOKUP(AY109,$M$106:$AC$109,$AG109,FALSE)),"")</f>
        <v/>
      </c>
      <c r="BA109" s="127" t="str">
        <f>IF(VLOOKUP($AH109,SKUS_TO_SIZES,BA$11,FALSE)=0,"",VLOOKUP($AH109,SKUS_TO_SIZES,BA$11,FALSE))</f>
        <v/>
      </c>
      <c r="BB109" s="128" t="str">
        <f>IFERROR(IF(HLOOKUP(BA109,$M$106:$AC$109,$AG109,FALSE)=0,"",HLOOKUP(BA109,$M$106:$AC$109,$AG109,FALSE)),"")</f>
        <v/>
      </c>
      <c r="BC109" s="127" t="str">
        <f>IF(VLOOKUP($AH109,SKUS_TO_SIZES,BC$11,FALSE)=0,"",VLOOKUP($AH109,SKUS_TO_SIZES,BC$11,FALSE))</f>
        <v/>
      </c>
      <c r="BD109" s="128" t="str">
        <f>IFERROR(IF(HLOOKUP(BC109,$M$106:$AC$109,$AG109,FALSE)=0,"",HLOOKUP(BC109,$M$106:$AC$109,$AG109,FALSE)),"")</f>
        <v/>
      </c>
      <c r="BE109" s="127" t="str">
        <f>IF(VLOOKUP($AH109,SKUS_TO_SIZES,BE$11,FALSE)=0,"",VLOOKUP($AH109,SKUS_TO_SIZES,BE$11,FALSE))</f>
        <v/>
      </c>
      <c r="BF109" s="128" t="str">
        <f>IFERROR(IF(HLOOKUP(BE109,$M$106:$AC$109,$AG109,FALSE)=0,"",HLOOKUP(BE109,$M$106:$AC$109,$AG109,FALSE)),"")</f>
        <v/>
      </c>
    </row>
    <row r="110" spans="1:59" ht="12.75" hidden="1" customHeight="1">
      <c r="B110" s="9">
        <f>IF(SKI_CALCULATOR_TYPE=1,IF(ISBLANK(D110),MAX(B$68:B109),IF(AND(ISNUMBER(L110),L110&gt;0)=TRUE,MAX(B$68:B109)+1,MAX(B$68:B109))),0)</f>
        <v>0</v>
      </c>
      <c r="C110" s="10"/>
      <c r="D110" s="178"/>
      <c r="E110" s="209"/>
      <c r="F110" s="210"/>
      <c r="G110" s="395">
        <f ca="1">SUM(G107:G109)</f>
        <v>0</v>
      </c>
      <c r="H110" s="210"/>
      <c r="I110" s="210"/>
      <c r="J110" s="210"/>
      <c r="K110" s="227">
        <f ca="1">SUM(K107:K109)</f>
        <v>0</v>
      </c>
      <c r="L110" s="310">
        <f t="shared" ca="1" si="154"/>
        <v>0</v>
      </c>
      <c r="M110" s="394">
        <f ca="1">SUM(M107:M109)</f>
        <v>0</v>
      </c>
      <c r="N110" s="184">
        <f ca="1">SUM(N107:N109)</f>
        <v>0</v>
      </c>
      <c r="O110" s="184">
        <f ca="1">SUM(O107:O109)</f>
        <v>0</v>
      </c>
      <c r="P110" s="184">
        <f t="shared" ref="P110" ca="1" si="156">SUM(P107:P109)</f>
        <v>0</v>
      </c>
      <c r="Q110" s="184">
        <f ca="1">SUM(Q107:Q109)</f>
        <v>0</v>
      </c>
      <c r="R110" s="184">
        <f ca="1">SUM(R107:R109)</f>
        <v>0</v>
      </c>
      <c r="S110" s="184">
        <f ca="1">SUM(S107:S109)</f>
        <v>0</v>
      </c>
      <c r="T110" s="184">
        <f ca="1">SUM(T107:T109)</f>
        <v>0</v>
      </c>
      <c r="U110" s="182">
        <f ca="1">SUM(U107:U109)</f>
        <v>0</v>
      </c>
      <c r="V110" s="178"/>
      <c r="W110" s="178"/>
      <c r="X110" s="209"/>
      <c r="Y110" s="209"/>
      <c r="Z110" s="209"/>
      <c r="AA110" s="209"/>
      <c r="AB110" s="209"/>
      <c r="AC110" s="209"/>
      <c r="AD110" s="209"/>
      <c r="AE110" s="209"/>
      <c r="AF110" s="10"/>
      <c r="AI110" s="1"/>
      <c r="AJ110" s="41"/>
      <c r="AK110" s="1"/>
      <c r="AL110" s="41"/>
      <c r="AM110" s="1"/>
      <c r="AN110" s="41"/>
      <c r="AO110" s="1"/>
      <c r="AP110" s="41"/>
      <c r="AQ110" s="1"/>
      <c r="AR110" s="41"/>
      <c r="AS110" s="1"/>
      <c r="AT110" s="41"/>
      <c r="AU110" s="1"/>
      <c r="AV110" s="41"/>
      <c r="AW110" s="1"/>
      <c r="AX110" s="41"/>
      <c r="AY110" s="1"/>
      <c r="AZ110" s="41"/>
      <c r="BA110" s="1"/>
      <c r="BB110" s="41"/>
      <c r="BC110" s="1"/>
      <c r="BD110" s="41"/>
      <c r="BE110" s="1"/>
      <c r="BF110" s="41"/>
    </row>
    <row r="111" spans="1:59" ht="12.75" hidden="1" customHeight="1">
      <c r="B111" s="9">
        <f>IF(SKI_CALCULATOR_TYPE=1,IF(ISBLANK(D111),MAX(B$68:B110),IF(AND(ISNUMBER(L111),L111&gt;0)=TRUE,MAX(B$68:B110)+1,MAX(B$68:B110))),0)</f>
        <v>0</v>
      </c>
      <c r="C111" s="10"/>
      <c r="D111" s="208"/>
      <c r="E111" s="209"/>
      <c r="F111" s="186"/>
      <c r="G111" s="186"/>
      <c r="H111" s="186"/>
      <c r="I111" s="187"/>
      <c r="J111" s="187"/>
      <c r="K111" s="188"/>
      <c r="L111" s="279"/>
      <c r="M111" s="179"/>
      <c r="N111" s="179"/>
      <c r="O111" s="178"/>
      <c r="P111" s="178"/>
      <c r="Q111" s="178"/>
      <c r="R111" s="178"/>
      <c r="S111" s="178"/>
      <c r="T111" s="178"/>
      <c r="U111" s="178"/>
      <c r="V111" s="178"/>
      <c r="W111" s="178"/>
      <c r="X111" s="178"/>
      <c r="Y111" s="178"/>
      <c r="Z111" s="178"/>
      <c r="AA111" s="178"/>
      <c r="AB111" s="178"/>
      <c r="AC111" s="178"/>
      <c r="AD111" s="178"/>
      <c r="AE111" s="178"/>
      <c r="AF111" s="12"/>
      <c r="AG111" s="149"/>
      <c r="AH111" s="15"/>
      <c r="AI111" s="38"/>
      <c r="AJ111" s="15"/>
      <c r="AK111" s="38"/>
      <c r="AL111" s="15"/>
      <c r="AM111" s="38"/>
      <c r="AN111" s="15"/>
      <c r="AO111" s="38"/>
      <c r="AP111" s="15"/>
      <c r="AQ111" s="38"/>
      <c r="AR111" s="15"/>
      <c r="AS111" s="38"/>
      <c r="AT111" s="15"/>
      <c r="AU111" s="38"/>
      <c r="AV111" s="15"/>
      <c r="AW111" s="38"/>
      <c r="AX111" s="15"/>
      <c r="AY111" s="38"/>
      <c r="AZ111" s="15"/>
      <c r="BA111" s="38"/>
      <c r="BB111" s="15"/>
      <c r="BC111" s="38"/>
      <c r="BD111" s="8"/>
      <c r="BG111" s="41"/>
    </row>
    <row r="112" spans="1:59" ht="12.75" hidden="1" customHeight="1">
      <c r="B112" s="9">
        <f>IF(SKI_CALCULATOR_TYPE=1,IF(ISBLANK(D112),MAX(B$68:B111),IF(AND(ISNUMBER(L112),L112&gt;0)=TRUE,MAX(B$68:B111)+1,MAX(B$68:B111))),0)</f>
        <v>0</v>
      </c>
      <c r="C112" s="10"/>
      <c r="D112" s="961" t="s">
        <v>152</v>
      </c>
      <c r="E112" s="961"/>
      <c r="F112" s="961"/>
      <c r="G112" s="961"/>
      <c r="H112" s="961"/>
      <c r="I112" s="961"/>
      <c r="J112" s="961"/>
      <c r="K112" s="961"/>
      <c r="L112" s="961"/>
      <c r="M112" s="961"/>
      <c r="N112" s="961"/>
      <c r="O112" s="961"/>
      <c r="P112" s="961"/>
      <c r="Q112" s="961"/>
      <c r="R112" s="961"/>
      <c r="S112" s="961"/>
      <c r="T112" s="961"/>
      <c r="U112" s="961"/>
      <c r="V112" s="961"/>
      <c r="W112" s="961"/>
      <c r="X112" s="961"/>
      <c r="Y112" s="961"/>
      <c r="Z112" s="961"/>
      <c r="AA112" s="961"/>
      <c r="AB112" s="961"/>
      <c r="AC112" s="961"/>
      <c r="AD112" s="961"/>
      <c r="AE112" s="961"/>
      <c r="AF112" s="12"/>
      <c r="AG112" s="149"/>
      <c r="AH112" s="15"/>
      <c r="AI112" s="38"/>
      <c r="AJ112" s="15"/>
      <c r="AK112" s="38"/>
      <c r="AL112" s="15"/>
      <c r="AM112" s="38"/>
      <c r="AN112" s="15"/>
      <c r="AO112" s="38"/>
      <c r="AP112" s="15"/>
      <c r="AQ112" s="38"/>
      <c r="AR112" s="15"/>
      <c r="AS112" s="38"/>
      <c r="AT112" s="15"/>
      <c r="AU112" s="38"/>
      <c r="AV112" s="15"/>
      <c r="AW112" s="38"/>
      <c r="AX112" s="15"/>
      <c r="AY112" s="38"/>
      <c r="AZ112" s="15"/>
      <c r="BA112" s="38"/>
      <c r="BB112" s="15"/>
      <c r="BC112" s="38"/>
      <c r="BD112" s="8"/>
      <c r="BG112" s="41"/>
    </row>
    <row r="113" spans="1:59" ht="12.75" hidden="1" customHeight="1">
      <c r="B113" s="9">
        <f>IF(SKI_CALCULATOR_TYPE=1,IF(ISBLANK(D113),MAX(B$68:B112),IF(AND(ISNUMBER(L113),L113&gt;0)=TRUE,MAX(B$68:B112)+1,MAX(B$68:B112))),0)</f>
        <v>0</v>
      </c>
      <c r="C113" s="13"/>
      <c r="D113" s="953" t="s">
        <v>154</v>
      </c>
      <c r="E113" s="954"/>
      <c r="F113" s="293"/>
      <c r="G113" s="291"/>
      <c r="H113" s="291"/>
      <c r="I113" s="291"/>
      <c r="J113" s="291"/>
      <c r="K113" s="291"/>
      <c r="L113" s="291"/>
      <c r="M113" s="291"/>
      <c r="N113" s="291"/>
      <c r="O113" s="291"/>
      <c r="P113" s="291"/>
      <c r="Q113" s="291"/>
      <c r="R113" s="291"/>
      <c r="S113" s="291"/>
      <c r="T113" s="291"/>
      <c r="U113" s="291"/>
      <c r="V113" s="291"/>
      <c r="W113" s="291"/>
      <c r="X113" s="291"/>
      <c r="Y113" s="291"/>
      <c r="Z113" s="291"/>
      <c r="AA113" s="291"/>
      <c r="AB113" s="291"/>
      <c r="AC113" s="291"/>
      <c r="AD113" s="291"/>
      <c r="AE113" s="291"/>
      <c r="AF113" s="10"/>
      <c r="AI113" s="1"/>
      <c r="AJ113" s="41"/>
      <c r="AK113" s="1"/>
      <c r="AL113" s="41"/>
      <c r="AM113" s="1"/>
      <c r="AN113" s="41"/>
      <c r="AO113" s="1"/>
      <c r="AP113" s="41"/>
      <c r="AQ113" s="1"/>
      <c r="AR113" s="41"/>
      <c r="AS113" s="1"/>
      <c r="AT113" s="41"/>
      <c r="AU113" s="1"/>
      <c r="AV113" s="41"/>
      <c r="AW113" s="1"/>
      <c r="AX113" s="41"/>
      <c r="AY113" s="1"/>
      <c r="AZ113" s="41"/>
      <c r="BA113" s="1"/>
      <c r="BB113" s="41"/>
      <c r="BC113" s="1"/>
      <c r="BD113" s="41"/>
      <c r="BE113" s="1"/>
      <c r="BF113" s="41"/>
    </row>
    <row r="114" spans="1:59" ht="12.75" hidden="1" customHeight="1" thickBot="1">
      <c r="A114" s="6"/>
      <c r="B114" s="9">
        <f>IF(SKI_CALCULATOR_TYPE=1,IF(ISBLANK(D114),MAX(B$68:B113),IF(AND(ISNUMBER(L114),L114&gt;0)=TRUE,MAX(B$68:B113)+1,MAX(B$68:B113))),0)</f>
        <v>0</v>
      </c>
      <c r="C114" s="13"/>
      <c r="D114" s="295" t="s">
        <v>0</v>
      </c>
      <c r="E114" s="313" t="s">
        <v>1</v>
      </c>
      <c r="F114" s="305" t="s">
        <v>43</v>
      </c>
      <c r="G114" s="305" t="s">
        <v>19</v>
      </c>
      <c r="H114" s="327" t="s">
        <v>102</v>
      </c>
      <c r="I114" s="331" t="s">
        <v>21</v>
      </c>
      <c r="J114" s="311" t="s">
        <v>21</v>
      </c>
      <c r="K114" s="317" t="s">
        <v>6</v>
      </c>
      <c r="L114" s="302" t="s">
        <v>5</v>
      </c>
      <c r="M114" s="300" t="s">
        <v>259</v>
      </c>
      <c r="N114" s="303" t="s">
        <v>256</v>
      </c>
      <c r="O114" s="303" t="s">
        <v>257</v>
      </c>
      <c r="P114" s="303" t="s">
        <v>258</v>
      </c>
      <c r="Q114" s="177"/>
      <c r="R114" s="177"/>
      <c r="S114" s="177"/>
      <c r="T114" s="177"/>
      <c r="U114" s="177"/>
      <c r="V114" s="177"/>
      <c r="W114" s="177"/>
      <c r="X114" s="177"/>
      <c r="Y114" s="177"/>
      <c r="Z114" s="177"/>
      <c r="AA114" s="177"/>
      <c r="AB114" s="177"/>
      <c r="AC114" s="177"/>
      <c r="AD114" s="177"/>
      <c r="AE114" s="177"/>
      <c r="AF114" s="10"/>
      <c r="AI114" s="1"/>
      <c r="AJ114" s="41"/>
      <c r="AK114" s="1"/>
      <c r="AL114" s="41"/>
      <c r="AM114" s="1"/>
      <c r="AN114" s="41"/>
      <c r="AO114" s="1"/>
      <c r="AP114" s="41"/>
      <c r="AQ114" s="1"/>
      <c r="AR114" s="41"/>
      <c r="AS114" s="1"/>
      <c r="AT114" s="41"/>
      <c r="AU114" s="1"/>
      <c r="AV114" s="41"/>
      <c r="AW114" s="1"/>
      <c r="AX114" s="41"/>
      <c r="AY114" s="1"/>
      <c r="AZ114" s="41"/>
      <c r="BA114" s="1"/>
      <c r="BB114" s="41"/>
      <c r="BC114" s="1"/>
      <c r="BD114" s="41"/>
      <c r="BE114" s="1"/>
      <c r="BF114" s="41"/>
    </row>
    <row r="115" spans="1:59" ht="12.75" hidden="1" customHeight="1" thickTop="1">
      <c r="A115" s="8"/>
      <c r="B115" s="9">
        <f>IF(SKI_CALCULATOR_TYPE=1,IF(ISBLANK(D115),MAX(B$68:B114),IF(AND(ISNUMBER(L115),L115&gt;0)=TRUE,MAX(B$68:B114)+1,MAX(B$68:B114))),0)</f>
        <v>0</v>
      </c>
      <c r="C115" s="13"/>
      <c r="D115" s="243" t="s">
        <v>306</v>
      </c>
      <c r="E115" s="525" t="str">
        <f>VLOOKUP(D115,SKUS_TO_SIZES,2,FALSE)</f>
        <v>ARCADE RENTAL</v>
      </c>
      <c r="F115" s="526">
        <f>VLOOKUP(D115,SKUS_TO_SIZES,3,FALSE)</f>
        <v>65</v>
      </c>
      <c r="G115" s="526">
        <f ca="1">SUM(L115)*F115</f>
        <v>0</v>
      </c>
      <c r="H115" s="526">
        <f>IF(SKI_DISCOUNT_TYPE=1,IF($J$10=0,F115,F115*(SUM(1-$J$10))),IF(I115=0,F115,F115*(SUM(1-I115))))</f>
        <v>65</v>
      </c>
      <c r="I115" s="527">
        <v>0</v>
      </c>
      <c r="J115" s="528">
        <f>$J$7</f>
        <v>0</v>
      </c>
      <c r="K115" s="544">
        <f ca="1">SUM(M115:AC115)*H115</f>
        <v>0</v>
      </c>
      <c r="L115" s="546">
        <f ca="1">SUM(M115:AD115)</f>
        <v>0</v>
      </c>
      <c r="M115" s="414" t="str">
        <f ca="1">IFERROR(ROUND(HLOOKUP(M$114,INDIRECT("'Hidden Data'!"&amp;HLOOKUP(COLUMN(SKUS_TO_SIZES),NUMBER_TO_LETTER,2,FALSE)&amp;MATCH($D115,'Hidden Data'!$D:$D,0)&amp;":T"&amp;MATCH($D115&amp;"-sizecurve",'Hidden Data'!$D:$D,0)),2,FALSE),0)," ")</f>
        <v xml:space="preserve"> </v>
      </c>
      <c r="N115" s="418"/>
      <c r="O115" s="418"/>
      <c r="P115" s="509"/>
      <c r="Q115" s="178"/>
      <c r="R115" s="178"/>
      <c r="S115" s="178"/>
      <c r="T115" s="178"/>
      <c r="U115" s="178"/>
      <c r="V115" s="178"/>
      <c r="W115" s="178"/>
      <c r="X115" s="178"/>
      <c r="Y115" s="178"/>
      <c r="Z115" s="178"/>
      <c r="AA115" s="178"/>
      <c r="AB115" s="178"/>
      <c r="AC115" s="178"/>
      <c r="AD115" s="178"/>
      <c r="AE115" s="178"/>
      <c r="AF115" s="10"/>
      <c r="AG115" s="1">
        <v>2</v>
      </c>
      <c r="AH115" s="288" t="str">
        <f>D115</f>
        <v>RKPHT06</v>
      </c>
      <c r="AI115" s="130" t="str">
        <f>IF(VLOOKUP($AH115,SKUS_TO_SIZES,AI$11,FALSE)=0,"",VLOOKUP($AH115,SKUS_TO_SIZES,AI$11,FALSE))</f>
        <v>SM</v>
      </c>
      <c r="AJ115" s="129" t="str">
        <f>IFERROR(IF(HLOOKUP(AI115,$M$114:$AC$116,$AG115,FALSE)=0,"",HLOOKUP(AI115,$M$114:$AC$116,$AG115,FALSE)),"")</f>
        <v/>
      </c>
      <c r="AK115" s="130" t="str">
        <f>IF(VLOOKUP($AH115,SKUS_TO_SIZES,AK$11,FALSE)=0,"",VLOOKUP($AH115,SKUS_TO_SIZES,AK$11,FALSE))</f>
        <v>ML</v>
      </c>
      <c r="AL115" s="129" t="str">
        <f>IFERROR(IF(HLOOKUP(AK115,$M$114:$AC$116,$AG115,FALSE)=0,"",HLOOKUP(AK115,$M$114:$AC$116,$AG115,FALSE)),"")</f>
        <v/>
      </c>
      <c r="AM115" s="130" t="str">
        <f>IF(VLOOKUP($AH115,SKUS_TO_SIZES,AM$11,FALSE)=0,"",VLOOKUP($AH115,SKUS_TO_SIZES,AM$11,FALSE))</f>
        <v>LXL</v>
      </c>
      <c r="AN115" s="129" t="str">
        <f>IFERROR(IF(HLOOKUP(AM115,$M$114:$AC$116,$AG115,FALSE)=0,"",HLOOKUP(AM115,$M$114:$AC$116,$AG115,FALSE)),"")</f>
        <v/>
      </c>
      <c r="AO115" s="130" t="str">
        <f>IF(VLOOKUP($AH115,SKUS_TO_SIZES,AO$11,FALSE)=0,"",VLOOKUP($AH115,SKUS_TO_SIZES,AO$11,FALSE))</f>
        <v/>
      </c>
      <c r="AP115" s="129" t="str">
        <f>IFERROR(IF(HLOOKUP(AO115,$M$114:$AC$116,$AG115,FALSE)=0,"",HLOOKUP(AO115,$M$114:$AC$116,$AG115,FALSE)),"")</f>
        <v/>
      </c>
      <c r="AQ115" s="130" t="str">
        <f>IF(VLOOKUP($AH115,SKUS_TO_SIZES,AQ$11,FALSE)=0,"",VLOOKUP($AH115,SKUS_TO_SIZES,AQ$11,FALSE))</f>
        <v/>
      </c>
      <c r="AR115" s="129" t="str">
        <f>IFERROR(IF(HLOOKUP(AQ115,$M$114:$AC$116,$AG115,FALSE)=0,"",HLOOKUP(AQ115,$M$114:$AC$116,$AG115,FALSE)),"")</f>
        <v/>
      </c>
      <c r="AS115" s="130" t="str">
        <f>IF(VLOOKUP($AH115,SKUS_TO_SIZES,AS$11,FALSE)=0,"",VLOOKUP($AH115,SKUS_TO_SIZES,AS$11,FALSE))</f>
        <v/>
      </c>
      <c r="AT115" s="129" t="str">
        <f>IFERROR(IF(HLOOKUP(AS115,$M$114:$AC$116,$AG115,FALSE)=0,"",HLOOKUP(AS115,$M$114:$AC$116,$AG115,FALSE)),"")</f>
        <v/>
      </c>
      <c r="AU115" s="130" t="str">
        <f>IF(VLOOKUP($AH115,SKUS_TO_SIZES,AU$11,FALSE)=0,"",VLOOKUP($AH115,SKUS_TO_SIZES,AU$11,FALSE))</f>
        <v/>
      </c>
      <c r="AV115" s="129" t="str">
        <f>IFERROR(IF(HLOOKUP(AU115,$M$114:$AC$116,$AG115,FALSE)=0,"",HLOOKUP(AU115,$M$114:$AC$116,$AG115,FALSE)),"")</f>
        <v/>
      </c>
      <c r="AW115" s="130" t="str">
        <f>IF(VLOOKUP($AH115,SKUS_TO_SIZES,AW$11,FALSE)=0,"",VLOOKUP($AH115,SKUS_TO_SIZES,AW$11,FALSE))</f>
        <v/>
      </c>
      <c r="AX115" s="129" t="str">
        <f>IFERROR(IF(HLOOKUP(AW115,$M$114:$AC$116,$AG115,FALSE)=0,"",HLOOKUP(AW115,$M$114:$AC$116,$AG115,FALSE)),"")</f>
        <v/>
      </c>
      <c r="AY115" s="130" t="str">
        <f>IF(VLOOKUP($AH115,SKUS_TO_SIZES,AY$11,FALSE)=0,"",VLOOKUP($AH115,SKUS_TO_SIZES,AY$11,FALSE))</f>
        <v/>
      </c>
      <c r="AZ115" s="129" t="str">
        <f>IFERROR(IF(HLOOKUP(AY115,$M$114:$AC$116,$AG115,FALSE)=0,"",HLOOKUP(AY115,$M$114:$AC$116,$AG115,FALSE)),"")</f>
        <v/>
      </c>
      <c r="BA115" s="130" t="str">
        <f>IF(VLOOKUP($AH115,SKUS_TO_SIZES,BA$11,FALSE)=0,"",VLOOKUP($AH115,SKUS_TO_SIZES,BA$11,FALSE))</f>
        <v/>
      </c>
      <c r="BB115" s="129" t="str">
        <f>IFERROR(IF(HLOOKUP(BA115,$M$114:$AC$116,$AG115,FALSE)=0,"",HLOOKUP(BA115,$M$114:$AC$116,$AG115,FALSE)),"")</f>
        <v/>
      </c>
      <c r="BC115" s="130" t="str">
        <f>IF(VLOOKUP($AH115,SKUS_TO_SIZES,BC$11,FALSE)=0,"",VLOOKUP($AH115,SKUS_TO_SIZES,BC$11,FALSE))</f>
        <v/>
      </c>
      <c r="BD115" s="129" t="str">
        <f>IFERROR(IF(HLOOKUP(BC115,$M$114:$AC$116,$AG115,FALSE)=0,"",HLOOKUP(BC115,$M$114:$AC$116,$AG115,FALSE)),"")</f>
        <v/>
      </c>
      <c r="BE115" s="130" t="str">
        <f>IF(VLOOKUP($AH115,SKUS_TO_SIZES,BE$11,FALSE)=0,"",VLOOKUP($AH115,SKUS_TO_SIZES,BE$11,FALSE))</f>
        <v/>
      </c>
      <c r="BF115" s="129" t="str">
        <f>IFERROR(IF(HLOOKUP(BE115,$M$114:$AC$116,$AG115,FALSE)=0,"",HLOOKUP(BE115,$M$114:$AC$116,$AG115,FALSE)),"")</f>
        <v/>
      </c>
    </row>
    <row r="116" spans="1:59" ht="12.75" hidden="1" customHeight="1">
      <c r="A116" s="8"/>
      <c r="B116" s="9">
        <f>IF(SKI_CALCULATOR_TYPE=1,IF(ISBLANK(D116),MAX(B$68:B115),IF(AND(ISNUMBER(L116),L116&gt;0)=TRUE,MAX(B$68:B115)+1,MAX(B$68:B115))),0)</f>
        <v>0</v>
      </c>
      <c r="C116" s="13"/>
      <c r="D116" s="451" t="s">
        <v>304</v>
      </c>
      <c r="E116" s="531" t="str">
        <f>VLOOKUP(D116,SKUS_TO_SIZES,2,FALSE)</f>
        <v>WHOOPEE IMPACTS RENTAL</v>
      </c>
      <c r="F116" s="532">
        <f>VLOOKUP(D116,SKUS_TO_SIZES,3,FALSE)</f>
        <v>50</v>
      </c>
      <c r="G116" s="526">
        <f ca="1">SUM(L116)*F116</f>
        <v>0</v>
      </c>
      <c r="H116" s="532">
        <f>IF(SKI_DISCOUNT_TYPE=1,IF($J$10=0,F116,F116*(SUM(1-$J$10))),IF(I116=0,F116,F116*(SUM(1-I116))))</f>
        <v>50</v>
      </c>
      <c r="I116" s="536">
        <v>0</v>
      </c>
      <c r="J116" s="537">
        <f>$J$10</f>
        <v>0</v>
      </c>
      <c r="K116" s="543">
        <f ca="1">SUM(M116:AC116)*H116</f>
        <v>0</v>
      </c>
      <c r="L116" s="615">
        <f t="shared" ref="L116:L117" ca="1" si="157">SUM(M116:AD116)</f>
        <v>0</v>
      </c>
      <c r="M116" s="419"/>
      <c r="N116" s="420"/>
      <c r="O116" s="413" t="str">
        <f ca="1">IFERROR(ROUND(HLOOKUP(O$114,INDIRECT("'Hidden Data'!"&amp;HLOOKUP(COLUMN(SKUS_TO_SIZES),NUMBER_TO_LETTER,2,FALSE)&amp;MATCH($D116,'Hidden Data'!$D:$D,0)&amp;":T"&amp;MATCH($D116&amp;"-sizecurve",'Hidden Data'!$D:$D,0)),2,FALSE),0)," ")</f>
        <v xml:space="preserve"> </v>
      </c>
      <c r="P116" s="411" t="str">
        <f ca="1">IFERROR(ROUND(HLOOKUP(P$114,INDIRECT("'Hidden Data'!"&amp;HLOOKUP(COLUMN(SKUS_TO_SIZES),NUMBER_TO_LETTER,2,FALSE)&amp;MATCH($D116,'Hidden Data'!$D:$D,0)&amp;":T"&amp;MATCH($D116&amp;"-sizecurve",'Hidden Data'!$D:$D,0)),2,FALSE),0)," ")</f>
        <v xml:space="preserve"> </v>
      </c>
      <c r="Q116" s="178"/>
      <c r="R116" s="178"/>
      <c r="S116" s="178"/>
      <c r="T116" s="178"/>
      <c r="U116" s="178"/>
      <c r="V116" s="178"/>
      <c r="W116" s="178"/>
      <c r="X116" s="178"/>
      <c r="Y116" s="178"/>
      <c r="Z116" s="178"/>
      <c r="AA116" s="178"/>
      <c r="AB116" s="178"/>
      <c r="AC116" s="178"/>
      <c r="AD116" s="178"/>
      <c r="AE116" s="178"/>
      <c r="AF116" s="10"/>
      <c r="AG116" s="1">
        <f t="shared" ref="AG116" si="158">AG115+1</f>
        <v>3</v>
      </c>
      <c r="AH116" s="288" t="str">
        <f>D116</f>
        <v>RKPHI05</v>
      </c>
      <c r="AI116" s="130" t="str">
        <f>IF(VLOOKUP($AH116,SKUS_TO_SIZES,AI$11,FALSE)=0,"",VLOOKUP($AH116,SKUS_TO_SIZES,AI$11,FALSE))</f>
        <v>XSS</v>
      </c>
      <c r="AJ116" s="129" t="str">
        <f>IFERROR(IF(HLOOKUP(AI116,$M$114:$AC$116,$AG116,FALSE)=0,"",HLOOKUP(AI116,$M$114:$AC$116,$AG116,FALSE)),"")</f>
        <v/>
      </c>
      <c r="AK116" s="130" t="str">
        <f>IF(VLOOKUP($AH116,SKUS_TO_SIZES,AK$11,FALSE)=0,"",VLOOKUP($AH116,SKUS_TO_SIZES,AK$11,FALSE))</f>
        <v>SM</v>
      </c>
      <c r="AL116" s="129" t="str">
        <f>IFERROR(IF(HLOOKUP(AK116,$M$114:$AC$116,$AG116,FALSE)=0,"",HLOOKUP(AK116,$M$114:$AC$116,$AG116,FALSE)),"")</f>
        <v/>
      </c>
      <c r="AM116" s="130" t="str">
        <f>IF(VLOOKUP($AH116,SKUS_TO_SIZES,AM$11,FALSE)=0,"",VLOOKUP($AH116,SKUS_TO_SIZES,AM$11,FALSE))</f>
        <v/>
      </c>
      <c r="AN116" s="129" t="str">
        <f>IFERROR(IF(HLOOKUP(AM116,$M$114:$AC$116,$AG116,FALSE)=0,"",HLOOKUP(AM116,$M$114:$AC$116,$AG116,FALSE)),"")</f>
        <v/>
      </c>
      <c r="AO116" s="130" t="str">
        <f>IF(VLOOKUP($AH116,SKUS_TO_SIZES,AO$11,FALSE)=0,"",VLOOKUP($AH116,SKUS_TO_SIZES,AO$11,FALSE))</f>
        <v/>
      </c>
      <c r="AP116" s="129" t="str">
        <f>IFERROR(IF(HLOOKUP(AO116,$M$114:$AC$116,$AG116,FALSE)=0,"",HLOOKUP(AO116,$M$114:$AC$116,$AG116,FALSE)),"")</f>
        <v/>
      </c>
      <c r="AQ116" s="130" t="str">
        <f>IF(VLOOKUP($AH116,SKUS_TO_SIZES,AQ$11,FALSE)=0,"",VLOOKUP($AH116,SKUS_TO_SIZES,AQ$11,FALSE))</f>
        <v/>
      </c>
      <c r="AR116" s="129" t="str">
        <f>IFERROR(IF(HLOOKUP(AQ116,$M$114:$AC$116,$AG116,FALSE)=0,"",HLOOKUP(AQ116,$M$114:$AC$116,$AG116,FALSE)),"")</f>
        <v/>
      </c>
      <c r="AS116" s="130" t="str">
        <f>IF(VLOOKUP($AH116,SKUS_TO_SIZES,AS$11,FALSE)=0,"",VLOOKUP($AH116,SKUS_TO_SIZES,AS$11,FALSE))</f>
        <v/>
      </c>
      <c r="AT116" s="129" t="str">
        <f>IFERROR(IF(HLOOKUP(AS116,$M$114:$AC$116,$AG116,FALSE)=0,"",HLOOKUP(AS116,$M$114:$AC$116,$AG116,FALSE)),"")</f>
        <v/>
      </c>
      <c r="AU116" s="130" t="str">
        <f>IF(VLOOKUP($AH116,SKUS_TO_SIZES,AU$11,FALSE)=0,"",VLOOKUP($AH116,SKUS_TO_SIZES,AU$11,FALSE))</f>
        <v/>
      </c>
      <c r="AV116" s="129" t="str">
        <f>IFERROR(IF(HLOOKUP(AU116,$M$114:$AC$116,$AG116,FALSE)=0,"",HLOOKUP(AU116,$M$114:$AC$116,$AG116,FALSE)),"")</f>
        <v/>
      </c>
      <c r="AW116" s="130" t="str">
        <f>IF(VLOOKUP($AH116,SKUS_TO_SIZES,AW$11,FALSE)=0,"",VLOOKUP($AH116,SKUS_TO_SIZES,AW$11,FALSE))</f>
        <v/>
      </c>
      <c r="AX116" s="129" t="str">
        <f>IFERROR(IF(HLOOKUP(AW116,$M$114:$AC$116,$AG116,FALSE)=0,"",HLOOKUP(AW116,$M$114:$AC$116,$AG116,FALSE)),"")</f>
        <v/>
      </c>
      <c r="AY116" s="130" t="str">
        <f>IF(VLOOKUP($AH116,SKUS_TO_SIZES,AY$11,FALSE)=0,"",VLOOKUP($AH116,SKUS_TO_SIZES,AY$11,FALSE))</f>
        <v/>
      </c>
      <c r="AZ116" s="129" t="str">
        <f>IFERROR(IF(HLOOKUP(AY116,$M$114:$AC$116,$AG116,FALSE)=0,"",HLOOKUP(AY116,$M$114:$AC$116,$AG116,FALSE)),"")</f>
        <v/>
      </c>
      <c r="BA116" s="130" t="str">
        <f>IF(VLOOKUP($AH116,SKUS_TO_SIZES,BA$11,FALSE)=0,"",VLOOKUP($AH116,SKUS_TO_SIZES,BA$11,FALSE))</f>
        <v/>
      </c>
      <c r="BB116" s="129" t="str">
        <f>IFERROR(IF(HLOOKUP(BA116,$M$114:$AC$116,$AG116,FALSE)=0,"",HLOOKUP(BA116,$M$114:$AC$116,$AG116,FALSE)),"")</f>
        <v/>
      </c>
      <c r="BC116" s="130" t="str">
        <f>IF(VLOOKUP($AH116,SKUS_TO_SIZES,BC$11,FALSE)=0,"",VLOOKUP($AH116,SKUS_TO_SIZES,BC$11,FALSE))</f>
        <v/>
      </c>
      <c r="BD116" s="129" t="str">
        <f>IFERROR(IF(HLOOKUP(BC116,$M$114:$AC$116,$AG116,FALSE)=0,"",HLOOKUP(BC116,$M$114:$AC$116,$AG116,FALSE)),"")</f>
        <v/>
      </c>
      <c r="BE116" s="130" t="str">
        <f>IF(VLOOKUP($AH116,SKUS_TO_SIZES,BE$11,FALSE)=0,"",VLOOKUP($AH116,SKUS_TO_SIZES,BE$11,FALSE))</f>
        <v/>
      </c>
      <c r="BF116" s="129" t="str">
        <f>IFERROR(IF(HLOOKUP(BE116,$M$114:$AC$116,$AG116,FALSE)=0,"",HLOOKUP(BE116,$M$114:$AC$116,$AG116,FALSE)),"")</f>
        <v/>
      </c>
    </row>
    <row r="117" spans="1:59" ht="12.75" hidden="1" customHeight="1">
      <c r="B117" s="9">
        <f>IF(SKI_CALCULATOR_TYPE=1,IF(ISBLANK(D117),MAX(B$68:B116),IF(AND(ISNUMBER(L117),L117&gt;0)=TRUE,MAX(B$68:B116)+1,MAX(B$68:B116))),0)</f>
        <v>0</v>
      </c>
      <c r="C117" s="10"/>
      <c r="D117" s="178"/>
      <c r="E117" s="209"/>
      <c r="F117" s="210"/>
      <c r="G117" s="395">
        <f ca="1">SUM(G115:G116)</f>
        <v>0</v>
      </c>
      <c r="H117" s="210"/>
      <c r="I117" s="210"/>
      <c r="J117" s="210"/>
      <c r="K117" s="227">
        <f ca="1">SUM(K115:K116)</f>
        <v>0</v>
      </c>
      <c r="L117" s="310">
        <f t="shared" ca="1" si="157"/>
        <v>0</v>
      </c>
      <c r="M117" s="229">
        <f ca="1">SUM(M115:M116)</f>
        <v>0</v>
      </c>
      <c r="N117" s="235">
        <f>SUM(N115:N116)</f>
        <v>0</v>
      </c>
      <c r="O117" s="235">
        <f ca="1">SUM(O115:O116)</f>
        <v>0</v>
      </c>
      <c r="P117" s="230">
        <f ca="1">SUM(P115:P116)</f>
        <v>0</v>
      </c>
      <c r="Q117" s="178"/>
      <c r="R117" s="178"/>
      <c r="S117" s="178"/>
      <c r="T117" s="178"/>
      <c r="U117" s="178"/>
      <c r="V117" s="178"/>
      <c r="W117" s="178"/>
      <c r="X117" s="209"/>
      <c r="Y117" s="209"/>
      <c r="Z117" s="209"/>
      <c r="AA117" s="209"/>
      <c r="AB117" s="209"/>
      <c r="AC117" s="209"/>
      <c r="AD117" s="209"/>
      <c r="AE117" s="209"/>
      <c r="AF117" s="10"/>
      <c r="AI117" s="1"/>
      <c r="AJ117" s="41"/>
      <c r="AK117" s="1"/>
      <c r="AL117" s="41"/>
      <c r="AM117" s="1"/>
      <c r="AN117" s="41"/>
      <c r="AO117" s="1"/>
      <c r="AP117" s="41"/>
      <c r="AQ117" s="1"/>
      <c r="AR117" s="41"/>
      <c r="AS117" s="1"/>
      <c r="AT117" s="41"/>
      <c r="AU117" s="1"/>
      <c r="AV117" s="41"/>
      <c r="AW117" s="1"/>
      <c r="AX117" s="41"/>
      <c r="AY117" s="1"/>
      <c r="AZ117" s="41"/>
      <c r="BA117" s="1"/>
      <c r="BB117" s="41"/>
      <c r="BC117" s="1"/>
      <c r="BD117" s="41"/>
      <c r="BE117" s="1"/>
      <c r="BF117" s="41"/>
    </row>
    <row r="118" spans="1:59" ht="12.75" hidden="1" customHeight="1">
      <c r="B118" s="9"/>
      <c r="C118" s="10"/>
      <c r="D118" s="208"/>
      <c r="E118" s="209"/>
      <c r="F118" s="186"/>
      <c r="G118" s="186"/>
      <c r="H118" s="186"/>
      <c r="I118" s="187"/>
      <c r="J118" s="187"/>
      <c r="K118" s="188"/>
      <c r="L118" s="279"/>
      <c r="M118" s="179"/>
      <c r="N118" s="179"/>
      <c r="O118" s="178"/>
      <c r="P118" s="178"/>
      <c r="Q118" s="178"/>
      <c r="R118" s="178"/>
      <c r="S118" s="178"/>
      <c r="T118" s="178"/>
      <c r="U118" s="178"/>
      <c r="V118" s="178"/>
      <c r="W118" s="178"/>
      <c r="X118" s="178"/>
      <c r="Y118" s="178"/>
      <c r="Z118" s="178"/>
      <c r="AA118" s="178"/>
      <c r="AB118" s="178"/>
      <c r="AC118" s="178"/>
      <c r="AD118" s="178"/>
      <c r="AE118" s="178"/>
      <c r="AF118" s="12"/>
      <c r="AG118" s="149"/>
      <c r="AH118" s="15"/>
      <c r="AI118" s="38"/>
      <c r="AJ118" s="15"/>
      <c r="AK118" s="38"/>
      <c r="AL118" s="15"/>
      <c r="AM118" s="38"/>
      <c r="AN118" s="15"/>
      <c r="AO118" s="38"/>
      <c r="AP118" s="15"/>
      <c r="AQ118" s="38"/>
      <c r="AR118" s="15"/>
      <c r="AS118" s="38"/>
      <c r="AT118" s="15"/>
      <c r="AU118" s="38"/>
      <c r="AV118" s="15"/>
      <c r="AW118" s="38"/>
      <c r="AX118" s="15"/>
      <c r="AY118" s="38"/>
      <c r="AZ118" s="15"/>
      <c r="BA118" s="38"/>
      <c r="BB118" s="15"/>
      <c r="BC118" s="38"/>
      <c r="BD118" s="8"/>
      <c r="BG118" s="41"/>
    </row>
    <row r="119" spans="1:59" s="8" customFormat="1" ht="3" customHeight="1" thickBot="1">
      <c r="B119" s="9"/>
      <c r="C119" s="13"/>
      <c r="D119" s="26"/>
      <c r="E119" s="33"/>
      <c r="F119" s="25"/>
      <c r="G119" s="25"/>
      <c r="H119" s="27"/>
      <c r="I119" s="27"/>
      <c r="J119" s="27"/>
      <c r="K119" s="28"/>
      <c r="L119" s="29"/>
      <c r="M119" s="30"/>
      <c r="N119" s="30"/>
      <c r="O119" s="30"/>
      <c r="P119" s="30"/>
      <c r="Q119" s="30"/>
      <c r="R119" s="30"/>
      <c r="S119" s="30"/>
      <c r="T119" s="30"/>
      <c r="U119" s="30"/>
      <c r="V119" s="30"/>
      <c r="W119" s="30"/>
      <c r="X119" s="26"/>
      <c r="Y119" s="26"/>
      <c r="Z119" s="26"/>
      <c r="AA119" s="26"/>
      <c r="AB119" s="23"/>
      <c r="AC119" s="25"/>
      <c r="AD119" s="25"/>
      <c r="AE119" s="25"/>
      <c r="AF119" s="25"/>
      <c r="AH119" s="43"/>
      <c r="AJ119" s="43"/>
      <c r="AL119" s="43"/>
      <c r="AN119" s="43"/>
      <c r="AP119" s="43"/>
      <c r="AR119" s="43"/>
      <c r="AT119" s="43"/>
      <c r="AV119" s="43"/>
      <c r="AX119" s="43"/>
      <c r="AZ119" s="43"/>
    </row>
    <row r="123" spans="1:59">
      <c r="Z123" s="2"/>
      <c r="AA123" s="2"/>
      <c r="AB123" s="2"/>
    </row>
    <row r="124" spans="1:59">
      <c r="Z124" s="2"/>
      <c r="AA124" s="2"/>
      <c r="AB124" s="2"/>
    </row>
    <row r="125" spans="1:59">
      <c r="Z125" s="2"/>
      <c r="AA125" s="2"/>
      <c r="AB125" s="2"/>
    </row>
    <row r="126" spans="1:59">
      <c r="Z126" s="2"/>
      <c r="AA126" s="2"/>
      <c r="AB126" s="2"/>
    </row>
    <row r="127" spans="1:59">
      <c r="Z127" s="2"/>
      <c r="AA127" s="2"/>
      <c r="AB127" s="2"/>
    </row>
    <row r="128" spans="1:59">
      <c r="Z128" s="2"/>
      <c r="AA128" s="2"/>
      <c r="AB128" s="2"/>
    </row>
  </sheetData>
  <sheetProtection algorithmName="SHA-512" hashValue="76dxNLKP/yaa1bOH/M3SxJ4dNLnm4e7+dmCf0TIbg9JRnjYMyluJjzXdIznWH5IKSHSLzJu90o6584qE185Jqw==" saltValue="yCOthtOKTGDcMAgeWSZGww==" spinCount="100000" sheet="1" objects="1" scenarios="1" selectLockedCells="1"/>
  <dataConsolidate/>
  <mergeCells count="29">
    <mergeCell ref="D113:E113"/>
    <mergeCell ref="M7:W7"/>
    <mergeCell ref="M8:W8"/>
    <mergeCell ref="M10:W10"/>
    <mergeCell ref="D33:E33"/>
    <mergeCell ref="D60:E60"/>
    <mergeCell ref="M9:W9"/>
    <mergeCell ref="D112:AE112"/>
    <mergeCell ref="D66:AE66"/>
    <mergeCell ref="D59:AE59"/>
    <mergeCell ref="D40:AE40"/>
    <mergeCell ref="L43:L44"/>
    <mergeCell ref="D12:AD12"/>
    <mergeCell ref="D13:AD13"/>
    <mergeCell ref="M5:W5"/>
    <mergeCell ref="M6:W6"/>
    <mergeCell ref="D105:E105"/>
    <mergeCell ref="D78:E78"/>
    <mergeCell ref="D86:E86"/>
    <mergeCell ref="D94:E94"/>
    <mergeCell ref="D67:E67"/>
    <mergeCell ref="D99:E99"/>
    <mergeCell ref="D52:E52"/>
    <mergeCell ref="D14:E14"/>
    <mergeCell ref="D25:E25"/>
    <mergeCell ref="D41:E41"/>
    <mergeCell ref="D46:E46"/>
    <mergeCell ref="L48:L50"/>
    <mergeCell ref="D93:AE93"/>
  </mergeCells>
  <phoneticPr fontId="10" type="noConversion"/>
  <conditionalFormatting sqref="M96:O96 M115 O116:Q117 M1:AD4 Y80:AD84 M85:AD92 U96:AD96 M10:AD11 N5:AD9 M117:AD1048576 P116:AD116 M113:AD114 M94:AD95 O115 Q115:AD115 AE1:AE39 M41:AE58 M60:AE65 AE67:AE92 AE94:AE111 AE113:AE1048576 M67:AD67 M14:AD14 M25:AD39 M15:X24 Z15:AD24 X69:Y69 M77:AD79 M73:S73 M69:M71 O69:P71 M72:N72 P72:Q72 N76:X76 M75 O75:P75 R75:S75 M74:O74 Q74:R74 R69:S71 S72:T72 T74:U74 U73:V73 U75:V75 V72:W72 U69:V71 X70:X71 X73 X75 W74:X74 Z74:AD74 AA73:AB73 AA75 Z72 AB72 AA69:AA71 AC69:AC71 AD72:AD73 AC75 Z76:AD76 M68:X68 Z68:AD68 M97:AD111">
    <cfRule type="cellIs" dxfId="37" priority="125" operator="equal">
      <formula>$M$16</formula>
    </cfRule>
  </conditionalFormatting>
  <conditionalFormatting sqref="M80:N80 S81:X81 M82:N82 S83:X83">
    <cfRule type="cellIs" dxfId="36" priority="73" operator="equal">
      <formula>$M$16</formula>
    </cfRule>
  </conditionalFormatting>
  <conditionalFormatting sqref="O80:W80">
    <cfRule type="cellIs" dxfId="35" priority="71" operator="equal">
      <formula>$M$16</formula>
    </cfRule>
  </conditionalFormatting>
  <conditionalFormatting sqref="M81">
    <cfRule type="cellIs" dxfId="34" priority="70" operator="equal">
      <formula>$M$16</formula>
    </cfRule>
  </conditionalFormatting>
  <conditionalFormatting sqref="N84:X84">
    <cfRule type="cellIs" dxfId="33" priority="69" operator="equal">
      <formula>$M$16</formula>
    </cfRule>
  </conditionalFormatting>
  <conditionalFormatting sqref="X80">
    <cfRule type="cellIs" dxfId="32" priority="68" operator="equal">
      <formula>$M$16</formula>
    </cfRule>
  </conditionalFormatting>
  <conditionalFormatting sqref="N81:R81">
    <cfRule type="cellIs" dxfId="31" priority="67" operator="equal">
      <formula>$M$16</formula>
    </cfRule>
  </conditionalFormatting>
  <conditionalFormatting sqref="O82:X82">
    <cfRule type="cellIs" dxfId="30" priority="66" operator="equal">
      <formula>$M$16</formula>
    </cfRule>
  </conditionalFormatting>
  <conditionalFormatting sqref="N83:R83">
    <cfRule type="cellIs" dxfId="29" priority="65" operator="equal">
      <formula>$M$16</formula>
    </cfRule>
  </conditionalFormatting>
  <conditionalFormatting sqref="M83">
    <cfRule type="cellIs" dxfId="28" priority="64" operator="equal">
      <formula>$M$16</formula>
    </cfRule>
  </conditionalFormatting>
  <conditionalFormatting sqref="M84">
    <cfRule type="cellIs" dxfId="27" priority="63" operator="equal">
      <formula>$M$16</formula>
    </cfRule>
  </conditionalFormatting>
  <conditionalFormatting sqref="P96:T96">
    <cfRule type="cellIs" dxfId="26" priority="62" operator="equal">
      <formula>$M$16</formula>
    </cfRule>
  </conditionalFormatting>
  <conditionalFormatting sqref="N115">
    <cfRule type="cellIs" dxfId="25" priority="29" operator="equal">
      <formula>$M$16</formula>
    </cfRule>
  </conditionalFormatting>
  <conditionalFormatting sqref="O115:P115">
    <cfRule type="cellIs" dxfId="24" priority="25" operator="equal">
      <formula>$M$16</formula>
    </cfRule>
  </conditionalFormatting>
  <conditionalFormatting sqref="P115:Q115">
    <cfRule type="cellIs" dxfId="23" priority="24" operator="equal">
      <formula>$M$16</formula>
    </cfRule>
  </conditionalFormatting>
  <conditionalFormatting sqref="O116">
    <cfRule type="cellIs" dxfId="22" priority="23" operator="equal">
      <formula>$M$16</formula>
    </cfRule>
  </conditionalFormatting>
  <conditionalFormatting sqref="M116:N116">
    <cfRule type="cellIs" dxfId="21" priority="21" operator="equal">
      <formula>$M$16</formula>
    </cfRule>
  </conditionalFormatting>
  <conditionalFormatting sqref="Z69 AB69">
    <cfRule type="cellIs" dxfId="20" priority="15" operator="equal">
      <formula>$M$16</formula>
    </cfRule>
  </conditionalFormatting>
  <conditionalFormatting sqref="Y15:Y24">
    <cfRule type="cellIs" dxfId="19" priority="12" operator="equal">
      <formula>$M$16</formula>
    </cfRule>
  </conditionalFormatting>
  <conditionalFormatting sqref="N69:N71 Q69:Q71 T69:T71 W69:W71 AD69:AD71">
    <cfRule type="cellIs" dxfId="18" priority="10" operator="equal">
      <formula>$M$16</formula>
    </cfRule>
  </conditionalFormatting>
  <conditionalFormatting sqref="Y70:Y73 Y75:Y76">
    <cfRule type="cellIs" dxfId="17" priority="3" operator="equal">
      <formula>$M$16</formula>
    </cfRule>
  </conditionalFormatting>
  <conditionalFormatting sqref="AD75 AB75 AC72:AC73 AB70:AB71 Z70:Z71 AA72 Z75 Z73 Y74 X72 V74 W75 W73 U72 T75 T73 S74 R72 P74 Q75 M76 N75 O72">
    <cfRule type="cellIs" dxfId="16" priority="2" operator="equal">
      <formula>$M$16</formula>
    </cfRule>
  </conditionalFormatting>
  <conditionalFormatting sqref="Y68">
    <cfRule type="cellIs" dxfId="15" priority="1" operator="equal">
      <formula>$M$16</formula>
    </cfRule>
  </conditionalFormatting>
  <dataValidations count="1">
    <dataValidation type="decimal" allowBlank="1" showInputMessage="1" showErrorMessage="1" error="Please enter a number between 0 and 100.  Do not enter the &quot;%&quot; sign... just the number only." sqref="I10:J10 I7:J7" xr:uid="{00000000-0002-0000-0200-000000000000}">
      <formula1>0</formula1>
      <formula2>1</formula2>
    </dataValidation>
  </dataValidations>
  <pageMargins left="0.25" right="0.25" top="0.75" bottom="0.75" header="0.3" footer="0.3"/>
  <pageSetup paperSize="17" scale="96" fitToHeight="0" orientation="landscape" r:id="rId1"/>
  <headerFooter alignWithMargins="0"/>
  <ignoredErrors>
    <ignoredError sqref="N38:S38 M85:X85" formulaRange="1"/>
    <ignoredError sqref="M44:O44" formula="1"/>
  </ignoredErrors>
  <drawing r:id="rId2"/>
  <mc:AlternateContent xmlns:mc="http://schemas.openxmlformats.org/markup-compatibility/2006">
    <mc:Choice Requires="v">
      <legacyDrawing r:id="rId3"/>
    </mc:Choice>
  </mc:AlternateContent>
</worksheet>
</file>

<file path=xl/worksheets/sheet4.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DSnowboardCalc">
    <tabColor rgb="FF0070C0"/>
    <pageSetUpPr fitToPage="1"/>
  </sheetPr>
  <dimension ref="A1:BA97"/>
  <sheetViews>
    <sheetView showGridLines="0" workbookViewId="0">
      <selection activeCell="L16" sqref="L16:L18"/>
    </sheetView>
  </sheetViews>
  <sheetFormatPr baseColWidth="10" defaultColWidth="7.6640625" defaultRowHeight="13"/>
  <cols>
    <col min="1" max="1" width="2.33203125" style="1" customWidth="1"/>
    <col min="2" max="2" width="6.6640625" style="2" hidden="1" customWidth="1"/>
    <col min="3" max="3" width="0.33203125" style="1" customWidth="1"/>
    <col min="4" max="4" width="10" style="2" bestFit="1" customWidth="1"/>
    <col min="5" max="5" width="36.83203125" style="1" customWidth="1"/>
    <col min="6" max="6" width="10.6640625" style="1" hidden="1" customWidth="1"/>
    <col min="7" max="7" width="18.1640625" style="1" hidden="1" customWidth="1"/>
    <col min="8" max="8" width="8.6640625" style="3" customWidth="1"/>
    <col min="9" max="9" width="8.6640625" style="4" hidden="1" customWidth="1"/>
    <col min="10" max="10" width="8.6640625" style="5" customWidth="1"/>
    <col min="11" max="11" width="11.1640625" style="2" bestFit="1" customWidth="1"/>
    <col min="12" max="12" width="8.1640625" style="2" customWidth="1"/>
    <col min="13" max="23" width="5.1640625" style="2" customWidth="1"/>
    <col min="24" max="24" width="2.6640625" style="2" customWidth="1"/>
    <col min="25" max="25" width="0.33203125" style="2" customWidth="1"/>
    <col min="26" max="26" width="2.83203125" style="2" hidden="1" customWidth="1"/>
    <col min="27" max="27" width="9.6640625" style="1" hidden="1" customWidth="1"/>
    <col min="28" max="28" width="4.6640625" style="1" hidden="1" customWidth="1"/>
    <col min="29" max="29" width="4.6640625" style="37" hidden="1" customWidth="1"/>
    <col min="30" max="30" width="4.6640625" style="1" hidden="1" customWidth="1"/>
    <col min="31" max="31" width="4.6640625" style="41" hidden="1" customWidth="1"/>
    <col min="32" max="32" width="4.6640625" style="1" hidden="1" customWidth="1"/>
    <col min="33" max="33" width="4.6640625" style="41" hidden="1" customWidth="1"/>
    <col min="34" max="34" width="4.6640625" style="1" hidden="1" customWidth="1"/>
    <col min="35" max="35" width="4.6640625" style="41" hidden="1" customWidth="1"/>
    <col min="36" max="36" width="4.6640625" style="1" hidden="1" customWidth="1"/>
    <col min="37" max="37" width="4.6640625" style="41" hidden="1" customWidth="1"/>
    <col min="38" max="38" width="4.6640625" style="1" hidden="1" customWidth="1"/>
    <col min="39" max="39" width="4.6640625" style="41" hidden="1" customWidth="1"/>
    <col min="40" max="40" width="4.6640625" style="1" hidden="1" customWidth="1"/>
    <col min="41" max="41" width="4.6640625" style="41" hidden="1" customWidth="1"/>
    <col min="42" max="42" width="4.6640625" style="1" hidden="1" customWidth="1"/>
    <col min="43" max="43" width="4.6640625" style="41" hidden="1" customWidth="1"/>
    <col min="44" max="44" width="4.6640625" style="1" hidden="1" customWidth="1"/>
    <col min="45" max="45" width="4.6640625" style="41" hidden="1" customWidth="1"/>
    <col min="46" max="46" width="4.6640625" style="1" hidden="1" customWidth="1"/>
    <col min="47" max="47" width="4.6640625" style="41" hidden="1" customWidth="1"/>
    <col min="48" max="48" width="4.6640625" style="1" hidden="1" customWidth="1"/>
    <col min="49" max="49" width="4.6640625" style="41" hidden="1" customWidth="1"/>
    <col min="50" max="50" width="7.6640625" style="1" customWidth="1"/>
    <col min="51" max="51" width="7.6640625" style="41"/>
    <col min="52" max="52" width="18.1640625" style="1" customWidth="1"/>
    <col min="53" max="53" width="7.6640625" style="41"/>
    <col min="54" max="16384" width="7.6640625" style="1"/>
  </cols>
  <sheetData>
    <row r="1" spans="1:53" ht="9" customHeight="1">
      <c r="B1" s="18" t="s">
        <v>42</v>
      </c>
      <c r="F1" s="18" t="s">
        <v>42</v>
      </c>
      <c r="G1" s="18" t="s">
        <v>42</v>
      </c>
      <c r="Z1" s="34" t="s">
        <v>42</v>
      </c>
      <c r="AA1" s="18" t="s">
        <v>42</v>
      </c>
      <c r="AB1" s="18" t="s">
        <v>42</v>
      </c>
      <c r="AC1" s="18" t="s">
        <v>42</v>
      </c>
      <c r="AD1" s="18" t="s">
        <v>42</v>
      </c>
      <c r="AE1" s="18" t="s">
        <v>42</v>
      </c>
      <c r="AF1" s="18" t="s">
        <v>42</v>
      </c>
      <c r="AG1" s="18" t="s">
        <v>42</v>
      </c>
      <c r="AH1" s="18" t="s">
        <v>42</v>
      </c>
      <c r="AI1" s="18" t="s">
        <v>42</v>
      </c>
      <c r="AJ1" s="18" t="s">
        <v>42</v>
      </c>
      <c r="AK1" s="18" t="s">
        <v>42</v>
      </c>
      <c r="AL1" s="18" t="s">
        <v>42</v>
      </c>
      <c r="AM1" s="18" t="s">
        <v>42</v>
      </c>
      <c r="AN1" s="18" t="s">
        <v>42</v>
      </c>
      <c r="AO1" s="18" t="s">
        <v>42</v>
      </c>
      <c r="AP1" s="18" t="s">
        <v>42</v>
      </c>
      <c r="AQ1" s="18" t="s">
        <v>42</v>
      </c>
      <c r="AR1" s="18" t="s">
        <v>42</v>
      </c>
      <c r="AS1" s="18" t="s">
        <v>42</v>
      </c>
      <c r="AT1" s="18" t="s">
        <v>42</v>
      </c>
      <c r="AU1" s="18" t="s">
        <v>42</v>
      </c>
      <c r="AV1" s="18" t="s">
        <v>42</v>
      </c>
      <c r="AW1" s="18" t="s">
        <v>42</v>
      </c>
    </row>
    <row r="2" spans="1:53" ht="15.75" hidden="1" customHeight="1">
      <c r="A2" s="18" t="s">
        <v>42</v>
      </c>
      <c r="B2" s="17">
        <v>0</v>
      </c>
      <c r="D2" s="2">
        <v>1</v>
      </c>
      <c r="E2" s="8" t="s">
        <v>289</v>
      </c>
      <c r="H2" s="1"/>
      <c r="P2" s="19"/>
      <c r="Q2" s="19"/>
      <c r="R2" s="19"/>
      <c r="S2" s="19"/>
      <c r="AC2" s="1"/>
      <c r="AE2" s="1"/>
      <c r="AG2" s="1"/>
      <c r="AI2" s="1"/>
      <c r="AK2" s="1"/>
      <c r="AM2" s="1"/>
      <c r="AO2" s="1"/>
      <c r="AQ2" s="1"/>
      <c r="AS2" s="1"/>
      <c r="AU2" s="1"/>
      <c r="AW2" s="1"/>
    </row>
    <row r="3" spans="1:53" ht="3" customHeight="1">
      <c r="C3" s="10"/>
      <c r="D3" s="14"/>
      <c r="E3" s="10"/>
      <c r="F3" s="10"/>
      <c r="G3" s="10"/>
      <c r="H3" s="20"/>
      <c r="I3" s="21"/>
      <c r="J3" s="22"/>
      <c r="K3" s="14"/>
      <c r="L3" s="14"/>
      <c r="M3" s="14"/>
      <c r="N3" s="14"/>
      <c r="O3" s="14"/>
      <c r="P3" s="14"/>
      <c r="Q3" s="14"/>
      <c r="R3" s="14"/>
      <c r="S3" s="14"/>
      <c r="T3" s="14"/>
      <c r="U3" s="31"/>
      <c r="V3" s="31"/>
      <c r="W3" s="31"/>
      <c r="X3" s="31"/>
      <c r="Y3" s="10"/>
    </row>
    <row r="4" spans="1:53" ht="12.75" customHeight="1" thickBot="1">
      <c r="C4" s="23"/>
      <c r="I4" s="253"/>
      <c r="J4" s="254"/>
      <c r="K4" s="9"/>
      <c r="L4" s="987"/>
      <c r="M4" s="987"/>
      <c r="N4" s="987"/>
      <c r="O4" s="987"/>
      <c r="P4" s="987"/>
      <c r="Q4" s="987"/>
      <c r="R4" s="987"/>
      <c r="S4" s="987"/>
      <c r="T4" s="987"/>
      <c r="Y4" s="23"/>
    </row>
    <row r="5" spans="1:53" ht="12.75" customHeight="1">
      <c r="C5" s="10"/>
      <c r="I5" s="16" t="s">
        <v>24</v>
      </c>
      <c r="J5" s="16" t="s">
        <v>24</v>
      </c>
      <c r="K5" s="9"/>
      <c r="L5" s="155"/>
      <c r="M5" s="992" t="s">
        <v>9</v>
      </c>
      <c r="N5" s="993"/>
      <c r="O5" s="993"/>
      <c r="P5" s="993"/>
      <c r="Q5" s="993"/>
      <c r="R5" s="993"/>
      <c r="S5" s="993"/>
      <c r="T5" s="993"/>
      <c r="U5" s="993"/>
      <c r="V5" s="993"/>
      <c r="W5" s="994"/>
      <c r="X5" s="276"/>
      <c r="Y5" s="277"/>
      <c r="Z5" s="375"/>
      <c r="AA5" s="276"/>
      <c r="AB5" s="276"/>
      <c r="AC5" s="276"/>
      <c r="AD5" s="276"/>
      <c r="AE5" s="276"/>
      <c r="AF5" s="276"/>
      <c r="AG5" s="276"/>
      <c r="AH5" s="276"/>
      <c r="AI5" s="276"/>
      <c r="AJ5" s="276"/>
      <c r="AK5" s="276"/>
      <c r="AL5" s="276"/>
      <c r="AM5" s="276"/>
      <c r="AN5" s="276"/>
      <c r="AO5" s="276"/>
      <c r="AP5" s="276"/>
      <c r="AQ5" s="276"/>
      <c r="AR5" s="276"/>
      <c r="AS5" s="276"/>
      <c r="AT5" s="276"/>
      <c r="AU5" s="276"/>
      <c r="AV5" s="276"/>
      <c r="AW5" s="276"/>
      <c r="AX5" s="276"/>
      <c r="AY5" s="276"/>
      <c r="AZ5" s="276"/>
    </row>
    <row r="6" spans="1:53" customFormat="1" ht="12.75" customHeight="1">
      <c r="B6" s="15"/>
      <c r="C6" s="11"/>
      <c r="I6" s="32" t="s">
        <v>47</v>
      </c>
      <c r="J6" s="32" t="s">
        <v>47</v>
      </c>
      <c r="K6" s="155"/>
      <c r="L6" s="9"/>
      <c r="M6" s="962" t="str">
        <f>IF($B$2=0,'Hidden Data'!A3,'Hidden Data'!B3)</f>
        <v>1) Use this sheet to size out RENTAL snowboard fleet.</v>
      </c>
      <c r="N6" s="963"/>
      <c r="O6" s="963"/>
      <c r="P6" s="963"/>
      <c r="Q6" s="963"/>
      <c r="R6" s="963"/>
      <c r="S6" s="963"/>
      <c r="T6" s="963"/>
      <c r="U6" s="963"/>
      <c r="V6" s="963"/>
      <c r="W6" s="964"/>
      <c r="X6" s="8"/>
      <c r="Y6" s="25"/>
      <c r="Z6" s="9"/>
      <c r="AA6" s="8"/>
      <c r="AB6" s="8"/>
      <c r="AC6" s="8"/>
      <c r="AD6" s="8"/>
      <c r="AE6" s="8"/>
      <c r="AF6" s="8"/>
      <c r="AG6" s="8"/>
      <c r="AH6" s="8"/>
      <c r="AI6" s="8"/>
      <c r="AJ6" s="8"/>
      <c r="AK6" s="8"/>
      <c r="AL6" s="8"/>
      <c r="AM6" s="8"/>
      <c r="AN6" s="8"/>
      <c r="AO6" s="8"/>
      <c r="AP6" s="8"/>
      <c r="AQ6" s="8"/>
      <c r="AR6" s="8"/>
      <c r="AS6" s="8"/>
      <c r="AT6" s="8"/>
      <c r="AU6" s="8"/>
      <c r="AV6" s="8"/>
      <c r="AW6" s="8"/>
      <c r="AX6" s="8"/>
      <c r="AY6" s="8"/>
      <c r="AZ6" s="8"/>
      <c r="BA6" s="42"/>
    </row>
    <row r="7" spans="1:53" customFormat="1" ht="12.75" customHeight="1" thickBot="1">
      <c r="B7" s="15"/>
      <c r="C7" s="11"/>
      <c r="I7" s="126">
        <f>IF(SNOWBOARD_CALCULATOR_TYPE=0,SUBTOTAL(1,I25:I30,I16:I21,I34:I35),SUBTOTAL(1,I58:I63,I67:I72,I76:I77))</f>
        <v>0</v>
      </c>
      <c r="J7" s="454">
        <v>0</v>
      </c>
      <c r="K7" s="252"/>
      <c r="L7" s="255"/>
      <c r="M7" s="962" t="str">
        <f>IF($B$2=0,'Hidden Data'!A4,'Hidden Data'!B4)</f>
        <v>2) Enter units needed per item &amp; discounts (yellow cells).</v>
      </c>
      <c r="N7" s="963"/>
      <c r="O7" s="963"/>
      <c r="P7" s="963"/>
      <c r="Q7" s="963"/>
      <c r="R7" s="963"/>
      <c r="S7" s="963"/>
      <c r="T7" s="963"/>
      <c r="U7" s="963"/>
      <c r="V7" s="963"/>
      <c r="W7" s="964"/>
      <c r="X7" s="8"/>
      <c r="Y7" s="25"/>
      <c r="Z7" s="9"/>
      <c r="AA7" s="8"/>
      <c r="AB7" s="8"/>
      <c r="AC7" s="8"/>
      <c r="AD7" s="8"/>
      <c r="AE7" s="8"/>
      <c r="AF7" s="8"/>
      <c r="AG7" s="8"/>
      <c r="AH7" s="8"/>
      <c r="AI7" s="8"/>
      <c r="AJ7" s="8"/>
      <c r="AK7" s="8"/>
      <c r="AL7" s="8"/>
      <c r="AM7" s="8"/>
      <c r="AN7" s="8"/>
      <c r="AO7" s="8"/>
      <c r="AP7" s="8"/>
      <c r="AQ7" s="8"/>
      <c r="AR7" s="8"/>
      <c r="AS7" s="8"/>
      <c r="AT7" s="8"/>
      <c r="AU7" s="8"/>
      <c r="AV7" s="8"/>
      <c r="AW7" s="8"/>
      <c r="AX7" s="8"/>
      <c r="AY7" s="8"/>
      <c r="AZ7" s="8"/>
      <c r="BA7" s="42"/>
    </row>
    <row r="8" spans="1:53" customFormat="1" ht="12.75" customHeight="1">
      <c r="B8" s="15"/>
      <c r="C8" s="11"/>
      <c r="I8" s="16" t="s">
        <v>25</v>
      </c>
      <c r="J8" s="16" t="s">
        <v>25</v>
      </c>
      <c r="K8" s="252"/>
      <c r="L8" s="255"/>
      <c r="M8" s="962" t="str">
        <f>IF($B$2=0,'Hidden Data'!A5,'Hidden Data'!B5)</f>
        <v>3) Size run &amp; cost will automatically generate for each item.</v>
      </c>
      <c r="N8" s="963"/>
      <c r="O8" s="963"/>
      <c r="P8" s="963"/>
      <c r="Q8" s="963"/>
      <c r="R8" s="963"/>
      <c r="S8" s="963"/>
      <c r="T8" s="963"/>
      <c r="U8" s="963"/>
      <c r="V8" s="963"/>
      <c r="W8" s="964"/>
      <c r="X8" s="8"/>
      <c r="Y8" s="25"/>
      <c r="Z8" s="9"/>
      <c r="AA8" s="8"/>
      <c r="AB8" s="8"/>
      <c r="AC8" s="8"/>
      <c r="AD8" s="8"/>
      <c r="AE8" s="8"/>
      <c r="AF8" s="8"/>
      <c r="AG8" s="8"/>
      <c r="AH8" s="8"/>
      <c r="AI8" s="8"/>
      <c r="AJ8" s="8"/>
      <c r="AK8" s="8"/>
      <c r="AL8" s="8"/>
      <c r="AM8" s="8"/>
      <c r="AN8" s="8"/>
      <c r="AO8" s="8"/>
      <c r="AP8" s="8"/>
      <c r="AQ8" s="8"/>
      <c r="AR8" s="8"/>
      <c r="AS8" s="8"/>
      <c r="AT8" s="8"/>
      <c r="AU8" s="8"/>
      <c r="AV8" s="8"/>
      <c r="AW8" s="8"/>
      <c r="AX8" s="8"/>
      <c r="AY8" s="8"/>
      <c r="AZ8" s="8"/>
      <c r="BA8" s="42"/>
    </row>
    <row r="9" spans="1:53" customFormat="1" ht="12.75" customHeight="1">
      <c r="B9" s="15"/>
      <c r="C9" s="11"/>
      <c r="I9" s="32" t="s">
        <v>47</v>
      </c>
      <c r="J9" s="32" t="s">
        <v>47</v>
      </c>
      <c r="K9" s="252"/>
      <c r="L9" s="255"/>
      <c r="M9" s="962" t="str">
        <f>IF($B$2=0,'Hidden Data'!A6,'Hidden Data'!B6)</f>
        <v>4) Grand total quantities &amp; cost will automatically update below.</v>
      </c>
      <c r="N9" s="963"/>
      <c r="O9" s="963"/>
      <c r="P9" s="963"/>
      <c r="Q9" s="963"/>
      <c r="R9" s="963"/>
      <c r="S9" s="963"/>
      <c r="T9" s="963"/>
      <c r="U9" s="963"/>
      <c r="V9" s="963"/>
      <c r="W9" s="964"/>
      <c r="X9" s="8"/>
      <c r="Y9" s="25"/>
      <c r="Z9" s="9"/>
      <c r="AA9" s="8"/>
      <c r="AB9" s="8"/>
      <c r="AC9" s="8"/>
      <c r="AD9" s="8"/>
      <c r="AE9" s="8"/>
      <c r="AF9" s="8"/>
      <c r="AG9" s="8"/>
      <c r="AH9" s="8"/>
      <c r="AI9" s="8"/>
      <c r="AJ9" s="8"/>
      <c r="AK9" s="8"/>
      <c r="AL9" s="8"/>
      <c r="AM9" s="8"/>
      <c r="AN9" s="8"/>
      <c r="AO9" s="8"/>
      <c r="AP9" s="8"/>
      <c r="AQ9" s="8"/>
      <c r="AR9" s="8"/>
      <c r="AS9" s="8"/>
      <c r="AT9" s="8"/>
      <c r="AU9" s="8"/>
      <c r="AV9" s="8"/>
      <c r="AW9" s="8"/>
      <c r="AX9" s="8"/>
      <c r="AY9" s="8"/>
      <c r="AZ9" s="8"/>
      <c r="BA9" s="42"/>
    </row>
    <row r="10" spans="1:53" customFormat="1" ht="12.75" customHeight="1" thickBot="1">
      <c r="B10" s="15"/>
      <c r="C10" s="11"/>
      <c r="I10" s="126">
        <f>IF(SNOWBOARD_CALCULATOR_TYPE=0,SUBTOTAL(1,I41,I45:I46,I50:I52),SUBTOTAL(1,I83,I87:I88,I92:I94))</f>
        <v>0</v>
      </c>
      <c r="J10" s="454">
        <v>0</v>
      </c>
      <c r="K10" s="89"/>
      <c r="L10" s="252"/>
      <c r="M10" s="965" t="str">
        <f>IF($B$2=0,'Hidden Data'!A7,'Hidden Data'!B7)</f>
        <v>5) File must be saved as Macro-Enabled (.xlsm) file type!</v>
      </c>
      <c r="N10" s="966"/>
      <c r="O10" s="966"/>
      <c r="P10" s="966"/>
      <c r="Q10" s="966"/>
      <c r="R10" s="966"/>
      <c r="S10" s="966"/>
      <c r="T10" s="966"/>
      <c r="U10" s="966"/>
      <c r="V10" s="966"/>
      <c r="W10" s="967"/>
      <c r="X10" s="8"/>
      <c r="Y10" s="23"/>
      <c r="Z10" s="2"/>
      <c r="AC10" s="38"/>
      <c r="AE10" s="42"/>
      <c r="AG10" s="42"/>
      <c r="AI10" s="42"/>
      <c r="AK10" s="42"/>
      <c r="AM10" s="42"/>
      <c r="AO10" s="42"/>
      <c r="AQ10" s="42"/>
      <c r="AS10" s="42"/>
      <c r="AU10" s="42"/>
      <c r="AW10" s="42"/>
      <c r="AY10" s="42"/>
      <c r="BA10" s="42"/>
    </row>
    <row r="11" spans="1:53" ht="12.75" customHeight="1" thickBot="1">
      <c r="C11" s="10"/>
      <c r="D11" s="156"/>
      <c r="F11" s="155"/>
      <c r="G11" s="155"/>
      <c r="H11" s="157"/>
      <c r="I11" s="253"/>
      <c r="J11" s="254"/>
      <c r="K11" s="9"/>
      <c r="L11" s="9"/>
      <c r="M11" s="9"/>
      <c r="N11" s="9"/>
      <c r="O11" s="9"/>
      <c r="P11" s="991"/>
      <c r="Q11" s="991"/>
      <c r="R11" s="991"/>
      <c r="S11" s="995"/>
      <c r="T11" s="995"/>
      <c r="V11" s="256"/>
      <c r="W11" s="256"/>
      <c r="X11" s="256"/>
      <c r="Y11" s="10"/>
      <c r="AB11" s="8" t="s">
        <v>100</v>
      </c>
      <c r="AC11" s="39"/>
      <c r="AD11" s="8"/>
      <c r="AE11" s="43"/>
      <c r="AF11" s="8"/>
      <c r="AG11" s="43"/>
      <c r="AH11" s="8"/>
      <c r="AI11" s="43"/>
      <c r="AJ11" s="8"/>
      <c r="AK11" s="43"/>
      <c r="AL11" s="8"/>
      <c r="AM11" s="43"/>
      <c r="AN11" s="8"/>
      <c r="AO11" s="43"/>
      <c r="AP11" s="8"/>
      <c r="AQ11" s="43"/>
      <c r="AR11" s="8"/>
      <c r="AS11" s="43"/>
      <c r="AT11" s="8"/>
      <c r="AU11" s="43"/>
      <c r="AV11" s="8"/>
      <c r="AW11" s="43"/>
    </row>
    <row r="12" spans="1:53" ht="28.5" customHeight="1" thickBot="1">
      <c r="C12" s="10"/>
      <c r="D12" s="988" t="str">
        <f>IF(B2=0,'Hidden Data'!A8,'Hidden Data'!B8)</f>
        <v>26/27 SNOWBOARD RENTAL CALCULATOR - total units per product</v>
      </c>
      <c r="E12" s="989"/>
      <c r="F12" s="989"/>
      <c r="G12" s="989"/>
      <c r="H12" s="989"/>
      <c r="I12" s="989"/>
      <c r="J12" s="989"/>
      <c r="K12" s="989"/>
      <c r="L12" s="989"/>
      <c r="M12" s="989"/>
      <c r="N12" s="989"/>
      <c r="O12" s="989"/>
      <c r="P12" s="989"/>
      <c r="Q12" s="989"/>
      <c r="R12" s="989"/>
      <c r="S12" s="989"/>
      <c r="T12" s="989"/>
      <c r="U12" s="989"/>
      <c r="V12" s="989"/>
      <c r="W12" s="989"/>
      <c r="X12" s="990"/>
      <c r="Y12" s="10"/>
      <c r="AA12" s="24"/>
      <c r="AB12" s="152">
        <v>6</v>
      </c>
      <c r="AC12" s="40"/>
      <c r="AD12" s="153">
        <f>AB12+1</f>
        <v>7</v>
      </c>
      <c r="AE12" s="154"/>
      <c r="AF12" s="153">
        <f t="shared" ref="AF12" si="0">AD12+1</f>
        <v>8</v>
      </c>
      <c r="AG12" s="154"/>
      <c r="AH12" s="153">
        <f t="shared" ref="AH12" si="1">AF12+1</f>
        <v>9</v>
      </c>
      <c r="AI12" s="154"/>
      <c r="AJ12" s="153">
        <f t="shared" ref="AJ12" si="2">AH12+1</f>
        <v>10</v>
      </c>
      <c r="AK12" s="154"/>
      <c r="AL12" s="153">
        <f t="shared" ref="AL12" si="3">AJ12+1</f>
        <v>11</v>
      </c>
      <c r="AM12" s="154"/>
      <c r="AN12" s="153">
        <f t="shared" ref="AN12" si="4">AL12+1</f>
        <v>12</v>
      </c>
      <c r="AO12" s="154"/>
      <c r="AP12" s="153">
        <f t="shared" ref="AP12" si="5">AN12+1</f>
        <v>13</v>
      </c>
      <c r="AQ12" s="154"/>
      <c r="AR12" s="153">
        <f t="shared" ref="AR12" si="6">AP12+1</f>
        <v>14</v>
      </c>
      <c r="AS12" s="154"/>
      <c r="AT12" s="153">
        <f t="shared" ref="AT12" si="7">AR12+1</f>
        <v>15</v>
      </c>
      <c r="AU12" s="154"/>
      <c r="AV12" s="153">
        <f t="shared" ref="AV12" si="8">AT12+1</f>
        <v>16</v>
      </c>
      <c r="AW12" s="595"/>
    </row>
    <row r="13" spans="1:53" ht="15.75" customHeight="1">
      <c r="C13" s="10"/>
      <c r="D13" s="961" t="s">
        <v>104</v>
      </c>
      <c r="E13" s="961"/>
      <c r="F13" s="961"/>
      <c r="G13" s="961"/>
      <c r="H13" s="961"/>
      <c r="I13" s="961"/>
      <c r="J13" s="961"/>
      <c r="K13" s="961"/>
      <c r="L13" s="961"/>
      <c r="M13" s="961"/>
      <c r="N13" s="961"/>
      <c r="O13" s="961"/>
      <c r="P13" s="961"/>
      <c r="Q13" s="961"/>
      <c r="R13" s="961"/>
      <c r="S13" s="961"/>
      <c r="T13" s="961"/>
      <c r="U13" s="961"/>
      <c r="V13" s="961"/>
      <c r="W13" s="961"/>
      <c r="X13" s="961"/>
      <c r="Y13" s="10"/>
      <c r="AA13" s="24"/>
      <c r="AC13" s="1"/>
      <c r="AE13" s="1"/>
      <c r="AG13" s="1"/>
      <c r="AI13" s="1"/>
      <c r="AK13" s="1"/>
      <c r="AM13" s="1"/>
      <c r="AO13" s="1"/>
      <c r="AQ13" s="1"/>
      <c r="AS13" s="1"/>
      <c r="AU13" s="1"/>
      <c r="AW13" s="1"/>
    </row>
    <row r="14" spans="1:53" ht="12.75" customHeight="1">
      <c r="B14" s="9">
        <v>0</v>
      </c>
      <c r="C14" s="10"/>
      <c r="D14" s="957" t="s">
        <v>245</v>
      </c>
      <c r="E14" s="954"/>
      <c r="F14" s="189"/>
      <c r="G14" s="189"/>
      <c r="H14" s="185"/>
      <c r="I14" s="185"/>
      <c r="J14" s="185"/>
      <c r="K14" s="185"/>
      <c r="L14" s="185"/>
      <c r="M14" s="592"/>
      <c r="N14" s="592"/>
      <c r="O14" s="592"/>
      <c r="P14" s="592"/>
      <c r="Q14" s="592"/>
      <c r="R14" s="592"/>
      <c r="S14" s="592"/>
      <c r="T14" s="592"/>
      <c r="U14" s="592"/>
      <c r="V14" s="592"/>
      <c r="W14" s="592"/>
      <c r="X14" s="177"/>
      <c r="Y14" s="12"/>
      <c r="Z14" s="9"/>
      <c r="AA14" s="8"/>
      <c r="AB14" s="8"/>
      <c r="AC14" s="8"/>
      <c r="AD14" s="8"/>
      <c r="AE14" s="8"/>
      <c r="AF14" s="8"/>
      <c r="AG14" s="8"/>
      <c r="AH14" s="8"/>
      <c r="AI14" s="8"/>
      <c r="AJ14" s="8"/>
      <c r="AK14" s="8"/>
      <c r="AL14" s="8"/>
      <c r="AM14" s="8"/>
      <c r="AN14" s="8"/>
      <c r="AO14" s="8"/>
      <c r="AP14" s="8"/>
      <c r="AQ14" s="8"/>
      <c r="AR14" s="8"/>
      <c r="AS14" s="8"/>
      <c r="AT14" s="8"/>
      <c r="AU14" s="8"/>
      <c r="AV14" s="8"/>
      <c r="AW14" s="8"/>
      <c r="AX14" s="8"/>
    </row>
    <row r="15" spans="1:53" s="8" customFormat="1" ht="12.75" customHeight="1" thickBot="1">
      <c r="B15" s="9">
        <f>IF(SNOWBOARD_CALCULATOR_TYPE=0,IF(ISBLANK(D15),MAX(B$12:B14),IF(AND(ISNUMBER(L15),L15&gt;0)=TRUE,MAX(B$12:B14)+1,MAX(B$12:B14))),0)</f>
        <v>0</v>
      </c>
      <c r="C15" s="12"/>
      <c r="D15" s="190" t="s">
        <v>0</v>
      </c>
      <c r="E15" s="191" t="s">
        <v>1</v>
      </c>
      <c r="F15" s="192" t="s">
        <v>43</v>
      </c>
      <c r="G15" s="192" t="s">
        <v>19</v>
      </c>
      <c r="H15" s="272" t="s">
        <v>102</v>
      </c>
      <c r="I15" s="335" t="s">
        <v>21</v>
      </c>
      <c r="J15" s="322" t="s">
        <v>21</v>
      </c>
      <c r="K15" s="218" t="s">
        <v>6</v>
      </c>
      <c r="L15" s="195" t="s">
        <v>5</v>
      </c>
      <c r="M15" s="564" t="s">
        <v>248</v>
      </c>
      <c r="N15" s="564" t="s">
        <v>3</v>
      </c>
      <c r="O15" s="565" t="s">
        <v>2</v>
      </c>
      <c r="P15" s="566">
        <v>130</v>
      </c>
      <c r="Q15" s="565">
        <v>135</v>
      </c>
      <c r="R15" s="565">
        <v>140</v>
      </c>
      <c r="S15" s="565">
        <v>145</v>
      </c>
      <c r="T15" s="565">
        <v>150</v>
      </c>
      <c r="U15" s="565">
        <v>155</v>
      </c>
      <c r="V15" s="565">
        <v>160</v>
      </c>
      <c r="W15" s="567">
        <v>165</v>
      </c>
      <c r="X15" s="178"/>
      <c r="Y15" s="12"/>
      <c r="Z15" s="9"/>
      <c r="AX15" s="9"/>
      <c r="AY15" s="43"/>
      <c r="BA15" s="43"/>
    </row>
    <row r="16" spans="1:53" s="8" customFormat="1" ht="12.75" customHeight="1" thickTop="1">
      <c r="B16" s="455">
        <f>IF(SNOWBOARD_CALCULATOR_TYPE=0,IF(ISBLANK(D16),MAX(B$14:B15),IF(AND(ISNUMBER(L16),L16&gt;0)=TRUE,MAX(B$14:B15)+1,MAX(B$14:B15))),0)</f>
        <v>0</v>
      </c>
      <c r="C16" s="12"/>
      <c r="D16" s="387" t="s">
        <v>281</v>
      </c>
      <c r="E16" s="196" t="str">
        <f t="shared" ref="E16:E21" si="9">VLOOKUP(D16,SKUS_TO_SIZES,2,FALSE)</f>
        <v>EXP3 RAIL WIDE</v>
      </c>
      <c r="F16" s="197">
        <f t="shared" ref="F16:F21" si="10">VLOOKUP(D16,SKUS_TO_SIZES,3,FALSE)</f>
        <v>250</v>
      </c>
      <c r="G16" s="198">
        <f ca="1">SUM(M16:W16)*F16</f>
        <v>0</v>
      </c>
      <c r="H16" s="328">
        <f>IF(SNOWBOARD_DISCOUNT_TYPE=1,IF($J$7=0,F16,F16*(SUM(1-$J$7))),IF(I16=0,F16,F16*(SUM(1-I16))))</f>
        <v>250</v>
      </c>
      <c r="I16" s="336">
        <v>0</v>
      </c>
      <c r="J16" s="268">
        <f>$J$7</f>
        <v>0</v>
      </c>
      <c r="K16" s="244">
        <f ca="1">SUM(M16:W16)*H16</f>
        <v>0</v>
      </c>
      <c r="L16" s="979">
        <v>0</v>
      </c>
      <c r="M16" s="561" t="str">
        <f ca="1">IFERROR(ROUND($L16*HLOOKUP(M$15,INDIRECT("'Hidden Data'!"&amp;HLOOKUP(COLUMN(SKUS_TO_SIZES),NUMBER_TO_LETTER,2,FALSE)&amp;MATCH($D16,'Hidden Data'!$D:$D,0)&amp;":T"&amp;MATCH($D16&amp;"-sizecurve",'Hidden Data'!$D:$D,0)),2,FALSE),0)," ")</f>
        <v xml:space="preserve"> </v>
      </c>
      <c r="N16" s="402" t="str">
        <f ca="1">IFERROR(ROUND($L16*HLOOKUP(N$15,INDIRECT("'Hidden Data'!"&amp;HLOOKUP(COLUMN(SKUS_TO_SIZES),NUMBER_TO_LETTER,2,FALSE)&amp;MATCH($D16,'Hidden Data'!$D:$D,0)&amp;":T"&amp;MATCH($D16&amp;"-sizecurve",'Hidden Data'!$D:$D,0)),2,FALSE),0)," ")</f>
        <v xml:space="preserve"> </v>
      </c>
      <c r="O16" s="402" t="str">
        <f ca="1">IFERROR(ROUND($L16*HLOOKUP(O$15,INDIRECT("'Hidden Data'!"&amp;HLOOKUP(COLUMN(SKUS_TO_SIZES),NUMBER_TO_LETTER,2,FALSE)&amp;MATCH($D16,'Hidden Data'!$D:$D,0)&amp;":T"&amp;MATCH($D16&amp;"-sizecurve",'Hidden Data'!$D:$D,0)),2,FALSE),0)," ")</f>
        <v xml:space="preserve"> </v>
      </c>
      <c r="P16" s="402" t="str">
        <f ca="1">IFERROR(ROUND($L16*HLOOKUP(P$15,INDIRECT("'Hidden Data'!"&amp;HLOOKUP(COLUMN(SKUS_TO_SIZES),NUMBER_TO_LETTER,2,FALSE)&amp;MATCH($D16,'Hidden Data'!$D:$D,0)&amp;":T"&amp;MATCH($D16&amp;"-sizecurve",'Hidden Data'!$D:$D,0)),2,FALSE),0)," ")</f>
        <v xml:space="preserve"> </v>
      </c>
      <c r="Q16" s="402" t="str">
        <f ca="1">IFERROR(ROUND($L16*HLOOKUP(Q$15,INDIRECT("'Hidden Data'!"&amp;HLOOKUP(COLUMN(SKUS_TO_SIZES),NUMBER_TO_LETTER,2,FALSE)&amp;MATCH($D16,'Hidden Data'!$D:$D,0)&amp;":T"&amp;MATCH($D16&amp;"-sizecurve",'Hidden Data'!$D:$D,0)),2,FALSE),0)," ")</f>
        <v xml:space="preserve"> </v>
      </c>
      <c r="R16" s="402" t="str">
        <f ca="1">IFERROR(ROUND($L16*HLOOKUP(R$15,INDIRECT("'Hidden Data'!"&amp;HLOOKUP(COLUMN(SKUS_TO_SIZES),NUMBER_TO_LETTER,2,FALSE)&amp;MATCH($D16,'Hidden Data'!$D:$D,0)&amp;":T"&amp;MATCH($D16&amp;"-sizecurve",'Hidden Data'!$D:$D,0)),2,FALSE),0)," ")</f>
        <v xml:space="preserve"> </v>
      </c>
      <c r="S16" s="402" t="str">
        <f ca="1">IFERROR(ROUND($L16*HLOOKUP(S$15,INDIRECT("'Hidden Data'!"&amp;HLOOKUP(COLUMN(SKUS_TO_SIZES),NUMBER_TO_LETTER,2,FALSE)&amp;MATCH($D16,'Hidden Data'!$D:$D,0)&amp;":T"&amp;MATCH($D16&amp;"-sizecurve",'Hidden Data'!$D:$D,0)),2,FALSE),0)," ")</f>
        <v xml:space="preserve"> </v>
      </c>
      <c r="T16" s="402" t="str">
        <f ca="1">IFERROR(ROUND($L16*HLOOKUP(T$15,INDIRECT("'Hidden Data'!"&amp;HLOOKUP(COLUMN(SKUS_TO_SIZES),NUMBER_TO_LETTER,2,FALSE)&amp;MATCH($D16,'Hidden Data'!$D:$D,0)&amp;":T"&amp;MATCH($D16&amp;"-sizecurve",'Hidden Data'!$D:$D,0)),2,FALSE),0)," ")</f>
        <v xml:space="preserve"> </v>
      </c>
      <c r="U16" s="402">
        <f ca="1">IFERROR(ROUND($L16*HLOOKUP(U$15,INDIRECT("'Hidden Data'!"&amp;HLOOKUP(COLUMN(SKUS_TO_SIZES),NUMBER_TO_LETTER,2,FALSE)&amp;MATCH($D16,'Hidden Data'!$D:$D,0)&amp;":T"&amp;MATCH($D16&amp;"-sizecurve",'Hidden Data'!$D:$D,0)),2,FALSE),0)," ")</f>
        <v>0</v>
      </c>
      <c r="V16" s="402">
        <f ca="1">IFERROR(ROUND($L16*HLOOKUP(V$15,INDIRECT("'Hidden Data'!"&amp;HLOOKUP(COLUMN(SKUS_TO_SIZES),NUMBER_TO_LETTER,2,FALSE)&amp;MATCH($D16,'Hidden Data'!$D:$D,0)&amp;":T"&amp;MATCH($D16&amp;"-sizecurve",'Hidden Data'!$D:$D,0)),2,FALSE),0)," ")</f>
        <v>0</v>
      </c>
      <c r="W16" s="448">
        <f ca="1">IFERROR(ROUND($L16*HLOOKUP(W$15,INDIRECT("'Hidden Data'!"&amp;HLOOKUP(COLUMN(SKUS_TO_SIZES),NUMBER_TO_LETTER,2,FALSE)&amp;MATCH($D16,'Hidden Data'!$D:$D,0)&amp;":T"&amp;MATCH($D16&amp;"-sizecurve",'Hidden Data'!$D:$D,0)),2,FALSE),0)," ")</f>
        <v>0</v>
      </c>
      <c r="X16" s="178"/>
      <c r="Y16" s="12"/>
      <c r="Z16" s="9">
        <v>2</v>
      </c>
      <c r="AA16" s="149" t="str">
        <f t="shared" ref="AA16:AA21" si="11">D16</f>
        <v>REOTP02</v>
      </c>
      <c r="AB16" s="130">
        <f t="shared" ref="AB16:AB21" si="12">IF(VLOOKUP($AA16,SKUS_TO_SIZES,AB$12,FALSE)=0,"",VLOOKUP($AA16,SKUS_TO_SIZES,AB$12,FALSE))</f>
        <v>155</v>
      </c>
      <c r="AC16" s="129" t="str">
        <f ca="1">IFERROR(IF(HLOOKUP(AB16,$M$15:$W$21,$Z16,FALSE)=0,"",HLOOKUP(AB16,$M$15:$W$21,$Z16,FALSE)),"")</f>
        <v/>
      </c>
      <c r="AD16" s="130">
        <f t="shared" ref="AD16:AD21" si="13">IF(VLOOKUP($AA16,SKUS_TO_SIZES,AD$12,FALSE)=0,"",VLOOKUP($AA16,SKUS_TO_SIZES,AD$12,FALSE))</f>
        <v>160</v>
      </c>
      <c r="AE16" s="129" t="str">
        <f ca="1">IFERROR(IF(HLOOKUP(AD16,$M$15:$W$21,$Z16,FALSE)=0,"",HLOOKUP(AD16,$M$15:$W$21,$Z16,FALSE)),"")</f>
        <v/>
      </c>
      <c r="AF16" s="130">
        <f t="shared" ref="AF16:AF21" si="14">IF(VLOOKUP($AA16,SKUS_TO_SIZES,AF$12,FALSE)=0,"",VLOOKUP($AA16,SKUS_TO_SIZES,AF$12,FALSE))</f>
        <v>165</v>
      </c>
      <c r="AG16" s="129" t="str">
        <f ca="1">IFERROR(IF(HLOOKUP(AF16,$M$15:$W$21,$Z16,FALSE)=0,"",HLOOKUP(AF16,$M$15:$W$21,$Z16,FALSE)),"")</f>
        <v/>
      </c>
      <c r="AH16" s="130" t="str">
        <f t="shared" ref="AH16:AH21" si="15">IF(VLOOKUP($AA16,SKUS_TO_SIZES,AH$12,FALSE)=0,"",VLOOKUP($AA16,SKUS_TO_SIZES,AH$12,FALSE))</f>
        <v/>
      </c>
      <c r="AI16" s="129" t="str">
        <f>IFERROR(IF(HLOOKUP(AH16,$M$15:$W$21,$Z16,FALSE)=0,"",HLOOKUP(AH16,$M$15:$W$21,$Z16,FALSE)),"")</f>
        <v/>
      </c>
      <c r="AJ16" s="130" t="str">
        <f t="shared" ref="AJ16:AJ21" si="16">IF(VLOOKUP($AA16,SKUS_TO_SIZES,AJ$12,FALSE)=0,"",VLOOKUP($AA16,SKUS_TO_SIZES,AJ$12,FALSE))</f>
        <v/>
      </c>
      <c r="AK16" s="129" t="str">
        <f>IFERROR(IF(HLOOKUP(AJ16,$M$15:$W$21,$Z16,FALSE)=0,"",HLOOKUP(AJ16,$M$15:$W$21,$Z16,FALSE)),"")</f>
        <v/>
      </c>
      <c r="AL16" s="130" t="str">
        <f t="shared" ref="AL16:AL21" si="17">IF(VLOOKUP($AA16,SKUS_TO_SIZES,AL$12,FALSE)=0,"",VLOOKUP($AA16,SKUS_TO_SIZES,AL$12,FALSE))</f>
        <v/>
      </c>
      <c r="AM16" s="129" t="str">
        <f>IFERROR(IF(HLOOKUP(AL16,$M$15:$W$21,$Z16,FALSE)=0,"",HLOOKUP(AL16,$M$15:$W$21,$Z16,FALSE)),"")</f>
        <v/>
      </c>
      <c r="AN16" s="130" t="str">
        <f t="shared" ref="AN16:AN21" si="18">IF(VLOOKUP($AA16,SKUS_TO_SIZES,AN$12,FALSE)=0,"",VLOOKUP($AA16,SKUS_TO_SIZES,AN$12,FALSE))</f>
        <v/>
      </c>
      <c r="AO16" s="129" t="str">
        <f>IFERROR(IF(HLOOKUP(AN16,$M$15:$W$21,$Z16,FALSE)=0,"",HLOOKUP(AN16,$M$15:$W$21,$Z16,FALSE)),"")</f>
        <v/>
      </c>
      <c r="AP16" s="130" t="str">
        <f t="shared" ref="AP16:AP21" si="19">IF(VLOOKUP($AA16,SKUS_TO_SIZES,AP$12,FALSE)=0,"",VLOOKUP($AA16,SKUS_TO_SIZES,AP$12,FALSE))</f>
        <v/>
      </c>
      <c r="AQ16" s="129" t="str">
        <f>IFERROR(IF(HLOOKUP(AP16,$M$15:$W$21,$Z16,FALSE)=0,"",HLOOKUP(AP16,$M$15:$W$21,$Z16,FALSE)),"")</f>
        <v/>
      </c>
      <c r="AR16" s="130" t="str">
        <f t="shared" ref="AR16:AR21" si="20">IF(VLOOKUP($AA16,SKUS_TO_SIZES,AR$12,FALSE)=0,"",VLOOKUP($AA16,SKUS_TO_SIZES,AR$12,FALSE))</f>
        <v/>
      </c>
      <c r="AS16" s="129" t="str">
        <f>IFERROR(IF(HLOOKUP(AR16,$M$15:$W$21,$Z16,FALSE)=0,"",HLOOKUP(AR16,$M$15:$W$21,$Z16,FALSE)),"")</f>
        <v/>
      </c>
      <c r="AT16" s="130" t="str">
        <f t="shared" ref="AT16:AT21" si="21">IF(VLOOKUP($AA16,SKUS_TO_SIZES,AT$12,FALSE)=0,"",VLOOKUP($AA16,SKUS_TO_SIZES,AT$12,FALSE))</f>
        <v/>
      </c>
      <c r="AU16" s="129" t="str">
        <f>IFERROR(IF(HLOOKUP(AT16,$M$15:$W$21,$Z16,FALSE)=0,"",HLOOKUP(AT16,$M$15:$W$21,$Z16,FALSE)),"")</f>
        <v/>
      </c>
      <c r="AV16" s="130" t="str">
        <f t="shared" ref="AV16:AV21" si="22">IF(VLOOKUP($AA16,SKUS_TO_SIZES,AV$12,FALSE)=0,"",VLOOKUP($AA16,SKUS_TO_SIZES,AV$12,FALSE))</f>
        <v/>
      </c>
      <c r="AW16" s="596" t="str">
        <f>IFERROR(IF(HLOOKUP(AV16,$M$15:$W$21,$Z16,FALSE)=0,"",HLOOKUP(AV16,$M$15:$W$21,$Z16,FALSE)),"")</f>
        <v/>
      </c>
      <c r="AY16" s="39"/>
      <c r="BA16" s="43"/>
    </row>
    <row r="17" spans="2:53" s="8" customFormat="1" ht="12.75" customHeight="1">
      <c r="B17" s="455">
        <f>IF(SNOWBOARD_CALCULATOR_TYPE=0,IF(ISBLANK(D17),MAX(B$14:B16),IF(AND(ISNUMBER(L16),L16&gt;0)=TRUE,MAX(B$14:B16)+1,MAX(B$14:B16))),0)</f>
        <v>0</v>
      </c>
      <c r="C17" s="158"/>
      <c r="D17" s="388" t="s">
        <v>282</v>
      </c>
      <c r="E17" s="201" t="str">
        <f t="shared" si="9"/>
        <v>EXP3 RAIL REGULAR</v>
      </c>
      <c r="F17" s="202">
        <f t="shared" si="10"/>
        <v>250</v>
      </c>
      <c r="G17" s="203">
        <f ca="1">SUM(M17:W17)*F17</f>
        <v>0</v>
      </c>
      <c r="H17" s="329">
        <f t="shared" ref="H17:H21" si="23">IF(SNOWBOARD_DISCOUNT_TYPE=1,IF($J$7=0,F17,F17*(SUM(1-$J$7))),IF(I17=0,F17,F17*(SUM(1-I17))))</f>
        <v>250</v>
      </c>
      <c r="I17" s="320">
        <v>0</v>
      </c>
      <c r="J17" s="269">
        <f t="shared" ref="J17:J21" si="24">$J$7</f>
        <v>0</v>
      </c>
      <c r="K17" s="343">
        <f ca="1">SUM(M17:W17)*H17</f>
        <v>0</v>
      </c>
      <c r="L17" s="980"/>
      <c r="M17" s="562" t="str">
        <f ca="1">IFERROR(ROUND($L17*HLOOKUP(M$15,INDIRECT("'Hidden Data'!"&amp;HLOOKUP(COLUMN(SKUS_TO_SIZES),NUMBER_TO_LETTER,2,FALSE)&amp;MATCH($D17,'Hidden Data'!$D:$D,0)&amp;":T"&amp;MATCH($D17&amp;"-sizecurve",'Hidden Data'!$D:$D,0)),2,FALSE),0)," ")</f>
        <v xml:space="preserve"> </v>
      </c>
      <c r="N17" s="405" t="str">
        <f ca="1">IFERROR(ROUND($L17*HLOOKUP(N$15,INDIRECT("'Hidden Data'!"&amp;HLOOKUP(COLUMN(SKUS_TO_SIZES),NUMBER_TO_LETTER,2,FALSE)&amp;MATCH($D17,'Hidden Data'!$D:$D,0)&amp;":T"&amp;MATCH($D17&amp;"-sizecurve",'Hidden Data'!$D:$D,0)),2,FALSE),0)," ")</f>
        <v xml:space="preserve"> </v>
      </c>
      <c r="O17" s="405" t="str">
        <f ca="1">IFERROR(ROUND($L17*HLOOKUP(O$15,INDIRECT("'Hidden Data'!"&amp;HLOOKUP(COLUMN(SKUS_TO_SIZES),NUMBER_TO_LETTER,2,FALSE)&amp;MATCH($D17,'Hidden Data'!$D:$D,0)&amp;":T"&amp;MATCH($D17&amp;"-sizecurve",'Hidden Data'!$D:$D,0)),2,FALSE),0)," ")</f>
        <v xml:space="preserve"> </v>
      </c>
      <c r="P17" s="405" t="str">
        <f ca="1">IFERROR(ROUND($L17*HLOOKUP(P$15,INDIRECT("'Hidden Data'!"&amp;HLOOKUP(COLUMN(SKUS_TO_SIZES),NUMBER_TO_LETTER,2,FALSE)&amp;MATCH($D17,'Hidden Data'!$D:$D,0)&amp;":T"&amp;MATCH($D17&amp;"-sizecurve",'Hidden Data'!$D:$D,0)),2,FALSE),0)," ")</f>
        <v xml:space="preserve"> </v>
      </c>
      <c r="Q17" s="405" t="str">
        <f ca="1">IFERROR(ROUND($L17*HLOOKUP(Q$15,INDIRECT("'Hidden Data'!"&amp;HLOOKUP(COLUMN(SKUS_TO_SIZES),NUMBER_TO_LETTER,2,FALSE)&amp;MATCH($D17,'Hidden Data'!$D:$D,0)&amp;":T"&amp;MATCH($D17&amp;"-sizecurve",'Hidden Data'!$D:$D,0)),2,FALSE),0)," ")</f>
        <v xml:space="preserve"> </v>
      </c>
      <c r="R17" s="405">
        <f ca="1">IFERROR(ROUND($L16*HLOOKUP(R$15,INDIRECT("'Hidden Data'!"&amp;HLOOKUP(COLUMN(SKUS_TO_SIZES),NUMBER_TO_LETTER,2,FALSE)&amp;MATCH($D17,'Hidden Data'!$D:$D,0)&amp;":T"&amp;MATCH($D17&amp;"-sizecurve",'Hidden Data'!$D:$D,0)),2,FALSE),0)," ")</f>
        <v>0</v>
      </c>
      <c r="S17" s="405">
        <f ca="1">IFERROR(ROUND($L16*HLOOKUP(S$15,INDIRECT("'Hidden Data'!"&amp;HLOOKUP(COLUMN(SKUS_TO_SIZES),NUMBER_TO_LETTER,2,FALSE)&amp;MATCH($D17,'Hidden Data'!$D:$D,0)&amp;":T"&amp;MATCH($D17&amp;"-sizecurve",'Hidden Data'!$D:$D,0)),2,FALSE),0)," ")</f>
        <v>0</v>
      </c>
      <c r="T17" s="405">
        <f ca="1">IFERROR(ROUND($L16*HLOOKUP(T$15,INDIRECT("'Hidden Data'!"&amp;HLOOKUP(COLUMN(SKUS_TO_SIZES),NUMBER_TO_LETTER,2,FALSE)&amp;MATCH($D17,'Hidden Data'!$D:$D,0)&amp;":T"&amp;MATCH($D17&amp;"-sizecurve",'Hidden Data'!$D:$D,0)),2,FALSE),0)," ")</f>
        <v>0</v>
      </c>
      <c r="U17" s="405">
        <f ca="1">IFERROR(ROUND($L16*HLOOKUP(U$15,INDIRECT("'Hidden Data'!"&amp;HLOOKUP(COLUMN(SKUS_TO_SIZES),NUMBER_TO_LETTER,2,FALSE)&amp;MATCH($D17,'Hidden Data'!$D:$D,0)&amp;":T"&amp;MATCH($D17&amp;"-sizecurve",'Hidden Data'!$D:$D,0)),2,FALSE),0)," ")</f>
        <v>0</v>
      </c>
      <c r="V17" s="405" t="str">
        <f ca="1">IFERROR(ROUND($L17*HLOOKUP(V$15,INDIRECT("'Hidden Data'!"&amp;HLOOKUP(COLUMN(SKUS_TO_SIZES),NUMBER_TO_LETTER,2,FALSE)&amp;MATCH($D17,'Hidden Data'!$D:$D,0)&amp;":T"&amp;MATCH($D17&amp;"-sizecurve",'Hidden Data'!$D:$D,0)),2,FALSE),0)," ")</f>
        <v xml:space="preserve"> </v>
      </c>
      <c r="W17" s="449" t="str">
        <f ca="1">IFERROR(ROUND($L17*HLOOKUP(W$15,INDIRECT("'Hidden Data'!"&amp;HLOOKUP(COLUMN(SKUS_TO_SIZES),NUMBER_TO_LETTER,2,FALSE)&amp;MATCH($D17,'Hidden Data'!$D:$D,0)&amp;":T"&amp;MATCH($D17&amp;"-sizecurve",'Hidden Data'!$D:$D,0)),2,FALSE),0)," ")</f>
        <v xml:space="preserve"> </v>
      </c>
      <c r="X17" s="178"/>
      <c r="Y17" s="12"/>
      <c r="Z17" s="2">
        <f>Z16+1</f>
        <v>3</v>
      </c>
      <c r="AA17" s="149" t="str">
        <f t="shared" si="11"/>
        <v>REOTP01</v>
      </c>
      <c r="AB17" s="130">
        <f t="shared" si="12"/>
        <v>140</v>
      </c>
      <c r="AC17" s="129" t="str">
        <f t="shared" ref="AC17" ca="1" si="25">IFERROR(IF(HLOOKUP(AB17,$M$15:$W$21,$Z17,FALSE)=0,"",HLOOKUP(AB17,$M$15:$W$21,$Z17,FALSE)),"")</f>
        <v/>
      </c>
      <c r="AD17" s="130">
        <f t="shared" si="13"/>
        <v>145</v>
      </c>
      <c r="AE17" s="129" t="str">
        <f t="shared" ref="AE17:AE21" ca="1" si="26">IFERROR(IF(HLOOKUP(AD17,$M$15:$W$21,$Z17,FALSE)=0,"",HLOOKUP(AD17,$M$15:$W$21,$Z17,FALSE)),"")</f>
        <v/>
      </c>
      <c r="AF17" s="130">
        <f t="shared" si="14"/>
        <v>150</v>
      </c>
      <c r="AG17" s="129" t="str">
        <f t="shared" ref="AG17:AG21" ca="1" si="27">IFERROR(IF(HLOOKUP(AF17,$M$15:$W$21,$Z17,FALSE)=0,"",HLOOKUP(AF17,$M$15:$W$21,$Z17,FALSE)),"")</f>
        <v/>
      </c>
      <c r="AH17" s="130">
        <f t="shared" si="15"/>
        <v>155</v>
      </c>
      <c r="AI17" s="129" t="str">
        <f t="shared" ref="AI17:AI21" ca="1" si="28">IFERROR(IF(HLOOKUP(AH17,$M$15:$W$21,$Z17,FALSE)=0,"",HLOOKUP(AH17,$M$15:$W$21,$Z17,FALSE)),"")</f>
        <v/>
      </c>
      <c r="AJ17" s="130" t="str">
        <f t="shared" si="16"/>
        <v/>
      </c>
      <c r="AK17" s="129" t="str">
        <f t="shared" ref="AK17:AK21" si="29">IFERROR(IF(HLOOKUP(AJ17,$M$15:$W$21,$Z17,FALSE)=0,"",HLOOKUP(AJ17,$M$15:$W$21,$Z17,FALSE)),"")</f>
        <v/>
      </c>
      <c r="AL17" s="130" t="str">
        <f t="shared" si="17"/>
        <v/>
      </c>
      <c r="AM17" s="129" t="str">
        <f t="shared" ref="AM17:AM21" si="30">IFERROR(IF(HLOOKUP(AL17,$M$15:$W$21,$Z17,FALSE)=0,"",HLOOKUP(AL17,$M$15:$W$21,$Z17,FALSE)),"")</f>
        <v/>
      </c>
      <c r="AN17" s="130" t="str">
        <f t="shared" si="18"/>
        <v/>
      </c>
      <c r="AO17" s="129" t="str">
        <f t="shared" ref="AO17:AO21" si="31">IFERROR(IF(HLOOKUP(AN17,$M$15:$W$21,$Z17,FALSE)=0,"",HLOOKUP(AN17,$M$15:$W$21,$Z17,FALSE)),"")</f>
        <v/>
      </c>
      <c r="AP17" s="130" t="str">
        <f t="shared" si="19"/>
        <v/>
      </c>
      <c r="AQ17" s="129" t="str">
        <f t="shared" ref="AQ17:AQ21" si="32">IFERROR(IF(HLOOKUP(AP17,$M$15:$W$21,$Z17,FALSE)=0,"",HLOOKUP(AP17,$M$15:$W$21,$Z17,FALSE)),"")</f>
        <v/>
      </c>
      <c r="AR17" s="130" t="str">
        <f t="shared" si="20"/>
        <v/>
      </c>
      <c r="AS17" s="129" t="str">
        <f t="shared" ref="AS17:AS21" si="33">IFERROR(IF(HLOOKUP(AR17,$M$15:$W$21,$Z17,FALSE)=0,"",HLOOKUP(AR17,$M$15:$W$21,$Z17,FALSE)),"")</f>
        <v/>
      </c>
      <c r="AT17" s="130" t="str">
        <f t="shared" si="21"/>
        <v/>
      </c>
      <c r="AU17" s="129" t="str">
        <f t="shared" ref="AU17:AU21" si="34">IFERROR(IF(HLOOKUP(AT17,$M$15:$W$21,$Z17,FALSE)=0,"",HLOOKUP(AT17,$M$15:$W$21,$Z17,FALSE)),"")</f>
        <v/>
      </c>
      <c r="AV17" s="130" t="str">
        <f t="shared" si="22"/>
        <v/>
      </c>
      <c r="AW17" s="596" t="str">
        <f t="shared" ref="AW17:AW21" si="35">IFERROR(IF(HLOOKUP(AV17,$M$15:$W$21,$Z17,FALSE)=0,"",HLOOKUP(AV17,$M$15:$W$21,$Z17,FALSE)),"")</f>
        <v/>
      </c>
      <c r="AY17" s="43"/>
      <c r="BA17" s="43"/>
    </row>
    <row r="18" spans="2:53" s="8" customFormat="1" ht="12.75" customHeight="1">
      <c r="B18" s="455">
        <f>IF(SNOWBOARD_CALCULATOR_TYPE=0,IF(ISBLANK(D18),MAX(B$14:B17),IF(AND(ISNUMBER(L16),L16&gt;0)=TRUE,MAX(B$14:B17)+1,MAX(B$14:B17))),0)</f>
        <v>0</v>
      </c>
      <c r="C18" s="158"/>
      <c r="D18" s="450" t="s">
        <v>283</v>
      </c>
      <c r="E18" s="456" t="str">
        <f t="shared" si="9"/>
        <v>EXP3 RAIL NARROW</v>
      </c>
      <c r="F18" s="465">
        <f t="shared" si="10"/>
        <v>250</v>
      </c>
      <c r="G18" s="458">
        <f ca="1">SUM(M18:W18)*F18</f>
        <v>0</v>
      </c>
      <c r="H18" s="459">
        <f t="shared" si="23"/>
        <v>250</v>
      </c>
      <c r="I18" s="569">
        <v>0</v>
      </c>
      <c r="J18" s="576">
        <f t="shared" si="24"/>
        <v>0</v>
      </c>
      <c r="K18" s="577">
        <f t="shared" ref="K18:K21" ca="1" si="36">SUM(M18:W18)*H18</f>
        <v>0</v>
      </c>
      <c r="L18" s="981"/>
      <c r="M18" s="563" t="str">
        <f ca="1">IFERROR(ROUND($L18*HLOOKUP(M$15,INDIRECT("'Hidden Data'!"&amp;HLOOKUP(COLUMN(SKUS_TO_SIZES),NUMBER_TO_LETTER,2,FALSE)&amp;MATCH($D18,'Hidden Data'!$D:$D,0)&amp;":T"&amp;MATCH($D18&amp;"-sizecurve",'Hidden Data'!$D:$D,0)),2,FALSE),0)," ")</f>
        <v xml:space="preserve"> </v>
      </c>
      <c r="N18" s="466" t="str">
        <f ca="1">IFERROR(ROUND($L18*HLOOKUP(N$15,INDIRECT("'Hidden Data'!"&amp;HLOOKUP(COLUMN(SKUS_TO_SIZES),NUMBER_TO_LETTER,2,FALSE)&amp;MATCH($D18,'Hidden Data'!$D:$D,0)&amp;":T"&amp;MATCH($D18&amp;"-sizecurve",'Hidden Data'!$D:$D,0)),2,FALSE),0)," ")</f>
        <v xml:space="preserve"> </v>
      </c>
      <c r="O18" s="466" t="str">
        <f ca="1">IFERROR(ROUND($L18*HLOOKUP(O$15,INDIRECT("'Hidden Data'!"&amp;HLOOKUP(COLUMN(SKUS_TO_SIZES),NUMBER_TO_LETTER,2,FALSE)&amp;MATCH($D18,'Hidden Data'!$D:$D,0)&amp;":T"&amp;MATCH($D18&amp;"-sizecurve",'Hidden Data'!$D:$D,0)),2,FALSE),0)," ")</f>
        <v xml:space="preserve"> </v>
      </c>
      <c r="P18" s="466">
        <f ca="1">IFERROR(ROUND($L16*HLOOKUP(P$15,INDIRECT("'Hidden Data'!"&amp;HLOOKUP(COLUMN(SKUS_TO_SIZES),NUMBER_TO_LETTER,2,FALSE)&amp;MATCH($D18,'Hidden Data'!$D:$D,0)&amp;":T"&amp;MATCH($D18&amp;"-sizecurve",'Hidden Data'!$D:$D,0)),2,FALSE),0)," ")</f>
        <v>0</v>
      </c>
      <c r="Q18" s="466">
        <f ca="1">IFERROR(ROUND($L16*HLOOKUP(Q$15,INDIRECT("'Hidden Data'!"&amp;HLOOKUP(COLUMN(SKUS_TO_SIZES),NUMBER_TO_LETTER,2,FALSE)&amp;MATCH($D18,'Hidden Data'!$D:$D,0)&amp;":T"&amp;MATCH($D18&amp;"-sizecurve",'Hidden Data'!$D:$D,0)),2,FALSE),0)," ")</f>
        <v>0</v>
      </c>
      <c r="R18" s="466">
        <f ca="1">IFERROR(ROUND($L16*HLOOKUP(R$15,INDIRECT("'Hidden Data'!"&amp;HLOOKUP(COLUMN(SKUS_TO_SIZES),NUMBER_TO_LETTER,2,FALSE)&amp;MATCH($D18,'Hidden Data'!$D:$D,0)&amp;":T"&amp;MATCH($D18&amp;"-sizecurve",'Hidden Data'!$D:$D,0)),2,FALSE),0)," ")</f>
        <v>0</v>
      </c>
      <c r="S18" s="466">
        <f ca="1">IFERROR(ROUND($L16*HLOOKUP(S$15,INDIRECT("'Hidden Data'!"&amp;HLOOKUP(COLUMN(SKUS_TO_SIZES),NUMBER_TO_LETTER,2,FALSE)&amp;MATCH($D18,'Hidden Data'!$D:$D,0)&amp;":T"&amp;MATCH($D18&amp;"-sizecurve",'Hidden Data'!$D:$D,0)),2,FALSE),0)," ")</f>
        <v>0</v>
      </c>
      <c r="T18" s="466">
        <f ca="1">IFERROR(ROUND($L16*HLOOKUP(T$15,INDIRECT("'Hidden Data'!"&amp;HLOOKUP(COLUMN(SKUS_TO_SIZES),NUMBER_TO_LETTER,2,FALSE)&amp;MATCH($D18,'Hidden Data'!$D:$D,0)&amp;":T"&amp;MATCH($D18&amp;"-sizecurve",'Hidden Data'!$D:$D,0)),2,FALSE),0)," ")</f>
        <v>0</v>
      </c>
      <c r="U18" s="466" t="str">
        <f ca="1">IFERROR(ROUND($L18*HLOOKUP(U$15,INDIRECT("'Hidden Data'!"&amp;HLOOKUP(COLUMN(SKUS_TO_SIZES),NUMBER_TO_LETTER,2,FALSE)&amp;MATCH($D18,'Hidden Data'!$D:$D,0)&amp;":T"&amp;MATCH($D18&amp;"-sizecurve",'Hidden Data'!$D:$D,0)),2,FALSE),0)," ")</f>
        <v xml:space="preserve"> </v>
      </c>
      <c r="V18" s="466" t="str">
        <f ca="1">IFERROR(ROUND($L18*HLOOKUP(V$15,INDIRECT("'Hidden Data'!"&amp;HLOOKUP(COLUMN(SKUS_TO_SIZES),NUMBER_TO_LETTER,2,FALSE)&amp;MATCH($D18,'Hidden Data'!$D:$D,0)&amp;":T"&amp;MATCH($D18&amp;"-sizecurve",'Hidden Data'!$D:$D,0)),2,FALSE),0)," ")</f>
        <v xml:space="preserve"> </v>
      </c>
      <c r="W18" s="517" t="str">
        <f ca="1">IFERROR(ROUND($L18*HLOOKUP(W$15,INDIRECT("'Hidden Data'!"&amp;HLOOKUP(COLUMN(SKUS_TO_SIZES),NUMBER_TO_LETTER,2,FALSE)&amp;MATCH($D18,'Hidden Data'!$D:$D,0)&amp;":T"&amp;MATCH($D18&amp;"-sizecurve",'Hidden Data'!$D:$D,0)),2,FALSE),0)," ")</f>
        <v xml:space="preserve"> </v>
      </c>
      <c r="X18" s="178"/>
      <c r="Y18" s="12"/>
      <c r="Z18" s="2">
        <f t="shared" ref="Z18:Z20" si="37">Z17+1</f>
        <v>4</v>
      </c>
      <c r="AA18" s="149" t="str">
        <f t="shared" si="11"/>
        <v>REOT501</v>
      </c>
      <c r="AB18" s="130">
        <f t="shared" si="12"/>
        <v>130</v>
      </c>
      <c r="AC18" s="129" t="str">
        <f t="shared" ref="AC18" ca="1" si="38">IFERROR(IF(HLOOKUP(AB18,$M$15:$W$21,$Z18,FALSE)=0,"",HLOOKUP(AB18,$M$15:$W$21,$Z18,FALSE)),"")</f>
        <v/>
      </c>
      <c r="AD18" s="130">
        <f t="shared" si="13"/>
        <v>135</v>
      </c>
      <c r="AE18" s="129" t="str">
        <f t="shared" ca="1" si="26"/>
        <v/>
      </c>
      <c r="AF18" s="130">
        <f t="shared" si="14"/>
        <v>140</v>
      </c>
      <c r="AG18" s="129" t="str">
        <f t="shared" ca="1" si="27"/>
        <v/>
      </c>
      <c r="AH18" s="130">
        <f t="shared" si="15"/>
        <v>145</v>
      </c>
      <c r="AI18" s="129" t="str">
        <f t="shared" ca="1" si="28"/>
        <v/>
      </c>
      <c r="AJ18" s="130">
        <f t="shared" si="16"/>
        <v>150</v>
      </c>
      <c r="AK18" s="129" t="str">
        <f t="shared" ca="1" si="29"/>
        <v/>
      </c>
      <c r="AL18" s="130" t="str">
        <f t="shared" si="17"/>
        <v/>
      </c>
      <c r="AM18" s="129" t="str">
        <f t="shared" si="30"/>
        <v/>
      </c>
      <c r="AN18" s="130" t="str">
        <f t="shared" si="18"/>
        <v/>
      </c>
      <c r="AO18" s="129" t="str">
        <f t="shared" si="31"/>
        <v/>
      </c>
      <c r="AP18" s="130" t="str">
        <f t="shared" si="19"/>
        <v/>
      </c>
      <c r="AQ18" s="129" t="str">
        <f t="shared" si="32"/>
        <v/>
      </c>
      <c r="AR18" s="130" t="str">
        <f t="shared" si="20"/>
        <v/>
      </c>
      <c r="AS18" s="129" t="str">
        <f t="shared" si="33"/>
        <v/>
      </c>
      <c r="AT18" s="130" t="str">
        <f t="shared" si="21"/>
        <v/>
      </c>
      <c r="AU18" s="129" t="str">
        <f t="shared" si="34"/>
        <v/>
      </c>
      <c r="AV18" s="130" t="str">
        <f t="shared" si="22"/>
        <v/>
      </c>
      <c r="AW18" s="596" t="str">
        <f t="shared" si="35"/>
        <v/>
      </c>
      <c r="AY18" s="43"/>
      <c r="BA18" s="43"/>
    </row>
    <row r="19" spans="2:53" s="8" customFormat="1" ht="12.75" customHeight="1">
      <c r="B19" s="455">
        <f>IF(SNOWBOARD_CALCULATOR_TYPE=0,IF(ISBLANK(D19),MAX(B$14:B18),IF(AND(ISNUMBER(L19),L19&gt;0)=TRUE,MAX(B$14:B18)+1,MAX(B$14:B18))),0)</f>
        <v>0</v>
      </c>
      <c r="C19" s="12"/>
      <c r="D19" s="589" t="s">
        <v>197</v>
      </c>
      <c r="E19" s="196" t="str">
        <f t="shared" si="9"/>
        <v>REPLY RAIL M/L (sizes 8-15)</v>
      </c>
      <c r="F19" s="575">
        <f t="shared" si="10"/>
        <v>212</v>
      </c>
      <c r="G19" s="198">
        <f ca="1">SUM(M19:N19)*F19</f>
        <v>0</v>
      </c>
      <c r="H19" s="518">
        <f t="shared" si="23"/>
        <v>212</v>
      </c>
      <c r="I19" s="380">
        <v>0</v>
      </c>
      <c r="J19" s="381">
        <f t="shared" si="24"/>
        <v>0</v>
      </c>
      <c r="K19" s="244">
        <f t="shared" ca="1" si="36"/>
        <v>0</v>
      </c>
      <c r="L19" s="977">
        <v>0</v>
      </c>
      <c r="M19" s="573" t="str">
        <f ca="1">IFERROR(ROUND($L19*HLOOKUP(M$15,INDIRECT("'Hidden Data'!"&amp;HLOOKUP(COLUMN(SKUS_TO_SIZES),NUMBER_TO_LETTER,2,FALSE)&amp;MATCH($D19,'Hidden Data'!$D:$D,0)&amp;":T"&amp;MATCH($D19&amp;"-sizecurve",'Hidden Data'!$D:$D,0)),2,FALSE),0)," ")</f>
        <v xml:space="preserve"> </v>
      </c>
      <c r="N19" s="514" t="str">
        <f ca="1">IFERROR(ROUND($L19*HLOOKUP(N$15,INDIRECT("'Hidden Data'!"&amp;HLOOKUP(COLUMN(SKUS_TO_SIZES),NUMBER_TO_LETTER,2,FALSE)&amp;MATCH($D19,'Hidden Data'!$D:$D,0)&amp;":T"&amp;MATCH($D19&amp;"-sizecurve",'Hidden Data'!$D:$D,0)),2,FALSE),0)," ")</f>
        <v xml:space="preserve"> </v>
      </c>
      <c r="O19" s="514">
        <f ca="1">IFERROR(ROUND($L19*HLOOKUP(O$15,INDIRECT("'Hidden Data'!"&amp;HLOOKUP(COLUMN(SKUS_TO_SIZES),NUMBER_TO_LETTER,2,FALSE)&amp;MATCH($D19,'Hidden Data'!$D:$D,0)&amp;":T"&amp;MATCH($D19&amp;"-sizecurve",'Hidden Data'!$D:$D,0)),2,FALSE),0)," ")</f>
        <v>0</v>
      </c>
      <c r="P19" s="514" t="str">
        <f ca="1">IFERROR(ROUND($L19*HLOOKUP(P$15,INDIRECT("'Hidden Data'!"&amp;HLOOKUP(COLUMN(SKUS_TO_SIZES),NUMBER_TO_LETTER,2,FALSE)&amp;MATCH($D19,'Hidden Data'!$D:$D,0)&amp;":T"&amp;MATCH($D19&amp;"-sizecurve",'Hidden Data'!$D:$D,0)),2,FALSE),0)," ")</f>
        <v xml:space="preserve"> </v>
      </c>
      <c r="Q19" s="514" t="str">
        <f ca="1">IFERROR(ROUND($L19*HLOOKUP(Q$15,INDIRECT("'Hidden Data'!"&amp;HLOOKUP(COLUMN(SKUS_TO_SIZES),NUMBER_TO_LETTER,2,FALSE)&amp;MATCH($D19,'Hidden Data'!$D:$D,0)&amp;":T"&amp;MATCH($D19&amp;"-sizecurve",'Hidden Data'!$D:$D,0)),2,FALSE),0)," ")</f>
        <v xml:space="preserve"> </v>
      </c>
      <c r="R19" s="514" t="str">
        <f ca="1">IFERROR(ROUND($L19*HLOOKUP(R$15,INDIRECT("'Hidden Data'!"&amp;HLOOKUP(COLUMN(SKUS_TO_SIZES),NUMBER_TO_LETTER,2,FALSE)&amp;MATCH($D19,'Hidden Data'!$D:$D,0)&amp;":T"&amp;MATCH($D19&amp;"-sizecurve",'Hidden Data'!$D:$D,0)),2,FALSE),0)," ")</f>
        <v xml:space="preserve"> </v>
      </c>
      <c r="S19" s="514" t="str">
        <f ca="1">IFERROR(ROUND($L19*HLOOKUP(S$15,INDIRECT("'Hidden Data'!"&amp;HLOOKUP(COLUMN(SKUS_TO_SIZES),NUMBER_TO_LETTER,2,FALSE)&amp;MATCH($D19,'Hidden Data'!$D:$D,0)&amp;":T"&amp;MATCH($D19&amp;"-sizecurve",'Hidden Data'!$D:$D,0)),2,FALSE),0)," ")</f>
        <v xml:space="preserve"> </v>
      </c>
      <c r="T19" s="514" t="str">
        <f ca="1">IFERROR(ROUND($L19*HLOOKUP(T$15,INDIRECT("'Hidden Data'!"&amp;HLOOKUP(COLUMN(SKUS_TO_SIZES),NUMBER_TO_LETTER,2,FALSE)&amp;MATCH($D19,'Hidden Data'!$D:$D,0)&amp;":T"&amp;MATCH($D19&amp;"-sizecurve",'Hidden Data'!$D:$D,0)),2,FALSE),0)," ")</f>
        <v xml:space="preserve"> </v>
      </c>
      <c r="U19" s="514" t="str">
        <f ca="1">IFERROR(ROUND($L19*HLOOKUP(U$15,INDIRECT("'Hidden Data'!"&amp;HLOOKUP(COLUMN(SKUS_TO_SIZES),NUMBER_TO_LETTER,2,FALSE)&amp;MATCH($D19,'Hidden Data'!$D:$D,0)&amp;":T"&amp;MATCH($D19&amp;"-sizecurve",'Hidden Data'!$D:$D,0)),2,FALSE),0)," ")</f>
        <v xml:space="preserve"> </v>
      </c>
      <c r="V19" s="514" t="str">
        <f ca="1">IFERROR(ROUND($L19*HLOOKUP(V$15,INDIRECT("'Hidden Data'!"&amp;HLOOKUP(COLUMN(SKUS_TO_SIZES),NUMBER_TO_LETTER,2,FALSE)&amp;MATCH($D19,'Hidden Data'!$D:$D,0)&amp;":T"&amp;MATCH($D19&amp;"-sizecurve",'Hidden Data'!$D:$D,0)),2,FALSE),0)," ")</f>
        <v xml:space="preserve"> </v>
      </c>
      <c r="W19" s="515" t="str">
        <f ca="1">IFERROR(ROUND($L19*HLOOKUP(W$15,INDIRECT("'Hidden Data'!"&amp;HLOOKUP(COLUMN(SKUS_TO_SIZES),NUMBER_TO_LETTER,2,FALSE)&amp;MATCH($D19,'Hidden Data'!$D:$D,0)&amp;":T"&amp;MATCH($D19&amp;"-sizecurve",'Hidden Data'!$D:$D,0)),2,FALSE),0)," ")</f>
        <v xml:space="preserve"> </v>
      </c>
      <c r="X19" s="178"/>
      <c r="Y19" s="12"/>
      <c r="Z19" s="2">
        <f>Z18+1</f>
        <v>5</v>
      </c>
      <c r="AA19" s="149" t="str">
        <f t="shared" si="11"/>
        <v>RGJ0080</v>
      </c>
      <c r="AB19" s="130" t="str">
        <f t="shared" si="12"/>
        <v>M/L</v>
      </c>
      <c r="AC19" s="129" t="str">
        <f t="shared" ref="AC19" ca="1" si="39">IFERROR(IF(HLOOKUP(AB19,$M$15:$W$21,$Z19,FALSE)=0,"",HLOOKUP(AB19,$M$15:$W$21,$Z19,FALSE)),"")</f>
        <v/>
      </c>
      <c r="AD19" s="130" t="str">
        <f t="shared" si="13"/>
        <v/>
      </c>
      <c r="AE19" s="129" t="str">
        <f t="shared" si="26"/>
        <v/>
      </c>
      <c r="AF19" s="130" t="str">
        <f t="shared" si="14"/>
        <v/>
      </c>
      <c r="AG19" s="129" t="str">
        <f t="shared" si="27"/>
        <v/>
      </c>
      <c r="AH19" s="130" t="str">
        <f t="shared" si="15"/>
        <v/>
      </c>
      <c r="AI19" s="129" t="str">
        <f t="shared" si="28"/>
        <v/>
      </c>
      <c r="AJ19" s="130" t="str">
        <f t="shared" si="16"/>
        <v/>
      </c>
      <c r="AK19" s="129" t="str">
        <f t="shared" si="29"/>
        <v/>
      </c>
      <c r="AL19" s="130" t="str">
        <f t="shared" si="17"/>
        <v/>
      </c>
      <c r="AM19" s="129" t="str">
        <f t="shared" si="30"/>
        <v/>
      </c>
      <c r="AN19" s="130" t="str">
        <f t="shared" si="18"/>
        <v/>
      </c>
      <c r="AO19" s="129" t="str">
        <f t="shared" si="31"/>
        <v/>
      </c>
      <c r="AP19" s="130" t="str">
        <f t="shared" si="19"/>
        <v/>
      </c>
      <c r="AQ19" s="129" t="str">
        <f t="shared" si="32"/>
        <v/>
      </c>
      <c r="AR19" s="130" t="str">
        <f t="shared" si="20"/>
        <v/>
      </c>
      <c r="AS19" s="129" t="str">
        <f t="shared" si="33"/>
        <v/>
      </c>
      <c r="AT19" s="130" t="str">
        <f t="shared" si="21"/>
        <v/>
      </c>
      <c r="AU19" s="129" t="str">
        <f t="shared" si="34"/>
        <v/>
      </c>
      <c r="AV19" s="130" t="str">
        <f t="shared" si="22"/>
        <v/>
      </c>
      <c r="AW19" s="596" t="str">
        <f t="shared" si="35"/>
        <v/>
      </c>
      <c r="AY19" s="43"/>
      <c r="BA19" s="43"/>
    </row>
    <row r="20" spans="2:53" s="8" customFormat="1" ht="12.75" customHeight="1">
      <c r="B20" s="455">
        <f>IF(SNOWBOARD_CALCULATOR_TYPE=0,IF(ISBLANK(D20),MAX(B$14:B19),IF(AND(ISNUMBER(L19),L19&gt;0)=TRUE,MAX(B$14:B19)+1,MAX(B$14:B19))),0)</f>
        <v>0</v>
      </c>
      <c r="C20" s="12"/>
      <c r="D20" s="568" t="s">
        <v>196</v>
      </c>
      <c r="E20" s="456" t="str">
        <f t="shared" si="9"/>
        <v>REPLY RAIL S/M (sizes 5-8)</v>
      </c>
      <c r="F20" s="465">
        <f t="shared" si="10"/>
        <v>212</v>
      </c>
      <c r="G20" s="458">
        <f ca="1">SUM(M20:N20)*F20</f>
        <v>0</v>
      </c>
      <c r="H20" s="459">
        <f t="shared" si="23"/>
        <v>212</v>
      </c>
      <c r="I20" s="569">
        <v>0</v>
      </c>
      <c r="J20" s="576">
        <f t="shared" si="24"/>
        <v>0</v>
      </c>
      <c r="K20" s="577">
        <f t="shared" ca="1" si="36"/>
        <v>0</v>
      </c>
      <c r="L20" s="978"/>
      <c r="M20" s="563" t="str">
        <f ca="1">IFERROR(ROUND($L20*HLOOKUP(M$15,INDIRECT("'Hidden Data'!"&amp;HLOOKUP(COLUMN(SKUS_TO_SIZES),NUMBER_TO_LETTER,2,FALSE)&amp;MATCH($D20,'Hidden Data'!$D:$D,0)&amp;":T"&amp;MATCH($D20&amp;"-sizecurve",'Hidden Data'!$D:$D,0)),2,FALSE),0)," ")</f>
        <v xml:space="preserve"> </v>
      </c>
      <c r="N20" s="466">
        <f ca="1">IFERROR(ROUND($L19*HLOOKUP(N$15,INDIRECT("'Hidden Data'!"&amp;HLOOKUP(COLUMN(SKUS_TO_SIZES),NUMBER_TO_LETTER,2,FALSE)&amp;MATCH($D20,'Hidden Data'!$D:$D,0)&amp;":T"&amp;MATCH($D20&amp;"-sizecurve",'Hidden Data'!$D:$D,0)),2,FALSE),0)," ")</f>
        <v>0</v>
      </c>
      <c r="O20" s="466" t="str">
        <f ca="1">IFERROR(ROUND($L20*HLOOKUP(O$15,INDIRECT("'Hidden Data'!"&amp;HLOOKUP(COLUMN(SKUS_TO_SIZES),NUMBER_TO_LETTER,2,FALSE)&amp;MATCH($D20,'Hidden Data'!$D:$D,0)&amp;":T"&amp;MATCH($D20&amp;"-sizecurve",'Hidden Data'!$D:$D,0)),2,FALSE),0)," ")</f>
        <v xml:space="preserve"> </v>
      </c>
      <c r="P20" s="466" t="str">
        <f ca="1">IFERROR(ROUND($L20*HLOOKUP(P$15,INDIRECT("'Hidden Data'!"&amp;HLOOKUP(COLUMN(SKUS_TO_SIZES),NUMBER_TO_LETTER,2,FALSE)&amp;MATCH($D20,'Hidden Data'!$D:$D,0)&amp;":T"&amp;MATCH($D20&amp;"-sizecurve",'Hidden Data'!$D:$D,0)),2,FALSE),0)," ")</f>
        <v xml:space="preserve"> </v>
      </c>
      <c r="Q20" s="466" t="str">
        <f ca="1">IFERROR(ROUND($L20*HLOOKUP(Q$15,INDIRECT("'Hidden Data'!"&amp;HLOOKUP(COLUMN(SKUS_TO_SIZES),NUMBER_TO_LETTER,2,FALSE)&amp;MATCH($D20,'Hidden Data'!$D:$D,0)&amp;":T"&amp;MATCH($D20&amp;"-sizecurve",'Hidden Data'!$D:$D,0)),2,FALSE),0)," ")</f>
        <v xml:space="preserve"> </v>
      </c>
      <c r="R20" s="466" t="str">
        <f ca="1">IFERROR(ROUND($L20*HLOOKUP(R$15,INDIRECT("'Hidden Data'!"&amp;HLOOKUP(COLUMN(SKUS_TO_SIZES),NUMBER_TO_LETTER,2,FALSE)&amp;MATCH($D20,'Hidden Data'!$D:$D,0)&amp;":T"&amp;MATCH($D20&amp;"-sizecurve",'Hidden Data'!$D:$D,0)),2,FALSE),0)," ")</f>
        <v xml:space="preserve"> </v>
      </c>
      <c r="S20" s="466" t="str">
        <f ca="1">IFERROR(ROUND($L20*HLOOKUP(S$15,INDIRECT("'Hidden Data'!"&amp;HLOOKUP(COLUMN(SKUS_TO_SIZES),NUMBER_TO_LETTER,2,FALSE)&amp;MATCH($D20,'Hidden Data'!$D:$D,0)&amp;":T"&amp;MATCH($D20&amp;"-sizecurve",'Hidden Data'!$D:$D,0)),2,FALSE),0)," ")</f>
        <v xml:space="preserve"> </v>
      </c>
      <c r="T20" s="466" t="str">
        <f ca="1">IFERROR(ROUND($L20*HLOOKUP(T$15,INDIRECT("'Hidden Data'!"&amp;HLOOKUP(COLUMN(SKUS_TO_SIZES),NUMBER_TO_LETTER,2,FALSE)&amp;MATCH($D20,'Hidden Data'!$D:$D,0)&amp;":T"&amp;MATCH($D20&amp;"-sizecurve",'Hidden Data'!$D:$D,0)),2,FALSE),0)," ")</f>
        <v xml:space="preserve"> </v>
      </c>
      <c r="U20" s="466" t="str">
        <f ca="1">IFERROR(ROUND($L20*HLOOKUP(U$15,INDIRECT("'Hidden Data'!"&amp;HLOOKUP(COLUMN(SKUS_TO_SIZES),NUMBER_TO_LETTER,2,FALSE)&amp;MATCH($D20,'Hidden Data'!$D:$D,0)&amp;":T"&amp;MATCH($D20&amp;"-sizecurve",'Hidden Data'!$D:$D,0)),2,FALSE),0)," ")</f>
        <v xml:space="preserve"> </v>
      </c>
      <c r="V20" s="466" t="str">
        <f ca="1">IFERROR(ROUND($L20*HLOOKUP(V$15,INDIRECT("'Hidden Data'!"&amp;HLOOKUP(COLUMN(SKUS_TO_SIZES),NUMBER_TO_LETTER,2,FALSE)&amp;MATCH($D20,'Hidden Data'!$D:$D,0)&amp;":T"&amp;MATCH($D20&amp;"-sizecurve",'Hidden Data'!$D:$D,0)),2,FALSE),0)," ")</f>
        <v xml:space="preserve"> </v>
      </c>
      <c r="W20" s="517" t="str">
        <f ca="1">IFERROR(ROUND($L20*HLOOKUP(W$15,INDIRECT("'Hidden Data'!"&amp;HLOOKUP(COLUMN(SKUS_TO_SIZES),NUMBER_TO_LETTER,2,FALSE)&amp;MATCH($D20,'Hidden Data'!$D:$D,0)&amp;":T"&amp;MATCH($D20&amp;"-sizecurve",'Hidden Data'!$D:$D,0)),2,FALSE),0)," ")</f>
        <v xml:space="preserve"> </v>
      </c>
      <c r="X20" s="178"/>
      <c r="Y20" s="12"/>
      <c r="Z20" s="2">
        <f t="shared" si="37"/>
        <v>6</v>
      </c>
      <c r="AA20" s="149" t="str">
        <f t="shared" si="11"/>
        <v>RGJ0081</v>
      </c>
      <c r="AB20" s="130" t="str">
        <f t="shared" si="12"/>
        <v>S/M</v>
      </c>
      <c r="AC20" s="129" t="str">
        <f t="shared" ref="AC20" ca="1" si="40">IFERROR(IF(HLOOKUP(AB20,$M$15:$W$21,$Z20,FALSE)=0,"",HLOOKUP(AB20,$M$15:$W$21,$Z20,FALSE)),"")</f>
        <v/>
      </c>
      <c r="AD20" s="130" t="str">
        <f t="shared" si="13"/>
        <v/>
      </c>
      <c r="AE20" s="129" t="str">
        <f t="shared" si="26"/>
        <v/>
      </c>
      <c r="AF20" s="130" t="str">
        <f t="shared" si="14"/>
        <v/>
      </c>
      <c r="AG20" s="129" t="str">
        <f t="shared" si="27"/>
        <v/>
      </c>
      <c r="AH20" s="130" t="str">
        <f t="shared" si="15"/>
        <v/>
      </c>
      <c r="AI20" s="129" t="str">
        <f t="shared" si="28"/>
        <v/>
      </c>
      <c r="AJ20" s="130" t="str">
        <f t="shared" si="16"/>
        <v/>
      </c>
      <c r="AK20" s="129" t="str">
        <f t="shared" si="29"/>
        <v/>
      </c>
      <c r="AL20" s="130" t="str">
        <f t="shared" si="17"/>
        <v/>
      </c>
      <c r="AM20" s="129" t="str">
        <f t="shared" si="30"/>
        <v/>
      </c>
      <c r="AN20" s="130" t="str">
        <f t="shared" si="18"/>
        <v/>
      </c>
      <c r="AO20" s="129" t="str">
        <f t="shared" si="31"/>
        <v/>
      </c>
      <c r="AP20" s="130" t="str">
        <f t="shared" si="19"/>
        <v/>
      </c>
      <c r="AQ20" s="129" t="str">
        <f t="shared" si="32"/>
        <v/>
      </c>
      <c r="AR20" s="130" t="str">
        <f t="shared" si="20"/>
        <v/>
      </c>
      <c r="AS20" s="129" t="str">
        <f t="shared" si="33"/>
        <v/>
      </c>
      <c r="AT20" s="130" t="str">
        <f t="shared" si="21"/>
        <v/>
      </c>
      <c r="AU20" s="129" t="str">
        <f t="shared" si="34"/>
        <v/>
      </c>
      <c r="AV20" s="130" t="str">
        <f t="shared" si="22"/>
        <v/>
      </c>
      <c r="AW20" s="596" t="str">
        <f t="shared" si="35"/>
        <v/>
      </c>
      <c r="AY20" s="43"/>
      <c r="BA20" s="43"/>
    </row>
    <row r="21" spans="2:53" s="8" customFormat="1" ht="12.75" customHeight="1">
      <c r="B21" s="9">
        <f>IF(SNOWBOARD_CALCULATOR_TYPE=0,IF(ISBLANK(D21),MAX(B$12:B20),IF(AND(ISNUMBER(L21),L21&gt;0)=TRUE,MAX(B$12:B20)+1,MAX(B$12:B20))),0)</f>
        <v>0</v>
      </c>
      <c r="C21" s="12"/>
      <c r="D21" s="588" t="s">
        <v>247</v>
      </c>
      <c r="E21" s="456" t="str">
        <f t="shared" si="9"/>
        <v>REPLY POWER HANDLE RED (PAIR)</v>
      </c>
      <c r="F21" s="465">
        <f t="shared" si="10"/>
        <v>18</v>
      </c>
      <c r="G21" s="458">
        <f ca="1">SUM(M21:N21)*F21</f>
        <v>0</v>
      </c>
      <c r="H21" s="459">
        <f t="shared" si="23"/>
        <v>18</v>
      </c>
      <c r="I21" s="569">
        <v>0</v>
      </c>
      <c r="J21" s="576">
        <f t="shared" si="24"/>
        <v>0</v>
      </c>
      <c r="K21" s="577">
        <f t="shared" ca="1" si="36"/>
        <v>0</v>
      </c>
      <c r="L21" s="590">
        <v>0</v>
      </c>
      <c r="M21" s="563">
        <f ca="1">IFERROR(ROUND($L21*HLOOKUP(M$15,INDIRECT("'Hidden Data'!"&amp;HLOOKUP(COLUMN(SKUS_TO_SIZES),NUMBER_TO_LETTER,2,FALSE)&amp;MATCH($D21,'Hidden Data'!$D:$D,0)&amp;":T"&amp;MATCH($D21&amp;"-sizecurve",'Hidden Data'!$D:$D,0)),2,FALSE),0)," ")</f>
        <v>0</v>
      </c>
      <c r="N21" s="466" t="str">
        <f ca="1">IFERROR(ROUND($L21*HLOOKUP(N$15,INDIRECT("'Hidden Data'!"&amp;HLOOKUP(COLUMN(SKUS_TO_SIZES),NUMBER_TO_LETTER,2,FALSE)&amp;MATCH($D21,'Hidden Data'!$D:$D,0)&amp;":T"&amp;MATCH($D21&amp;"-sizecurve",'Hidden Data'!$D:$D,0)),2,FALSE),0)," ")</f>
        <v xml:space="preserve"> </v>
      </c>
      <c r="O21" s="466" t="str">
        <f ca="1">IFERROR(ROUND($L21*HLOOKUP(O$15,INDIRECT("'Hidden Data'!"&amp;HLOOKUP(COLUMN(SKUS_TO_SIZES),NUMBER_TO_LETTER,2,FALSE)&amp;MATCH($D21,'Hidden Data'!$D:$D,0)&amp;":T"&amp;MATCH($D21&amp;"-sizecurve",'Hidden Data'!$D:$D,0)),2,FALSE),0)," ")</f>
        <v xml:space="preserve"> </v>
      </c>
      <c r="P21" s="466" t="str">
        <f ca="1">IFERROR(ROUND($L21*HLOOKUP(P$15,INDIRECT("'Hidden Data'!"&amp;HLOOKUP(COLUMN(SKUS_TO_SIZES),NUMBER_TO_LETTER,2,FALSE)&amp;MATCH($D21,'Hidden Data'!$D:$D,0)&amp;":T"&amp;MATCH($D21&amp;"-sizecurve",'Hidden Data'!$D:$D,0)),2,FALSE),0)," ")</f>
        <v xml:space="preserve"> </v>
      </c>
      <c r="Q21" s="466" t="str">
        <f ca="1">IFERROR(ROUND($L21*HLOOKUP(Q$15,INDIRECT("'Hidden Data'!"&amp;HLOOKUP(COLUMN(SKUS_TO_SIZES),NUMBER_TO_LETTER,2,FALSE)&amp;MATCH($D21,'Hidden Data'!$D:$D,0)&amp;":T"&amp;MATCH($D21&amp;"-sizecurve",'Hidden Data'!$D:$D,0)),2,FALSE),0)," ")</f>
        <v xml:space="preserve"> </v>
      </c>
      <c r="R21" s="466" t="str">
        <f ca="1">IFERROR(ROUND($L21*HLOOKUP(R$15,INDIRECT("'Hidden Data'!"&amp;HLOOKUP(COLUMN(SKUS_TO_SIZES),NUMBER_TO_LETTER,2,FALSE)&amp;MATCH($D21,'Hidden Data'!$D:$D,0)&amp;":T"&amp;MATCH($D21&amp;"-sizecurve",'Hidden Data'!$D:$D,0)),2,FALSE),0)," ")</f>
        <v xml:space="preserve"> </v>
      </c>
      <c r="S21" s="466" t="str">
        <f ca="1">IFERROR(ROUND($L21*HLOOKUP(S$15,INDIRECT("'Hidden Data'!"&amp;HLOOKUP(COLUMN(SKUS_TO_SIZES),NUMBER_TO_LETTER,2,FALSE)&amp;MATCH($D21,'Hidden Data'!$D:$D,0)&amp;":T"&amp;MATCH($D21&amp;"-sizecurve",'Hidden Data'!$D:$D,0)),2,FALSE),0)," ")</f>
        <v xml:space="preserve"> </v>
      </c>
      <c r="T21" s="466" t="str">
        <f ca="1">IFERROR(ROUND($L21*HLOOKUP(T$15,INDIRECT("'Hidden Data'!"&amp;HLOOKUP(COLUMN(SKUS_TO_SIZES),NUMBER_TO_LETTER,2,FALSE)&amp;MATCH($D21,'Hidden Data'!$D:$D,0)&amp;":T"&amp;MATCH($D21&amp;"-sizecurve",'Hidden Data'!$D:$D,0)),2,FALSE),0)," ")</f>
        <v xml:space="preserve"> </v>
      </c>
      <c r="U21" s="466" t="str">
        <f ca="1">IFERROR(ROUND($L21*HLOOKUP(U$15,INDIRECT("'Hidden Data'!"&amp;HLOOKUP(COLUMN(SKUS_TO_SIZES),NUMBER_TO_LETTER,2,FALSE)&amp;MATCH($D21,'Hidden Data'!$D:$D,0)&amp;":T"&amp;MATCH($D21&amp;"-sizecurve",'Hidden Data'!$D:$D,0)),2,FALSE),0)," ")</f>
        <v xml:space="preserve"> </v>
      </c>
      <c r="V21" s="466" t="str">
        <f ca="1">IFERROR(ROUND($L21*HLOOKUP(V$15,INDIRECT("'Hidden Data'!"&amp;HLOOKUP(COLUMN(SKUS_TO_SIZES),NUMBER_TO_LETTER,2,FALSE)&amp;MATCH($D21,'Hidden Data'!$D:$D,0)&amp;":T"&amp;MATCH($D21&amp;"-sizecurve",'Hidden Data'!$D:$D,0)),2,FALSE),0)," ")</f>
        <v xml:space="preserve"> </v>
      </c>
      <c r="W21" s="517" t="str">
        <f ca="1">IFERROR(ROUND($L21*HLOOKUP(W$15,INDIRECT("'Hidden Data'!"&amp;HLOOKUP(COLUMN(SKUS_TO_SIZES),NUMBER_TO_LETTER,2,FALSE)&amp;MATCH($D21,'Hidden Data'!$D:$D,0)&amp;":T"&amp;MATCH($D21&amp;"-sizecurve",'Hidden Data'!$D:$D,0)),2,FALSE),0)," ")</f>
        <v xml:space="preserve"> </v>
      </c>
      <c r="X21" s="178"/>
      <c r="Y21" s="12"/>
      <c r="Z21" s="2">
        <f t="shared" ref="Z21" si="41">Z20+1</f>
        <v>7</v>
      </c>
      <c r="AA21" s="149" t="str">
        <f t="shared" si="11"/>
        <v>RVEW415</v>
      </c>
      <c r="AB21" s="130" t="str">
        <f t="shared" si="12"/>
        <v>PAIR</v>
      </c>
      <c r="AC21" s="129" t="str">
        <f t="shared" ref="AC21" ca="1" si="42">IFERROR(IF(HLOOKUP(AB21,$M$15:$W$21,$Z21,FALSE)=0,"",HLOOKUP(AB21,$M$15:$W$21,$Z21,FALSE)),"")</f>
        <v/>
      </c>
      <c r="AD21" s="130" t="str">
        <f t="shared" si="13"/>
        <v/>
      </c>
      <c r="AE21" s="129" t="str">
        <f t="shared" si="26"/>
        <v/>
      </c>
      <c r="AF21" s="130" t="str">
        <f t="shared" si="14"/>
        <v/>
      </c>
      <c r="AG21" s="129" t="str">
        <f t="shared" si="27"/>
        <v/>
      </c>
      <c r="AH21" s="130" t="str">
        <f t="shared" si="15"/>
        <v/>
      </c>
      <c r="AI21" s="129" t="str">
        <f t="shared" si="28"/>
        <v/>
      </c>
      <c r="AJ21" s="130" t="str">
        <f t="shared" si="16"/>
        <v/>
      </c>
      <c r="AK21" s="129" t="str">
        <f t="shared" si="29"/>
        <v/>
      </c>
      <c r="AL21" s="130" t="str">
        <f t="shared" si="17"/>
        <v/>
      </c>
      <c r="AM21" s="129" t="str">
        <f t="shared" si="30"/>
        <v/>
      </c>
      <c r="AN21" s="130" t="str">
        <f t="shared" si="18"/>
        <v/>
      </c>
      <c r="AO21" s="129" t="str">
        <f t="shared" si="31"/>
        <v/>
      </c>
      <c r="AP21" s="130" t="str">
        <f t="shared" si="19"/>
        <v/>
      </c>
      <c r="AQ21" s="129" t="str">
        <f t="shared" si="32"/>
        <v/>
      </c>
      <c r="AR21" s="130" t="str">
        <f t="shared" si="20"/>
        <v/>
      </c>
      <c r="AS21" s="129" t="str">
        <f t="shared" si="33"/>
        <v/>
      </c>
      <c r="AT21" s="130" t="str">
        <f t="shared" si="21"/>
        <v/>
      </c>
      <c r="AU21" s="129" t="str">
        <f t="shared" si="34"/>
        <v/>
      </c>
      <c r="AV21" s="130" t="str">
        <f t="shared" si="22"/>
        <v/>
      </c>
      <c r="AW21" s="596" t="str">
        <f t="shared" si="35"/>
        <v/>
      </c>
      <c r="AY21" s="43"/>
      <c r="BA21" s="43"/>
    </row>
    <row r="22" spans="2:53" ht="12.75" customHeight="1">
      <c r="B22" s="9">
        <f>IF(SNOWBOARD_CALCULATOR_TYPE=0,IF(ISBLANK(D22),MAX(B$12:B21),IF(AND(ISNUMBER(L22),L22&gt;0)=TRUE,MAX(B$12:B21)+1,MAX(B$12:B21))),0)</f>
        <v>0</v>
      </c>
      <c r="C22" s="10"/>
      <c r="D22" s="178"/>
      <c r="E22" s="209"/>
      <c r="F22" s="214"/>
      <c r="G22" s="571">
        <f ca="1">SUM(G16:G21)</f>
        <v>0</v>
      </c>
      <c r="H22" s="214"/>
      <c r="I22" s="214"/>
      <c r="J22" s="215"/>
      <c r="K22" s="181">
        <f ca="1">SUM(K16:K21)</f>
        <v>0</v>
      </c>
      <c r="L22" s="182">
        <f ca="1">SUM(M22:W22)</f>
        <v>0</v>
      </c>
      <c r="M22" s="183">
        <f ca="1">SUM(M16:M21)</f>
        <v>0</v>
      </c>
      <c r="N22" s="183">
        <f ca="1">SUM(N16:N21)</f>
        <v>0</v>
      </c>
      <c r="O22" s="183">
        <f t="shared" ref="O22" ca="1" si="43">SUM(O16:O21)</f>
        <v>0</v>
      </c>
      <c r="P22" s="183">
        <f t="shared" ref="P22" ca="1" si="44">SUM(P16:P21)</f>
        <v>0</v>
      </c>
      <c r="Q22" s="183">
        <f t="shared" ref="Q22" ca="1" si="45">SUM(Q16:Q21)</f>
        <v>0</v>
      </c>
      <c r="R22" s="183">
        <f t="shared" ref="R22" ca="1" si="46">SUM(R16:R21)</f>
        <v>0</v>
      </c>
      <c r="S22" s="183">
        <f t="shared" ref="S22" ca="1" si="47">SUM(S16:S21)</f>
        <v>0</v>
      </c>
      <c r="T22" s="183">
        <f t="shared" ref="T22" ca="1" si="48">SUM(T16:T21)</f>
        <v>0</v>
      </c>
      <c r="U22" s="183">
        <f t="shared" ref="U22" ca="1" si="49">SUM(U16:U21)</f>
        <v>0</v>
      </c>
      <c r="V22" s="183">
        <f t="shared" ref="V22" ca="1" si="50">SUM(V16:V21)</f>
        <v>0</v>
      </c>
      <c r="W22" s="183">
        <f t="shared" ref="W22" ca="1" si="51">SUM(W16:W21)</f>
        <v>0</v>
      </c>
      <c r="X22" s="178"/>
      <c r="Y22" s="10"/>
      <c r="AA22" s="150"/>
      <c r="AB22" s="6"/>
      <c r="AC22" s="45"/>
      <c r="AD22" s="6"/>
      <c r="AE22" s="45"/>
      <c r="AF22" s="6"/>
      <c r="AG22" s="45"/>
      <c r="AH22" s="6"/>
      <c r="AI22" s="45"/>
      <c r="AJ22" s="6"/>
      <c r="AK22" s="45"/>
      <c r="AL22" s="6"/>
      <c r="AM22" s="45"/>
      <c r="AN22" s="6"/>
      <c r="AO22" s="45"/>
      <c r="AP22" s="6"/>
      <c r="AQ22" s="45"/>
      <c r="AR22" s="6"/>
      <c r="AS22" s="45"/>
      <c r="AT22" s="6"/>
      <c r="AU22" s="45"/>
      <c r="AV22" s="6"/>
      <c r="AW22" s="45"/>
      <c r="AX22" s="6"/>
    </row>
    <row r="23" spans="2:53" ht="12.75" customHeight="1">
      <c r="B23" s="9">
        <f>IF(SNOWBOARD_CALCULATOR_TYPE=0,IF(ISBLANK(D23),MAX(B$12:B22),IF(AND(ISNUMBER(L23),L23&gt;0)=TRUE,MAX(B$12:B22)+1,MAX(B$12:B22))),0)</f>
        <v>0</v>
      </c>
      <c r="C23" s="10"/>
      <c r="D23" s="957" t="s">
        <v>246</v>
      </c>
      <c r="E23" s="954"/>
      <c r="F23" s="189"/>
      <c r="G23" s="189"/>
      <c r="H23" s="185"/>
      <c r="I23" s="185"/>
      <c r="J23" s="185"/>
      <c r="K23" s="185"/>
      <c r="L23" s="185"/>
      <c r="M23" s="592"/>
      <c r="N23" s="592"/>
      <c r="O23" s="592"/>
      <c r="P23" s="592"/>
      <c r="Q23" s="592"/>
      <c r="R23" s="592"/>
      <c r="S23" s="592"/>
      <c r="T23" s="592"/>
      <c r="U23" s="592"/>
      <c r="V23" s="592"/>
      <c r="W23" s="209"/>
      <c r="X23" s="177"/>
      <c r="Y23" s="12"/>
      <c r="Z23" s="9"/>
      <c r="AA23" s="8"/>
      <c r="AB23" s="8"/>
      <c r="AC23" s="8"/>
      <c r="AD23" s="8"/>
      <c r="AE23" s="8"/>
      <c r="AF23" s="8"/>
      <c r="AG23" s="8"/>
      <c r="AH23" s="8"/>
      <c r="AI23" s="8"/>
      <c r="AJ23" s="8"/>
      <c r="AK23" s="8"/>
      <c r="AL23" s="8"/>
      <c r="AM23" s="8"/>
      <c r="AN23" s="8"/>
      <c r="AO23" s="8"/>
      <c r="AP23" s="8"/>
      <c r="AQ23" s="8"/>
      <c r="AR23" s="8"/>
      <c r="AS23" s="8"/>
      <c r="AT23" s="8"/>
      <c r="AU23" s="8"/>
      <c r="AV23" s="8"/>
      <c r="AW23" s="8"/>
      <c r="AX23" s="8"/>
    </row>
    <row r="24" spans="2:53" s="8" customFormat="1" ht="12.75" customHeight="1" thickBot="1">
      <c r="B24" s="9">
        <f>IF(SNOWBOARD_CALCULATOR_TYPE=0,IF(ISBLANK(D24),MAX(B$12:B23),IF(AND(ISNUMBER(L24),L24&gt;0)=TRUE,MAX(B$12:B23)+1,MAX(B$12:B23))),0)</f>
        <v>0</v>
      </c>
      <c r="C24" s="12"/>
      <c r="D24" s="190" t="s">
        <v>0</v>
      </c>
      <c r="E24" s="191" t="s">
        <v>1</v>
      </c>
      <c r="F24" s="192" t="s">
        <v>43</v>
      </c>
      <c r="G24" s="192" t="s">
        <v>19</v>
      </c>
      <c r="H24" s="272" t="s">
        <v>102</v>
      </c>
      <c r="I24" s="335" t="s">
        <v>21</v>
      </c>
      <c r="J24" s="322" t="s">
        <v>21</v>
      </c>
      <c r="K24" s="218" t="s">
        <v>6</v>
      </c>
      <c r="L24" s="195" t="s">
        <v>5</v>
      </c>
      <c r="M24" s="564" t="s">
        <v>248</v>
      </c>
      <c r="N24" s="564" t="s">
        <v>3</v>
      </c>
      <c r="O24" s="565" t="s">
        <v>2</v>
      </c>
      <c r="P24" s="566">
        <v>135</v>
      </c>
      <c r="Q24" s="565">
        <v>140</v>
      </c>
      <c r="R24" s="565">
        <v>145</v>
      </c>
      <c r="S24" s="565">
        <v>150</v>
      </c>
      <c r="T24" s="565">
        <v>155</v>
      </c>
      <c r="U24" s="565">
        <v>160</v>
      </c>
      <c r="V24" s="567">
        <v>165</v>
      </c>
      <c r="W24" s="177"/>
      <c r="X24" s="178"/>
      <c r="Y24" s="12"/>
      <c r="Z24" s="9"/>
      <c r="AX24" s="9"/>
      <c r="AY24" s="43"/>
      <c r="BA24" s="43"/>
    </row>
    <row r="25" spans="2:53" s="8" customFormat="1" ht="12.75" customHeight="1" thickTop="1">
      <c r="B25" s="455">
        <f>IF(SNOWBOARD_CALCULATOR_TYPE=0,IF(ISBLANK(D25),MAX(B$14:B24),IF(AND(ISNUMBER(L25),L25&gt;0)=TRUE,MAX(B$14:B24)+1,MAX(B$14:B24))),0)</f>
        <v>0</v>
      </c>
      <c r="C25" s="12"/>
      <c r="D25" s="387" t="s">
        <v>284</v>
      </c>
      <c r="E25" s="196" t="str">
        <f t="shared" ref="E25:E30" si="52">VLOOKUP(D25,SKUS_TO_SIZES,2,FALSE)</f>
        <v>EXP WIDE</v>
      </c>
      <c r="F25" s="197">
        <f t="shared" ref="F25:F30" si="53">VLOOKUP(D25,SKUS_TO_SIZES,3,FALSE)</f>
        <v>225</v>
      </c>
      <c r="G25" s="198">
        <f ca="1">SUM(M25:W25)*F25</f>
        <v>0</v>
      </c>
      <c r="H25" s="328">
        <f t="shared" ref="H25:H30" si="54">IF(SNOWBOARD_DISCOUNT_TYPE=1,IF($J$7=0,F25,F25*(SUM(1-$J$7))),IF(I25=0,F25,F25*(SUM(1-I25))))</f>
        <v>225</v>
      </c>
      <c r="I25" s="336">
        <v>0</v>
      </c>
      <c r="J25" s="268">
        <f t="shared" ref="J25:J30" si="55">$J$7</f>
        <v>0</v>
      </c>
      <c r="K25" s="244">
        <f ca="1">SUM(M25:W25)*H25</f>
        <v>0</v>
      </c>
      <c r="L25" s="974">
        <v>0</v>
      </c>
      <c r="M25" s="561" t="str">
        <f ca="1">IFERROR(ROUND($L25*HLOOKUP(M$24,INDIRECT("'Hidden Data'!"&amp;HLOOKUP(COLUMN(SKUS_TO_SIZES),NUMBER_TO_LETTER,2,FALSE)&amp;MATCH($D25,'Hidden Data'!$D:$D,0)&amp;":T"&amp;MATCH($D25&amp;"-sizecurve",'Hidden Data'!$D:$D,0)),2,FALSE),0)," ")</f>
        <v xml:space="preserve"> </v>
      </c>
      <c r="N25" s="402" t="str">
        <f ca="1">IFERROR(ROUND($L25*HLOOKUP(N$24,INDIRECT("'Hidden Data'!"&amp;HLOOKUP(COLUMN(SKUS_TO_SIZES),NUMBER_TO_LETTER,2,FALSE)&amp;MATCH($D25,'Hidden Data'!$D:$D,0)&amp;":T"&amp;MATCH($D25&amp;"-sizecurve",'Hidden Data'!$D:$D,0)),2,FALSE),0)," ")</f>
        <v xml:space="preserve"> </v>
      </c>
      <c r="O25" s="402" t="str">
        <f ca="1">IFERROR(ROUND($L25*HLOOKUP(O$24,INDIRECT("'Hidden Data'!"&amp;HLOOKUP(COLUMN(SKUS_TO_SIZES),NUMBER_TO_LETTER,2,FALSE)&amp;MATCH($D25,'Hidden Data'!$D:$D,0)&amp;":T"&amp;MATCH($D25&amp;"-sizecurve",'Hidden Data'!$D:$D,0)),2,FALSE),0)," ")</f>
        <v xml:space="preserve"> </v>
      </c>
      <c r="P25" s="402" t="str">
        <f ca="1">IFERROR(ROUND($L25*HLOOKUP(P$24,INDIRECT("'Hidden Data'!"&amp;HLOOKUP(COLUMN(SKUS_TO_SIZES),NUMBER_TO_LETTER,2,FALSE)&amp;MATCH($D25,'Hidden Data'!$D:$D,0)&amp;":T"&amp;MATCH($D25&amp;"-sizecurve",'Hidden Data'!$D:$D,0)),2,FALSE),0)," ")</f>
        <v xml:space="preserve"> </v>
      </c>
      <c r="Q25" s="402" t="str">
        <f ca="1">IFERROR(ROUND($L25*HLOOKUP(Q$24,INDIRECT("'Hidden Data'!"&amp;HLOOKUP(COLUMN(SKUS_TO_SIZES),NUMBER_TO_LETTER,2,FALSE)&amp;MATCH($D25,'Hidden Data'!$D:$D,0)&amp;":T"&amp;MATCH($D25&amp;"-sizecurve",'Hidden Data'!$D:$D,0)),2,FALSE),0)," ")</f>
        <v xml:space="preserve"> </v>
      </c>
      <c r="R25" s="402" t="str">
        <f ca="1">IFERROR(ROUND($L25*HLOOKUP(R$24,INDIRECT("'Hidden Data'!"&amp;HLOOKUP(COLUMN(SKUS_TO_SIZES),NUMBER_TO_LETTER,2,FALSE)&amp;MATCH($D25,'Hidden Data'!$D:$D,0)&amp;":T"&amp;MATCH($D25&amp;"-sizecurve",'Hidden Data'!$D:$D,0)),2,FALSE),0)," ")</f>
        <v xml:space="preserve"> </v>
      </c>
      <c r="S25" s="402" t="str">
        <f ca="1">IFERROR(ROUND($L25*HLOOKUP(S$24,INDIRECT("'Hidden Data'!"&amp;HLOOKUP(COLUMN(SKUS_TO_SIZES),NUMBER_TO_LETTER,2,FALSE)&amp;MATCH($D25,'Hidden Data'!$D:$D,0)&amp;":T"&amp;MATCH($D25&amp;"-sizecurve",'Hidden Data'!$D:$D,0)),2,FALSE),0)," ")</f>
        <v xml:space="preserve"> </v>
      </c>
      <c r="T25" s="402">
        <f ca="1">IFERROR(ROUND($L25*HLOOKUP(T$24,INDIRECT("'Hidden Data'!"&amp;HLOOKUP(COLUMN(SKUS_TO_SIZES),NUMBER_TO_LETTER,2,FALSE)&amp;MATCH($D25,'Hidden Data'!$D:$D,0)&amp;":T"&amp;MATCH($D25&amp;"-sizecurve",'Hidden Data'!$D:$D,0)),2,FALSE),0)," ")</f>
        <v>0</v>
      </c>
      <c r="U25" s="402">
        <f ca="1">IFERROR(ROUND($L25*HLOOKUP(U$24,INDIRECT("'Hidden Data'!"&amp;HLOOKUP(COLUMN(SKUS_TO_SIZES),NUMBER_TO_LETTER,2,FALSE)&amp;MATCH($D25,'Hidden Data'!$D:$D,0)&amp;":T"&amp;MATCH($D25&amp;"-sizecurve",'Hidden Data'!$D:$D,0)),2,FALSE),0)," ")</f>
        <v>0</v>
      </c>
      <c r="V25" s="448">
        <f ca="1">IFERROR(ROUND($L25*HLOOKUP(V$24,INDIRECT("'Hidden Data'!"&amp;HLOOKUP(COLUMN(SKUS_TO_SIZES),NUMBER_TO_LETTER,2,FALSE)&amp;MATCH($D25,'Hidden Data'!$D:$D,0)&amp;":T"&amp;MATCH($D25&amp;"-sizecurve",'Hidden Data'!$D:$D,0)),2,FALSE),0)," ")</f>
        <v>0</v>
      </c>
      <c r="W25" s="179"/>
      <c r="X25" s="178"/>
      <c r="Y25" s="12"/>
      <c r="Z25" s="9">
        <v>2</v>
      </c>
      <c r="AA25" s="149" t="str">
        <f t="shared" ref="AA25:AA30" si="56">D25</f>
        <v>RENNA01</v>
      </c>
      <c r="AB25" s="130">
        <f t="shared" ref="AB25:AB30" si="57">IF(VLOOKUP($AA25,SKUS_TO_SIZES,AB$12,FALSE)=0,"",VLOOKUP($AA25,SKUS_TO_SIZES,AB$12,FALSE))</f>
        <v>155</v>
      </c>
      <c r="AC25" s="129" t="str">
        <f ca="1">IFERROR(IF(HLOOKUP(AB25,$M$24:$W$30,$Z25,FALSE)=0,"",HLOOKUP(AB25,$M$24:$W$30,$Z25,FALSE)),"")</f>
        <v/>
      </c>
      <c r="AD25" s="130">
        <f t="shared" ref="AD25:AD30" si="58">IF(VLOOKUP($AA25,SKUS_TO_SIZES,AD$12,FALSE)=0,"",VLOOKUP($AA25,SKUS_TO_SIZES,AD$12,FALSE))</f>
        <v>160</v>
      </c>
      <c r="AE25" s="129" t="str">
        <f ca="1">IFERROR(IF(HLOOKUP(AD25,$M$24:$W$30,$Z25,FALSE)=0,"",HLOOKUP(AD25,$M$24:$W$30,$Z25,FALSE)),"")</f>
        <v/>
      </c>
      <c r="AF25" s="130">
        <f t="shared" ref="AF25:AF30" si="59">IF(VLOOKUP($AA25,SKUS_TO_SIZES,AF$12,FALSE)=0,"",VLOOKUP($AA25,SKUS_TO_SIZES,AF$12,FALSE))</f>
        <v>165</v>
      </c>
      <c r="AG25" s="129" t="str">
        <f ca="1">IFERROR(IF(HLOOKUP(AF25,$M$24:$W$30,$Z25,FALSE)=0,"",HLOOKUP(AF25,$M$24:$W$30,$Z25,FALSE)),"")</f>
        <v/>
      </c>
      <c r="AH25" s="130" t="str">
        <f t="shared" ref="AH25:AH30" si="60">IF(VLOOKUP($AA25,SKUS_TO_SIZES,AH$12,FALSE)=0,"",VLOOKUP($AA25,SKUS_TO_SIZES,AH$12,FALSE))</f>
        <v/>
      </c>
      <c r="AI25" s="129" t="str">
        <f>IFERROR(IF(HLOOKUP(AH25,$M$24:$W$30,$Z25,FALSE)=0,"",HLOOKUP(AH25,$M$24:$W$30,$Z25,FALSE)),"")</f>
        <v/>
      </c>
      <c r="AJ25" s="130" t="str">
        <f t="shared" ref="AJ25:AJ30" si="61">IF(VLOOKUP($AA25,SKUS_TO_SIZES,AJ$12,FALSE)=0,"",VLOOKUP($AA25,SKUS_TO_SIZES,AJ$12,FALSE))</f>
        <v/>
      </c>
      <c r="AK25" s="129" t="str">
        <f>IFERROR(IF(HLOOKUP(AJ25,$M$24:$W$30,$Z25,FALSE)=0,"",HLOOKUP(AJ25,$M$24:$W$30,$Z25,FALSE)),"")</f>
        <v/>
      </c>
      <c r="AL25" s="130" t="str">
        <f t="shared" ref="AL25:AL30" si="62">IF(VLOOKUP($AA25,SKUS_TO_SIZES,AL$12,FALSE)=0,"",VLOOKUP($AA25,SKUS_TO_SIZES,AL$12,FALSE))</f>
        <v/>
      </c>
      <c r="AM25" s="129" t="str">
        <f>IFERROR(IF(HLOOKUP(AL25,$M$24:$W$30,$Z25,FALSE)=0,"",HLOOKUP(AL25,$M$24:$W$30,$Z25,FALSE)),"")</f>
        <v/>
      </c>
      <c r="AN25" s="130" t="str">
        <f t="shared" ref="AN25:AN30" si="63">IF(VLOOKUP($AA25,SKUS_TO_SIZES,AN$12,FALSE)=0,"",VLOOKUP($AA25,SKUS_TO_SIZES,AN$12,FALSE))</f>
        <v/>
      </c>
      <c r="AO25" s="129" t="str">
        <f>IFERROR(IF(HLOOKUP(AN25,$M$24:$W$30,$Z25,FALSE)=0,"",HLOOKUP(AN25,$M$24:$W$30,$Z25,FALSE)),"")</f>
        <v/>
      </c>
      <c r="AP25" s="130" t="str">
        <f t="shared" ref="AP25:AP30" si="64">IF(VLOOKUP($AA25,SKUS_TO_SIZES,AP$12,FALSE)=0,"",VLOOKUP($AA25,SKUS_TO_SIZES,AP$12,FALSE))</f>
        <v/>
      </c>
      <c r="AQ25" s="129" t="str">
        <f>IFERROR(IF(HLOOKUP(AP25,$M$24:$W$30,$Z25,FALSE)=0,"",HLOOKUP(AP25,$M$24:$W$30,$Z25,FALSE)),"")</f>
        <v/>
      </c>
      <c r="AR25" s="130" t="str">
        <f t="shared" ref="AR25:AR30" si="65">IF(VLOOKUP($AA25,SKUS_TO_SIZES,AR$12,FALSE)=0,"",VLOOKUP($AA25,SKUS_TO_SIZES,AR$12,FALSE))</f>
        <v/>
      </c>
      <c r="AS25" s="129" t="str">
        <f>IFERROR(IF(HLOOKUP(AR25,$M$24:$W$30,$Z25,FALSE)=0,"",HLOOKUP(AR25,$M$24:$W$30,$Z25,FALSE)),"")</f>
        <v/>
      </c>
      <c r="AT25" s="130" t="str">
        <f t="shared" ref="AT25:AT30" si="66">IF(VLOOKUP($AA25,SKUS_TO_SIZES,AT$12,FALSE)=0,"",VLOOKUP($AA25,SKUS_TO_SIZES,AT$12,FALSE))</f>
        <v/>
      </c>
      <c r="AU25" s="129" t="str">
        <f>IFERROR(IF(HLOOKUP(AT25,$M$24:$W$30,$Z25,FALSE)=0,"",HLOOKUP(AT25,$M$24:$W$30,$Z25,FALSE)),"")</f>
        <v/>
      </c>
      <c r="AV25" s="130" t="str">
        <f t="shared" ref="AV25:AV30" si="67">IF(VLOOKUP($AA25,SKUS_TO_SIZES,AV$12,FALSE)=0,"",VLOOKUP($AA25,SKUS_TO_SIZES,AV$12,FALSE))</f>
        <v/>
      </c>
      <c r="AW25" s="596" t="str">
        <f>IFERROR(IF(HLOOKUP(AV25,$M$24:$W$30,$Z25,FALSE)=0,"",HLOOKUP(AV25,$M$24:$W$30,$Z25,FALSE)),"")</f>
        <v/>
      </c>
      <c r="AY25" s="39"/>
      <c r="BA25" s="43"/>
    </row>
    <row r="26" spans="2:53" s="8" customFormat="1" ht="12.75" customHeight="1">
      <c r="B26" s="455">
        <f>IF(SNOWBOARD_CALCULATOR_TYPE=0,IF(ISBLANK(D26),MAX(B$14:B25),IF(AND(ISNUMBER(L25),L25&gt;0)=TRUE,MAX(B$14:B25)+1,MAX(B$14:B25))),0)</f>
        <v>0</v>
      </c>
      <c r="C26" s="158"/>
      <c r="D26" s="388" t="s">
        <v>285</v>
      </c>
      <c r="E26" s="201" t="str">
        <f t="shared" si="52"/>
        <v>EXP REGULAR</v>
      </c>
      <c r="F26" s="202">
        <f t="shared" si="53"/>
        <v>225</v>
      </c>
      <c r="G26" s="203">
        <f ca="1">SUM(M26:W26)*F26</f>
        <v>0</v>
      </c>
      <c r="H26" s="329">
        <f t="shared" si="54"/>
        <v>225</v>
      </c>
      <c r="I26" s="320">
        <v>0</v>
      </c>
      <c r="J26" s="269">
        <f t="shared" si="55"/>
        <v>0</v>
      </c>
      <c r="K26" s="343">
        <f ca="1">SUM(M26:W26)*H26</f>
        <v>0</v>
      </c>
      <c r="L26" s="975"/>
      <c r="M26" s="562" t="str">
        <f ca="1">IFERROR(ROUND($L25*HLOOKUP(M$24,INDIRECT("'Hidden Data'!"&amp;HLOOKUP(COLUMN(SKUS_TO_SIZES),NUMBER_TO_LETTER,2,FALSE)&amp;MATCH($D26,'Hidden Data'!$D:$D,0)&amp;":T"&amp;MATCH($D26&amp;"-sizecurve",'Hidden Data'!$D:$D,0)),2,FALSE),0)," ")</f>
        <v xml:space="preserve"> </v>
      </c>
      <c r="N26" s="405" t="str">
        <f ca="1">IFERROR(ROUND($L25*HLOOKUP(N$24,INDIRECT("'Hidden Data'!"&amp;HLOOKUP(COLUMN(SKUS_TO_SIZES),NUMBER_TO_LETTER,2,FALSE)&amp;MATCH($D26,'Hidden Data'!$D:$D,0)&amp;":T"&amp;MATCH($D26&amp;"-sizecurve",'Hidden Data'!$D:$D,0)),2,FALSE),0)," ")</f>
        <v xml:space="preserve"> </v>
      </c>
      <c r="O26" s="405" t="str">
        <f ca="1">IFERROR(ROUND($L25*HLOOKUP(O$24,INDIRECT("'Hidden Data'!"&amp;HLOOKUP(COLUMN(SKUS_TO_SIZES),NUMBER_TO_LETTER,2,FALSE)&amp;MATCH($D26,'Hidden Data'!$D:$D,0)&amp;":T"&amp;MATCH($D26&amp;"-sizecurve",'Hidden Data'!$D:$D,0)),2,FALSE),0)," ")</f>
        <v xml:space="preserve"> </v>
      </c>
      <c r="P26" s="405" t="str">
        <f ca="1">IFERROR(ROUND($L25*HLOOKUP(P$24,INDIRECT("'Hidden Data'!"&amp;HLOOKUP(COLUMN(SKUS_TO_SIZES),NUMBER_TO_LETTER,2,FALSE)&amp;MATCH($D26,'Hidden Data'!$D:$D,0)&amp;":T"&amp;MATCH($D26&amp;"-sizecurve",'Hidden Data'!$D:$D,0)),2,FALSE),0)," ")</f>
        <v xml:space="preserve"> </v>
      </c>
      <c r="Q26" s="405">
        <f ca="1">IFERROR(ROUND($L25*HLOOKUP(Q$24,INDIRECT("'Hidden Data'!"&amp;HLOOKUP(COLUMN(SKUS_TO_SIZES),NUMBER_TO_LETTER,2,FALSE)&amp;MATCH($D26,'Hidden Data'!$D:$D,0)&amp;":T"&amp;MATCH($D26&amp;"-sizecurve",'Hidden Data'!$D:$D,0)),2,FALSE),0)," ")</f>
        <v>0</v>
      </c>
      <c r="R26" s="405">
        <f ca="1">IFERROR(ROUND($L25*HLOOKUP(R$24,INDIRECT("'Hidden Data'!"&amp;HLOOKUP(COLUMN(SKUS_TO_SIZES),NUMBER_TO_LETTER,2,FALSE)&amp;MATCH($D26,'Hidden Data'!$D:$D,0)&amp;":T"&amp;MATCH($D26&amp;"-sizecurve",'Hidden Data'!$D:$D,0)),2,FALSE),0)," ")</f>
        <v>0</v>
      </c>
      <c r="S26" s="405">
        <f ca="1">IFERROR(ROUND($L25*HLOOKUP(S$24,INDIRECT("'Hidden Data'!"&amp;HLOOKUP(COLUMN(SKUS_TO_SIZES),NUMBER_TO_LETTER,2,FALSE)&amp;MATCH($D26,'Hidden Data'!$D:$D,0)&amp;":T"&amp;MATCH($D26&amp;"-sizecurve",'Hidden Data'!$D:$D,0)),2,FALSE),0)," ")</f>
        <v>0</v>
      </c>
      <c r="T26" s="405">
        <f ca="1">IFERROR(ROUND($L25*HLOOKUP(T$24,INDIRECT("'Hidden Data'!"&amp;HLOOKUP(COLUMN(SKUS_TO_SIZES),NUMBER_TO_LETTER,2,FALSE)&amp;MATCH($D26,'Hidden Data'!$D:$D,0)&amp;":T"&amp;MATCH($D26&amp;"-sizecurve",'Hidden Data'!$D:$D,0)),2,FALSE),0)," ")</f>
        <v>0</v>
      </c>
      <c r="U26" s="405">
        <f ca="1">IFERROR(ROUND($L25*HLOOKUP(U$24,INDIRECT("'Hidden Data'!"&amp;HLOOKUP(COLUMN(SKUS_TO_SIZES),NUMBER_TO_LETTER,2,FALSE)&amp;MATCH($D26,'Hidden Data'!$D:$D,0)&amp;":T"&amp;MATCH($D26&amp;"-sizecurve",'Hidden Data'!$D:$D,0)),2,FALSE),0)," ")</f>
        <v>0</v>
      </c>
      <c r="V26" s="449" t="str">
        <f ca="1">IFERROR(ROUND($L25*HLOOKUP(V$24,INDIRECT("'Hidden Data'!"&amp;HLOOKUP(COLUMN(SKUS_TO_SIZES),NUMBER_TO_LETTER,2,FALSE)&amp;MATCH($D26,'Hidden Data'!$D:$D,0)&amp;":T"&amp;MATCH($D26&amp;"-sizecurve",'Hidden Data'!$D:$D,0)),2,FALSE),0)," ")</f>
        <v xml:space="preserve"> </v>
      </c>
      <c r="W26" s="179"/>
      <c r="X26" s="178"/>
      <c r="Y26" s="12"/>
      <c r="Z26" s="2">
        <f>Z25+1</f>
        <v>3</v>
      </c>
      <c r="AA26" s="149" t="str">
        <f t="shared" si="56"/>
        <v>RENN901</v>
      </c>
      <c r="AB26" s="130">
        <f t="shared" si="57"/>
        <v>140</v>
      </c>
      <c r="AC26" s="129" t="str">
        <f t="shared" ref="AC26:AC30" ca="1" si="68">IFERROR(IF(HLOOKUP(AB26,$M$24:$W$30,$Z26,FALSE)=0,"",HLOOKUP(AB26,$M$24:$W$30,$Z26,FALSE)),"")</f>
        <v/>
      </c>
      <c r="AD26" s="130">
        <f t="shared" si="58"/>
        <v>145</v>
      </c>
      <c r="AE26" s="129" t="str">
        <f ca="1">IFERROR(IF(HLOOKUP(AD26,$M$24:$W$30,$Z26,FALSE)=0,"",HLOOKUP(AD26,$M$24:$W$30,$Z26,FALSE)),"")</f>
        <v/>
      </c>
      <c r="AF26" s="130">
        <f t="shared" si="59"/>
        <v>150</v>
      </c>
      <c r="AG26" s="129" t="str">
        <f t="shared" ref="AG26:AG30" ca="1" si="69">IFERROR(IF(HLOOKUP(AF26,$M$24:$W$30,$Z26,FALSE)=0,"",HLOOKUP(AF26,$M$24:$W$30,$Z26,FALSE)),"")</f>
        <v/>
      </c>
      <c r="AH26" s="130">
        <f t="shared" si="60"/>
        <v>155</v>
      </c>
      <c r="AI26" s="129" t="str">
        <f t="shared" ref="AI26:AI30" ca="1" si="70">IFERROR(IF(HLOOKUP(AH26,$M$24:$W$30,$Z26,FALSE)=0,"",HLOOKUP(AH26,$M$24:$W$30,$Z26,FALSE)),"")</f>
        <v/>
      </c>
      <c r="AJ26" s="130">
        <f t="shared" si="61"/>
        <v>160</v>
      </c>
      <c r="AK26" s="129" t="str">
        <f t="shared" ref="AK26:AK30" ca="1" si="71">IFERROR(IF(HLOOKUP(AJ26,$M$24:$W$30,$Z26,FALSE)=0,"",HLOOKUP(AJ26,$M$24:$W$30,$Z26,FALSE)),"")</f>
        <v/>
      </c>
      <c r="AL26" s="130" t="str">
        <f t="shared" si="62"/>
        <v/>
      </c>
      <c r="AM26" s="129" t="str">
        <f t="shared" ref="AM26:AM30" si="72">IFERROR(IF(HLOOKUP(AL26,$M$24:$W$30,$Z26,FALSE)=0,"",HLOOKUP(AL26,$M$24:$W$30,$Z26,FALSE)),"")</f>
        <v/>
      </c>
      <c r="AN26" s="130" t="str">
        <f t="shared" si="63"/>
        <v/>
      </c>
      <c r="AO26" s="129" t="str">
        <f t="shared" ref="AO26:AO30" si="73">IFERROR(IF(HLOOKUP(AN26,$M$24:$W$30,$Z26,FALSE)=0,"",HLOOKUP(AN26,$M$24:$W$30,$Z26,FALSE)),"")</f>
        <v/>
      </c>
      <c r="AP26" s="130" t="str">
        <f t="shared" si="64"/>
        <v/>
      </c>
      <c r="AQ26" s="129" t="str">
        <f t="shared" ref="AQ26:AQ30" si="74">IFERROR(IF(HLOOKUP(AP26,$M$24:$W$30,$Z26,FALSE)=0,"",HLOOKUP(AP26,$M$24:$W$30,$Z26,FALSE)),"")</f>
        <v/>
      </c>
      <c r="AR26" s="130" t="str">
        <f t="shared" si="65"/>
        <v/>
      </c>
      <c r="AS26" s="129" t="str">
        <f t="shared" ref="AS26:AS30" si="75">IFERROR(IF(HLOOKUP(AR26,$M$24:$W$30,$Z26,FALSE)=0,"",HLOOKUP(AR26,$M$24:$W$30,$Z26,FALSE)),"")</f>
        <v/>
      </c>
      <c r="AT26" s="130" t="str">
        <f t="shared" si="66"/>
        <v/>
      </c>
      <c r="AU26" s="129" t="str">
        <f t="shared" ref="AU26:AU30" si="76">IFERROR(IF(HLOOKUP(AT26,$M$24:$W$30,$Z26,FALSE)=0,"",HLOOKUP(AT26,$M$24:$W$30,$Z26,FALSE)),"")</f>
        <v/>
      </c>
      <c r="AV26" s="130" t="str">
        <f t="shared" si="67"/>
        <v/>
      </c>
      <c r="AW26" s="596" t="str">
        <f t="shared" ref="AW26:AW30" si="77">IFERROR(IF(HLOOKUP(AV26,$M$24:$W$30,$Z26,FALSE)=0,"",HLOOKUP(AV26,$M$24:$W$30,$Z26,FALSE)),"")</f>
        <v/>
      </c>
      <c r="AY26" s="43"/>
      <c r="BA26" s="43"/>
    </row>
    <row r="27" spans="2:53" s="8" customFormat="1" ht="12.75" customHeight="1">
      <c r="B27" s="455">
        <f>IF(SNOWBOARD_CALCULATOR_TYPE=0,IF(ISBLANK(D27),MAX(B$14:B26),IF(AND(ISNUMBER(L25),L25&gt;0)=TRUE,MAX(B$14:B26)+1,MAX(B$14:B26))),0)</f>
        <v>0</v>
      </c>
      <c r="C27" s="158"/>
      <c r="D27" s="389" t="s">
        <v>286</v>
      </c>
      <c r="E27" s="205" t="str">
        <f t="shared" si="52"/>
        <v>EXP NARROW</v>
      </c>
      <c r="F27" s="166">
        <f t="shared" si="53"/>
        <v>225</v>
      </c>
      <c r="G27" s="206">
        <f ca="1">SUM(M27:W27)*F27</f>
        <v>0</v>
      </c>
      <c r="H27" s="330">
        <f t="shared" si="54"/>
        <v>225</v>
      </c>
      <c r="I27" s="321">
        <v>0</v>
      </c>
      <c r="J27" s="270">
        <f t="shared" si="55"/>
        <v>0</v>
      </c>
      <c r="K27" s="577">
        <f t="shared" ref="K27:K29" ca="1" si="78">SUM(M27:W27)*H27</f>
        <v>0</v>
      </c>
      <c r="L27" s="976"/>
      <c r="M27" s="563" t="str">
        <f ca="1">IFERROR(ROUND($L25*HLOOKUP(M$24,INDIRECT("'Hidden Data'!"&amp;HLOOKUP(COLUMN(SKUS_TO_SIZES),NUMBER_TO_LETTER,2,FALSE)&amp;MATCH($D27,'Hidden Data'!$D:$D,0)&amp;":T"&amp;MATCH($D27&amp;"-sizecurve",'Hidden Data'!$D:$D,0)),2,FALSE),0)," ")</f>
        <v xml:space="preserve"> </v>
      </c>
      <c r="N27" s="466" t="str">
        <f ca="1">IFERROR(ROUND($L25*HLOOKUP(N$24,INDIRECT("'Hidden Data'!"&amp;HLOOKUP(COLUMN(SKUS_TO_SIZES),NUMBER_TO_LETTER,2,FALSE)&amp;MATCH($D27,'Hidden Data'!$D:$D,0)&amp;":T"&amp;MATCH($D27&amp;"-sizecurve",'Hidden Data'!$D:$D,0)),2,FALSE),0)," ")</f>
        <v xml:space="preserve"> </v>
      </c>
      <c r="O27" s="466" t="str">
        <f ca="1">IFERROR(ROUND($L25*HLOOKUP(O$24,INDIRECT("'Hidden Data'!"&amp;HLOOKUP(COLUMN(SKUS_TO_SIZES),NUMBER_TO_LETTER,2,FALSE)&amp;MATCH($D27,'Hidden Data'!$D:$D,0)&amp;":T"&amp;MATCH($D27&amp;"-sizecurve",'Hidden Data'!$D:$D,0)),2,FALSE),0)," ")</f>
        <v xml:space="preserve"> </v>
      </c>
      <c r="P27" s="466">
        <f ca="1">IFERROR(ROUND($L25*HLOOKUP(P$24,INDIRECT("'Hidden Data'!"&amp;HLOOKUP(COLUMN(SKUS_TO_SIZES),NUMBER_TO_LETTER,2,FALSE)&amp;MATCH($D27,'Hidden Data'!$D:$D,0)&amp;":T"&amp;MATCH($D27&amp;"-sizecurve",'Hidden Data'!$D:$D,0)),2,FALSE),0)," ")</f>
        <v>0</v>
      </c>
      <c r="Q27" s="466">
        <f ca="1">IFERROR(ROUND($L25*HLOOKUP(Q$24,INDIRECT("'Hidden Data'!"&amp;HLOOKUP(COLUMN(SKUS_TO_SIZES),NUMBER_TO_LETTER,2,FALSE)&amp;MATCH($D27,'Hidden Data'!$D:$D,0)&amp;":T"&amp;MATCH($D27&amp;"-sizecurve",'Hidden Data'!$D:$D,0)),2,FALSE),0)," ")</f>
        <v>0</v>
      </c>
      <c r="R27" s="466">
        <f ca="1">IFERROR(ROUND($L25*HLOOKUP(R$24,INDIRECT("'Hidden Data'!"&amp;HLOOKUP(COLUMN(SKUS_TO_SIZES),NUMBER_TO_LETTER,2,FALSE)&amp;MATCH($D27,'Hidden Data'!$D:$D,0)&amp;":T"&amp;MATCH($D27&amp;"-sizecurve",'Hidden Data'!$D:$D,0)),2,FALSE),0)," ")</f>
        <v>0</v>
      </c>
      <c r="S27" s="466" t="str">
        <f ca="1">IFERROR(ROUND($L25*HLOOKUP(S$24,INDIRECT("'Hidden Data'!"&amp;HLOOKUP(COLUMN(SKUS_TO_SIZES),NUMBER_TO_LETTER,2,FALSE)&amp;MATCH($D27,'Hidden Data'!$D:$D,0)&amp;":T"&amp;MATCH($D27&amp;"-sizecurve",'Hidden Data'!$D:$D,0)),2,FALSE),0)," ")</f>
        <v xml:space="preserve"> </v>
      </c>
      <c r="T27" s="466" t="str">
        <f ca="1">IFERROR(ROUND($L25*HLOOKUP(T$24,INDIRECT("'Hidden Data'!"&amp;HLOOKUP(COLUMN(SKUS_TO_SIZES),NUMBER_TO_LETTER,2,FALSE)&amp;MATCH($D27,'Hidden Data'!$D:$D,0)&amp;":T"&amp;MATCH($D27&amp;"-sizecurve",'Hidden Data'!$D:$D,0)),2,FALSE),0)," ")</f>
        <v xml:space="preserve"> </v>
      </c>
      <c r="U27" s="466" t="str">
        <f ca="1">IFERROR(ROUND($L25*HLOOKUP(U$24,INDIRECT("'Hidden Data'!"&amp;HLOOKUP(COLUMN(SKUS_TO_SIZES),NUMBER_TO_LETTER,2,FALSE)&amp;MATCH($D27,'Hidden Data'!$D:$D,0)&amp;":T"&amp;MATCH($D27&amp;"-sizecurve",'Hidden Data'!$D:$D,0)),2,FALSE),0)," ")</f>
        <v xml:space="preserve"> </v>
      </c>
      <c r="V27" s="517" t="str">
        <f ca="1">IFERROR(ROUND($L25*HLOOKUP(V$24,INDIRECT("'Hidden Data'!"&amp;HLOOKUP(COLUMN(SKUS_TO_SIZES),NUMBER_TO_LETTER,2,FALSE)&amp;MATCH($D27,'Hidden Data'!$D:$D,0)&amp;":T"&amp;MATCH($D27&amp;"-sizecurve",'Hidden Data'!$D:$D,0)),2,FALSE),0)," ")</f>
        <v xml:space="preserve"> </v>
      </c>
      <c r="W27" s="179"/>
      <c r="X27" s="178"/>
      <c r="Y27" s="12"/>
      <c r="Z27" s="2">
        <f t="shared" ref="Z27:Z30" si="79">Z26+1</f>
        <v>4</v>
      </c>
      <c r="AA27" s="149" t="str">
        <f t="shared" si="56"/>
        <v>RENN802</v>
      </c>
      <c r="AB27" s="130">
        <f t="shared" si="57"/>
        <v>135</v>
      </c>
      <c r="AC27" s="129" t="str">
        <f t="shared" ca="1" si="68"/>
        <v/>
      </c>
      <c r="AD27" s="130">
        <f t="shared" si="58"/>
        <v>140</v>
      </c>
      <c r="AE27" s="129" t="str">
        <f t="shared" ref="AE27:AE30" ca="1" si="80">IFERROR(IF(HLOOKUP(AD27,$M$24:$W$30,$Z27,FALSE)=0,"",HLOOKUP(AD27,$M$24:$W$30,$Z27,FALSE)),"")</f>
        <v/>
      </c>
      <c r="AF27" s="130">
        <f t="shared" si="59"/>
        <v>145</v>
      </c>
      <c r="AG27" s="129" t="str">
        <f t="shared" ca="1" si="69"/>
        <v/>
      </c>
      <c r="AH27" s="130" t="str">
        <f t="shared" si="60"/>
        <v/>
      </c>
      <c r="AI27" s="129" t="str">
        <f t="shared" si="70"/>
        <v/>
      </c>
      <c r="AJ27" s="130" t="str">
        <f t="shared" si="61"/>
        <v/>
      </c>
      <c r="AK27" s="129" t="str">
        <f t="shared" si="71"/>
        <v/>
      </c>
      <c r="AL27" s="130" t="str">
        <f t="shared" si="62"/>
        <v/>
      </c>
      <c r="AM27" s="129" t="str">
        <f t="shared" si="72"/>
        <v/>
      </c>
      <c r="AN27" s="130" t="str">
        <f t="shared" si="63"/>
        <v/>
      </c>
      <c r="AO27" s="129" t="str">
        <f t="shared" si="73"/>
        <v/>
      </c>
      <c r="AP27" s="130" t="str">
        <f t="shared" si="64"/>
        <v/>
      </c>
      <c r="AQ27" s="129" t="str">
        <f t="shared" si="74"/>
        <v/>
      </c>
      <c r="AR27" s="130" t="str">
        <f t="shared" si="65"/>
        <v/>
      </c>
      <c r="AS27" s="129" t="str">
        <f t="shared" si="75"/>
        <v/>
      </c>
      <c r="AT27" s="130" t="str">
        <f t="shared" si="66"/>
        <v/>
      </c>
      <c r="AU27" s="129" t="str">
        <f t="shared" si="76"/>
        <v/>
      </c>
      <c r="AV27" s="130" t="str">
        <f t="shared" si="67"/>
        <v/>
      </c>
      <c r="AW27" s="596" t="str">
        <f t="shared" si="77"/>
        <v/>
      </c>
      <c r="AY27" s="43"/>
      <c r="BA27" s="43"/>
    </row>
    <row r="28" spans="2:53" s="8" customFormat="1" ht="12.75" customHeight="1">
      <c r="B28" s="455">
        <f>IF(SNOWBOARD_CALCULATOR_TYPE=0,IF(ISBLANK(D28),MAX(B$14:C27),IF(AND(ISNUMBER(L28),L28&gt;0)=TRUE,MAX(B$14:B27)+1,MAX(B$14:B27))),0)</f>
        <v>0</v>
      </c>
      <c r="C28" s="12"/>
      <c r="D28" s="243" t="s">
        <v>195</v>
      </c>
      <c r="E28" s="377" t="str">
        <f t="shared" si="52"/>
        <v>REPLY 4x4 M/L (sizes 8-15)</v>
      </c>
      <c r="F28" s="248">
        <f t="shared" si="53"/>
        <v>212</v>
      </c>
      <c r="G28" s="249">
        <f ca="1">SUM(M28:N28)*F28</f>
        <v>0</v>
      </c>
      <c r="H28" s="347">
        <f t="shared" si="54"/>
        <v>212</v>
      </c>
      <c r="I28" s="378">
        <v>0</v>
      </c>
      <c r="J28" s="379">
        <f t="shared" si="55"/>
        <v>0</v>
      </c>
      <c r="K28" s="244">
        <f ca="1">SUM(M28:W28)*H28</f>
        <v>0</v>
      </c>
      <c r="L28" s="983">
        <v>0</v>
      </c>
      <c r="M28" s="573" t="str">
        <f ca="1">IFERROR(ROUND($L28*HLOOKUP(M$24,INDIRECT("'Hidden Data'!"&amp;HLOOKUP(COLUMN(SKUS_TO_SIZES),NUMBER_TO_LETTER,2,FALSE)&amp;MATCH($D28,'Hidden Data'!$D:$D,0)&amp;":T"&amp;MATCH($D28&amp;"-sizecurve",'Hidden Data'!$D:$D,0)),2,FALSE),0)," ")</f>
        <v xml:space="preserve"> </v>
      </c>
      <c r="N28" s="514" t="str">
        <f ca="1">IFERROR(ROUND($L28*HLOOKUP(N$24,INDIRECT("'Hidden Data'!"&amp;HLOOKUP(COLUMN(SKUS_TO_SIZES),NUMBER_TO_LETTER,2,FALSE)&amp;MATCH($D28,'Hidden Data'!$D:$D,0)&amp;":T"&amp;MATCH($D28&amp;"-sizecurve",'Hidden Data'!$D:$D,0)),2,FALSE),0)," ")</f>
        <v xml:space="preserve"> </v>
      </c>
      <c r="O28" s="514">
        <f ca="1">IFERROR(ROUND($L28*HLOOKUP(O$24,INDIRECT("'Hidden Data'!"&amp;HLOOKUP(COLUMN(SKUS_TO_SIZES),NUMBER_TO_LETTER,2,FALSE)&amp;MATCH($D28,'Hidden Data'!$D:$D,0)&amp;":T"&amp;MATCH($D28&amp;"-sizecurve",'Hidden Data'!$D:$D,0)),2,FALSE),0)," ")</f>
        <v>0</v>
      </c>
      <c r="P28" s="514" t="str">
        <f ca="1">IFERROR(ROUND($L28*HLOOKUP(P$24,INDIRECT("'Hidden Data'!"&amp;HLOOKUP(COLUMN(SKUS_TO_SIZES),NUMBER_TO_LETTER,2,FALSE)&amp;MATCH($D28,'Hidden Data'!$D:$D,0)&amp;":T"&amp;MATCH($D28&amp;"-sizecurve",'Hidden Data'!$D:$D,0)),2,FALSE),0)," ")</f>
        <v xml:space="preserve"> </v>
      </c>
      <c r="Q28" s="514" t="str">
        <f ca="1">IFERROR(ROUND($L28*HLOOKUP(Q$24,INDIRECT("'Hidden Data'!"&amp;HLOOKUP(COLUMN(SKUS_TO_SIZES),NUMBER_TO_LETTER,2,FALSE)&amp;MATCH($D28,'Hidden Data'!$D:$D,0)&amp;":T"&amp;MATCH($D28&amp;"-sizecurve",'Hidden Data'!$D:$D,0)),2,FALSE),0)," ")</f>
        <v xml:space="preserve"> </v>
      </c>
      <c r="R28" s="514" t="str">
        <f ca="1">IFERROR(ROUND($L28*HLOOKUP(R$24,INDIRECT("'Hidden Data'!"&amp;HLOOKUP(COLUMN(SKUS_TO_SIZES),NUMBER_TO_LETTER,2,FALSE)&amp;MATCH($D28,'Hidden Data'!$D:$D,0)&amp;":T"&amp;MATCH($D28&amp;"-sizecurve",'Hidden Data'!$D:$D,0)),2,FALSE),0)," ")</f>
        <v xml:space="preserve"> </v>
      </c>
      <c r="S28" s="514" t="str">
        <f ca="1">IFERROR(ROUND($L28*HLOOKUP(S$24,INDIRECT("'Hidden Data'!"&amp;HLOOKUP(COLUMN(SKUS_TO_SIZES),NUMBER_TO_LETTER,2,FALSE)&amp;MATCH($D28,'Hidden Data'!$D:$D,0)&amp;":T"&amp;MATCH($D28&amp;"-sizecurve",'Hidden Data'!$D:$D,0)),2,FALSE),0)," ")</f>
        <v xml:space="preserve"> </v>
      </c>
      <c r="T28" s="514" t="str">
        <f ca="1">IFERROR(ROUND($L28*HLOOKUP(T$24,INDIRECT("'Hidden Data'!"&amp;HLOOKUP(COLUMN(SKUS_TO_SIZES),NUMBER_TO_LETTER,2,FALSE)&amp;MATCH($D28,'Hidden Data'!$D:$D,0)&amp;":T"&amp;MATCH($D28&amp;"-sizecurve",'Hidden Data'!$D:$D,0)),2,FALSE),0)," ")</f>
        <v xml:space="preserve"> </v>
      </c>
      <c r="U28" s="514" t="str">
        <f ca="1">IFERROR(ROUND($L28*HLOOKUP(U$24,INDIRECT("'Hidden Data'!"&amp;HLOOKUP(COLUMN(SKUS_TO_SIZES),NUMBER_TO_LETTER,2,FALSE)&amp;MATCH($D28,'Hidden Data'!$D:$D,0)&amp;":T"&amp;MATCH($D28&amp;"-sizecurve",'Hidden Data'!$D:$D,0)),2,FALSE),0)," ")</f>
        <v xml:space="preserve"> </v>
      </c>
      <c r="V28" s="515" t="str">
        <f ca="1">IFERROR(ROUND($L28*HLOOKUP(V$24,INDIRECT("'Hidden Data'!"&amp;HLOOKUP(COLUMN(SKUS_TO_SIZES),NUMBER_TO_LETTER,2,FALSE)&amp;MATCH($D28,'Hidden Data'!$D:$D,0)&amp;":T"&amp;MATCH($D28&amp;"-sizecurve",'Hidden Data'!$D:$D,0)),2,FALSE),0)," ")</f>
        <v xml:space="preserve"> </v>
      </c>
      <c r="W28" s="178"/>
      <c r="X28" s="178"/>
      <c r="Y28" s="12"/>
      <c r="Z28" s="2">
        <f t="shared" si="79"/>
        <v>5</v>
      </c>
      <c r="AA28" s="149" t="str">
        <f t="shared" si="56"/>
        <v>RGJ0082</v>
      </c>
      <c r="AB28" s="130" t="str">
        <f t="shared" si="57"/>
        <v>M/L</v>
      </c>
      <c r="AC28" s="129" t="str">
        <f t="shared" ca="1" si="68"/>
        <v/>
      </c>
      <c r="AD28" s="130" t="str">
        <f t="shared" si="58"/>
        <v/>
      </c>
      <c r="AE28" s="129" t="str">
        <f t="shared" si="80"/>
        <v/>
      </c>
      <c r="AF28" s="130" t="str">
        <f t="shared" si="59"/>
        <v/>
      </c>
      <c r="AG28" s="129" t="str">
        <f t="shared" si="69"/>
        <v/>
      </c>
      <c r="AH28" s="130" t="str">
        <f t="shared" si="60"/>
        <v/>
      </c>
      <c r="AI28" s="129" t="str">
        <f t="shared" si="70"/>
        <v/>
      </c>
      <c r="AJ28" s="130" t="str">
        <f t="shared" si="61"/>
        <v/>
      </c>
      <c r="AK28" s="129" t="str">
        <f t="shared" si="71"/>
        <v/>
      </c>
      <c r="AL28" s="130" t="str">
        <f t="shared" si="62"/>
        <v/>
      </c>
      <c r="AM28" s="129" t="str">
        <f t="shared" si="72"/>
        <v/>
      </c>
      <c r="AN28" s="130" t="str">
        <f t="shared" si="63"/>
        <v/>
      </c>
      <c r="AO28" s="129" t="str">
        <f t="shared" si="73"/>
        <v/>
      </c>
      <c r="AP28" s="130" t="str">
        <f t="shared" si="64"/>
        <v/>
      </c>
      <c r="AQ28" s="129" t="str">
        <f t="shared" si="74"/>
        <v/>
      </c>
      <c r="AR28" s="130" t="str">
        <f t="shared" si="65"/>
        <v/>
      </c>
      <c r="AS28" s="129" t="str">
        <f t="shared" si="75"/>
        <v/>
      </c>
      <c r="AT28" s="130" t="str">
        <f t="shared" si="66"/>
        <v/>
      </c>
      <c r="AU28" s="129" t="str">
        <f t="shared" si="76"/>
        <v/>
      </c>
      <c r="AV28" s="130" t="str">
        <f t="shared" si="67"/>
        <v/>
      </c>
      <c r="AW28" s="596" t="str">
        <f t="shared" si="77"/>
        <v/>
      </c>
      <c r="AY28" s="43"/>
      <c r="BA28" s="43"/>
    </row>
    <row r="29" spans="2:53" s="8" customFormat="1" ht="12.75" customHeight="1">
      <c r="B29" s="455">
        <f>IF(SNOWBOARD_CALCULATOR_TYPE=0,IF(ISBLANK(D29),MAX(B$14:B28),IF(AND(ISNUMBER(L28),L28&gt;0)=TRUE,MAX(B$14:B28)+1,MAX(B$14:B28))),0)</f>
        <v>0</v>
      </c>
      <c r="C29" s="12"/>
      <c r="D29" s="164" t="s">
        <v>194</v>
      </c>
      <c r="E29" s="219" t="str">
        <f t="shared" si="52"/>
        <v>REPLY 4x4 S/M (sizes 5-8)</v>
      </c>
      <c r="F29" s="168">
        <f t="shared" si="53"/>
        <v>212</v>
      </c>
      <c r="G29" s="167">
        <f ca="1">SUM(M29:N29)*F29</f>
        <v>0</v>
      </c>
      <c r="H29" s="337">
        <f t="shared" si="54"/>
        <v>212</v>
      </c>
      <c r="I29" s="321">
        <v>0</v>
      </c>
      <c r="J29" s="169">
        <f t="shared" si="55"/>
        <v>0</v>
      </c>
      <c r="K29" s="577">
        <f t="shared" ca="1" si="78"/>
        <v>0</v>
      </c>
      <c r="L29" s="984"/>
      <c r="M29" s="563" t="str">
        <f ca="1">IFERROR(ROUND($L28*HLOOKUP(M$24,INDIRECT("'Hidden Data'!"&amp;HLOOKUP(COLUMN(SKUS_TO_SIZES),NUMBER_TO_LETTER,2,FALSE)&amp;MATCH($D29,'Hidden Data'!$D:$D,0)&amp;":T"&amp;MATCH($D29&amp;"-sizecurve",'Hidden Data'!$D:$D,0)),2,FALSE),0)," ")</f>
        <v xml:space="preserve"> </v>
      </c>
      <c r="N29" s="466">
        <f ca="1">IFERROR(ROUND($L28*HLOOKUP(N$24,INDIRECT("'Hidden Data'!"&amp;HLOOKUP(COLUMN(SKUS_TO_SIZES),NUMBER_TO_LETTER,2,FALSE)&amp;MATCH($D29,'Hidden Data'!$D:$D,0)&amp;":T"&amp;MATCH($D29&amp;"-sizecurve",'Hidden Data'!$D:$D,0)),2,FALSE),0)," ")</f>
        <v>0</v>
      </c>
      <c r="O29" s="466" t="str">
        <f ca="1">IFERROR(ROUND($L28*HLOOKUP(O$24,INDIRECT("'Hidden Data'!"&amp;HLOOKUP(COLUMN(SKUS_TO_SIZES),NUMBER_TO_LETTER,2,FALSE)&amp;MATCH($D29,'Hidden Data'!$D:$D,0)&amp;":T"&amp;MATCH($D29&amp;"-sizecurve",'Hidden Data'!$D:$D,0)),2,FALSE),0)," ")</f>
        <v xml:space="preserve"> </v>
      </c>
      <c r="P29" s="466" t="str">
        <f ca="1">IFERROR(ROUND($L28*HLOOKUP(P$24,INDIRECT("'Hidden Data'!"&amp;HLOOKUP(COLUMN(SKUS_TO_SIZES),NUMBER_TO_LETTER,2,FALSE)&amp;MATCH($D29,'Hidden Data'!$D:$D,0)&amp;":T"&amp;MATCH($D29&amp;"-sizecurve",'Hidden Data'!$D:$D,0)),2,FALSE),0)," ")</f>
        <v xml:space="preserve"> </v>
      </c>
      <c r="Q29" s="466" t="str">
        <f ca="1">IFERROR(ROUND($L28*HLOOKUP(Q$24,INDIRECT("'Hidden Data'!"&amp;HLOOKUP(COLUMN(SKUS_TO_SIZES),NUMBER_TO_LETTER,2,FALSE)&amp;MATCH($D29,'Hidden Data'!$D:$D,0)&amp;":T"&amp;MATCH($D29&amp;"-sizecurve",'Hidden Data'!$D:$D,0)),2,FALSE),0)," ")</f>
        <v xml:space="preserve"> </v>
      </c>
      <c r="R29" s="466" t="str">
        <f ca="1">IFERROR(ROUND($L28*HLOOKUP(R$24,INDIRECT("'Hidden Data'!"&amp;HLOOKUP(COLUMN(SKUS_TO_SIZES),NUMBER_TO_LETTER,2,FALSE)&amp;MATCH($D29,'Hidden Data'!$D:$D,0)&amp;":T"&amp;MATCH($D29&amp;"-sizecurve",'Hidden Data'!$D:$D,0)),2,FALSE),0)," ")</f>
        <v xml:space="preserve"> </v>
      </c>
      <c r="S29" s="466" t="str">
        <f ca="1">IFERROR(ROUND($L28*HLOOKUP(S$24,INDIRECT("'Hidden Data'!"&amp;HLOOKUP(COLUMN(SKUS_TO_SIZES),NUMBER_TO_LETTER,2,FALSE)&amp;MATCH($D29,'Hidden Data'!$D:$D,0)&amp;":T"&amp;MATCH($D29&amp;"-sizecurve",'Hidden Data'!$D:$D,0)),2,FALSE),0)," ")</f>
        <v xml:space="preserve"> </v>
      </c>
      <c r="T29" s="466" t="str">
        <f ca="1">IFERROR(ROUND($L28*HLOOKUP(T$24,INDIRECT("'Hidden Data'!"&amp;HLOOKUP(COLUMN(SKUS_TO_SIZES),NUMBER_TO_LETTER,2,FALSE)&amp;MATCH($D29,'Hidden Data'!$D:$D,0)&amp;":T"&amp;MATCH($D29&amp;"-sizecurve",'Hidden Data'!$D:$D,0)),2,FALSE),0)," ")</f>
        <v xml:space="preserve"> </v>
      </c>
      <c r="U29" s="466" t="str">
        <f ca="1">IFERROR(ROUND($L28*HLOOKUP(U$24,INDIRECT("'Hidden Data'!"&amp;HLOOKUP(COLUMN(SKUS_TO_SIZES),NUMBER_TO_LETTER,2,FALSE)&amp;MATCH($D29,'Hidden Data'!$D:$D,0)&amp;":T"&amp;MATCH($D29&amp;"-sizecurve",'Hidden Data'!$D:$D,0)),2,FALSE),0)," ")</f>
        <v xml:space="preserve"> </v>
      </c>
      <c r="V29" s="517" t="str">
        <f ca="1">IFERROR(ROUND($L28*HLOOKUP(V$24,INDIRECT("'Hidden Data'!"&amp;HLOOKUP(COLUMN(SKUS_TO_SIZES),NUMBER_TO_LETTER,2,FALSE)&amp;MATCH($D29,'Hidden Data'!$D:$D,0)&amp;":T"&amp;MATCH($D29&amp;"-sizecurve",'Hidden Data'!$D:$D,0)),2,FALSE),0)," ")</f>
        <v xml:space="preserve"> </v>
      </c>
      <c r="W29" s="178"/>
      <c r="X29" s="178"/>
      <c r="Y29" s="12"/>
      <c r="Z29" s="2">
        <f t="shared" si="79"/>
        <v>6</v>
      </c>
      <c r="AA29" s="149" t="str">
        <f t="shared" si="56"/>
        <v>RGJ0083</v>
      </c>
      <c r="AB29" s="130" t="str">
        <f t="shared" si="57"/>
        <v>S/M</v>
      </c>
      <c r="AC29" s="129" t="str">
        <f t="shared" ca="1" si="68"/>
        <v/>
      </c>
      <c r="AD29" s="130" t="str">
        <f t="shared" si="58"/>
        <v/>
      </c>
      <c r="AE29" s="129" t="str">
        <f t="shared" si="80"/>
        <v/>
      </c>
      <c r="AF29" s="130" t="str">
        <f t="shared" si="59"/>
        <v/>
      </c>
      <c r="AG29" s="129" t="str">
        <f t="shared" si="69"/>
        <v/>
      </c>
      <c r="AH29" s="130" t="str">
        <f t="shared" si="60"/>
        <v/>
      </c>
      <c r="AI29" s="129" t="str">
        <f t="shared" si="70"/>
        <v/>
      </c>
      <c r="AJ29" s="130" t="str">
        <f t="shared" si="61"/>
        <v/>
      </c>
      <c r="AK29" s="129" t="str">
        <f t="shared" si="71"/>
        <v/>
      </c>
      <c r="AL29" s="130" t="str">
        <f t="shared" si="62"/>
        <v/>
      </c>
      <c r="AM29" s="129" t="str">
        <f t="shared" si="72"/>
        <v/>
      </c>
      <c r="AN29" s="130" t="str">
        <f t="shared" si="63"/>
        <v/>
      </c>
      <c r="AO29" s="129" t="str">
        <f t="shared" si="73"/>
        <v/>
      </c>
      <c r="AP29" s="130" t="str">
        <f t="shared" si="64"/>
        <v/>
      </c>
      <c r="AQ29" s="129" t="str">
        <f t="shared" si="74"/>
        <v/>
      </c>
      <c r="AR29" s="130" t="str">
        <f t="shared" si="65"/>
        <v/>
      </c>
      <c r="AS29" s="129" t="str">
        <f t="shared" si="75"/>
        <v/>
      </c>
      <c r="AT29" s="130" t="str">
        <f t="shared" si="66"/>
        <v/>
      </c>
      <c r="AU29" s="129" t="str">
        <f t="shared" si="76"/>
        <v/>
      </c>
      <c r="AV29" s="130" t="str">
        <f t="shared" si="67"/>
        <v/>
      </c>
      <c r="AW29" s="596" t="str">
        <f t="shared" si="77"/>
        <v/>
      </c>
      <c r="AY29" s="43"/>
      <c r="BA29" s="43"/>
    </row>
    <row r="30" spans="2:53" s="8" customFormat="1" ht="12.75" customHeight="1">
      <c r="B30" s="9">
        <f>IF(SNOWBOARD_CALCULATOR_TYPE=0,IF(ISBLANK(D30),MAX(B$12:B29),IF(AND(ISNUMBER(L30),L30&gt;0)=TRUE,MAX(B$12:B29)+1,MAX(B$12:B29))),0)</f>
        <v>0</v>
      </c>
      <c r="C30" s="12"/>
      <c r="D30" s="588" t="s">
        <v>247</v>
      </c>
      <c r="E30" s="456" t="str">
        <f t="shared" si="52"/>
        <v>REPLY POWER HANDLE RED (PAIR)</v>
      </c>
      <c r="F30" s="465">
        <f t="shared" si="53"/>
        <v>18</v>
      </c>
      <c r="G30" s="458">
        <f ca="1">SUM(M30:N30)*F30</f>
        <v>0</v>
      </c>
      <c r="H30" s="459">
        <f t="shared" si="54"/>
        <v>18</v>
      </c>
      <c r="I30" s="569">
        <v>0</v>
      </c>
      <c r="J30" s="576">
        <f t="shared" si="55"/>
        <v>0</v>
      </c>
      <c r="K30" s="577">
        <f ca="1">SUM(M30:W30)*H30</f>
        <v>0</v>
      </c>
      <c r="L30" s="590">
        <v>0</v>
      </c>
      <c r="M30" s="563">
        <f ca="1">IFERROR(ROUND($L30*HLOOKUP(M$15,INDIRECT("'Hidden Data'!"&amp;HLOOKUP(COLUMN(SKUS_TO_SIZES),NUMBER_TO_LETTER,2,FALSE)&amp;MATCH($D30,'Hidden Data'!$D:$D,0)&amp;":T"&amp;MATCH($D30&amp;"-sizecurve",'Hidden Data'!$D:$D,0)),2,FALSE),0)," ")</f>
        <v>0</v>
      </c>
      <c r="N30" s="466" t="str">
        <f ca="1">IFERROR(ROUND($L30*HLOOKUP(N$15,INDIRECT("'Hidden Data'!"&amp;HLOOKUP(COLUMN(SKUS_TO_SIZES),NUMBER_TO_LETTER,2,FALSE)&amp;MATCH($D30,'Hidden Data'!$D:$D,0)&amp;":T"&amp;MATCH($D30&amp;"-sizecurve",'Hidden Data'!$D:$D,0)),2,FALSE),0)," ")</f>
        <v xml:space="preserve"> </v>
      </c>
      <c r="O30" s="466" t="str">
        <f ca="1">IFERROR(ROUND($L30*HLOOKUP(O$15,INDIRECT("'Hidden Data'!"&amp;HLOOKUP(COLUMN(SKUS_TO_SIZES),NUMBER_TO_LETTER,2,FALSE)&amp;MATCH($D30,'Hidden Data'!$D:$D,0)&amp;":T"&amp;MATCH($D30&amp;"-sizecurve",'Hidden Data'!$D:$D,0)),2,FALSE),0)," ")</f>
        <v xml:space="preserve"> </v>
      </c>
      <c r="P30" s="466" t="str">
        <f ca="1">IFERROR(ROUND($L30*HLOOKUP(P$15,INDIRECT("'Hidden Data'!"&amp;HLOOKUP(COLUMN(SKUS_TO_SIZES),NUMBER_TO_LETTER,2,FALSE)&amp;MATCH($D30,'Hidden Data'!$D:$D,0)&amp;":T"&amp;MATCH($D30&amp;"-sizecurve",'Hidden Data'!$D:$D,0)),2,FALSE),0)," ")</f>
        <v xml:space="preserve"> </v>
      </c>
      <c r="Q30" s="466" t="str">
        <f ca="1">IFERROR(ROUND($L30*HLOOKUP(Q$15,INDIRECT("'Hidden Data'!"&amp;HLOOKUP(COLUMN(SKUS_TO_SIZES),NUMBER_TO_LETTER,2,FALSE)&amp;MATCH($D30,'Hidden Data'!$D:$D,0)&amp;":T"&amp;MATCH($D30&amp;"-sizecurve",'Hidden Data'!$D:$D,0)),2,FALSE),0)," ")</f>
        <v xml:space="preserve"> </v>
      </c>
      <c r="R30" s="466" t="str">
        <f ca="1">IFERROR(ROUND($L30*HLOOKUP(R$15,INDIRECT("'Hidden Data'!"&amp;HLOOKUP(COLUMN(SKUS_TO_SIZES),NUMBER_TO_LETTER,2,FALSE)&amp;MATCH($D30,'Hidden Data'!$D:$D,0)&amp;":T"&amp;MATCH($D30&amp;"-sizecurve",'Hidden Data'!$D:$D,0)),2,FALSE),0)," ")</f>
        <v xml:space="preserve"> </v>
      </c>
      <c r="S30" s="466" t="str">
        <f ca="1">IFERROR(ROUND($L30*HLOOKUP(S$15,INDIRECT("'Hidden Data'!"&amp;HLOOKUP(COLUMN(SKUS_TO_SIZES),NUMBER_TO_LETTER,2,FALSE)&amp;MATCH($D30,'Hidden Data'!$D:$D,0)&amp;":T"&amp;MATCH($D30&amp;"-sizecurve",'Hidden Data'!$D:$D,0)),2,FALSE),0)," ")</f>
        <v xml:space="preserve"> </v>
      </c>
      <c r="T30" s="466" t="str">
        <f ca="1">IFERROR(ROUND($L30*HLOOKUP(T$15,INDIRECT("'Hidden Data'!"&amp;HLOOKUP(COLUMN(SKUS_TO_SIZES),NUMBER_TO_LETTER,2,FALSE)&amp;MATCH($D30,'Hidden Data'!$D:$D,0)&amp;":T"&amp;MATCH($D30&amp;"-sizecurve",'Hidden Data'!$D:$D,0)),2,FALSE),0)," ")</f>
        <v xml:space="preserve"> </v>
      </c>
      <c r="U30" s="466" t="str">
        <f ca="1">IFERROR(ROUND($L30*HLOOKUP(U$15,INDIRECT("'Hidden Data'!"&amp;HLOOKUP(COLUMN(SKUS_TO_SIZES),NUMBER_TO_LETTER,2,FALSE)&amp;MATCH($D30,'Hidden Data'!$D:$D,0)&amp;":T"&amp;MATCH($D30&amp;"-sizecurve",'Hidden Data'!$D:$D,0)),2,FALSE),0)," ")</f>
        <v xml:space="preserve"> </v>
      </c>
      <c r="V30" s="591" t="str">
        <f ca="1">IFERROR(ROUND($L30*HLOOKUP(V$15,INDIRECT("'Hidden Data'!"&amp;HLOOKUP(COLUMN(SKUS_TO_SIZES),NUMBER_TO_LETTER,2,FALSE)&amp;MATCH($D30,'Hidden Data'!$D:$D,0)&amp;":T"&amp;MATCH($D30&amp;"-sizecurve",'Hidden Data'!$D:$D,0)),2,FALSE),0)," ")</f>
        <v xml:space="preserve"> </v>
      </c>
      <c r="W30" s="178"/>
      <c r="X30" s="178"/>
      <c r="Y30" s="12"/>
      <c r="Z30" s="2">
        <f t="shared" si="79"/>
        <v>7</v>
      </c>
      <c r="AA30" s="149" t="str">
        <f t="shared" si="56"/>
        <v>RVEW415</v>
      </c>
      <c r="AB30" s="130" t="str">
        <f t="shared" si="57"/>
        <v>PAIR</v>
      </c>
      <c r="AC30" s="129" t="str">
        <f t="shared" ca="1" si="68"/>
        <v/>
      </c>
      <c r="AD30" s="130" t="str">
        <f t="shared" si="58"/>
        <v/>
      </c>
      <c r="AE30" s="129" t="str">
        <f t="shared" si="80"/>
        <v/>
      </c>
      <c r="AF30" s="130" t="str">
        <f t="shared" si="59"/>
        <v/>
      </c>
      <c r="AG30" s="129" t="str">
        <f t="shared" si="69"/>
        <v/>
      </c>
      <c r="AH30" s="130" t="str">
        <f t="shared" si="60"/>
        <v/>
      </c>
      <c r="AI30" s="129" t="str">
        <f t="shared" si="70"/>
        <v/>
      </c>
      <c r="AJ30" s="130" t="str">
        <f t="shared" si="61"/>
        <v/>
      </c>
      <c r="AK30" s="129" t="str">
        <f t="shared" si="71"/>
        <v/>
      </c>
      <c r="AL30" s="130" t="str">
        <f t="shared" si="62"/>
        <v/>
      </c>
      <c r="AM30" s="129" t="str">
        <f t="shared" si="72"/>
        <v/>
      </c>
      <c r="AN30" s="130" t="str">
        <f t="shared" si="63"/>
        <v/>
      </c>
      <c r="AO30" s="129" t="str">
        <f t="shared" si="73"/>
        <v/>
      </c>
      <c r="AP30" s="130" t="str">
        <f t="shared" si="64"/>
        <v/>
      </c>
      <c r="AQ30" s="129" t="str">
        <f t="shared" si="74"/>
        <v/>
      </c>
      <c r="AR30" s="130" t="str">
        <f t="shared" si="65"/>
        <v/>
      </c>
      <c r="AS30" s="129" t="str">
        <f t="shared" si="75"/>
        <v/>
      </c>
      <c r="AT30" s="130" t="str">
        <f t="shared" si="66"/>
        <v/>
      </c>
      <c r="AU30" s="129" t="str">
        <f t="shared" si="76"/>
        <v/>
      </c>
      <c r="AV30" s="130" t="str">
        <f t="shared" si="67"/>
        <v/>
      </c>
      <c r="AW30" s="596" t="str">
        <f t="shared" si="77"/>
        <v/>
      </c>
      <c r="AY30" s="43"/>
      <c r="BA30" s="43"/>
    </row>
    <row r="31" spans="2:53" ht="12.75" customHeight="1">
      <c r="B31" s="9">
        <f>IF(SNOWBOARD_CALCULATOR_TYPE=0,IF(ISBLANK(D31),MAX(B$12:B30),IF(AND(ISNUMBER(L31),L31&gt;0)=TRUE,MAX(B$12:B30)+1,MAX(B$12:B30))),0)</f>
        <v>0</v>
      </c>
      <c r="C31" s="10"/>
      <c r="D31" s="265"/>
      <c r="E31" s="180"/>
      <c r="F31" s="214"/>
      <c r="G31" s="571">
        <f ca="1">SUM(G25:G30)</f>
        <v>0</v>
      </c>
      <c r="H31" s="214"/>
      <c r="I31" s="214"/>
      <c r="J31" s="215"/>
      <c r="K31" s="181">
        <f ca="1">SUM(K25:K30)</f>
        <v>0</v>
      </c>
      <c r="L31" s="182">
        <f ca="1">SUM(M31:W31)</f>
        <v>0</v>
      </c>
      <c r="M31" s="183">
        <f ca="1">SUM(M25:M30)</f>
        <v>0</v>
      </c>
      <c r="N31" s="183">
        <f t="shared" ref="N31:V31" ca="1" si="81">SUM(N25:N30)</f>
        <v>0</v>
      </c>
      <c r="O31" s="183">
        <f t="shared" ca="1" si="81"/>
        <v>0</v>
      </c>
      <c r="P31" s="183">
        <f t="shared" ca="1" si="81"/>
        <v>0</v>
      </c>
      <c r="Q31" s="183">
        <f t="shared" ca="1" si="81"/>
        <v>0</v>
      </c>
      <c r="R31" s="183">
        <f t="shared" ca="1" si="81"/>
        <v>0</v>
      </c>
      <c r="S31" s="183">
        <f t="shared" ca="1" si="81"/>
        <v>0</v>
      </c>
      <c r="T31" s="183">
        <f t="shared" ca="1" si="81"/>
        <v>0</v>
      </c>
      <c r="U31" s="183">
        <f t="shared" ca="1" si="81"/>
        <v>0</v>
      </c>
      <c r="V31" s="460">
        <f t="shared" ca="1" si="81"/>
        <v>0</v>
      </c>
      <c r="W31" s="179"/>
      <c r="X31" s="178"/>
      <c r="Y31" s="10"/>
      <c r="AA31" s="150"/>
      <c r="AB31" s="6"/>
      <c r="AC31" s="45"/>
      <c r="AD31" s="6"/>
      <c r="AE31" s="45"/>
      <c r="AF31" s="6"/>
      <c r="AG31" s="45"/>
      <c r="AH31" s="6"/>
      <c r="AI31" s="45"/>
      <c r="AJ31" s="6"/>
      <c r="AK31" s="45"/>
      <c r="AL31" s="6"/>
      <c r="AM31" s="45"/>
      <c r="AN31" s="6"/>
      <c r="AO31" s="45"/>
      <c r="AP31" s="6"/>
      <c r="AQ31" s="45"/>
      <c r="AR31" s="6"/>
      <c r="AS31" s="45"/>
      <c r="AT31" s="6"/>
      <c r="AU31" s="45"/>
      <c r="AV31" s="6"/>
      <c r="AW31" s="45"/>
      <c r="AX31" s="6"/>
    </row>
    <row r="32" spans="2:53" s="8" customFormat="1" ht="12.75" customHeight="1">
      <c r="B32" s="9">
        <f>IF(SNOWBOARD_CALCULATOR_TYPE=0,IF(ISBLANK(D32),MAX(B$12:B31),IF(AND(ISNUMBER(L32),L32&gt;0)=TRUE,MAX(B$12:B31)+1,MAX(B$12:B31))),0)</f>
        <v>0</v>
      </c>
      <c r="C32" s="12"/>
      <c r="D32" s="957" t="s">
        <v>4</v>
      </c>
      <c r="E32" s="954"/>
      <c r="F32" s="173"/>
      <c r="G32" s="173"/>
      <c r="H32" s="189"/>
      <c r="I32" s="173"/>
      <c r="J32" s="173"/>
      <c r="K32" s="173"/>
      <c r="L32" s="173"/>
      <c r="M32" s="173"/>
      <c r="N32" s="173"/>
      <c r="O32" s="173"/>
      <c r="P32" s="173"/>
      <c r="Q32" s="173"/>
      <c r="R32" s="173"/>
      <c r="S32" s="173"/>
      <c r="T32" s="173"/>
      <c r="U32" s="173"/>
      <c r="V32" s="173"/>
      <c r="W32" s="173"/>
      <c r="X32" s="173"/>
      <c r="Y32" s="12"/>
      <c r="Z32" s="2"/>
      <c r="AA32" s="150"/>
      <c r="AB32" s="6"/>
      <c r="AC32" s="45"/>
      <c r="AD32" s="6"/>
      <c r="AE32" s="45"/>
      <c r="AF32" s="6"/>
      <c r="AG32" s="45"/>
      <c r="AH32" s="6"/>
      <c r="AI32" s="45"/>
      <c r="AJ32" s="6"/>
      <c r="AK32" s="45"/>
      <c r="AL32" s="6"/>
      <c r="AM32" s="45"/>
      <c r="AN32" s="6"/>
      <c r="AO32" s="45"/>
      <c r="AP32" s="6"/>
      <c r="AQ32" s="45"/>
      <c r="AR32" s="6"/>
      <c r="AS32" s="45"/>
      <c r="AT32" s="6"/>
      <c r="AU32" s="45"/>
      <c r="AV32" s="6"/>
      <c r="AW32" s="45"/>
      <c r="AX32" s="6"/>
      <c r="AY32" s="43"/>
      <c r="BA32" s="43"/>
    </row>
    <row r="33" spans="2:53" s="6" customFormat="1" ht="12.75" customHeight="1" thickBot="1">
      <c r="B33" s="9">
        <f>IF(SNOWBOARD_CALCULATOR_TYPE=0,IF(ISBLANK(D33),MAX(B$12:B32),IF(AND(ISNUMBER(L33),L33&gt;0)=TRUE,MAX(B$12:B32)+1,MAX(B$12:B32))),0)</f>
        <v>0</v>
      </c>
      <c r="C33" s="13"/>
      <c r="D33" s="251" t="s">
        <v>0</v>
      </c>
      <c r="E33" s="242" t="s">
        <v>1</v>
      </c>
      <c r="F33" s="217" t="s">
        <v>43</v>
      </c>
      <c r="G33" s="217" t="s">
        <v>19</v>
      </c>
      <c r="H33" s="272" t="s">
        <v>102</v>
      </c>
      <c r="I33" s="271" t="s">
        <v>21</v>
      </c>
      <c r="J33" s="193" t="s">
        <v>21</v>
      </c>
      <c r="K33" s="218" t="s">
        <v>6</v>
      </c>
      <c r="L33" s="195" t="s">
        <v>5</v>
      </c>
      <c r="M33" s="174">
        <v>5.5</v>
      </c>
      <c r="N33" s="175">
        <v>6.5</v>
      </c>
      <c r="O33" s="175">
        <v>7.5</v>
      </c>
      <c r="P33" s="175">
        <v>8.5</v>
      </c>
      <c r="Q33" s="175">
        <v>9.5</v>
      </c>
      <c r="R33" s="175">
        <v>10.5</v>
      </c>
      <c r="S33" s="175">
        <v>11.5</v>
      </c>
      <c r="T33" s="175">
        <v>12.5</v>
      </c>
      <c r="U33" s="175">
        <v>13.5</v>
      </c>
      <c r="V33" s="175">
        <v>14.5</v>
      </c>
      <c r="W33" s="195">
        <v>15.5</v>
      </c>
      <c r="X33" s="178"/>
      <c r="Y33" s="12"/>
      <c r="Z33" s="7"/>
      <c r="AA33" s="151"/>
      <c r="AB33" s="8"/>
      <c r="AC33" s="43"/>
      <c r="AD33" s="8"/>
      <c r="AE33" s="43"/>
      <c r="AF33" s="8"/>
      <c r="AG33" s="43"/>
      <c r="AH33" s="8"/>
      <c r="AI33" s="43"/>
      <c r="AJ33" s="8"/>
      <c r="AK33" s="43"/>
      <c r="AL33" s="8"/>
      <c r="AM33" s="43"/>
      <c r="AN33" s="8"/>
      <c r="AO33" s="43"/>
      <c r="AP33" s="8"/>
      <c r="AQ33" s="43"/>
      <c r="AR33" s="8"/>
      <c r="AS33" s="43"/>
      <c r="AT33" s="8"/>
      <c r="AU33" s="43"/>
      <c r="AV33" s="8"/>
      <c r="AW33" s="43"/>
      <c r="AX33" s="8"/>
      <c r="AY33" s="45"/>
      <c r="BA33" s="45"/>
    </row>
    <row r="34" spans="2:53" s="8" customFormat="1" ht="12.75" customHeight="1" thickTop="1">
      <c r="B34" s="9">
        <f>IF(SNOWBOARD_CALCULATOR_TYPE=0,IF(ISBLANK(D34),MAX(B$12:B33),IF(AND(ISNUMBER(L34),L34&gt;0)=TRUE,MAX(B$12:B33)+1,MAX(B$12:B33))),0)</f>
        <v>0</v>
      </c>
      <c r="C34" s="12"/>
      <c r="D34" s="243" t="s">
        <v>219</v>
      </c>
      <c r="E34" s="250" t="str">
        <f>VLOOKUP(D34,SKUS_TO_SIZES,2,FALSE)</f>
        <v>EXP BOA H4 RTL SHIELD</v>
      </c>
      <c r="F34" s="248">
        <f>VLOOKUP(D34,SKUS_TO_SIZES,3,FALSE)</f>
        <v>212</v>
      </c>
      <c r="G34" s="249">
        <f>SUM(L34)*F34</f>
        <v>0</v>
      </c>
      <c r="H34" s="347">
        <f>IF(SNOWBOARD_DISCOUNT_TYPE=1,IF($J$7=0,F34,F34*(SUM(1-$J$7))),IF(I34=0,F34,F34*(SUM(1-I34))))</f>
        <v>212</v>
      </c>
      <c r="I34" s="346">
        <v>0</v>
      </c>
      <c r="J34" s="334">
        <f>$J$7</f>
        <v>0</v>
      </c>
      <c r="K34" s="244">
        <f t="shared" ref="K34:K35" ca="1" si="82">SUM(M34:W34)*H34</f>
        <v>0</v>
      </c>
      <c r="L34" s="200">
        <v>0</v>
      </c>
      <c r="M34" s="162">
        <f ca="1">ROUND($L34*HLOOKUP(M$33,INDIRECT("'Hidden Data'!"&amp;HLOOKUP(COLUMN(SKUS_TO_SIZES),NUMBER_TO_LETTER,2,FALSE)&amp;MATCH($D34,'Hidden Data'!$D:$D,0)&amp;":T"&amp;MATCH($D34&amp;"-sizecurve",'Hidden Data'!$D:$D,0)),2,FALSE),0)</f>
        <v>0</v>
      </c>
      <c r="N34" s="163">
        <f ca="1">ROUND($L34*HLOOKUP(N$33,INDIRECT("'Hidden Data'!"&amp;HLOOKUP(COLUMN(SKUS_TO_SIZES),NUMBER_TO_LETTER,2,FALSE)&amp;MATCH($D34,'Hidden Data'!$D:$D,0)&amp;":T"&amp;MATCH($D34&amp;"-sizecurve",'Hidden Data'!$D:$D,0)),2,FALSE),0)</f>
        <v>0</v>
      </c>
      <c r="O34" s="163">
        <f ca="1">ROUND($L34*HLOOKUP(O$33,INDIRECT("'Hidden Data'!"&amp;HLOOKUP(COLUMN(SKUS_TO_SIZES),NUMBER_TO_LETTER,2,FALSE)&amp;MATCH($D34,'Hidden Data'!$D:$D,0)&amp;":T"&amp;MATCH($D34&amp;"-sizecurve",'Hidden Data'!$D:$D,0)),2,FALSE),0)</f>
        <v>0</v>
      </c>
      <c r="P34" s="163">
        <f ca="1">ROUND($L34*HLOOKUP(P$33,INDIRECT("'Hidden Data'!"&amp;HLOOKUP(COLUMN(SKUS_TO_SIZES),NUMBER_TO_LETTER,2,FALSE)&amp;MATCH($D34,'Hidden Data'!$D:$D,0)&amp;":T"&amp;MATCH($D34&amp;"-sizecurve",'Hidden Data'!$D:$D,0)),2,FALSE),0)</f>
        <v>0</v>
      </c>
      <c r="Q34" s="163">
        <f ca="1">ROUND($L34*HLOOKUP(Q$33,INDIRECT("'Hidden Data'!"&amp;HLOOKUP(COLUMN(SKUS_TO_SIZES),NUMBER_TO_LETTER,2,FALSE)&amp;MATCH($D34,'Hidden Data'!$D:$D,0)&amp;":T"&amp;MATCH($D34&amp;"-sizecurve",'Hidden Data'!$D:$D,0)),2,FALSE),0)</f>
        <v>0</v>
      </c>
      <c r="R34" s="163">
        <f ca="1">ROUND($L34*HLOOKUP(R$33,INDIRECT("'Hidden Data'!"&amp;HLOOKUP(COLUMN(SKUS_TO_SIZES),NUMBER_TO_LETTER,2,FALSE)&amp;MATCH($D34,'Hidden Data'!$D:$D,0)&amp;":T"&amp;MATCH($D34&amp;"-sizecurve",'Hidden Data'!$D:$D,0)),2,FALSE),0)</f>
        <v>0</v>
      </c>
      <c r="S34" s="163">
        <f ca="1">ROUND($L34*HLOOKUP(S$33,INDIRECT("'Hidden Data'!"&amp;HLOOKUP(COLUMN(SKUS_TO_SIZES),NUMBER_TO_LETTER,2,FALSE)&amp;MATCH($D34,'Hidden Data'!$D:$D,0)&amp;":T"&amp;MATCH($D34&amp;"-sizecurve",'Hidden Data'!$D:$D,0)),2,FALSE),0)</f>
        <v>0</v>
      </c>
      <c r="T34" s="163">
        <f ca="1">ROUND($L34*HLOOKUP(T$33,INDIRECT("'Hidden Data'!"&amp;HLOOKUP(COLUMN(SKUS_TO_SIZES),NUMBER_TO_LETTER,2,FALSE)&amp;MATCH($D34,'Hidden Data'!$D:$D,0)&amp;":T"&amp;MATCH($D34&amp;"-sizecurve",'Hidden Data'!$D:$D,0)),2,FALSE),0)</f>
        <v>0</v>
      </c>
      <c r="U34" s="163">
        <f ca="1">ROUND($L34*HLOOKUP(U$33,INDIRECT("'Hidden Data'!"&amp;HLOOKUP(COLUMN(SKUS_TO_SIZES),NUMBER_TO_LETTER,2,FALSE)&amp;MATCH($D34,'Hidden Data'!$D:$D,0)&amp;":T"&amp;MATCH($D34&amp;"-sizecurve",'Hidden Data'!$D:$D,0)),2,FALSE),0)</f>
        <v>0</v>
      </c>
      <c r="V34" s="163">
        <f ca="1">ROUND($L34*HLOOKUP(V$33,INDIRECT("'Hidden Data'!"&amp;HLOOKUP(COLUMN(SKUS_TO_SIZES),NUMBER_TO_LETTER,2,FALSE)&amp;MATCH($D34,'Hidden Data'!$D:$D,0)&amp;":T"&amp;MATCH($D34&amp;"-sizecurve",'Hidden Data'!$D:$D,0)),2,FALSE),0)</f>
        <v>0</v>
      </c>
      <c r="W34" s="231">
        <f ca="1">ROUND($L34*HLOOKUP(W$33,INDIRECT("'Hidden Data'!"&amp;HLOOKUP(COLUMN(SKUS_TO_SIZES),NUMBER_TO_LETTER,2,FALSE)&amp;MATCH($D34,'Hidden Data'!$D:$D,0)&amp;":T"&amp;MATCH($D34&amp;"-sizecurve",'Hidden Data'!$D:$D,0)),2,FALSE),0)</f>
        <v>0</v>
      </c>
      <c r="X34" s="178"/>
      <c r="Y34" s="13"/>
      <c r="Z34" s="9">
        <v>2</v>
      </c>
      <c r="AA34" s="149" t="str">
        <f>D34</f>
        <v>RFM0043</v>
      </c>
      <c r="AB34" s="130">
        <f>IF(VLOOKUP($AA34,SKUS_TO_SIZES,AB$12,FALSE)=0,"",VLOOKUP($AA34,SKUS_TO_SIZES,AB$12,FALSE))</f>
        <v>5.5</v>
      </c>
      <c r="AC34" s="129" t="str">
        <f ca="1">IFERROR(IF(HLOOKUP(AB34,$M$33:$W$35,$Z34,FALSE)=0,"",HLOOKUP(AB34,$M$33:$W$35,$Z34,FALSE)),"")</f>
        <v/>
      </c>
      <c r="AD34" s="130">
        <f>IF(VLOOKUP($AA34,SKUS_TO_SIZES,AD$12,FALSE)=0,"",VLOOKUP($AA34,SKUS_TO_SIZES,AD$12,FALSE))</f>
        <v>6.5</v>
      </c>
      <c r="AE34" s="129" t="str">
        <f ca="1">IFERROR(IF(HLOOKUP(AD34,$M$33:$W$35,$Z34,FALSE)=0,"",HLOOKUP(AD34,$M$33:$W$35,$Z34,FALSE)),"")</f>
        <v/>
      </c>
      <c r="AF34" s="130">
        <f>IF(VLOOKUP($AA34,SKUS_TO_SIZES,AF$12,FALSE)=0,"",VLOOKUP($AA34,SKUS_TO_SIZES,AF$12,FALSE))</f>
        <v>7.5</v>
      </c>
      <c r="AG34" s="129" t="str">
        <f ca="1">IFERROR(IF(HLOOKUP(AF34,$M$33:$W$35,$Z34,FALSE)=0,"",HLOOKUP(AF34,$M$33:$W$35,$Z34,FALSE)),"")</f>
        <v/>
      </c>
      <c r="AH34" s="130">
        <f>IF(VLOOKUP($AA34,SKUS_TO_SIZES,AH$12,FALSE)=0,"",VLOOKUP($AA34,SKUS_TO_SIZES,AH$12,FALSE))</f>
        <v>8.5</v>
      </c>
      <c r="AI34" s="129" t="str">
        <f ca="1">IFERROR(IF(HLOOKUP(AH34,$M$33:$W$35,$Z34,FALSE)=0,"",HLOOKUP(AH34,$M$33:$W$35,$Z34,FALSE)),"")</f>
        <v/>
      </c>
      <c r="AJ34" s="130">
        <f>IF(VLOOKUP($AA34,SKUS_TO_SIZES,AJ$12,FALSE)=0,"",VLOOKUP($AA34,SKUS_TO_SIZES,AJ$12,FALSE))</f>
        <v>9.5</v>
      </c>
      <c r="AK34" s="129" t="str">
        <f ca="1">IFERROR(IF(HLOOKUP(AJ34,$M$33:$W$35,$Z34,FALSE)=0,"",HLOOKUP(AJ34,$M$33:$W$35,$Z34,FALSE)),"")</f>
        <v/>
      </c>
      <c r="AL34" s="594">
        <f>IF(VLOOKUP($AA34,SKUS_TO_SIZES,AL$12,FALSE)=0,"",VLOOKUP($AA34,SKUS_TO_SIZES,AL$12,FALSE))</f>
        <v>10.5</v>
      </c>
      <c r="AM34" s="129" t="str">
        <f ca="1">IFERROR(IF(HLOOKUP(AL34,$M$33:$W$35,$Z34,FALSE)=0,"",HLOOKUP(AL34,$M$33:$W$35,$Z34,FALSE)),"")</f>
        <v/>
      </c>
      <c r="AN34" s="594">
        <f>IF(VLOOKUP($AA34,SKUS_TO_SIZES,AN$12,FALSE)=0,"",VLOOKUP($AA34,SKUS_TO_SIZES,AN$12,FALSE))</f>
        <v>11.5</v>
      </c>
      <c r="AO34" s="129" t="str">
        <f ca="1">IFERROR(IF(HLOOKUP(AN34,$M$33:$W$35,$Z34,FALSE)=0,"",HLOOKUP(AN34,$M$33:$W$35,$Z34,FALSE)),"")</f>
        <v/>
      </c>
      <c r="AP34" s="594">
        <f>IF(VLOOKUP($AA34,SKUS_TO_SIZES,AP$12,FALSE)=0,"",VLOOKUP($AA34,SKUS_TO_SIZES,AP$12,FALSE))</f>
        <v>12.5</v>
      </c>
      <c r="AQ34" s="129" t="str">
        <f ca="1">IFERROR(IF(HLOOKUP(AP34,$M$33:$W$35,$Z34,FALSE)=0,"",HLOOKUP(AP34,$M$33:$W$35,$Z34,FALSE)),"")</f>
        <v/>
      </c>
      <c r="AR34" s="594">
        <f>IF(VLOOKUP($AA34,SKUS_TO_SIZES,AR$12,FALSE)=0,"",VLOOKUP($AA34,SKUS_TO_SIZES,AR$12,FALSE))</f>
        <v>13.5</v>
      </c>
      <c r="AS34" s="129" t="str">
        <f ca="1">IFERROR(IF(HLOOKUP(AR34,$M$33:$W$35,$Z34,FALSE)=0,"",HLOOKUP(AR34,$M$33:$W$35,$Z34,FALSE)),"")</f>
        <v/>
      </c>
      <c r="AT34" s="594">
        <f>IF(VLOOKUP($AA34,SKUS_TO_SIZES,AT$12,FALSE)=0,"",VLOOKUP($AA34,SKUS_TO_SIZES,AT$12,FALSE))</f>
        <v>14.5</v>
      </c>
      <c r="AU34" s="129" t="str">
        <f ca="1">IFERROR(IF(HLOOKUP(AT34,$M$33:$W$35,$Z34,FALSE)=0,"",HLOOKUP(AT34,$M$33:$W$35,$Z34,FALSE)),"")</f>
        <v/>
      </c>
      <c r="AV34" s="594">
        <f>IF(VLOOKUP($AA34,SKUS_TO_SIZES,AV$12,FALSE)=0,"",VLOOKUP($AA34,SKUS_TO_SIZES,AV$12,FALSE))</f>
        <v>15.5</v>
      </c>
      <c r="AW34" s="596" t="str">
        <f ca="1">IFERROR(IF(HLOOKUP(AV34,$M$33:$W$35,$Z34,FALSE)=0,"",HLOOKUP(AV34,$M$33:$W$35,$Z34,FALSE)),"")</f>
        <v/>
      </c>
      <c r="AY34" s="43"/>
      <c r="BA34" s="43"/>
    </row>
    <row r="35" spans="2:53" s="8" customFormat="1" ht="12.75" customHeight="1">
      <c r="B35" s="9">
        <f>IF(SNOWBOARD_CALCULATOR_TYPE=0,IF(ISBLANK(D35),MAX(B$12:B34),IF(AND(ISNUMBER(L35),L35&gt;0)=TRUE,MAX(B$12:B34)+1,MAX(B$12:B34))),0)</f>
        <v>0</v>
      </c>
      <c r="C35" s="12"/>
      <c r="D35" s="164" t="s">
        <v>221</v>
      </c>
      <c r="E35" s="165" t="str">
        <f>VLOOKUP(D35,SKUS_TO_SIZES,2,FALSE)</f>
        <v>EXP LACE</v>
      </c>
      <c r="F35" s="166">
        <f>VLOOKUP(D35,SKUS_TO_SIZES,3,FALSE)</f>
        <v>165</v>
      </c>
      <c r="G35" s="167">
        <f>SUM(L35)*F35</f>
        <v>0</v>
      </c>
      <c r="H35" s="337">
        <f>IF(SNOWBOARD_DISCOUNT_TYPE=1,IF($J$7=0,F35,F35*(SUM(1-$J$7))),IF(I35=0,F35,F35*(SUM(1-I35))))</f>
        <v>165</v>
      </c>
      <c r="I35" s="333">
        <v>0</v>
      </c>
      <c r="J35" s="332">
        <f>$J$7</f>
        <v>0</v>
      </c>
      <c r="K35" s="170">
        <f t="shared" ca="1" si="82"/>
        <v>0</v>
      </c>
      <c r="L35" s="171">
        <v>0</v>
      </c>
      <c r="M35" s="221">
        <f ca="1">ROUND($L35*HLOOKUP(M$33,INDIRECT("'Hidden Data'!"&amp;HLOOKUP(COLUMN(SKUS_TO_SIZES),NUMBER_TO_LETTER,2,FALSE)&amp;MATCH($D35,'Hidden Data'!$D:$D,0)&amp;":T"&amp;MATCH($D35&amp;"-sizecurve",'Hidden Data'!$D:$D,0)),2,FALSE),0)</f>
        <v>0</v>
      </c>
      <c r="N35" s="172">
        <f ca="1">ROUND($L35*HLOOKUP(N$33,INDIRECT("'Hidden Data'!"&amp;HLOOKUP(COLUMN(SKUS_TO_SIZES),NUMBER_TO_LETTER,2,FALSE)&amp;MATCH($D35,'Hidden Data'!$D:$D,0)&amp;":T"&amp;MATCH($D35&amp;"-sizecurve",'Hidden Data'!$D:$D,0)),2,FALSE),0)</f>
        <v>0</v>
      </c>
      <c r="O35" s="172">
        <f ca="1">ROUND($L35*HLOOKUP(O$33,INDIRECT("'Hidden Data'!"&amp;HLOOKUP(COLUMN(SKUS_TO_SIZES),NUMBER_TO_LETTER,2,FALSE)&amp;MATCH($D35,'Hidden Data'!$D:$D,0)&amp;":T"&amp;MATCH($D35&amp;"-sizecurve",'Hidden Data'!$D:$D,0)),2,FALSE),0)</f>
        <v>0</v>
      </c>
      <c r="P35" s="172">
        <f ca="1">ROUND($L35*HLOOKUP(P$33,INDIRECT("'Hidden Data'!"&amp;HLOOKUP(COLUMN(SKUS_TO_SIZES),NUMBER_TO_LETTER,2,FALSE)&amp;MATCH($D35,'Hidden Data'!$D:$D,0)&amp;":T"&amp;MATCH($D35&amp;"-sizecurve",'Hidden Data'!$D:$D,0)),2,FALSE),0)</f>
        <v>0</v>
      </c>
      <c r="Q35" s="172">
        <f ca="1">ROUND($L35*HLOOKUP(Q$33,INDIRECT("'Hidden Data'!"&amp;HLOOKUP(COLUMN(SKUS_TO_SIZES),NUMBER_TO_LETTER,2,FALSE)&amp;MATCH($D35,'Hidden Data'!$D:$D,0)&amp;":T"&amp;MATCH($D35&amp;"-sizecurve",'Hidden Data'!$D:$D,0)),2,FALSE),0)</f>
        <v>0</v>
      </c>
      <c r="R35" s="172">
        <f ca="1">ROUND($L35*HLOOKUP(R$33,INDIRECT("'Hidden Data'!"&amp;HLOOKUP(COLUMN(SKUS_TO_SIZES),NUMBER_TO_LETTER,2,FALSE)&amp;MATCH($D35,'Hidden Data'!$D:$D,0)&amp;":T"&amp;MATCH($D35&amp;"-sizecurve",'Hidden Data'!$D:$D,0)),2,FALSE),0)</f>
        <v>0</v>
      </c>
      <c r="S35" s="172">
        <f ca="1">ROUND($L35*HLOOKUP(S$33,INDIRECT("'Hidden Data'!"&amp;HLOOKUP(COLUMN(SKUS_TO_SIZES),NUMBER_TO_LETTER,2,FALSE)&amp;MATCH($D35,'Hidden Data'!$D:$D,0)&amp;":T"&amp;MATCH($D35&amp;"-sizecurve",'Hidden Data'!$D:$D,0)),2,FALSE),0)</f>
        <v>0</v>
      </c>
      <c r="T35" s="172">
        <f ca="1">ROUND($L35*HLOOKUP(T$33,INDIRECT("'Hidden Data'!"&amp;HLOOKUP(COLUMN(SKUS_TO_SIZES),NUMBER_TO_LETTER,2,FALSE)&amp;MATCH($D35,'Hidden Data'!$D:$D,0)&amp;":T"&amp;MATCH($D35&amp;"-sizecurve",'Hidden Data'!$D:$D,0)),2,FALSE),0)</f>
        <v>0</v>
      </c>
      <c r="U35" s="172">
        <f ca="1">ROUND($L35*HLOOKUP(U$33,INDIRECT("'Hidden Data'!"&amp;HLOOKUP(COLUMN(SKUS_TO_SIZES),NUMBER_TO_LETTER,2,FALSE)&amp;MATCH($D35,'Hidden Data'!$D:$D,0)&amp;":T"&amp;MATCH($D35&amp;"-sizecurve",'Hidden Data'!$D:$D,0)),2,FALSE),0)</f>
        <v>0</v>
      </c>
      <c r="V35" s="172">
        <f ca="1">ROUND($L35*HLOOKUP(V$33,INDIRECT("'Hidden Data'!"&amp;HLOOKUP(COLUMN(SKUS_TO_SIZES),NUMBER_TO_LETTER,2,FALSE)&amp;MATCH($D35,'Hidden Data'!$D:$D,0)&amp;":T"&amp;MATCH($D35&amp;"-sizecurve",'Hidden Data'!$D:$D,0)),2,FALSE),0)</f>
        <v>0</v>
      </c>
      <c r="W35" s="232">
        <f ca="1">ROUND($L35*HLOOKUP(W$33,INDIRECT("'Hidden Data'!"&amp;HLOOKUP(COLUMN(SKUS_TO_SIZES),NUMBER_TO_LETTER,2,FALSE)&amp;MATCH($D35,'Hidden Data'!$D:$D,0)&amp;":T"&amp;MATCH($D35&amp;"-sizecurve",'Hidden Data'!$D:$D,0)),2,FALSE),0)</f>
        <v>0</v>
      </c>
      <c r="X35" s="178"/>
      <c r="Y35" s="12"/>
      <c r="Z35" s="2">
        <f>Z34+1</f>
        <v>3</v>
      </c>
      <c r="AA35" s="149" t="str">
        <f>D35</f>
        <v>RFM0042</v>
      </c>
      <c r="AB35" s="130">
        <f>IF(VLOOKUP($AA35,SKUS_TO_SIZES,AB$12,FALSE)=0,"",VLOOKUP($AA35,SKUS_TO_SIZES,AB$12,FALSE))</f>
        <v>5.5</v>
      </c>
      <c r="AC35" s="129" t="str">
        <f ca="1">IFERROR(IF(HLOOKUP(AB35,$M$33:$W$35,$Z35,FALSE)=0,"",HLOOKUP(AB35,$M$33:$W$35,$Z35,FALSE)),"")</f>
        <v/>
      </c>
      <c r="AD35" s="130">
        <f>IF(VLOOKUP($AA35,SKUS_TO_SIZES,AD$12,FALSE)=0,"",VLOOKUP($AA35,SKUS_TO_SIZES,AD$12,FALSE))</f>
        <v>6.5</v>
      </c>
      <c r="AE35" s="129" t="str">
        <f ca="1">IFERROR(IF(HLOOKUP(AD35,$M$33:$W$35,$Z35,FALSE)=0,"",HLOOKUP(AD35,$M$33:$W$35,$Z35,FALSE)),"")</f>
        <v/>
      </c>
      <c r="AF35" s="130">
        <f>IF(VLOOKUP($AA35,SKUS_TO_SIZES,AF$12,FALSE)=0,"",VLOOKUP($AA35,SKUS_TO_SIZES,AF$12,FALSE))</f>
        <v>7.5</v>
      </c>
      <c r="AG35" s="129" t="str">
        <f ca="1">IFERROR(IF(HLOOKUP(AF35,$M$33:$W$35,$Z35,FALSE)=0,"",HLOOKUP(AF35,$M$33:$W$35,$Z35,FALSE)),"")</f>
        <v/>
      </c>
      <c r="AH35" s="130">
        <f>IF(VLOOKUP($AA35,SKUS_TO_SIZES,AH$12,FALSE)=0,"",VLOOKUP($AA35,SKUS_TO_SIZES,AH$12,FALSE))</f>
        <v>8.5</v>
      </c>
      <c r="AI35" s="129" t="str">
        <f ca="1">IFERROR(IF(HLOOKUP(AH35,$M$33:$W$35,$Z35,FALSE)=0,"",HLOOKUP(AH35,$M$33:$W$35,$Z35,FALSE)),"")</f>
        <v/>
      </c>
      <c r="AJ35" s="130">
        <f>IF(VLOOKUP($AA35,SKUS_TO_SIZES,AJ$12,FALSE)=0,"",VLOOKUP($AA35,SKUS_TO_SIZES,AJ$12,FALSE))</f>
        <v>9.5</v>
      </c>
      <c r="AK35" s="129" t="str">
        <f ca="1">IFERROR(IF(HLOOKUP(AJ35,$M$33:$W$35,$Z35,FALSE)=0,"",HLOOKUP(AJ35,$M$33:$W$35,$Z35,FALSE)),"")</f>
        <v/>
      </c>
      <c r="AL35" s="594">
        <f>IF(VLOOKUP($AA35,SKUS_TO_SIZES,AL$12,FALSE)=0,"",VLOOKUP($AA35,SKUS_TO_SIZES,AL$12,FALSE))</f>
        <v>10.5</v>
      </c>
      <c r="AM35" s="129" t="str">
        <f ca="1">IFERROR(IF(HLOOKUP(AL35,$M$33:$W$35,$Z35,FALSE)=0,"",HLOOKUP(AL35,$M$33:$W$35,$Z35,FALSE)),"")</f>
        <v/>
      </c>
      <c r="AN35" s="594">
        <f>IF(VLOOKUP($AA35,SKUS_TO_SIZES,AN$12,FALSE)=0,"",VLOOKUP($AA35,SKUS_TO_SIZES,AN$12,FALSE))</f>
        <v>11.5</v>
      </c>
      <c r="AO35" s="129" t="str">
        <f ca="1">IFERROR(IF(HLOOKUP(AN35,$M$33:$W$35,$Z35,FALSE)=0,"",HLOOKUP(AN35,$M$33:$W$35,$Z35,FALSE)),"")</f>
        <v/>
      </c>
      <c r="AP35" s="594">
        <f>IF(VLOOKUP($AA35,SKUS_TO_SIZES,AP$12,FALSE)=0,"",VLOOKUP($AA35,SKUS_TO_SIZES,AP$12,FALSE))</f>
        <v>12.5</v>
      </c>
      <c r="AQ35" s="129" t="str">
        <f ca="1">IFERROR(IF(HLOOKUP(AP35,$M$33:$W$35,$Z35,FALSE)=0,"",HLOOKUP(AP35,$M$33:$W$35,$Z35,FALSE)),"")</f>
        <v/>
      </c>
      <c r="AR35" s="594">
        <f>IF(VLOOKUP($AA35,SKUS_TO_SIZES,AR$12,FALSE)=0,"",VLOOKUP($AA35,SKUS_TO_SIZES,AR$12,FALSE))</f>
        <v>13.5</v>
      </c>
      <c r="AS35" s="129" t="str">
        <f ca="1">IFERROR(IF(HLOOKUP(AR35,$M$33:$W$35,$Z35,FALSE)=0,"",HLOOKUP(AR35,$M$33:$W$35,$Z35,FALSE)),"")</f>
        <v/>
      </c>
      <c r="AT35" s="594">
        <f>IF(VLOOKUP($AA35,SKUS_TO_SIZES,AT$12,FALSE)=0,"",VLOOKUP($AA35,SKUS_TO_SIZES,AT$12,FALSE))</f>
        <v>14.5</v>
      </c>
      <c r="AU35" s="129" t="str">
        <f ca="1">IFERROR(IF(HLOOKUP(AT35,$M$33:$W$35,$Z35,FALSE)=0,"",HLOOKUP(AT35,$M$33:$W$35,$Z35,FALSE)),"")</f>
        <v/>
      </c>
      <c r="AV35" s="594">
        <f>IF(VLOOKUP($AA35,SKUS_TO_SIZES,AV$12,FALSE)=0,"",VLOOKUP($AA35,SKUS_TO_SIZES,AV$12,FALSE))</f>
        <v>15.5</v>
      </c>
      <c r="AW35" s="596" t="str">
        <f ca="1">IFERROR(IF(HLOOKUP(AV35,$M$33:$W$35,$Z35,FALSE)=0,"",HLOOKUP(AV35,$M$33:$W$35,$Z35,FALSE)),"")</f>
        <v/>
      </c>
      <c r="AY35" s="43"/>
      <c r="BA35" s="43"/>
    </row>
    <row r="36" spans="2:53" ht="12.75" customHeight="1">
      <c r="B36" s="9">
        <f>IF(SNOWBOARD_CALCULATOR_TYPE=0,IF(ISBLANK(D36),MAX(B$12:B35),IF(AND(ISNUMBER(L36),L36&gt;0)=TRUE,MAX(B$12:B35)+1,MAX(B$12:B35))),0)</f>
        <v>0</v>
      </c>
      <c r="C36" s="10"/>
      <c r="D36" s="265"/>
      <c r="E36" s="180"/>
      <c r="F36" s="214"/>
      <c r="G36" s="578">
        <f>SUM(G34:G35)</f>
        <v>0</v>
      </c>
      <c r="H36" s="214"/>
      <c r="I36" s="214"/>
      <c r="J36" s="215"/>
      <c r="K36" s="181">
        <f ca="1">SUM(K34:K35)</f>
        <v>0</v>
      </c>
      <c r="L36" s="182">
        <f ca="1">SUM(M36:W36)</f>
        <v>0</v>
      </c>
      <c r="M36" s="183">
        <f ca="1">SUM(M34:M35)</f>
        <v>0</v>
      </c>
      <c r="N36" s="184">
        <f t="shared" ref="N36:W36" ca="1" si="83">SUM(N34:N35)</f>
        <v>0</v>
      </c>
      <c r="O36" s="184">
        <f t="shared" ca="1" si="83"/>
        <v>0</v>
      </c>
      <c r="P36" s="184">
        <f t="shared" ca="1" si="83"/>
        <v>0</v>
      </c>
      <c r="Q36" s="184">
        <f t="shared" ca="1" si="83"/>
        <v>0</v>
      </c>
      <c r="R36" s="184">
        <f t="shared" ca="1" si="83"/>
        <v>0</v>
      </c>
      <c r="S36" s="184">
        <f t="shared" ca="1" si="83"/>
        <v>0</v>
      </c>
      <c r="T36" s="184">
        <f t="shared" ca="1" si="83"/>
        <v>0</v>
      </c>
      <c r="U36" s="184">
        <f t="shared" ca="1" si="83"/>
        <v>0</v>
      </c>
      <c r="V36" s="184">
        <f t="shared" ca="1" si="83"/>
        <v>0</v>
      </c>
      <c r="W36" s="182">
        <f t="shared" ca="1" si="83"/>
        <v>0</v>
      </c>
      <c r="X36" s="216"/>
      <c r="Y36" s="10"/>
      <c r="AA36" s="150"/>
      <c r="AB36" s="6"/>
      <c r="AC36" s="45"/>
      <c r="AD36" s="6"/>
      <c r="AE36" s="45"/>
      <c r="AF36" s="6"/>
      <c r="AG36" s="45"/>
      <c r="AH36" s="6"/>
      <c r="AI36" s="45"/>
      <c r="AJ36" s="6"/>
      <c r="AK36" s="45"/>
      <c r="AL36" s="6"/>
      <c r="AM36" s="45"/>
      <c r="AN36" s="6"/>
      <c r="AO36" s="45"/>
      <c r="AP36" s="6"/>
      <c r="AQ36" s="45"/>
      <c r="AR36" s="6"/>
      <c r="AS36" s="45"/>
      <c r="AT36" s="6"/>
      <c r="AU36" s="45"/>
      <c r="AV36" s="6"/>
      <c r="AW36" s="45"/>
      <c r="AX36" s="6"/>
    </row>
    <row r="37" spans="2:53" ht="12.75" customHeight="1">
      <c r="B37" s="9">
        <f>IF(SNOWBOARD_CALCULATOR_TYPE=0,IF(ISBLANK(D37),MAX(B$12:B36),IF(AND(ISNUMBER(L37),L37&gt;0)=TRUE,MAX(B$12:B36)+1,MAX(B$12:B36))),0)</f>
        <v>0</v>
      </c>
      <c r="C37" s="10"/>
      <c r="D37" s="208"/>
      <c r="E37" s="209"/>
      <c r="F37" s="186"/>
      <c r="G37" s="186"/>
      <c r="H37" s="186"/>
      <c r="I37" s="187"/>
      <c r="J37" s="187"/>
      <c r="K37" s="188"/>
      <c r="L37" s="279"/>
      <c r="M37" s="179"/>
      <c r="N37" s="179"/>
      <c r="O37" s="178"/>
      <c r="P37" s="178"/>
      <c r="Q37" s="178"/>
      <c r="R37" s="178"/>
      <c r="S37" s="178"/>
      <c r="T37" s="178"/>
      <c r="U37" s="178"/>
      <c r="V37" s="178"/>
      <c r="W37" s="178"/>
      <c r="X37" s="178"/>
      <c r="Y37" s="12"/>
      <c r="Z37" s="9"/>
      <c r="AA37" s="149"/>
      <c r="AB37" s="15"/>
      <c r="AC37" s="38"/>
      <c r="AD37" s="15"/>
      <c r="AE37" s="38"/>
      <c r="AF37" s="15"/>
      <c r="AG37" s="38"/>
      <c r="AH37" s="15"/>
      <c r="AI37" s="38"/>
      <c r="AJ37" s="15"/>
      <c r="AK37" s="38"/>
      <c r="AL37" s="15"/>
      <c r="AM37" s="38"/>
      <c r="AN37" s="15"/>
      <c r="AO37" s="38"/>
      <c r="AP37" s="15"/>
      <c r="AQ37" s="38"/>
      <c r="AR37" s="15"/>
      <c r="AS37" s="38"/>
      <c r="AT37" s="15"/>
      <c r="AU37" s="38"/>
      <c r="AV37" s="15"/>
      <c r="AW37" s="38"/>
      <c r="AX37" s="8"/>
    </row>
    <row r="38" spans="2:53" ht="15.75" customHeight="1">
      <c r="B38" s="9">
        <f>IF(SNOWBOARD_CALCULATOR_TYPE=0,IF(ISBLANK(D38),MAX(B$12:B37),IF(AND(ISNUMBER(L38),L38&gt;0)=TRUE,MAX(B$12:B37)+1,MAX(B$12:B37))),0)</f>
        <v>0</v>
      </c>
      <c r="C38" s="10"/>
      <c r="D38" s="961" t="s">
        <v>103</v>
      </c>
      <c r="E38" s="961"/>
      <c r="F38" s="961"/>
      <c r="G38" s="961"/>
      <c r="H38" s="961"/>
      <c r="I38" s="961"/>
      <c r="J38" s="961"/>
      <c r="K38" s="961"/>
      <c r="L38" s="961"/>
      <c r="M38" s="961"/>
      <c r="N38" s="961"/>
      <c r="O38" s="961"/>
      <c r="P38" s="961"/>
      <c r="Q38" s="961"/>
      <c r="R38" s="961"/>
      <c r="S38" s="961"/>
      <c r="T38" s="961"/>
      <c r="U38" s="961"/>
      <c r="V38" s="961"/>
      <c r="W38" s="961"/>
      <c r="X38" s="961"/>
      <c r="Y38" s="12"/>
      <c r="Z38" s="9"/>
      <c r="AA38" s="149"/>
      <c r="AB38" s="15"/>
      <c r="AC38" s="38"/>
      <c r="AD38" s="15"/>
      <c r="AE38" s="38"/>
      <c r="AF38" s="15"/>
      <c r="AG38" s="38"/>
      <c r="AH38" s="15"/>
      <c r="AI38" s="38"/>
      <c r="AJ38" s="15"/>
      <c r="AK38" s="38"/>
      <c r="AL38" s="15"/>
      <c r="AM38" s="38"/>
      <c r="AN38" s="15"/>
      <c r="AO38" s="38"/>
      <c r="AP38" s="15"/>
      <c r="AQ38" s="38"/>
      <c r="AR38" s="15"/>
      <c r="AS38" s="38"/>
      <c r="AT38" s="15"/>
      <c r="AU38" s="38"/>
      <c r="AV38" s="15"/>
      <c r="AW38" s="38"/>
      <c r="AX38" s="8"/>
    </row>
    <row r="39" spans="2:53" ht="12.75" customHeight="1">
      <c r="B39" s="9">
        <f>IF(SNOWBOARD_CALCULATOR_TYPE=0,IF(ISBLANK(D39),MAX(B$12:B38),IF(AND(ISNUMBER(L39),L39&gt;0)=TRUE,MAX(B$12:B38)+1,MAX(B$12:B38))),0)</f>
        <v>0</v>
      </c>
      <c r="C39" s="10"/>
      <c r="D39" s="957" t="s">
        <v>113</v>
      </c>
      <c r="E39" s="954"/>
      <c r="F39" s="186"/>
      <c r="G39" s="186"/>
      <c r="H39" s="278"/>
      <c r="I39" s="187"/>
      <c r="J39" s="187"/>
      <c r="K39" s="188"/>
      <c r="L39" s="279"/>
      <c r="M39" s="179"/>
      <c r="N39" s="179"/>
      <c r="O39" s="178"/>
      <c r="P39" s="178"/>
      <c r="Q39" s="178"/>
      <c r="R39" s="178"/>
      <c r="S39" s="178"/>
      <c r="T39" s="178"/>
      <c r="U39" s="178"/>
      <c r="V39" s="178"/>
      <c r="W39" s="178"/>
      <c r="X39" s="178"/>
      <c r="Y39" s="12"/>
      <c r="Z39" s="9"/>
      <c r="AA39" s="149"/>
      <c r="AB39" s="15"/>
      <c r="AC39" s="38"/>
      <c r="AD39" s="15"/>
      <c r="AE39" s="38"/>
      <c r="AF39" s="15"/>
      <c r="AG39" s="38"/>
      <c r="AH39" s="15"/>
      <c r="AI39" s="38"/>
      <c r="AJ39" s="15"/>
      <c r="AK39" s="38"/>
      <c r="AL39" s="15"/>
      <c r="AM39" s="38"/>
      <c r="AN39" s="15"/>
      <c r="AO39" s="38"/>
      <c r="AP39" s="15"/>
      <c r="AQ39" s="38"/>
      <c r="AR39" s="15"/>
      <c r="AS39" s="38"/>
      <c r="AT39" s="15"/>
      <c r="AU39" s="38"/>
      <c r="AV39" s="15"/>
      <c r="AW39" s="38"/>
      <c r="AX39" s="8"/>
    </row>
    <row r="40" spans="2:53" s="8" customFormat="1" ht="14" thickBot="1">
      <c r="B40" s="9">
        <f>IF(SNOWBOARD_CALCULATOR_TYPE=0,IF(ISBLANK(D40),MAX(B$12:B39),IF(AND(ISNUMBER(L40),L40&gt;0)=TRUE,MAX(B$12:B39)+1,MAX(B$12:B39))),0)</f>
        <v>0</v>
      </c>
      <c r="C40" s="12"/>
      <c r="D40" s="251" t="s">
        <v>0</v>
      </c>
      <c r="E40" s="242" t="s">
        <v>1</v>
      </c>
      <c r="F40" s="217" t="s">
        <v>43</v>
      </c>
      <c r="G40" s="217" t="s">
        <v>19</v>
      </c>
      <c r="H40" s="272" t="s">
        <v>102</v>
      </c>
      <c r="I40" s="271" t="s">
        <v>21</v>
      </c>
      <c r="J40" s="193" t="s">
        <v>21</v>
      </c>
      <c r="K40" s="218" t="s">
        <v>6</v>
      </c>
      <c r="L40" s="195" t="s">
        <v>5</v>
      </c>
      <c r="M40" s="174">
        <v>70</v>
      </c>
      <c r="N40" s="175">
        <v>80</v>
      </c>
      <c r="O40" s="175">
        <v>90</v>
      </c>
      <c r="P40" s="175">
        <v>100</v>
      </c>
      <c r="Q40" s="175">
        <v>110</v>
      </c>
      <c r="R40" s="175">
        <v>120</v>
      </c>
      <c r="S40" s="175">
        <v>125</v>
      </c>
      <c r="T40" s="175">
        <v>130</v>
      </c>
      <c r="U40" s="659">
        <v>135.1</v>
      </c>
      <c r="V40" s="178"/>
      <c r="W40" s="178"/>
      <c r="X40" s="178"/>
      <c r="Y40" s="12"/>
      <c r="Z40" s="2"/>
      <c r="AA40" s="1"/>
      <c r="AB40" s="1"/>
      <c r="AC40" s="37"/>
      <c r="AD40" s="1"/>
      <c r="AE40" s="41"/>
      <c r="AF40" s="1"/>
      <c r="AG40" s="41"/>
      <c r="AH40" s="1"/>
      <c r="AI40" s="41"/>
      <c r="AJ40" s="1"/>
      <c r="AK40" s="41"/>
      <c r="AL40" s="1"/>
      <c r="AM40" s="41"/>
      <c r="AN40" s="1"/>
      <c r="AO40" s="41"/>
      <c r="AP40" s="1"/>
      <c r="AQ40" s="41"/>
      <c r="AR40" s="1"/>
      <c r="AS40" s="41"/>
      <c r="AT40" s="1"/>
      <c r="AU40" s="41"/>
      <c r="AV40" s="1"/>
      <c r="AW40" s="41"/>
      <c r="AX40" s="1"/>
      <c r="AY40" s="43"/>
      <c r="BA40" s="43"/>
    </row>
    <row r="41" spans="2:53" ht="12.75" customHeight="1" thickTop="1">
      <c r="B41" s="9">
        <f>IF(SNOWBOARD_CALCULATOR_TYPE=0,IF(ISBLANK(D41),MAX(B$12:B40),IF(AND(ISNUMBER(L41),L41&gt;0)=TRUE,MAX(B$12:B40)+1,MAX(B$12:B40))),0)</f>
        <v>0</v>
      </c>
      <c r="C41" s="12"/>
      <c r="D41" s="391" t="s">
        <v>287</v>
      </c>
      <c r="E41" s="211" t="str">
        <f>VLOOKUP(D41,SKUS_TO_SIZES,2,FALSE)</f>
        <v>EXP JUNIOR</v>
      </c>
      <c r="F41" s="212">
        <f>VLOOKUP(D41,SKUS_TO_SIZES,3,FALSE)</f>
        <v>135</v>
      </c>
      <c r="G41" s="213">
        <f>SUM(L41)*F41</f>
        <v>0</v>
      </c>
      <c r="H41" s="345">
        <f>IF(SNOWBOARD_DISCOUNT_TYPE=1,IF($J$10=0,F41,F41*(SUM(1-$J$10))),IF(I41=0,F41,F41*(SUM(1-I41))))</f>
        <v>135</v>
      </c>
      <c r="I41" s="344">
        <v>0</v>
      </c>
      <c r="J41" s="338">
        <f>$J$10</f>
        <v>0</v>
      </c>
      <c r="K41" s="263">
        <f ca="1">SUM(M41:W41)*H41</f>
        <v>0</v>
      </c>
      <c r="L41" s="264">
        <v>0</v>
      </c>
      <c r="M41" s="259">
        <f ca="1">ROUND($L41*HLOOKUP(M$40,INDIRECT("'Hidden Data'!"&amp;HLOOKUP(COLUMN(SKUS_TO_SIZES),NUMBER_TO_LETTER,2,FALSE)&amp;MATCH($D41,'Hidden Data'!$D:$D,0)&amp;":T"&amp;MATCH($D41&amp;"-sizecurve",'Hidden Data'!$D:$D,0)),2,FALSE),0)</f>
        <v>0</v>
      </c>
      <c r="N41" s="260">
        <f ca="1">ROUND($L41*HLOOKUP(N$40,INDIRECT("'Hidden Data'!"&amp;HLOOKUP(COLUMN(SKUS_TO_SIZES),NUMBER_TO_LETTER,2,FALSE)&amp;MATCH($D41,'Hidden Data'!$D:$D,0)&amp;":T"&amp;MATCH($D41&amp;"-sizecurve",'Hidden Data'!$D:$D,0)),2,FALSE),0)</f>
        <v>0</v>
      </c>
      <c r="O41" s="260">
        <f ca="1">ROUND($L41*HLOOKUP(O$40,INDIRECT("'Hidden Data'!"&amp;HLOOKUP(COLUMN(SKUS_TO_SIZES),NUMBER_TO_LETTER,2,FALSE)&amp;MATCH($D41,'Hidden Data'!$D:$D,0)&amp;":T"&amp;MATCH($D41&amp;"-sizecurve",'Hidden Data'!$D:$D,0)),2,FALSE),0)</f>
        <v>0</v>
      </c>
      <c r="P41" s="260">
        <f ca="1">ROUND($L41*HLOOKUP(P$40,INDIRECT("'Hidden Data'!"&amp;HLOOKUP(COLUMN(SKUS_TO_SIZES),NUMBER_TO_LETTER,2,FALSE)&amp;MATCH($D41,'Hidden Data'!$D:$D,0)&amp;":T"&amp;MATCH($D41&amp;"-sizecurve",'Hidden Data'!$D:$D,0)),2,FALSE),0)</f>
        <v>0</v>
      </c>
      <c r="Q41" s="260">
        <f ca="1">ROUND($L41*HLOOKUP(Q$40,INDIRECT("'Hidden Data'!"&amp;HLOOKUP(COLUMN(SKUS_TO_SIZES),NUMBER_TO_LETTER,2,FALSE)&amp;MATCH($D41,'Hidden Data'!$D:$D,0)&amp;":T"&amp;MATCH($D41&amp;"-sizecurve",'Hidden Data'!$D:$D,0)),2,FALSE),0)</f>
        <v>0</v>
      </c>
      <c r="R41" s="172">
        <f ca="1">ROUND($L41*HLOOKUP(R$40,INDIRECT("'Hidden Data'!"&amp;HLOOKUP(COLUMN(SKUS_TO_SIZES),NUMBER_TO_LETTER,2,FALSE)&amp;MATCH($D41,'Hidden Data'!$D:$D,0)&amp;":T"&amp;MATCH($D41&amp;"-sizecurve",'Hidden Data'!$D:$D,0)),2,FALSE),0)</f>
        <v>0</v>
      </c>
      <c r="S41" s="172">
        <f ca="1">ROUND($L41*HLOOKUP(S$40,INDIRECT("'Hidden Data'!"&amp;HLOOKUP(COLUMN(SKUS_TO_SIZES),NUMBER_TO_LETTER,2,FALSE)&amp;MATCH($D41,'Hidden Data'!$D:$D,0)&amp;":T"&amp;MATCH($D41&amp;"-sizecurve",'Hidden Data'!$D:$D,0)),2,FALSE),0)</f>
        <v>0</v>
      </c>
      <c r="T41" s="172">
        <f ca="1">ROUND($L41*HLOOKUP(T$40,INDIRECT("'Hidden Data'!"&amp;HLOOKUP(COLUMN(SKUS_TO_SIZES),NUMBER_TO_LETTER,2,FALSE)&amp;MATCH($D41,'Hidden Data'!$D:$D,0)&amp;":T"&amp;MATCH($D41&amp;"-sizecurve",'Hidden Data'!$D:$D,0)),2,FALSE),0)</f>
        <v>0</v>
      </c>
      <c r="U41" s="261">
        <f ca="1">ROUND($L41*HLOOKUP(U$40,INDIRECT("'Hidden Data'!"&amp;HLOOKUP(COLUMN(SKUS_TO_SIZES),NUMBER_TO_LETTER,2,FALSE)&amp;MATCH($D41,'Hidden Data'!$D:$D,0)&amp;":T"&amp;MATCH($D41&amp;"-sizecurve",'Hidden Data'!$D:$D,0)),2,FALSE),0)</f>
        <v>0</v>
      </c>
      <c r="V41" s="178"/>
      <c r="W41" s="178"/>
      <c r="X41" s="178"/>
      <c r="Y41" s="12"/>
      <c r="Z41" s="9">
        <v>2</v>
      </c>
      <c r="AA41" s="149" t="str">
        <f>D41</f>
        <v>RENN701</v>
      </c>
      <c r="AB41" s="130">
        <f>IF(VLOOKUP($AA41,SKUS_TO_SIZES,AB$12,FALSE)=0,"",VLOOKUP($AA41,SKUS_TO_SIZES,AB$12,FALSE))</f>
        <v>70</v>
      </c>
      <c r="AC41" s="129" t="str">
        <f ca="1">IFERROR(IF(HLOOKUP(AB41,$M$40:$W$41,$Z41,FALSE)=0,"",HLOOKUP(AB41,$M$40:$W$41,$Z41,FALSE)),"")</f>
        <v/>
      </c>
      <c r="AD41" s="130">
        <f>IF(VLOOKUP($AA41,SKUS_TO_SIZES,AD$12,FALSE)=0,"",VLOOKUP($AA41,SKUS_TO_SIZES,AD$12,FALSE))</f>
        <v>80</v>
      </c>
      <c r="AE41" s="129" t="str">
        <f t="shared" ref="AE41" ca="1" si="84">IFERROR(IF(HLOOKUP(AD41,$M$40:$W$41,$Z41,FALSE)=0,"",HLOOKUP(AD41,$M$40:$W$41,$Z41,FALSE)),"")</f>
        <v/>
      </c>
      <c r="AF41" s="130">
        <f>IF(VLOOKUP($AA41,SKUS_TO_SIZES,AF$12,FALSE)=0,"",VLOOKUP($AA41,SKUS_TO_SIZES,AF$12,FALSE))</f>
        <v>90</v>
      </c>
      <c r="AG41" s="129" t="str">
        <f t="shared" ref="AG41" ca="1" si="85">IFERROR(IF(HLOOKUP(AF41,$M$40:$W$41,$Z41,FALSE)=0,"",HLOOKUP(AF41,$M$40:$W$41,$Z41,FALSE)),"")</f>
        <v/>
      </c>
      <c r="AH41" s="130">
        <f>IF(VLOOKUP($AA41,SKUS_TO_SIZES,AH$12,FALSE)=0,"",VLOOKUP($AA41,SKUS_TO_SIZES,AH$12,FALSE))</f>
        <v>100</v>
      </c>
      <c r="AI41" s="129" t="str">
        <f ca="1">IFERROR(IF(HLOOKUP(AH41,$M$40:$W$41,$Z41,FALSE)=0,"",HLOOKUP(AH41,$M$40:$W$41,$Z41,FALSE)),"")</f>
        <v/>
      </c>
      <c r="AJ41" s="130">
        <f>IF(VLOOKUP($AA41,SKUS_TO_SIZES,AJ$12,FALSE)=0,"",VLOOKUP($AA41,SKUS_TO_SIZES,AJ$12,FALSE))</f>
        <v>110</v>
      </c>
      <c r="AK41" s="129" t="str">
        <f ca="1">IFERROR(IF(HLOOKUP(AJ41,$M$40:$W$41,$Z41,FALSE)=0,"",HLOOKUP(AJ41,$M$40:$W$41,$Z41,FALSE)),"")</f>
        <v/>
      </c>
      <c r="AL41" s="130">
        <f>IF(VLOOKUP($AA41,SKUS_TO_SIZES,AL$12,FALSE)=0,"",VLOOKUP($AA41,SKUS_TO_SIZES,AL$12,FALSE))</f>
        <v>120</v>
      </c>
      <c r="AM41" s="129" t="str">
        <f ca="1">IFERROR(IF(HLOOKUP(AL41,$M$40:$W$41,$Z41,FALSE)=0,"",HLOOKUP(AL41,$M$40:$W$41,$Z41,FALSE)),"")</f>
        <v/>
      </c>
      <c r="AN41" s="130">
        <f>IF(VLOOKUP($AA41,SKUS_TO_SIZES,AN$12,FALSE)=0,"",VLOOKUP($AA41,SKUS_TO_SIZES,AN$12,FALSE))</f>
        <v>125</v>
      </c>
      <c r="AO41" s="129" t="str">
        <f ca="1">IFERROR(IF(HLOOKUP(AN41,$M$40:$W$41,$Z41,FALSE)=0,"",HLOOKUP(AN41,$M$40:$W$41,$Z41,FALSE)),"")</f>
        <v/>
      </c>
      <c r="AP41" s="130">
        <f>IF(VLOOKUP($AA41,SKUS_TO_SIZES,AP$12,FALSE)=0,"",VLOOKUP($AA41,SKUS_TO_SIZES,AP$12,FALSE))</f>
        <v>130</v>
      </c>
      <c r="AQ41" s="129" t="str">
        <f ca="1">IFERROR(IF(HLOOKUP(AP41,$M$40:$W$41,$Z41,FALSE)=0,"",HLOOKUP(AP41,$M$40:$W$41,$Z41,FALSE)),"")</f>
        <v/>
      </c>
      <c r="AR41" s="130">
        <f>IF(VLOOKUP($AA41,SKUS_TO_SIZES,AR$12,FALSE)=0,"",VLOOKUP($AA41,SKUS_TO_SIZES,AR$12,FALSE))</f>
        <v>135.1</v>
      </c>
      <c r="AS41" s="129" t="str">
        <f ca="1">IFERROR(IF(HLOOKUP(AR41,$M$40:$W$41,$Z41,FALSE)=0,"",HLOOKUP(AR41,$M$40:$W$41,$Z41,FALSE)),"")</f>
        <v/>
      </c>
      <c r="AT41" s="130" t="str">
        <f>IF(VLOOKUP($AA41,SKUS_TO_SIZES,AT$12,FALSE)=0,"",VLOOKUP($AA41,SKUS_TO_SIZES,AT$12,FALSE))</f>
        <v/>
      </c>
      <c r="AU41" s="129" t="str">
        <f>IFERROR(IF(HLOOKUP(AT41,$M$40:$W$41,$Z41,FALSE)=0,"",HLOOKUP(AT41,$M$40:$W$41,$Z41,FALSE)),"")</f>
        <v/>
      </c>
      <c r="AV41" s="130" t="str">
        <f>IF(VLOOKUP($AA41,SKUS_TO_SIZES,AV$12,FALSE)=0,"",VLOOKUP($AA41,SKUS_TO_SIZES,AV$12,FALSE))</f>
        <v/>
      </c>
      <c r="AW41" s="596" t="str">
        <f>IFERROR(IF(HLOOKUP(AV41,$M$40:$W$41,$Z41,FALSE)=0,"",HLOOKUP(AV41,$M$40:$W$41,$Z41,FALSE)),"")</f>
        <v/>
      </c>
      <c r="AX41" s="8"/>
    </row>
    <row r="42" spans="2:53" ht="12.75" customHeight="1">
      <c r="B42" s="9">
        <f>IF(SNOWBOARD_CALCULATOR_TYPE=0,IF(ISBLANK(D42),MAX(B$12:B41),IF(AND(ISNUMBER(L42),L42&gt;0)=TRUE,MAX(B$12:B41)+1,MAX(B$12:B41))),0)</f>
        <v>0</v>
      </c>
      <c r="C42" s="12"/>
      <c r="D42" s="208"/>
      <c r="E42" s="209"/>
      <c r="F42" s="186"/>
      <c r="G42" s="578">
        <f>SUM(G41)</f>
        <v>0</v>
      </c>
      <c r="H42" s="186"/>
      <c r="I42" s="187"/>
      <c r="J42" s="187"/>
      <c r="K42" s="181">
        <f ca="1">SUM(K41)</f>
        <v>0</v>
      </c>
      <c r="L42" s="182">
        <f ca="1">SUM(M42:W42)</f>
        <v>0</v>
      </c>
      <c r="M42" s="229">
        <f ca="1">SUM(M41)</f>
        <v>0</v>
      </c>
      <c r="N42" s="234">
        <f t="shared" ref="N42:O42" ca="1" si="86">SUM(N41)</f>
        <v>0</v>
      </c>
      <c r="O42" s="234">
        <f t="shared" ca="1" si="86"/>
        <v>0</v>
      </c>
      <c r="P42" s="234">
        <f t="shared" ref="P42:U42" ca="1" si="87">SUM(P41)</f>
        <v>0</v>
      </c>
      <c r="Q42" s="234">
        <f t="shared" ca="1" si="87"/>
        <v>0</v>
      </c>
      <c r="R42" s="234">
        <f t="shared" ca="1" si="87"/>
        <v>0</v>
      </c>
      <c r="S42" s="234">
        <f t="shared" ca="1" si="87"/>
        <v>0</v>
      </c>
      <c r="T42" s="234">
        <f t="shared" ca="1" si="87"/>
        <v>0</v>
      </c>
      <c r="U42" s="262">
        <f t="shared" ca="1" si="87"/>
        <v>0</v>
      </c>
      <c r="V42" s="178"/>
      <c r="W42" s="178"/>
      <c r="X42" s="178"/>
      <c r="Y42" s="12"/>
      <c r="AA42" s="149"/>
      <c r="AB42" s="15"/>
      <c r="AC42" s="38"/>
      <c r="AD42" s="15"/>
      <c r="AE42" s="38"/>
      <c r="AF42" s="15"/>
      <c r="AG42" s="38"/>
      <c r="AH42" s="15"/>
      <c r="AI42" s="38"/>
      <c r="AJ42" s="15"/>
      <c r="AK42" s="38"/>
      <c r="AL42" s="15"/>
      <c r="AM42" s="38"/>
      <c r="AN42" s="15"/>
      <c r="AO42" s="38"/>
      <c r="AP42" s="15"/>
      <c r="AQ42" s="38"/>
      <c r="AR42" s="15"/>
      <c r="AS42" s="38"/>
      <c r="AT42" s="15"/>
      <c r="AU42" s="38"/>
      <c r="AV42" s="15"/>
      <c r="AW42" s="38"/>
      <c r="AX42" s="8"/>
    </row>
    <row r="43" spans="2:53" ht="12.75" customHeight="1">
      <c r="B43" s="9">
        <f>IF(SNOWBOARD_CALCULATOR_TYPE=0,IF(ISBLANK(D43),MAX(B$12:B42),IF(AND(ISNUMBER(L43),L43&gt;0)=TRUE,MAX(B$12:B42)+1,MAX(B$12:B42))),0)</f>
        <v>0</v>
      </c>
      <c r="C43" s="12"/>
      <c r="D43" s="957" t="s">
        <v>114</v>
      </c>
      <c r="E43" s="954"/>
      <c r="F43" s="186"/>
      <c r="G43" s="186"/>
      <c r="H43" s="278"/>
      <c r="I43" s="187"/>
      <c r="J43" s="187"/>
      <c r="K43" s="188"/>
      <c r="L43" s="279"/>
      <c r="M43" s="179"/>
      <c r="N43" s="179"/>
      <c r="O43" s="179"/>
      <c r="P43" s="179"/>
      <c r="Q43" s="179"/>
      <c r="R43" s="179"/>
      <c r="S43" s="179"/>
      <c r="T43" s="178"/>
      <c r="U43" s="178"/>
      <c r="V43" s="178"/>
      <c r="W43" s="178"/>
      <c r="X43" s="178"/>
      <c r="Y43" s="12"/>
      <c r="AA43" s="149"/>
      <c r="AB43" s="15"/>
      <c r="AC43" s="38"/>
      <c r="AD43" s="15"/>
      <c r="AE43" s="38"/>
      <c r="AF43" s="15"/>
      <c r="AG43" s="38"/>
      <c r="AH43" s="15"/>
      <c r="AI43" s="38"/>
      <c r="AJ43" s="15"/>
      <c r="AK43" s="38"/>
      <c r="AL43" s="15"/>
      <c r="AM43" s="38"/>
      <c r="AN43" s="15"/>
      <c r="AO43" s="38"/>
      <c r="AP43" s="15"/>
      <c r="AQ43" s="38"/>
      <c r="AR43" s="15"/>
      <c r="AS43" s="38"/>
      <c r="AT43" s="15"/>
      <c r="AU43" s="38"/>
      <c r="AV43" s="15"/>
      <c r="AW43" s="38"/>
      <c r="AX43" s="8"/>
    </row>
    <row r="44" spans="2:53" s="8" customFormat="1" ht="14" thickBot="1">
      <c r="B44" s="9">
        <f>IF(SNOWBOARD_CALCULATOR_TYPE=0,IF(ISBLANK(D44),MAX(B$12:B43),IF(AND(ISNUMBER(L44),L44&gt;0)=TRUE,MAX(B$12:B43)+1,MAX(B$12:B43))),0)</f>
        <v>0</v>
      </c>
      <c r="C44" s="12"/>
      <c r="D44" s="251" t="s">
        <v>0</v>
      </c>
      <c r="E44" s="242" t="s">
        <v>1</v>
      </c>
      <c r="F44" s="217" t="s">
        <v>43</v>
      </c>
      <c r="G44" s="217" t="s">
        <v>19</v>
      </c>
      <c r="H44" s="272" t="s">
        <v>102</v>
      </c>
      <c r="I44" s="323" t="s">
        <v>21</v>
      </c>
      <c r="J44" s="193" t="s">
        <v>21</v>
      </c>
      <c r="K44" s="218" t="s">
        <v>6</v>
      </c>
      <c r="L44" s="195" t="s">
        <v>5</v>
      </c>
      <c r="M44" s="174" t="s">
        <v>101</v>
      </c>
      <c r="N44" s="195" t="s">
        <v>8</v>
      </c>
      <c r="O44" s="178"/>
      <c r="P44" s="178"/>
      <c r="Q44" s="178"/>
      <c r="R44" s="178"/>
      <c r="S44" s="178"/>
      <c r="T44" s="178"/>
      <c r="U44" s="178"/>
      <c r="V44" s="178"/>
      <c r="W44" s="178"/>
      <c r="X44" s="178"/>
      <c r="Y44" s="12"/>
      <c r="Z44" s="2"/>
      <c r="AA44" s="1"/>
      <c r="AB44" s="1"/>
      <c r="AC44" s="37"/>
      <c r="AD44" s="1"/>
      <c r="AE44" s="41"/>
      <c r="AF44" s="1"/>
      <c r="AG44" s="41"/>
      <c r="AH44" s="1"/>
      <c r="AI44" s="41"/>
      <c r="AJ44" s="1"/>
      <c r="AK44" s="41"/>
      <c r="AL44" s="1"/>
      <c r="AM44" s="41"/>
      <c r="AN44" s="1"/>
      <c r="AO44" s="41"/>
      <c r="AP44" s="1"/>
      <c r="AQ44" s="41"/>
      <c r="AR44" s="1"/>
      <c r="AS44" s="41"/>
      <c r="AT44" s="1"/>
      <c r="AU44" s="41"/>
      <c r="AV44" s="1"/>
      <c r="AW44" s="41"/>
      <c r="AX44" s="1"/>
      <c r="AY44" s="43"/>
      <c r="BA44" s="43"/>
    </row>
    <row r="45" spans="2:53" ht="12.75" customHeight="1" thickTop="1">
      <c r="B45" s="455">
        <f>IF(SNOWBOARD_CALCULATOR_TYPE=0,IF(ISBLANK(D45),MAX(B$14:B44),IF(AND(ISNUMBER(L45),L45&gt;0)=TRUE,MAX(B$14:B44)+1,MAX(B$14:B44))),0)</f>
        <v>0</v>
      </c>
      <c r="C45" s="12"/>
      <c r="D45" s="392" t="s">
        <v>217</v>
      </c>
      <c r="E45" s="159" t="str">
        <f>VLOOKUP(D45,SKUS_TO_SIZES,2,FALSE)</f>
        <v>ROOKIE S (sizes 2-4)</v>
      </c>
      <c r="F45" s="160">
        <f>VLOOKUP(D45,SKUS_TO_SIZES,3,FALSE)</f>
        <v>93</v>
      </c>
      <c r="G45" s="161">
        <f ca="1">SUM(M45:N45)*F45</f>
        <v>0</v>
      </c>
      <c r="H45" s="348">
        <f>IF(SNOWBOARD_DISCOUNT_TYPE=1,IF($J$10=0,F45,F45*(SUM(1-$J$10))),IF(I45=0,F45,F45*(SUM(1-I45))))</f>
        <v>93</v>
      </c>
      <c r="I45" s="452">
        <v>0</v>
      </c>
      <c r="J45" s="339">
        <f>$J$10</f>
        <v>0</v>
      </c>
      <c r="K45" s="223">
        <f t="shared" ref="K45:K46" ca="1" si="88">SUM(M45:W45)*H45</f>
        <v>0</v>
      </c>
      <c r="L45" s="985">
        <v>0</v>
      </c>
      <c r="M45" s="224"/>
      <c r="N45" s="225">
        <f ca="1">ROUND($L45*HLOOKUP(N$44,INDIRECT("'Hidden Data'!"&amp;HLOOKUP(COLUMN(SKUS_TO_SIZES),NUMBER_TO_LETTER,2,FALSE)&amp;MATCH($D45,'Hidden Data'!$D:$D,0)&amp;":T"&amp;MATCH($D45&amp;"-sizecurve",'Hidden Data'!$D:$D,0)),2,FALSE),0)</f>
        <v>0</v>
      </c>
      <c r="O45" s="178"/>
      <c r="P45" s="178"/>
      <c r="Q45" s="178"/>
      <c r="R45" s="178"/>
      <c r="S45" s="178"/>
      <c r="T45" s="178"/>
      <c r="U45" s="178"/>
      <c r="V45" s="178"/>
      <c r="W45" s="178"/>
      <c r="X45" s="178"/>
      <c r="Y45" s="12"/>
      <c r="Z45" s="9">
        <v>2</v>
      </c>
      <c r="AA45" s="149" t="str">
        <f>D45</f>
        <v>RGMRK01</v>
      </c>
      <c r="AB45" s="130" t="str">
        <f>IF(VLOOKUP($AA45,SKUS_TO_SIZES,AB$12,FALSE)=0,"",VLOOKUP($AA45,SKUS_TO_SIZES,AB$12,FALSE))</f>
        <v>S</v>
      </c>
      <c r="AC45" s="129" t="str">
        <f ca="1">IFERROR(IF(HLOOKUP(AB45,$M$44:$W$46,$Z45,FALSE)=0,"",HLOOKUP(AB45,$M$44:$W$46,$Z45,FALSE)),"")</f>
        <v/>
      </c>
      <c r="AD45" s="130" t="str">
        <f>IF(VLOOKUP($AA45,SKUS_TO_SIZES,AD$12,FALSE)=0,"",VLOOKUP($AA45,SKUS_TO_SIZES,AD$12,FALSE))</f>
        <v/>
      </c>
      <c r="AE45" s="129" t="str">
        <f>IFERROR(IF(HLOOKUP(AD45,$M$44:$W$46,$Z45,FALSE)=0,"",HLOOKUP(AD45,$M$44:$W$46,$Z45,FALSE)),"")</f>
        <v/>
      </c>
      <c r="AF45" s="130" t="str">
        <f>IF(VLOOKUP($AA45,SKUS_TO_SIZES,AF$12,FALSE)=0,"",VLOOKUP($AA45,SKUS_TO_SIZES,AF$12,FALSE))</f>
        <v/>
      </c>
      <c r="AG45" s="129" t="str">
        <f>IFERROR(IF(HLOOKUP(AF45,$M$44:$W$46,$Z45,FALSE)=0,"",HLOOKUP(AF45,$M$44:$W$46,$Z45,FALSE)),"")</f>
        <v/>
      </c>
      <c r="AH45" s="130" t="str">
        <f>IF(VLOOKUP($AA45,SKUS_TO_SIZES,AH$12,FALSE)=0,"",VLOOKUP($AA45,SKUS_TO_SIZES,AH$12,FALSE))</f>
        <v/>
      </c>
      <c r="AI45" s="129" t="str">
        <f>IFERROR(IF(HLOOKUP(AH45,$M$44:$W$46,$Z45,FALSE)=0,"",HLOOKUP(AH45,$M$44:$W$46,$Z45,FALSE)),"")</f>
        <v/>
      </c>
      <c r="AJ45" s="130" t="str">
        <f>IF(VLOOKUP($AA45,SKUS_TO_SIZES,AJ$12,FALSE)=0,"",VLOOKUP($AA45,SKUS_TO_SIZES,AJ$12,FALSE))</f>
        <v/>
      </c>
      <c r="AK45" s="129" t="str">
        <f>IFERROR(IF(HLOOKUP(AJ45,$M$44:$W$46,$Z45,FALSE)=0,"",HLOOKUP(AJ45,$M$44:$W$46,$Z45,FALSE)),"")</f>
        <v/>
      </c>
      <c r="AL45" s="130" t="str">
        <f>IF(VLOOKUP($AA45,SKUS_TO_SIZES,AL$12,FALSE)=0,"",VLOOKUP($AA45,SKUS_TO_SIZES,AL$12,FALSE))</f>
        <v/>
      </c>
      <c r="AM45" s="129" t="str">
        <f>IFERROR(IF(HLOOKUP(AL45,$M$44:$W$46,$Z45,FALSE)=0,"",HLOOKUP(AL45,$M$44:$W$46,$Z45,FALSE)),"")</f>
        <v/>
      </c>
      <c r="AN45" s="130" t="str">
        <f>IF(VLOOKUP($AA45,SKUS_TO_SIZES,AN$12,FALSE)=0,"",VLOOKUP($AA45,SKUS_TO_SIZES,AN$12,FALSE))</f>
        <v/>
      </c>
      <c r="AO45" s="129" t="str">
        <f>IFERROR(IF(HLOOKUP(AN45,$M$44:$W$46,$Z45,FALSE)=0,"",HLOOKUP(AN45,$M$44:$W$46,$Z45,FALSE)),"")</f>
        <v/>
      </c>
      <c r="AP45" s="130" t="str">
        <f>IF(VLOOKUP($AA45,SKUS_TO_SIZES,AP$12,FALSE)=0,"",VLOOKUP($AA45,SKUS_TO_SIZES,AP$12,FALSE))</f>
        <v/>
      </c>
      <c r="AQ45" s="129" t="str">
        <f>IFERROR(IF(HLOOKUP(AP45,$M$44:$W$46,$Z45,FALSE)=0,"",HLOOKUP(AP45,$M$44:$W$46,$Z45,FALSE)),"")</f>
        <v/>
      </c>
      <c r="AR45" s="130" t="str">
        <f>IF(VLOOKUP($AA45,SKUS_TO_SIZES,AR$12,FALSE)=0,"",VLOOKUP($AA45,SKUS_TO_SIZES,AR$12,FALSE))</f>
        <v/>
      </c>
      <c r="AS45" s="129" t="str">
        <f>IFERROR(IF(HLOOKUP(AR45,$M$44:$W$46,$Z45,FALSE)=0,"",HLOOKUP(AR45,$M$44:$W$46,$Z45,FALSE)),"")</f>
        <v/>
      </c>
      <c r="AT45" s="130" t="str">
        <f>IF(VLOOKUP($AA45,SKUS_TO_SIZES,AT$12,FALSE)=0,"",VLOOKUP($AA45,SKUS_TO_SIZES,AT$12,FALSE))</f>
        <v/>
      </c>
      <c r="AU45" s="129" t="str">
        <f>IFERROR(IF(HLOOKUP(AT45,$M$44:$W$46,$Z45,FALSE)=0,"",HLOOKUP(AT45,$M$44:$W$46,$Z45,FALSE)),"")</f>
        <v/>
      </c>
      <c r="AV45" s="130" t="str">
        <f>IF(VLOOKUP($AA45,SKUS_TO_SIZES,AV$12,FALSE)=0,"",VLOOKUP($AA45,SKUS_TO_SIZES,AV$12,FALSE))</f>
        <v/>
      </c>
      <c r="AW45" s="596" t="str">
        <f>IFERROR(IF(HLOOKUP(AV45,$M$44:$W$46,$Z45,FALSE)=0,"",HLOOKUP(AV45,$M$44:$W$46,$Z45,FALSE)),"")</f>
        <v/>
      </c>
      <c r="AX45" s="8"/>
    </row>
    <row r="46" spans="2:53" s="8" customFormat="1" ht="12.75" customHeight="1">
      <c r="B46" s="455">
        <f>IF(SNOWBOARD_CALCULATOR_TYPE=0,IF(ISBLANK(D46),MAX(B$14:B45),IF(AND(ISNUMBER(L45),L45&gt;0)=TRUE,MAX(B$14:B45)+1,MAX(B$14:B45))),0)</f>
        <v>0</v>
      </c>
      <c r="C46" s="12"/>
      <c r="D46" s="226" t="s">
        <v>218</v>
      </c>
      <c r="E46" s="165" t="str">
        <f>VLOOKUP(D46,SKUS_TO_SIZES,2,FALSE)</f>
        <v>ROOKIE XS (fits 9, 10, 11, 12, 13, 1)</v>
      </c>
      <c r="F46" s="166">
        <f>VLOOKUP(D46,SKUS_TO_SIZES,3,FALSE)</f>
        <v>77</v>
      </c>
      <c r="G46" s="167">
        <f ca="1">SUM(M46:N46)*F46</f>
        <v>0</v>
      </c>
      <c r="H46" s="337">
        <f>IF(SNOWBOARD_DISCOUNT_TYPE=1,IF($J$10=0,F46,F46*(SUM(1-$J$10))),IF(I46=0,F46,F46*(SUM(1-I46))))</f>
        <v>77</v>
      </c>
      <c r="I46" s="453">
        <v>0</v>
      </c>
      <c r="J46" s="332">
        <f>$J$10</f>
        <v>0</v>
      </c>
      <c r="K46" s="258">
        <f t="shared" ca="1" si="88"/>
        <v>0</v>
      </c>
      <c r="L46" s="986"/>
      <c r="M46" s="221">
        <f ca="1">ROUND($L45*HLOOKUP(M$44,INDIRECT("'Hidden Data'!"&amp;HLOOKUP(COLUMN(SKUS_TO_SIZES),NUMBER_TO_LETTER,2,FALSE)&amp;MATCH($D46,'Hidden Data'!$D:$D,0)&amp;":T"&amp;MATCH($D46&amp;"-sizecurve",'Hidden Data'!$D:$D,0)),2,FALSE),0)</f>
        <v>0</v>
      </c>
      <c r="N46" s="222"/>
      <c r="O46" s="178"/>
      <c r="P46" s="178"/>
      <c r="Q46" s="178"/>
      <c r="R46" s="178"/>
      <c r="S46" s="178"/>
      <c r="T46" s="178"/>
      <c r="U46" s="178"/>
      <c r="V46" s="178"/>
      <c r="W46" s="178"/>
      <c r="X46" s="178"/>
      <c r="Y46" s="12"/>
      <c r="Z46" s="2">
        <f>Z45+1</f>
        <v>3</v>
      </c>
      <c r="AA46" s="149" t="str">
        <f>D46</f>
        <v>RGMRK02</v>
      </c>
      <c r="AB46" s="130" t="str">
        <f>IF(VLOOKUP($AA46,SKUS_TO_SIZES,AB$12,FALSE)=0,"",VLOOKUP($AA46,SKUS_TO_SIZES,AB$12,FALSE))</f>
        <v>XS</v>
      </c>
      <c r="AC46" s="129" t="str">
        <f ca="1">IFERROR(IF(HLOOKUP(AB46,$M$44:$W$46,$Z46,FALSE)=0,"",HLOOKUP(AB46,$M$44:$W$46,$Z46,FALSE)),"")</f>
        <v/>
      </c>
      <c r="AD46" s="130" t="str">
        <f>IF(VLOOKUP($AA46,SKUS_TO_SIZES,AD$12,FALSE)=0,"",VLOOKUP($AA46,SKUS_TO_SIZES,AD$12,FALSE))</f>
        <v/>
      </c>
      <c r="AE46" s="129" t="str">
        <f>IFERROR(IF(HLOOKUP(AD46,$M$44:$W$46,$Z46,FALSE)=0,"",HLOOKUP(AD46,$M$44:$W$46,$Z46,FALSE)),"")</f>
        <v/>
      </c>
      <c r="AF46" s="130" t="str">
        <f>IF(VLOOKUP($AA46,SKUS_TO_SIZES,AF$12,FALSE)=0,"",VLOOKUP($AA46,SKUS_TO_SIZES,AF$12,FALSE))</f>
        <v/>
      </c>
      <c r="AG46" s="129" t="str">
        <f>IFERROR(IF(HLOOKUP(AF46,$M$44:$W$46,$Z46,FALSE)=0,"",HLOOKUP(AF46,$M$44:$W$46,$Z46,FALSE)),"")</f>
        <v/>
      </c>
      <c r="AH46" s="130" t="str">
        <f>IF(VLOOKUP($AA46,SKUS_TO_SIZES,AH$12,FALSE)=0,"",VLOOKUP($AA46,SKUS_TO_SIZES,AH$12,FALSE))</f>
        <v/>
      </c>
      <c r="AI46" s="129" t="str">
        <f>IFERROR(IF(HLOOKUP(AH46,$M$44:$W$46,$Z46,FALSE)=0,"",HLOOKUP(AH46,$M$44:$W$46,$Z46,FALSE)),"")</f>
        <v/>
      </c>
      <c r="AJ46" s="130" t="str">
        <f>IF(VLOOKUP($AA46,SKUS_TO_SIZES,AJ$12,FALSE)=0,"",VLOOKUP($AA46,SKUS_TO_SIZES,AJ$12,FALSE))</f>
        <v/>
      </c>
      <c r="AK46" s="129" t="str">
        <f>IFERROR(IF(HLOOKUP(AJ46,$M$44:$W$46,$Z46,FALSE)=0,"",HLOOKUP(AJ46,$M$44:$W$46,$Z46,FALSE)),"")</f>
        <v/>
      </c>
      <c r="AL46" s="130" t="str">
        <f>IF(VLOOKUP($AA46,SKUS_TO_SIZES,AL$12,FALSE)=0,"",VLOOKUP($AA46,SKUS_TO_SIZES,AL$12,FALSE))</f>
        <v/>
      </c>
      <c r="AM46" s="129" t="str">
        <f>IFERROR(IF(HLOOKUP(AL46,$M$44:$W$46,$Z46,FALSE)=0,"",HLOOKUP(AL46,$M$44:$W$46,$Z46,FALSE)),"")</f>
        <v/>
      </c>
      <c r="AN46" s="130" t="str">
        <f>IF(VLOOKUP($AA46,SKUS_TO_SIZES,AN$12,FALSE)=0,"",VLOOKUP($AA46,SKUS_TO_SIZES,AN$12,FALSE))</f>
        <v/>
      </c>
      <c r="AO46" s="129" t="str">
        <f>IFERROR(IF(HLOOKUP(AN46,$M$44:$W$46,$Z46,FALSE)=0,"",HLOOKUP(AN46,$M$44:$W$46,$Z46,FALSE)),"")</f>
        <v/>
      </c>
      <c r="AP46" s="130" t="str">
        <f>IF(VLOOKUP($AA46,SKUS_TO_SIZES,AP$12,FALSE)=0,"",VLOOKUP($AA46,SKUS_TO_SIZES,AP$12,FALSE))</f>
        <v/>
      </c>
      <c r="AQ46" s="129" t="str">
        <f>IFERROR(IF(HLOOKUP(AP46,$M$44:$W$46,$Z46,FALSE)=0,"",HLOOKUP(AP46,$M$44:$W$46,$Z46,FALSE)),"")</f>
        <v/>
      </c>
      <c r="AR46" s="130" t="str">
        <f>IF(VLOOKUP($AA46,SKUS_TO_SIZES,AR$12,FALSE)=0,"",VLOOKUP($AA46,SKUS_TO_SIZES,AR$12,FALSE))</f>
        <v/>
      </c>
      <c r="AS46" s="129" t="str">
        <f>IFERROR(IF(HLOOKUP(AR46,$M$44:$W$46,$Z46,FALSE)=0,"",HLOOKUP(AR46,$M$44:$W$46,$Z46,FALSE)),"")</f>
        <v/>
      </c>
      <c r="AT46" s="130" t="str">
        <f>IF(VLOOKUP($AA46,SKUS_TO_SIZES,AT$12,FALSE)=0,"",VLOOKUP($AA46,SKUS_TO_SIZES,AT$12,FALSE))</f>
        <v/>
      </c>
      <c r="AU46" s="129" t="str">
        <f>IFERROR(IF(HLOOKUP(AT46,$M$44:$W$46,$Z46,FALSE)=0,"",HLOOKUP(AT46,$M$44:$W$46,$Z46,FALSE)),"")</f>
        <v/>
      </c>
      <c r="AV46" s="130" t="str">
        <f>IF(VLOOKUP($AA46,SKUS_TO_SIZES,AV$12,FALSE)=0,"",VLOOKUP($AA46,SKUS_TO_SIZES,AV$12,FALSE))</f>
        <v/>
      </c>
      <c r="AW46" s="596" t="str">
        <f>IFERROR(IF(HLOOKUP(AV46,$M$44:$W$46,$Z46,FALSE)=0,"",HLOOKUP(AV46,$M$44:$W$46,$Z46,FALSE)),"")</f>
        <v/>
      </c>
      <c r="AY46" s="43"/>
      <c r="BA46" s="43"/>
    </row>
    <row r="47" spans="2:53" s="8" customFormat="1" ht="12.75" customHeight="1">
      <c r="B47" s="9">
        <f>IF(SNOWBOARD_CALCULATOR_TYPE=0,IF(ISBLANK(D47),MAX(B$14:B46),IF(AND(ISNUMBER(L47),L47&gt;0)=TRUE,MAX(B$14:B46)+1,MAX(B$14:B46))),0)</f>
        <v>0</v>
      </c>
      <c r="C47" s="12"/>
      <c r="D47" s="208"/>
      <c r="E47" s="209"/>
      <c r="F47" s="186"/>
      <c r="G47" s="579">
        <f ca="1">SUM(G45:G46)</f>
        <v>0</v>
      </c>
      <c r="H47" s="186"/>
      <c r="I47" s="187"/>
      <c r="J47" s="187"/>
      <c r="K47" s="227">
        <f ca="1">SUM(K45:K46)</f>
        <v>0</v>
      </c>
      <c r="L47" s="228">
        <f ca="1">SUM(M47:W47)</f>
        <v>0</v>
      </c>
      <c r="M47" s="229">
        <f ca="1">SUM(M45:M46)</f>
        <v>0</v>
      </c>
      <c r="N47" s="230">
        <f ca="1">SUM(N45:N46)</f>
        <v>0</v>
      </c>
      <c r="O47" s="178"/>
      <c r="P47" s="178"/>
      <c r="Q47" s="178"/>
      <c r="R47" s="178"/>
      <c r="S47" s="178"/>
      <c r="T47" s="178"/>
      <c r="U47" s="178"/>
      <c r="V47" s="178"/>
      <c r="W47" s="178"/>
      <c r="X47" s="178"/>
      <c r="Y47" s="12"/>
      <c r="Z47" s="9"/>
      <c r="AA47" s="149"/>
      <c r="AB47" s="15"/>
      <c r="AC47" s="38"/>
      <c r="AD47" s="15"/>
      <c r="AE47" s="38"/>
      <c r="AF47" s="15"/>
      <c r="AG47" s="38"/>
      <c r="AH47" s="15"/>
      <c r="AI47" s="38"/>
      <c r="AJ47" s="15"/>
      <c r="AK47" s="38"/>
      <c r="AL47" s="15"/>
      <c r="AM47" s="38"/>
      <c r="AN47" s="15"/>
      <c r="AO47" s="38"/>
      <c r="AP47" s="15"/>
      <c r="AQ47" s="38"/>
      <c r="AR47" s="15"/>
      <c r="AS47" s="38"/>
      <c r="AT47" s="15"/>
      <c r="AU47" s="38"/>
      <c r="AV47" s="15"/>
      <c r="AW47" s="38"/>
      <c r="AY47" s="43"/>
      <c r="BA47" s="43"/>
    </row>
    <row r="48" spans="2:53" s="8" customFormat="1" ht="12.75" customHeight="1">
      <c r="B48" s="9">
        <f>IF(SNOWBOARD_CALCULATOR_TYPE=0,IF(ISBLANK(D48),MAX(B$14:B47),IF(AND(ISNUMBER(L48),L48&gt;0)=TRUE,MAX(B$14:B47)+1,MAX(B$14:B47))),0)</f>
        <v>0</v>
      </c>
      <c r="C48" s="12"/>
      <c r="D48" s="957" t="s">
        <v>115</v>
      </c>
      <c r="E48" s="954"/>
      <c r="F48" s="186"/>
      <c r="G48" s="186"/>
      <c r="H48" s="278"/>
      <c r="I48" s="187"/>
      <c r="J48" s="187"/>
      <c r="K48" s="188"/>
      <c r="L48" s="279"/>
      <c r="M48" s="257"/>
      <c r="N48" s="179"/>
      <c r="O48" s="178"/>
      <c r="P48" s="178"/>
      <c r="Q48" s="178"/>
      <c r="R48" s="178"/>
      <c r="S48" s="178"/>
      <c r="T48" s="178"/>
      <c r="U48" s="178"/>
      <c r="V48" s="178"/>
      <c r="W48" s="178"/>
      <c r="X48" s="178"/>
      <c r="Y48" s="12"/>
      <c r="Z48" s="9"/>
      <c r="AA48" s="149"/>
      <c r="AB48" s="15"/>
      <c r="AC48" s="38"/>
      <c r="AD48" s="15"/>
      <c r="AE48" s="38"/>
      <c r="AF48" s="15"/>
      <c r="AG48" s="38"/>
      <c r="AH48" s="15"/>
      <c r="AI48" s="38"/>
      <c r="AJ48" s="15"/>
      <c r="AK48" s="38"/>
      <c r="AL48" s="15"/>
      <c r="AM48" s="38"/>
      <c r="AN48" s="15"/>
      <c r="AO48" s="38"/>
      <c r="AP48" s="15"/>
      <c r="AQ48" s="38"/>
      <c r="AR48" s="15"/>
      <c r="AS48" s="38"/>
      <c r="AT48" s="15"/>
      <c r="AU48" s="38"/>
      <c r="AV48" s="15"/>
      <c r="AW48" s="38"/>
      <c r="AY48" s="43"/>
      <c r="BA48" s="43"/>
    </row>
    <row r="49" spans="2:53" s="8" customFormat="1" ht="14" thickBot="1">
      <c r="B49" s="9">
        <f>IF(SNOWBOARD_CALCULATOR_TYPE=0,IF(ISBLANK(D49),MAX(B$14:B48),IF(AND(ISNUMBER(L49),L49&gt;0)=TRUE,MAX(B$14:B48)+1,MAX(B$14:B48))),0)</f>
        <v>0</v>
      </c>
      <c r="C49" s="12"/>
      <c r="D49" s="251" t="s">
        <v>0</v>
      </c>
      <c r="E49" s="242" t="s">
        <v>1</v>
      </c>
      <c r="F49" s="217" t="s">
        <v>43</v>
      </c>
      <c r="G49" s="217" t="s">
        <v>19</v>
      </c>
      <c r="H49" s="272" t="s">
        <v>102</v>
      </c>
      <c r="I49" s="271" t="s">
        <v>21</v>
      </c>
      <c r="J49" s="193" t="s">
        <v>21</v>
      </c>
      <c r="K49" s="218" t="s">
        <v>6</v>
      </c>
      <c r="L49" s="195" t="s">
        <v>5</v>
      </c>
      <c r="M49" s="174" t="str">
        <f>"9-11"</f>
        <v>9-11</v>
      </c>
      <c r="N49" s="175" t="str">
        <f>"11-13"</f>
        <v>11-13</v>
      </c>
      <c r="O49" s="175">
        <v>1</v>
      </c>
      <c r="P49" s="175">
        <v>2</v>
      </c>
      <c r="Q49" s="175">
        <v>3</v>
      </c>
      <c r="R49" s="175">
        <v>4</v>
      </c>
      <c r="S49" s="195">
        <v>5</v>
      </c>
      <c r="T49" s="178"/>
      <c r="U49" s="178"/>
      <c r="V49" s="178"/>
      <c r="W49" s="178"/>
      <c r="X49" s="178"/>
      <c r="Y49" s="12"/>
      <c r="Z49" s="2"/>
      <c r="AA49" s="1"/>
      <c r="AB49" s="1"/>
      <c r="AC49" s="37"/>
      <c r="AD49" s="1"/>
      <c r="AE49" s="41"/>
      <c r="AF49" s="1"/>
      <c r="AG49" s="41"/>
      <c r="AH49" s="1"/>
      <c r="AI49" s="41"/>
      <c r="AJ49" s="1"/>
      <c r="AK49" s="41"/>
      <c r="AL49" s="1"/>
      <c r="AM49" s="41"/>
      <c r="AN49" s="1"/>
      <c r="AO49" s="41"/>
      <c r="AP49" s="1"/>
      <c r="AQ49" s="41"/>
      <c r="AR49" s="1"/>
      <c r="AS49" s="41"/>
      <c r="AT49" s="1"/>
      <c r="AU49" s="41"/>
      <c r="AV49" s="1"/>
      <c r="AW49" s="41"/>
      <c r="AX49" s="1"/>
      <c r="AY49" s="43"/>
      <c r="BA49" s="43"/>
    </row>
    <row r="50" spans="2:53" ht="12.75" customHeight="1" thickTop="1">
      <c r="B50" s="455">
        <f>IF(SNOWBOARD_CALCULATOR_TYPE=0,IF(ISBLANK(D50),MAX(B$14:B49),IF(AND(ISNUMBER(L50),L50&gt;0)=TRUE,MAX(B$14:B49)+1,MAX(B$14:B49))),0)</f>
        <v>0</v>
      </c>
      <c r="C50" s="12"/>
      <c r="D50" s="387" t="s">
        <v>223</v>
      </c>
      <c r="E50" s="196" t="str">
        <f>VLOOKUP(D50,SKUS_TO_SIZES,2,FALSE)</f>
        <v>CRUMB</v>
      </c>
      <c r="F50" s="197">
        <f>VLOOKUP(D50,SKUS_TO_SIZES,3,FALSE)</f>
        <v>135</v>
      </c>
      <c r="G50" s="198">
        <f>SUM(L50)*F50</f>
        <v>0</v>
      </c>
      <c r="H50" s="328">
        <f>IF(SNOWBOARD_DISCOUNT_TYPE=1,IF($J$10=0,F50,F50*(SUM(1-$J$10))),IF(I50=0,F50,F50*(SUM(1-I50))))</f>
        <v>135</v>
      </c>
      <c r="I50" s="273">
        <v>0</v>
      </c>
      <c r="J50" s="340">
        <f>$J$10</f>
        <v>0</v>
      </c>
      <c r="K50" s="199">
        <f t="shared" ref="K50:K52" ca="1" si="89">SUM(M50:W50)*H50</f>
        <v>0</v>
      </c>
      <c r="L50" s="982">
        <v>0</v>
      </c>
      <c r="M50" s="435"/>
      <c r="N50" s="434"/>
      <c r="O50" s="446">
        <f ca="1">ROUND($L50*HLOOKUP(O$49,INDIRECT("'Hidden Data'!"&amp;HLOOKUP(COLUMN(SKUS_TO_SIZES),NUMBER_TO_LETTER,2,FALSE)&amp;MATCH($D50,'Hidden Data'!$D:$D,0)&amp;":T"&amp;MATCH($D50&amp;"-sizecurve",'Hidden Data'!$D:$D,0)),2,FALSE),0)</f>
        <v>0</v>
      </c>
      <c r="P50" s="446">
        <f ca="1">ROUND($L50*HLOOKUP(P$49,INDIRECT("'Hidden Data'!"&amp;HLOOKUP(COLUMN(SKUS_TO_SIZES),NUMBER_TO_LETTER,2,FALSE)&amp;MATCH($D50,'Hidden Data'!$D:$D,0)&amp;":T"&amp;MATCH($D50&amp;"-sizecurve",'Hidden Data'!$D:$D,0)),2,FALSE),0)</f>
        <v>0</v>
      </c>
      <c r="Q50" s="446">
        <f ca="1">ROUND($L50*HLOOKUP(Q$49,INDIRECT("'Hidden Data'!"&amp;HLOOKUP(COLUMN(SKUS_TO_SIZES),NUMBER_TO_LETTER,2,FALSE)&amp;MATCH($D50,'Hidden Data'!$D:$D,0)&amp;":T"&amp;MATCH($D50&amp;"-sizecurve",'Hidden Data'!$D:$D,0)),2,FALSE),0)</f>
        <v>0</v>
      </c>
      <c r="R50" s="446">
        <f ca="1">ROUND($L50*HLOOKUP(R$49,INDIRECT("'Hidden Data'!"&amp;HLOOKUP(COLUMN(SKUS_TO_SIZES),NUMBER_TO_LETTER,2,FALSE)&amp;MATCH($D50,'Hidden Data'!$D:$D,0)&amp;":T"&amp;MATCH($D50&amp;"-sizecurve",'Hidden Data'!$D:$D,0)),2,FALSE),0)</f>
        <v>0</v>
      </c>
      <c r="S50" s="447">
        <f ca="1">ROUND($L50*HLOOKUP(S$49,INDIRECT("'Hidden Data'!"&amp;HLOOKUP(COLUMN(SKUS_TO_SIZES),NUMBER_TO_LETTER,2,FALSE)&amp;MATCH($D50,'Hidden Data'!$D:$D,0)&amp;":T"&amp;MATCH($D50&amp;"-sizecurve",'Hidden Data'!$D:$D,0)),2,FALSE),0)</f>
        <v>0</v>
      </c>
      <c r="T50" s="178"/>
      <c r="U50" s="178"/>
      <c r="V50" s="178"/>
      <c r="W50" s="178"/>
      <c r="X50" s="178"/>
      <c r="Y50" s="12"/>
      <c r="Z50" s="9">
        <v>2</v>
      </c>
      <c r="AA50" s="149" t="str">
        <f>D50</f>
        <v>RFM0033</v>
      </c>
      <c r="AB50" s="130">
        <f>IF(VLOOKUP($AA50,SKUS_TO_SIZES,AB$12,FALSE)=0,"",VLOOKUP($AA50,SKUS_TO_SIZES,AB$12,FALSE))</f>
        <v>1</v>
      </c>
      <c r="AC50" s="129" t="str">
        <f ca="1">IFERROR(IF(HLOOKUP(AB50,$M$49:$W$52,$Z50,FALSE)=0,"",HLOOKUP(AB50,$M$49:$W$52,$Z50,FALSE)),"")</f>
        <v/>
      </c>
      <c r="AD50" s="130">
        <f>IF(VLOOKUP($AA50,SKUS_TO_SIZES,AD$12,FALSE)=0,"",VLOOKUP($AA50,SKUS_TO_SIZES,AD$12,FALSE))</f>
        <v>2</v>
      </c>
      <c r="AE50" s="129" t="str">
        <f ca="1">IFERROR(IF(HLOOKUP(AD50,$M$49:$W$52,$Z50,FALSE)=0,"",HLOOKUP(AD50,$M$49:$W$52,$Z50,FALSE)),"")</f>
        <v/>
      </c>
      <c r="AF50" s="130">
        <f>IF(VLOOKUP($AA50,SKUS_TO_SIZES,AF$12,FALSE)=0,"",VLOOKUP($AA50,SKUS_TO_SIZES,AF$12,FALSE))</f>
        <v>3</v>
      </c>
      <c r="AG50" s="129" t="str">
        <f ca="1">IFERROR(IF(HLOOKUP(AF50,$M$49:$W$52,$Z50,FALSE)=0,"",HLOOKUP(AF50,$M$49:$W$52,$Z50,FALSE)),"")</f>
        <v/>
      </c>
      <c r="AH50" s="130">
        <f>IF(VLOOKUP($AA50,SKUS_TO_SIZES,AH$12,FALSE)=0,"",VLOOKUP($AA50,SKUS_TO_SIZES,AH$12,FALSE))</f>
        <v>4</v>
      </c>
      <c r="AI50" s="129" t="str">
        <f ca="1">IFERROR(IF(HLOOKUP(AH50,$M$49:$W$52,$Z50,FALSE)=0,"",HLOOKUP(AH50,$M$49:$W$52,$Z50,FALSE)),"")</f>
        <v/>
      </c>
      <c r="AJ50" s="130">
        <f>IF(VLOOKUP($AA50,SKUS_TO_SIZES,AJ$12,FALSE)=0,"",VLOOKUP($AA50,SKUS_TO_SIZES,AJ$12,FALSE))</f>
        <v>5</v>
      </c>
      <c r="AK50" s="129" t="str">
        <f ca="1">IFERROR(IF(HLOOKUP(AJ50,$M$49:$W$52,$Z50,FALSE)=0,"",HLOOKUP(AJ50,$M$49:$W$52,$Z50,FALSE)),"")</f>
        <v/>
      </c>
      <c r="AL50" s="130" t="str">
        <f>IF(VLOOKUP($AA50,SKUS_TO_SIZES,AL$12,FALSE)=0,"",VLOOKUP($AA50,SKUS_TO_SIZES,AL$12,FALSE))</f>
        <v/>
      </c>
      <c r="AM50" s="129" t="str">
        <f>IFERROR(IF(HLOOKUP(AL50,$M$49:$W$52,$Z50,FALSE)=0,"",HLOOKUP(AL50,$M$49:$W$52,$Z50,FALSE)),"")</f>
        <v/>
      </c>
      <c r="AN50" s="130" t="str">
        <f>IF(VLOOKUP($AA50,SKUS_TO_SIZES,AN$12,FALSE)=0,"",VLOOKUP($AA50,SKUS_TO_SIZES,AN$12,FALSE))</f>
        <v/>
      </c>
      <c r="AO50" s="129" t="str">
        <f>IFERROR(IF(HLOOKUP(AN50,$M$49:$W$52,$Z50,FALSE)=0,"",HLOOKUP(AN50,$M$49:$W$52,$Z50,FALSE)),"")</f>
        <v/>
      </c>
      <c r="AP50" s="130" t="str">
        <f>IF(VLOOKUP($AA50,SKUS_TO_SIZES,AP$12,FALSE)=0,"",VLOOKUP($AA50,SKUS_TO_SIZES,AP$12,FALSE))</f>
        <v/>
      </c>
      <c r="AQ50" s="129" t="str">
        <f>IFERROR(IF(HLOOKUP(AP50,$M$49:$W$52,$Z50,FALSE)=0,"",HLOOKUP(AP50,$M$49:$W$52,$Z50,FALSE)),"")</f>
        <v/>
      </c>
      <c r="AR50" s="130" t="str">
        <f>IF(VLOOKUP($AA50,SKUS_TO_SIZES,AR$12,FALSE)=0,"",VLOOKUP($AA50,SKUS_TO_SIZES,AR$12,FALSE))</f>
        <v/>
      </c>
      <c r="AS50" s="129" t="str">
        <f>IFERROR(IF(HLOOKUP(AR50,$M$49:$W$52,$Z50,FALSE)=0,"",HLOOKUP(AR50,$M$49:$W$52,$Z50,FALSE)),"")</f>
        <v/>
      </c>
      <c r="AT50" s="130" t="str">
        <f>IF(VLOOKUP($AA50,SKUS_TO_SIZES,AT$12,FALSE)=0,"",VLOOKUP($AA50,SKUS_TO_SIZES,AT$12,FALSE))</f>
        <v/>
      </c>
      <c r="AU50" s="129" t="str">
        <f>IFERROR(IF(HLOOKUP(AT50,$M$49:$W$52,$Z50,FALSE)=0,"",HLOOKUP(AT50,$M$49:$W$52,$Z50,FALSE)),"")</f>
        <v/>
      </c>
      <c r="AV50" s="130" t="str">
        <f>IF(VLOOKUP($AA50,SKUS_TO_SIZES,AV$12,FALSE)=0,"",VLOOKUP($AA50,SKUS_TO_SIZES,AV$12,FALSE))</f>
        <v/>
      </c>
      <c r="AW50" s="596" t="str">
        <f>IFERROR(IF(HLOOKUP(AV50,$M$49:$W$52,$Z50,FALSE)=0,"",HLOOKUP(AV50,$M$49:$W$52,$Z50,FALSE)),"")</f>
        <v/>
      </c>
      <c r="AX50" s="8"/>
    </row>
    <row r="51" spans="2:53" ht="12.75" customHeight="1">
      <c r="B51" s="455">
        <f>IF(SNOWBOARD_CALCULATOR_TYPE=0,IF(ISBLANK(D51),MAX(B$14:B50),IF(AND(ISNUMBER(L50),L50&gt;0)=TRUE,MAX(B$14:B50)+1,MAX(B$14:B50))),0)</f>
        <v>0</v>
      </c>
      <c r="C51" s="12"/>
      <c r="D51" s="388" t="s">
        <v>224</v>
      </c>
      <c r="E51" s="201" t="str">
        <f>VLOOKUP(D51,SKUS_TO_SIZES,2,FALSE)</f>
        <v>CRUMB KIDS (inc. extra footbeds (11/12/13)</v>
      </c>
      <c r="F51" s="202">
        <f>VLOOKUP(D51,SKUS_TO_SIZES,3,FALSE)</f>
        <v>124</v>
      </c>
      <c r="G51" s="203">
        <f>SUM(L51)*F51</f>
        <v>0</v>
      </c>
      <c r="H51" s="329">
        <f>IF(SNOWBOARD_DISCOUNT_TYPE=1,IF($J$10=0,F51,F51*(SUM(1-$J$10))),IF(I51=0,F51,F51*(SUM(1-I51))))</f>
        <v>124</v>
      </c>
      <c r="I51" s="274">
        <v>0</v>
      </c>
      <c r="J51" s="341">
        <f>$J$10</f>
        <v>0</v>
      </c>
      <c r="K51" s="204">
        <f t="shared" ca="1" si="89"/>
        <v>0</v>
      </c>
      <c r="L51" s="975"/>
      <c r="M51" s="437"/>
      <c r="N51" s="446">
        <f ca="1">ROUND($L50*HLOOKUP(N$49,INDIRECT("'Hidden Data'!"&amp;HLOOKUP(COLUMN(SKUS_TO_SIZES),NUMBER_TO_LETTER,2,FALSE)&amp;MATCH($D51,'Hidden Data'!$D:$D,0)&amp;":T"&amp;MATCH($D51&amp;"-sizecurve",'Hidden Data'!$D:$D,0)),2,FALSE),0)</f>
        <v>0</v>
      </c>
      <c r="O51" s="432"/>
      <c r="P51" s="432"/>
      <c r="Q51" s="432"/>
      <c r="R51" s="432"/>
      <c r="S51" s="438"/>
      <c r="T51" s="178"/>
      <c r="U51" s="178"/>
      <c r="V51" s="178"/>
      <c r="W51" s="178"/>
      <c r="X51" s="178"/>
      <c r="Y51" s="12"/>
      <c r="Z51" s="2">
        <f t="shared" ref="Z51:Z52" si="90">Z50+1</f>
        <v>3</v>
      </c>
      <c r="AA51" s="149" t="str">
        <f>D51</f>
        <v>RFM0032</v>
      </c>
      <c r="AB51" s="130" t="str">
        <f>IF(VLOOKUP($AA51,SKUS_TO_SIZES,AB$12,FALSE)=0,"",VLOOKUP($AA51,SKUS_TO_SIZES,AB$12,FALSE))</f>
        <v>11-13</v>
      </c>
      <c r="AC51" s="129" t="str">
        <f ca="1">IFERROR(IF(HLOOKUP(AB51,$M$49:$W$52,$Z51,FALSE)=0,"",HLOOKUP(AB51,$M$49:$W$52,$Z51,FALSE)),"")</f>
        <v/>
      </c>
      <c r="AD51" s="130"/>
      <c r="AE51" s="129"/>
      <c r="AF51" s="130"/>
      <c r="AG51" s="129"/>
      <c r="AH51" s="130"/>
      <c r="AI51" s="129"/>
      <c r="AJ51" s="130"/>
      <c r="AK51" s="129"/>
      <c r="AL51" s="130"/>
      <c r="AM51" s="129"/>
      <c r="AN51" s="130"/>
      <c r="AO51" s="129"/>
      <c r="AP51" s="130"/>
      <c r="AQ51" s="129"/>
      <c r="AR51" s="130"/>
      <c r="AS51" s="129"/>
      <c r="AT51" s="130"/>
      <c r="AU51" s="129"/>
      <c r="AV51" s="130"/>
      <c r="AW51" s="596"/>
      <c r="AX51" s="8"/>
    </row>
    <row r="52" spans="2:53" ht="12.75" customHeight="1">
      <c r="B52" s="455">
        <f>IF(SNOWBOARD_CALCULATOR_TYPE=0,IF(ISBLANK(D52),MAX(B$14:B51),IF(AND(ISNUMBER(L50),L50&gt;0)=TRUE,MAX(B$14:B51)+1,MAX(B$14:B51))),0)</f>
        <v>0</v>
      </c>
      <c r="C52" s="10"/>
      <c r="D52" s="389" t="s">
        <v>225</v>
      </c>
      <c r="E52" s="205" t="str">
        <f>VLOOKUP(D52,SKUS_TO_SIZES,2,FALSE)</f>
        <v>CRUMB TODDLER (inc. extra footbeds 9/10/11)</v>
      </c>
      <c r="F52" s="166">
        <f>VLOOKUP(D52,SKUS_TO_SIZES,3,FALSE)</f>
        <v>118</v>
      </c>
      <c r="G52" s="206">
        <f>SUM(L52)*F52</f>
        <v>0</v>
      </c>
      <c r="H52" s="330">
        <f>IF(SNOWBOARD_DISCOUNT_TYPE=1,IF($J$10=0,F52,F52*(SUM(1-$J$10))),IF(I52=0,F52,F52*(SUM(1-I52))))</f>
        <v>118</v>
      </c>
      <c r="I52" s="275">
        <v>0</v>
      </c>
      <c r="J52" s="342">
        <f>$J$10</f>
        <v>0</v>
      </c>
      <c r="K52" s="207">
        <f t="shared" ca="1" si="89"/>
        <v>0</v>
      </c>
      <c r="L52" s="976"/>
      <c r="M52" s="445">
        <f ca="1">ROUND($L50*HLOOKUP(M$49,INDIRECT("'Hidden Data'!"&amp;HLOOKUP(COLUMN(SKUS_TO_SIZES),NUMBER_TO_LETTER,2,FALSE)&amp;MATCH($D52,'Hidden Data'!$D:$D,0)&amp;":T"&amp;MATCH($D52&amp;"-sizecurve",'Hidden Data'!$D:$D,0)),2,FALSE),0)</f>
        <v>0</v>
      </c>
      <c r="N52" s="440"/>
      <c r="O52" s="440"/>
      <c r="P52" s="440"/>
      <c r="Q52" s="440"/>
      <c r="R52" s="440"/>
      <c r="S52" s="441"/>
      <c r="T52" s="178"/>
      <c r="U52" s="178"/>
      <c r="V52" s="178"/>
      <c r="W52" s="178"/>
      <c r="X52" s="178"/>
      <c r="Y52" s="12"/>
      <c r="Z52" s="2">
        <f t="shared" si="90"/>
        <v>4</v>
      </c>
      <c r="AA52" s="149" t="str">
        <f>D52</f>
        <v>RFM0031</v>
      </c>
      <c r="AB52" s="130" t="str">
        <f>IF(VLOOKUP($AA52,SKUS_TO_SIZES,AB$12,FALSE)=0,"",VLOOKUP($AA52,SKUS_TO_SIZES,AB$12,FALSE))</f>
        <v>9-11</v>
      </c>
      <c r="AC52" s="129" t="str">
        <f ca="1">IFERROR(IF(HLOOKUP(AB52,$M$49:$W$52,$Z52,FALSE)=0,"",HLOOKUP(AB52,$M$49:$W$52,$Z52,FALSE)),"")</f>
        <v/>
      </c>
      <c r="AD52" s="130" t="str">
        <f>IF(VLOOKUP($AA52,SKUS_TO_SIZES,AD$12,FALSE)=0,"",VLOOKUP($AA52,SKUS_TO_SIZES,AD$12,FALSE))</f>
        <v/>
      </c>
      <c r="AE52" s="129" t="str">
        <f>IFERROR(IF(HLOOKUP(AD52,$M$49:$W$52,$Z52,FALSE)=0,"",HLOOKUP(AD52,$M$49:$W$52,$Z52,FALSE)),"")</f>
        <v/>
      </c>
      <c r="AF52" s="130" t="str">
        <f>IF(VLOOKUP($AA52,SKUS_TO_SIZES,AF$12,FALSE)=0,"",VLOOKUP($AA52,SKUS_TO_SIZES,AF$12,FALSE))</f>
        <v/>
      </c>
      <c r="AG52" s="129" t="str">
        <f>IFERROR(IF(HLOOKUP(AF52,$M$49:$W$52,$Z52,FALSE)=0,"",HLOOKUP(AF52,$M$49:$W$52,$Z52,FALSE)),"")</f>
        <v/>
      </c>
      <c r="AH52" s="130" t="str">
        <f>IF(VLOOKUP($AA52,SKUS_TO_SIZES,AH$12,FALSE)=0,"",VLOOKUP($AA52,SKUS_TO_SIZES,AH$12,FALSE))</f>
        <v/>
      </c>
      <c r="AI52" s="129" t="str">
        <f>IFERROR(IF(HLOOKUP(AH52,$M$49:$W$52,$Z52,FALSE)=0,"",HLOOKUP(AH52,$M$49:$W$52,$Z52,FALSE)),"")</f>
        <v/>
      </c>
      <c r="AJ52" s="130" t="str">
        <f>IF(VLOOKUP($AA52,SKUS_TO_SIZES,AJ$12,FALSE)=0,"",VLOOKUP($AA52,SKUS_TO_SIZES,AJ$12,FALSE))</f>
        <v/>
      </c>
      <c r="AK52" s="129" t="str">
        <f>IFERROR(IF(HLOOKUP(AJ52,$M$49:$W$52,$Z52,FALSE)=0,"",HLOOKUP(AJ52,$M$49:$W$52,$Z52,FALSE)),"")</f>
        <v/>
      </c>
      <c r="AL52" s="130" t="str">
        <f>IF(VLOOKUP($AA52,SKUS_TO_SIZES,AL$12,FALSE)=0,"",VLOOKUP($AA52,SKUS_TO_SIZES,AL$12,FALSE))</f>
        <v/>
      </c>
      <c r="AM52" s="129" t="str">
        <f>IFERROR(IF(HLOOKUP(AL52,$M$49:$W$52,$Z52,FALSE)=0,"",HLOOKUP(AL52,$M$49:$W$52,$Z52,FALSE)),"")</f>
        <v/>
      </c>
      <c r="AN52" s="130" t="str">
        <f>IF(VLOOKUP($AA52,SKUS_TO_SIZES,AN$12,FALSE)=0,"",VLOOKUP($AA52,SKUS_TO_SIZES,AN$12,FALSE))</f>
        <v/>
      </c>
      <c r="AO52" s="129" t="str">
        <f>IFERROR(IF(HLOOKUP(AN52,$M$49:$W$52,$Z52,FALSE)=0,"",HLOOKUP(AN52,$M$49:$W$52,$Z52,FALSE)),"")</f>
        <v/>
      </c>
      <c r="AP52" s="130" t="str">
        <f>IF(VLOOKUP($AA52,SKUS_TO_SIZES,AP$12,FALSE)=0,"",VLOOKUP($AA52,SKUS_TO_SIZES,AP$12,FALSE))</f>
        <v/>
      </c>
      <c r="AQ52" s="129" t="str">
        <f>IFERROR(IF(HLOOKUP(AP52,$M$49:$W$52,$Z52,FALSE)=0,"",HLOOKUP(AP52,$M$49:$W$52,$Z52,FALSE)),"")</f>
        <v/>
      </c>
      <c r="AR52" s="130" t="str">
        <f>IF(VLOOKUP($AA52,SKUS_TO_SIZES,AR$12,FALSE)=0,"",VLOOKUP($AA52,SKUS_TO_SIZES,AR$12,FALSE))</f>
        <v/>
      </c>
      <c r="AS52" s="129" t="str">
        <f>IFERROR(IF(HLOOKUP(AR52,$M$49:$W$52,$Z52,FALSE)=0,"",HLOOKUP(AR52,$M$49:$W$52,$Z52,FALSE)),"")</f>
        <v/>
      </c>
      <c r="AT52" s="130" t="str">
        <f>IF(VLOOKUP($AA52,SKUS_TO_SIZES,AT$12,FALSE)=0,"",VLOOKUP($AA52,SKUS_TO_SIZES,AT$12,FALSE))</f>
        <v/>
      </c>
      <c r="AU52" s="129" t="str">
        <f>IFERROR(IF(HLOOKUP(AT52,$M$49:$W$52,$Z52,FALSE)=0,"",HLOOKUP(AT52,$M$49:$W$52,$Z52,FALSE)),"")</f>
        <v/>
      </c>
      <c r="AV52" s="130" t="str">
        <f>IF(VLOOKUP($AA52,SKUS_TO_SIZES,AV$12,FALSE)=0,"",VLOOKUP($AA52,SKUS_TO_SIZES,AV$12,FALSE))</f>
        <v/>
      </c>
      <c r="AW52" s="596" t="str">
        <f>IFERROR(IF(HLOOKUP(AV52,$M$49:$W$52,$Z52,FALSE)=0,"",HLOOKUP(AV52,$M$49:$W$52,$Z52,FALSE)),"")</f>
        <v/>
      </c>
    </row>
    <row r="53" spans="2:53" ht="12.75" customHeight="1">
      <c r="B53" s="9">
        <f>IF(SNOWBOARD_CALCULATOR_TYPE=0,IF(ISBLANK(D53),MAX(B$14:B52),IF(AND(ISNUMBER(L53),L53&gt;0)=TRUE,MAX(B$14:B52)+1,MAX(B$14:B52))),0)</f>
        <v>0</v>
      </c>
      <c r="C53" s="10"/>
      <c r="D53" s="178"/>
      <c r="E53" s="209"/>
      <c r="F53" s="209"/>
      <c r="G53" s="579">
        <f>SUM(G50:G52)</f>
        <v>0</v>
      </c>
      <c r="H53" s="210"/>
      <c r="I53" s="210"/>
      <c r="J53" s="210"/>
      <c r="K53" s="227">
        <f ca="1">SUM(K50:K52)</f>
        <v>0</v>
      </c>
      <c r="L53" s="233">
        <f ca="1">SUM(M53:W53)</f>
        <v>0</v>
      </c>
      <c r="M53" s="442">
        <f ca="1">SUM(M50:M52)</f>
        <v>0</v>
      </c>
      <c r="N53" s="443">
        <f t="shared" ref="N53:S53" ca="1" si="91">SUM(N50:N52)</f>
        <v>0</v>
      </c>
      <c r="O53" s="443">
        <f ca="1">SUM(O50:O52)</f>
        <v>0</v>
      </c>
      <c r="P53" s="443">
        <f t="shared" ca="1" si="91"/>
        <v>0</v>
      </c>
      <c r="Q53" s="443">
        <f t="shared" ca="1" si="91"/>
        <v>0</v>
      </c>
      <c r="R53" s="443">
        <f t="shared" ca="1" si="91"/>
        <v>0</v>
      </c>
      <c r="S53" s="444">
        <f t="shared" ca="1" si="91"/>
        <v>0</v>
      </c>
      <c r="T53" s="179"/>
      <c r="U53" s="179"/>
      <c r="V53" s="179"/>
      <c r="W53" s="179"/>
      <c r="X53" s="178"/>
      <c r="Y53" s="23"/>
      <c r="AA53" s="150"/>
      <c r="AB53" s="6"/>
      <c r="AC53" s="45"/>
      <c r="AD53" s="6"/>
      <c r="AE53" s="45"/>
      <c r="AF53" s="6"/>
      <c r="AG53" s="45"/>
      <c r="AH53" s="6"/>
      <c r="AI53" s="45"/>
      <c r="AJ53" s="6"/>
      <c r="AK53" s="45"/>
      <c r="AL53" s="6"/>
      <c r="AM53" s="45"/>
      <c r="AN53" s="6"/>
      <c r="AO53" s="45"/>
      <c r="AP53" s="6"/>
      <c r="AQ53" s="45"/>
      <c r="AR53" s="6"/>
      <c r="AS53" s="45"/>
      <c r="AT53" s="6"/>
      <c r="AU53" s="45"/>
      <c r="AV53" s="6"/>
      <c r="AW53" s="45"/>
      <c r="AX53" s="6"/>
    </row>
    <row r="54" spans="2:53">
      <c r="C54" s="23"/>
      <c r="Y54" s="31"/>
    </row>
    <row r="55" spans="2:53" ht="15.75" hidden="1" customHeight="1">
      <c r="C55" s="10"/>
      <c r="D55" s="961" t="s">
        <v>104</v>
      </c>
      <c r="E55" s="961"/>
      <c r="F55" s="961"/>
      <c r="G55" s="961"/>
      <c r="H55" s="961"/>
      <c r="I55" s="961"/>
      <c r="J55" s="961"/>
      <c r="K55" s="961"/>
      <c r="L55" s="961"/>
      <c r="M55" s="961"/>
      <c r="N55" s="961"/>
      <c r="O55" s="961"/>
      <c r="P55" s="961"/>
      <c r="Q55" s="961"/>
      <c r="R55" s="961"/>
      <c r="S55" s="961"/>
      <c r="T55" s="961"/>
      <c r="U55" s="961"/>
      <c r="V55" s="961"/>
      <c r="W55" s="961"/>
      <c r="X55" s="961"/>
      <c r="Y55" s="10"/>
      <c r="AA55" s="2"/>
      <c r="AC55" s="1"/>
      <c r="AE55" s="1"/>
      <c r="AG55" s="1"/>
      <c r="AI55" s="1"/>
      <c r="AK55" s="1"/>
      <c r="AM55" s="1"/>
      <c r="AO55" s="1"/>
      <c r="AQ55" s="1"/>
      <c r="AS55" s="1"/>
      <c r="AU55" s="1"/>
      <c r="AW55" s="1"/>
    </row>
    <row r="56" spans="2:53" ht="12.75" hidden="1" customHeight="1">
      <c r="B56" s="9">
        <v>0</v>
      </c>
      <c r="C56" s="10"/>
      <c r="D56" s="957" t="s">
        <v>245</v>
      </c>
      <c r="E56" s="954"/>
      <c r="F56" s="189"/>
      <c r="G56" s="189"/>
      <c r="H56" s="185"/>
      <c r="I56" s="185"/>
      <c r="J56" s="185"/>
      <c r="K56" s="185"/>
      <c r="L56" s="185"/>
      <c r="M56" s="592"/>
      <c r="N56" s="592"/>
      <c r="O56" s="592"/>
      <c r="P56" s="592"/>
      <c r="Q56" s="592"/>
      <c r="R56" s="592"/>
      <c r="S56" s="592"/>
      <c r="T56" s="592"/>
      <c r="U56" s="592"/>
      <c r="V56" s="592"/>
      <c r="W56" s="592"/>
      <c r="X56" s="177"/>
      <c r="Y56" s="12"/>
      <c r="Z56" s="9"/>
      <c r="AA56" s="8"/>
      <c r="AB56" s="8"/>
      <c r="AC56" s="8"/>
      <c r="AD56" s="8"/>
      <c r="AE56" s="8"/>
      <c r="AF56" s="8"/>
      <c r="AG56" s="8"/>
      <c r="AH56" s="8"/>
      <c r="AI56" s="8"/>
      <c r="AJ56" s="8"/>
      <c r="AK56" s="8"/>
      <c r="AL56" s="8"/>
      <c r="AM56" s="8"/>
      <c r="AN56" s="8"/>
      <c r="AO56" s="8"/>
      <c r="AP56" s="8"/>
      <c r="AQ56" s="8"/>
      <c r="AR56" s="8"/>
      <c r="AS56" s="8"/>
      <c r="AT56" s="8"/>
      <c r="AU56" s="8"/>
      <c r="AV56" s="8"/>
      <c r="AW56" s="8"/>
      <c r="AX56" s="8"/>
    </row>
    <row r="57" spans="2:53" s="8" customFormat="1" ht="12.75" hidden="1" customHeight="1" thickBot="1">
      <c r="B57" s="9">
        <f>IF(SNOWBOARD_CALCULATOR_TYPE=1,IF(ISBLANK(D57),MAX(B56:B$56),IF(AND(ISNUMBER(L57),L57&gt;0)=TRUE,MAX(B56:B$56)+1,MAX(B56:B$56))),0)</f>
        <v>0</v>
      </c>
      <c r="C57" s="12"/>
      <c r="D57" s="190" t="s">
        <v>0</v>
      </c>
      <c r="E57" s="191" t="s">
        <v>1</v>
      </c>
      <c r="F57" s="192" t="s">
        <v>43</v>
      </c>
      <c r="G57" s="192" t="s">
        <v>19</v>
      </c>
      <c r="H57" s="272" t="s">
        <v>102</v>
      </c>
      <c r="I57" s="335" t="s">
        <v>21</v>
      </c>
      <c r="J57" s="322" t="s">
        <v>21</v>
      </c>
      <c r="K57" s="218" t="s">
        <v>6</v>
      </c>
      <c r="L57" s="195" t="s">
        <v>5</v>
      </c>
      <c r="M57" s="564" t="s">
        <v>248</v>
      </c>
      <c r="N57" s="564" t="s">
        <v>3</v>
      </c>
      <c r="O57" s="565" t="s">
        <v>2</v>
      </c>
      <c r="P57" s="566">
        <v>130</v>
      </c>
      <c r="Q57" s="565">
        <v>135</v>
      </c>
      <c r="R57" s="565">
        <v>140</v>
      </c>
      <c r="S57" s="565">
        <v>145</v>
      </c>
      <c r="T57" s="565">
        <v>150</v>
      </c>
      <c r="U57" s="565">
        <v>155</v>
      </c>
      <c r="V57" s="565">
        <v>160</v>
      </c>
      <c r="W57" s="567">
        <v>165</v>
      </c>
      <c r="X57" s="178"/>
      <c r="Y57" s="12"/>
      <c r="Z57" s="9"/>
      <c r="AX57" s="9"/>
      <c r="AY57" s="43"/>
      <c r="BA57" s="43"/>
    </row>
    <row r="58" spans="2:53" s="8" customFormat="1" ht="12.75" hidden="1" customHeight="1" thickTop="1">
      <c r="B58" s="9">
        <f>IF(SNOWBOARD_CALCULATOR_TYPE=1,IF(ISBLANK(D58),MAX(B$56:B57),IF(AND(ISNUMBER(L58),L58&gt;0)=TRUE,MAX(B$56:B57)+1,MAX(B$56:B57))),0)</f>
        <v>0</v>
      </c>
      <c r="C58" s="12"/>
      <c r="D58" s="387" t="s">
        <v>281</v>
      </c>
      <c r="E58" s="196" t="str">
        <f t="shared" ref="E58:E63" si="92">VLOOKUP(D58,SKUS_TO_SIZES,2,FALSE)</f>
        <v>EXP3 RAIL WIDE</v>
      </c>
      <c r="F58" s="197">
        <f t="shared" ref="F58:F63" si="93">VLOOKUP(D58,SKUS_TO_SIZES,3,FALSE)</f>
        <v>250</v>
      </c>
      <c r="G58" s="198">
        <f ca="1">SUM(M58:W58)*F58</f>
        <v>0</v>
      </c>
      <c r="H58" s="328">
        <f t="shared" ref="H58:H63" si="94">IF(SNOWBOARD_DISCOUNT_TYPE=1,IF($J$7=0,F58,F58*(SUM(1-$J$7))),IF(I58=0,F58,F58*(SUM(1-I58))))</f>
        <v>250</v>
      </c>
      <c r="I58" s="336">
        <v>0</v>
      </c>
      <c r="J58" s="268">
        <f>$J$7</f>
        <v>0</v>
      </c>
      <c r="K58" s="244">
        <f t="shared" ref="K58:K63" ca="1" si="95">SUM(M58:W58)*H58</f>
        <v>0</v>
      </c>
      <c r="L58" s="280">
        <f ca="1">SUM(M58:W58)</f>
        <v>0</v>
      </c>
      <c r="M58" s="412" t="str">
        <f ca="1">IFERROR(ROUND(HLOOKUP(M$57,INDIRECT("'Hidden Data'!"&amp;HLOOKUP(COLUMN(SKUS_TO_SIZES),NUMBER_TO_LETTER,2,FALSE)&amp;MATCH($D58,'Hidden Data'!$D:$D,0)&amp;":T"&amp;MATCH($D58&amp;"-sizecurve",'Hidden Data'!$D:$D,0)),2,FALSE),0)," ")</f>
        <v xml:space="preserve"> </v>
      </c>
      <c r="N58" s="409" t="str">
        <f ca="1">IFERROR(ROUND(HLOOKUP(N$57,INDIRECT("'Hidden Data'!"&amp;HLOOKUP(COLUMN(SKUS_TO_SIZES),NUMBER_TO_LETTER,2,FALSE)&amp;MATCH($D58,'Hidden Data'!$D:$D,0)&amp;":T"&amp;MATCH($D58&amp;"-sizecurve",'Hidden Data'!$D:$D,0)),2,FALSE),0)," ")</f>
        <v xml:space="preserve"> </v>
      </c>
      <c r="O58" s="409" t="str">
        <f ca="1">IFERROR(ROUND(HLOOKUP(O$57,INDIRECT("'Hidden Data'!"&amp;HLOOKUP(COLUMN(SKUS_TO_SIZES),NUMBER_TO_LETTER,2,FALSE)&amp;MATCH($D58,'Hidden Data'!$D:$D,0)&amp;":T"&amp;MATCH($D58&amp;"-sizecurve",'Hidden Data'!$D:$D,0)),2,FALSE),0)," ")</f>
        <v xml:space="preserve"> </v>
      </c>
      <c r="P58" s="409" t="str">
        <f ca="1">IFERROR(ROUND(HLOOKUP(P$57,INDIRECT("'Hidden Data'!"&amp;HLOOKUP(COLUMN(SKUS_TO_SIZES),NUMBER_TO_LETTER,2,FALSE)&amp;MATCH($D58,'Hidden Data'!$D:$D,0)&amp;":T"&amp;MATCH($D58&amp;"-sizecurve",'Hidden Data'!$D:$D,0)),2,FALSE),0)," ")</f>
        <v xml:space="preserve"> </v>
      </c>
      <c r="Q58" s="409" t="str">
        <f ca="1">IFERROR(ROUND(HLOOKUP(Q$57,INDIRECT("'Hidden Data'!"&amp;HLOOKUP(COLUMN(SKUS_TO_SIZES),NUMBER_TO_LETTER,2,FALSE)&amp;MATCH($D58,'Hidden Data'!$D:$D,0)&amp;":T"&amp;MATCH($D58&amp;"-sizecurve",'Hidden Data'!$D:$D,0)),2,FALSE),0)," ")</f>
        <v xml:space="preserve"> </v>
      </c>
      <c r="R58" s="409" t="str">
        <f ca="1">IFERROR(ROUND(HLOOKUP(R$57,INDIRECT("'Hidden Data'!"&amp;HLOOKUP(COLUMN(SKUS_TO_SIZES),NUMBER_TO_LETTER,2,FALSE)&amp;MATCH($D58,'Hidden Data'!$D:$D,0)&amp;":T"&amp;MATCH($D58&amp;"-sizecurve",'Hidden Data'!$D:$D,0)),2,FALSE),0)," ")</f>
        <v xml:space="preserve"> </v>
      </c>
      <c r="S58" s="409" t="str">
        <f ca="1">IFERROR(ROUND(HLOOKUP(S$57,INDIRECT("'Hidden Data'!"&amp;HLOOKUP(COLUMN(SKUS_TO_SIZES),NUMBER_TO_LETTER,2,FALSE)&amp;MATCH($D58,'Hidden Data'!$D:$D,0)&amp;":T"&amp;MATCH($D58&amp;"-sizecurve",'Hidden Data'!$D:$D,0)),2,FALSE),0)," ")</f>
        <v xml:space="preserve"> </v>
      </c>
      <c r="T58" s="409" t="str">
        <f ca="1">IFERROR(ROUND(HLOOKUP(T$57,INDIRECT("'Hidden Data'!"&amp;HLOOKUP(COLUMN(SKUS_TO_SIZES),NUMBER_TO_LETTER,2,FALSE)&amp;MATCH($D58,'Hidden Data'!$D:$D,0)&amp;":T"&amp;MATCH($D58&amp;"-sizecurve",'Hidden Data'!$D:$D,0)),2,FALSE),0)," ")</f>
        <v xml:space="preserve"> </v>
      </c>
      <c r="U58" s="416"/>
      <c r="V58" s="416"/>
      <c r="W58" s="417"/>
      <c r="X58" s="178"/>
      <c r="Y58" s="12"/>
      <c r="Z58" s="9">
        <v>2</v>
      </c>
      <c r="AA58" s="149" t="str">
        <f>D58</f>
        <v>REOTP02</v>
      </c>
      <c r="AB58" s="130">
        <f t="shared" ref="AB58:AB63" si="96">IF(VLOOKUP($AA58,SKUS_TO_SIZES,AB$12,FALSE)=0,"",VLOOKUP($AA58,SKUS_TO_SIZES,AB$12,FALSE))</f>
        <v>155</v>
      </c>
      <c r="AC58" s="129" t="str">
        <f>IFERROR(IF(HLOOKUP(AB58,$M$57:$W$63,$Z58,FALSE)=0,"",HLOOKUP(AB58,$M$57:$W$63,$Z58,FALSE)),"")</f>
        <v/>
      </c>
      <c r="AD58" s="130">
        <f t="shared" ref="AD58:AD63" si="97">IF(VLOOKUP($AA58,SKUS_TO_SIZES,AD$12,FALSE)=0,"",VLOOKUP($AA58,SKUS_TO_SIZES,AD$12,FALSE))</f>
        <v>160</v>
      </c>
      <c r="AE58" s="129" t="str">
        <f t="shared" ref="AE58" si="98">IFERROR(IF(HLOOKUP(AD58,$M$57:$W$63,$Z58,FALSE)=0,"",HLOOKUP(AD58,$M$57:$W$63,$Z58,FALSE)),"")</f>
        <v/>
      </c>
      <c r="AF58" s="130">
        <f t="shared" ref="AF58:AF63" si="99">IF(VLOOKUP($AA58,SKUS_TO_SIZES,AF$12,FALSE)=0,"",VLOOKUP($AA58,SKUS_TO_SIZES,AF$12,FALSE))</f>
        <v>165</v>
      </c>
      <c r="AG58" s="129" t="str">
        <f t="shared" ref="AG58" si="100">IFERROR(IF(HLOOKUP(AF58,$M$57:$W$63,$Z58,FALSE)=0,"",HLOOKUP(AF58,$M$57:$W$63,$Z58,FALSE)),"")</f>
        <v/>
      </c>
      <c r="AH58" s="130" t="str">
        <f t="shared" ref="AH58:AH63" si="101">IF(VLOOKUP($AA58,SKUS_TO_SIZES,AH$12,FALSE)=0,"",VLOOKUP($AA58,SKUS_TO_SIZES,AH$12,FALSE))</f>
        <v/>
      </c>
      <c r="AI58" s="129" t="str">
        <f t="shared" ref="AI58" si="102">IFERROR(IF(HLOOKUP(AH58,$M$57:$W$63,$Z58,FALSE)=0,"",HLOOKUP(AH58,$M$57:$W$63,$Z58,FALSE)),"")</f>
        <v/>
      </c>
      <c r="AJ58" s="130" t="str">
        <f t="shared" ref="AJ58:AJ63" si="103">IF(VLOOKUP($AA58,SKUS_TO_SIZES,AJ$12,FALSE)=0,"",VLOOKUP($AA58,SKUS_TO_SIZES,AJ$12,FALSE))</f>
        <v/>
      </c>
      <c r="AK58" s="129" t="str">
        <f t="shared" ref="AK58" si="104">IFERROR(IF(HLOOKUP(AJ58,$M$57:$W$63,$Z58,FALSE)=0,"",HLOOKUP(AJ58,$M$57:$W$63,$Z58,FALSE)),"")</f>
        <v/>
      </c>
      <c r="AL58" s="130" t="str">
        <f t="shared" ref="AL58:AL63" si="105">IF(VLOOKUP($AA58,SKUS_TO_SIZES,AL$12,FALSE)=0,"",VLOOKUP($AA58,SKUS_TO_SIZES,AL$12,FALSE))</f>
        <v/>
      </c>
      <c r="AM58" s="129" t="str">
        <f t="shared" ref="AM58" si="106">IFERROR(IF(HLOOKUP(AL58,$M$57:$W$63,$Z58,FALSE)=0,"",HLOOKUP(AL58,$M$57:$W$63,$Z58,FALSE)),"")</f>
        <v/>
      </c>
      <c r="AN58" s="130" t="str">
        <f t="shared" ref="AN58:AN63" si="107">IF(VLOOKUP($AA58,SKUS_TO_SIZES,AN$12,FALSE)=0,"",VLOOKUP($AA58,SKUS_TO_SIZES,AN$12,FALSE))</f>
        <v/>
      </c>
      <c r="AO58" s="129" t="str">
        <f t="shared" ref="AO58" si="108">IFERROR(IF(HLOOKUP(AN58,$M$57:$W$63,$Z58,FALSE)=0,"",HLOOKUP(AN58,$M$57:$W$63,$Z58,FALSE)),"")</f>
        <v/>
      </c>
      <c r="AP58" s="130" t="str">
        <f t="shared" ref="AP58:AP63" si="109">IF(VLOOKUP($AA58,SKUS_TO_SIZES,AP$12,FALSE)=0,"",VLOOKUP($AA58,SKUS_TO_SIZES,AP$12,FALSE))</f>
        <v/>
      </c>
      <c r="AQ58" s="129" t="str">
        <f t="shared" ref="AQ58" si="110">IFERROR(IF(HLOOKUP(AP58,$M$57:$W$63,$Z58,FALSE)=0,"",HLOOKUP(AP58,$M$57:$W$63,$Z58,FALSE)),"")</f>
        <v/>
      </c>
      <c r="AR58" s="130" t="str">
        <f t="shared" ref="AR58:AR63" si="111">IF(VLOOKUP($AA58,SKUS_TO_SIZES,AR$12,FALSE)=0,"",VLOOKUP($AA58,SKUS_TO_SIZES,AR$12,FALSE))</f>
        <v/>
      </c>
      <c r="AS58" s="129" t="str">
        <f t="shared" ref="AS58" si="112">IFERROR(IF(HLOOKUP(AR58,$M$57:$W$63,$Z58,FALSE)=0,"",HLOOKUP(AR58,$M$57:$W$63,$Z58,FALSE)),"")</f>
        <v/>
      </c>
      <c r="AT58" s="130" t="str">
        <f t="shared" ref="AT58:AT63" si="113">IF(VLOOKUP($AA58,SKUS_TO_SIZES,AT$12,FALSE)=0,"",VLOOKUP($AA58,SKUS_TO_SIZES,AT$12,FALSE))</f>
        <v/>
      </c>
      <c r="AU58" s="129" t="str">
        <f t="shared" ref="AU58" si="114">IFERROR(IF(HLOOKUP(AT58,$M$57:$W$63,$Z58,FALSE)=0,"",HLOOKUP(AT58,$M$57:$W$63,$Z58,FALSE)),"")</f>
        <v/>
      </c>
      <c r="AV58" s="130" t="str">
        <f t="shared" ref="AV58:AV63" si="115">IF(VLOOKUP($AA58,SKUS_TO_SIZES,AV$12,FALSE)=0,"",VLOOKUP($AA58,SKUS_TO_SIZES,AV$12,FALSE))</f>
        <v/>
      </c>
      <c r="AW58" s="596" t="str">
        <f t="shared" ref="AW58:AW63" si="116">IFERROR(IF(HLOOKUP(AV58,$M$57:$W$63,$Z58,FALSE)=0,"",HLOOKUP(AV58,$M$57:$W$63,$Z58,FALSE)),"")</f>
        <v/>
      </c>
      <c r="AY58" s="39"/>
      <c r="BA58" s="43"/>
    </row>
    <row r="59" spans="2:53" s="8" customFormat="1" ht="12.75" hidden="1" customHeight="1">
      <c r="B59" s="9">
        <f>IF(SNOWBOARD_CALCULATOR_TYPE=1,IF(ISBLANK(D59),MAX(B$56:B58),IF(AND(ISNUMBER(L59),L59&gt;0)=TRUE,MAX(B$56:B58)+1,MAX(B$56:B58))),0)</f>
        <v>0</v>
      </c>
      <c r="C59" s="158"/>
      <c r="D59" s="388" t="s">
        <v>282</v>
      </c>
      <c r="E59" s="201" t="str">
        <f t="shared" si="92"/>
        <v>EXP3 RAIL REGULAR</v>
      </c>
      <c r="F59" s="202">
        <f t="shared" si="93"/>
        <v>250</v>
      </c>
      <c r="G59" s="203">
        <f ca="1">SUM(M59:W59)*F59</f>
        <v>0</v>
      </c>
      <c r="H59" s="329">
        <f t="shared" si="94"/>
        <v>250</v>
      </c>
      <c r="I59" s="320">
        <v>0</v>
      </c>
      <c r="J59" s="269">
        <f>$J$7</f>
        <v>0</v>
      </c>
      <c r="K59" s="343">
        <f t="shared" ca="1" si="95"/>
        <v>0</v>
      </c>
      <c r="L59" s="280">
        <f ca="1">SUM(M59:W59)</f>
        <v>0</v>
      </c>
      <c r="M59" s="414" t="str">
        <f ca="1">IFERROR(ROUND(HLOOKUP(M$57,INDIRECT("'Hidden Data'!"&amp;HLOOKUP(COLUMN(SKUS_TO_SIZES),NUMBER_TO_LETTER,2,FALSE)&amp;MATCH($D59,'Hidden Data'!$D:$D,0)&amp;":T"&amp;MATCH($D59&amp;"-sizecurve",'Hidden Data'!$D:$D,0)),2,FALSE),0)," ")</f>
        <v xml:space="preserve"> </v>
      </c>
      <c r="N59" s="415" t="str">
        <f ca="1">IFERROR(ROUND(HLOOKUP(N$57,INDIRECT("'Hidden Data'!"&amp;HLOOKUP(COLUMN(SKUS_TO_SIZES),NUMBER_TO_LETTER,2,FALSE)&amp;MATCH($D59,'Hidden Data'!$D:$D,0)&amp;":T"&amp;MATCH($D59&amp;"-sizecurve",'Hidden Data'!$D:$D,0)),2,FALSE),0)," ")</f>
        <v xml:space="preserve"> </v>
      </c>
      <c r="O59" s="415" t="str">
        <f ca="1">IFERROR(ROUND(HLOOKUP(O$57,INDIRECT("'Hidden Data'!"&amp;HLOOKUP(COLUMN(SKUS_TO_SIZES),NUMBER_TO_LETTER,2,FALSE)&amp;MATCH($D59,'Hidden Data'!$D:$D,0)&amp;":T"&amp;MATCH($D59&amp;"-sizecurve",'Hidden Data'!$D:$D,0)),2,FALSE),0)," ")</f>
        <v xml:space="preserve"> </v>
      </c>
      <c r="P59" s="415" t="str">
        <f ca="1">IFERROR(ROUND(HLOOKUP(P$57,INDIRECT("'Hidden Data'!"&amp;HLOOKUP(COLUMN(SKUS_TO_SIZES),NUMBER_TO_LETTER,2,FALSE)&amp;MATCH($D59,'Hidden Data'!$D:$D,0)&amp;":T"&amp;MATCH($D59&amp;"-sizecurve",'Hidden Data'!$D:$D,0)),2,FALSE),0)," ")</f>
        <v xml:space="preserve"> </v>
      </c>
      <c r="Q59" s="415" t="str">
        <f ca="1">IFERROR(ROUND(HLOOKUP(Q$57,INDIRECT("'Hidden Data'!"&amp;HLOOKUP(COLUMN(SKUS_TO_SIZES),NUMBER_TO_LETTER,2,FALSE)&amp;MATCH($D59,'Hidden Data'!$D:$D,0)&amp;":T"&amp;MATCH($D59&amp;"-sizecurve",'Hidden Data'!$D:$D,0)),2,FALSE),0)," ")</f>
        <v xml:space="preserve"> </v>
      </c>
      <c r="R59" s="418"/>
      <c r="S59" s="418"/>
      <c r="T59" s="418"/>
      <c r="U59" s="418"/>
      <c r="V59" s="415" t="str">
        <f ca="1">IFERROR(ROUND(HLOOKUP(V$57,INDIRECT("'Hidden Data'!"&amp;HLOOKUP(COLUMN(SKUS_TO_SIZES),NUMBER_TO_LETTER,2,FALSE)&amp;MATCH($D59,'Hidden Data'!$D:$D,0)&amp;":T"&amp;MATCH($D59&amp;"-sizecurve",'Hidden Data'!$D:$D,0)),2,FALSE),0)," ")</f>
        <v xml:space="preserve"> </v>
      </c>
      <c r="W59" s="410" t="str">
        <f ca="1">IFERROR(ROUND(HLOOKUP(W$57,INDIRECT("'Hidden Data'!"&amp;HLOOKUP(COLUMN(SKUS_TO_SIZES),NUMBER_TO_LETTER,2,FALSE)&amp;MATCH($D59,'Hidden Data'!$D:$D,0)&amp;":T"&amp;MATCH($D59&amp;"-sizecurve",'Hidden Data'!$D:$D,0)),2,FALSE),0)," ")</f>
        <v xml:space="preserve"> </v>
      </c>
      <c r="X59" s="178"/>
      <c r="Y59" s="12"/>
      <c r="Z59" s="2">
        <f t="shared" ref="Z59" si="117">Z58+1</f>
        <v>3</v>
      </c>
      <c r="AA59" s="149" t="str">
        <f>D59</f>
        <v>REOTP01</v>
      </c>
      <c r="AB59" s="130">
        <f t="shared" si="96"/>
        <v>140</v>
      </c>
      <c r="AC59" s="129" t="str">
        <f t="shared" ref="AC59:AC63" si="118">IFERROR(IF(HLOOKUP(AB59,$M$57:$W$63,$Z59,FALSE)=0,"",HLOOKUP(AB59,$M$57:$W$63,$Z59,FALSE)),"")</f>
        <v/>
      </c>
      <c r="AD59" s="130">
        <f t="shared" si="97"/>
        <v>145</v>
      </c>
      <c r="AE59" s="129" t="str">
        <f t="shared" ref="AE59" si="119">IFERROR(IF(HLOOKUP(AD59,$M$57:$W$63,$Z59,FALSE)=0,"",HLOOKUP(AD59,$M$57:$W$63,$Z59,FALSE)),"")</f>
        <v/>
      </c>
      <c r="AF59" s="130">
        <f t="shared" si="99"/>
        <v>150</v>
      </c>
      <c r="AG59" s="129" t="str">
        <f t="shared" ref="AG59" si="120">IFERROR(IF(HLOOKUP(AF59,$M$57:$W$63,$Z59,FALSE)=0,"",HLOOKUP(AF59,$M$57:$W$63,$Z59,FALSE)),"")</f>
        <v/>
      </c>
      <c r="AH59" s="130">
        <f t="shared" si="101"/>
        <v>155</v>
      </c>
      <c r="AI59" s="129" t="str">
        <f t="shared" ref="AI59" si="121">IFERROR(IF(HLOOKUP(AH59,$M$57:$W$63,$Z59,FALSE)=0,"",HLOOKUP(AH59,$M$57:$W$63,$Z59,FALSE)),"")</f>
        <v/>
      </c>
      <c r="AJ59" s="130" t="str">
        <f t="shared" si="103"/>
        <v/>
      </c>
      <c r="AK59" s="129" t="str">
        <f t="shared" ref="AK59" si="122">IFERROR(IF(HLOOKUP(AJ59,$M$57:$W$63,$Z59,FALSE)=0,"",HLOOKUP(AJ59,$M$57:$W$63,$Z59,FALSE)),"")</f>
        <v/>
      </c>
      <c r="AL59" s="130" t="str">
        <f t="shared" si="105"/>
        <v/>
      </c>
      <c r="AM59" s="129" t="str">
        <f t="shared" ref="AM59" si="123">IFERROR(IF(HLOOKUP(AL59,$M$57:$W$63,$Z59,FALSE)=0,"",HLOOKUP(AL59,$M$57:$W$63,$Z59,FALSE)),"")</f>
        <v/>
      </c>
      <c r="AN59" s="130" t="str">
        <f t="shared" si="107"/>
        <v/>
      </c>
      <c r="AO59" s="129" t="str">
        <f t="shared" ref="AO59" si="124">IFERROR(IF(HLOOKUP(AN59,$M$57:$W$63,$Z59,FALSE)=0,"",HLOOKUP(AN59,$M$57:$W$63,$Z59,FALSE)),"")</f>
        <v/>
      </c>
      <c r="AP59" s="130" t="str">
        <f t="shared" si="109"/>
        <v/>
      </c>
      <c r="AQ59" s="129" t="str">
        <f t="shared" ref="AQ59" si="125">IFERROR(IF(HLOOKUP(AP59,$M$57:$W$63,$Z59,FALSE)=0,"",HLOOKUP(AP59,$M$57:$W$63,$Z59,FALSE)),"")</f>
        <v/>
      </c>
      <c r="AR59" s="130" t="str">
        <f t="shared" si="111"/>
        <v/>
      </c>
      <c r="AS59" s="129" t="str">
        <f t="shared" ref="AS59" si="126">IFERROR(IF(HLOOKUP(AR59,$M$57:$W$63,$Z59,FALSE)=0,"",HLOOKUP(AR59,$M$57:$W$63,$Z59,FALSE)),"")</f>
        <v/>
      </c>
      <c r="AT59" s="130" t="str">
        <f t="shared" si="113"/>
        <v/>
      </c>
      <c r="AU59" s="129" t="str">
        <f t="shared" ref="AU59" si="127">IFERROR(IF(HLOOKUP(AT59,$M$57:$W$63,$Z59,FALSE)=0,"",HLOOKUP(AT59,$M$57:$W$63,$Z59,FALSE)),"")</f>
        <v/>
      </c>
      <c r="AV59" s="130" t="str">
        <f t="shared" si="115"/>
        <v/>
      </c>
      <c r="AW59" s="596" t="str">
        <f t="shared" si="116"/>
        <v/>
      </c>
      <c r="AY59" s="43"/>
      <c r="BA59" s="43"/>
    </row>
    <row r="60" spans="2:53" s="8" customFormat="1" ht="12.75" hidden="1" customHeight="1">
      <c r="B60" s="9">
        <f>IF(SNOWBOARD_CALCULATOR_TYPE=1,IF(ISBLANK(D60),MAX(B$56:B59),IF(AND(ISNUMBER(L60),L60&gt;0)=TRUE,MAX(B$56:B59)+1,MAX(B$56:B59))),0)</f>
        <v>0</v>
      </c>
      <c r="C60" s="158"/>
      <c r="D60" s="450" t="s">
        <v>283</v>
      </c>
      <c r="E60" s="456" t="str">
        <f t="shared" si="92"/>
        <v>EXP3 RAIL NARROW</v>
      </c>
      <c r="F60" s="465">
        <f t="shared" si="93"/>
        <v>250</v>
      </c>
      <c r="G60" s="458">
        <f t="shared" ref="G60:G62" ca="1" si="128">SUM(M60:W60)*F60</f>
        <v>0</v>
      </c>
      <c r="H60" s="459">
        <f t="shared" si="94"/>
        <v>250</v>
      </c>
      <c r="I60" s="569">
        <v>0</v>
      </c>
      <c r="J60" s="576">
        <f t="shared" ref="J60:J62" si="129">$J$7</f>
        <v>0</v>
      </c>
      <c r="K60" s="577">
        <f t="shared" ca="1" si="95"/>
        <v>0</v>
      </c>
      <c r="L60" s="585">
        <f t="shared" ref="L60:L62" ca="1" si="130">SUM(M60:W60)</f>
        <v>0</v>
      </c>
      <c r="M60" s="586" t="str">
        <f ca="1">IFERROR(ROUND(HLOOKUP(M$57,INDIRECT("'Hidden Data'!"&amp;HLOOKUP(COLUMN(SKUS_TO_SIZES),NUMBER_TO_LETTER,2,FALSE)&amp;MATCH($D60,'Hidden Data'!$D:$D,0)&amp;":T"&amp;MATCH($D60&amp;"-sizecurve",'Hidden Data'!$D:$D,0)),2,FALSE),0)," ")</f>
        <v xml:space="preserve"> </v>
      </c>
      <c r="N60" s="516" t="str">
        <f ca="1">IFERROR(ROUND(HLOOKUP(N$57,INDIRECT("'Hidden Data'!"&amp;HLOOKUP(COLUMN(SKUS_TO_SIZES),NUMBER_TO_LETTER,2,FALSE)&amp;MATCH($D60,'Hidden Data'!$D:$D,0)&amp;":T"&amp;MATCH($D60&amp;"-sizecurve",'Hidden Data'!$D:$D,0)),2,FALSE),0)," ")</f>
        <v xml:space="preserve"> </v>
      </c>
      <c r="O60" s="516" t="str">
        <f ca="1">IFERROR(ROUND(HLOOKUP(O$57,INDIRECT("'Hidden Data'!"&amp;HLOOKUP(COLUMN(SKUS_TO_SIZES),NUMBER_TO_LETTER,2,FALSE)&amp;MATCH($D60,'Hidden Data'!$D:$D,0)&amp;":T"&amp;MATCH($D60&amp;"-sizecurve",'Hidden Data'!$D:$D,0)),2,FALSE),0)," ")</f>
        <v xml:space="preserve"> </v>
      </c>
      <c r="P60" s="462"/>
      <c r="Q60" s="462"/>
      <c r="R60" s="462"/>
      <c r="S60" s="462"/>
      <c r="T60" s="462"/>
      <c r="U60" s="516" t="str">
        <f ca="1">IFERROR(ROUND(HLOOKUP(U$57,INDIRECT("'Hidden Data'!"&amp;HLOOKUP(COLUMN(SKUS_TO_SIZES),NUMBER_TO_LETTER,2,FALSE)&amp;MATCH($D60,'Hidden Data'!$D:$D,0)&amp;":T"&amp;MATCH($D60&amp;"-sizecurve",'Hidden Data'!$D:$D,0)),2,FALSE),0)," ")</f>
        <v xml:space="preserve"> </v>
      </c>
      <c r="V60" s="516" t="str">
        <f ca="1">IFERROR(ROUND(HLOOKUP(V$57,INDIRECT("'Hidden Data'!"&amp;HLOOKUP(COLUMN(SKUS_TO_SIZES),NUMBER_TO_LETTER,2,FALSE)&amp;MATCH($D60,'Hidden Data'!$D:$D,0)&amp;":T"&amp;MATCH($D60&amp;"-sizecurve",'Hidden Data'!$D:$D,0)),2,FALSE),0)," ")</f>
        <v xml:space="preserve"> </v>
      </c>
      <c r="W60" s="587" t="str">
        <f ca="1">IFERROR(ROUND(HLOOKUP(W$57,INDIRECT("'Hidden Data'!"&amp;HLOOKUP(COLUMN(SKUS_TO_SIZES),NUMBER_TO_LETTER,2,FALSE)&amp;MATCH($D60,'Hidden Data'!$D:$D,0)&amp;":T"&amp;MATCH($D60&amp;"-sizecurve",'Hidden Data'!$D:$D,0)),2,FALSE),0)," ")</f>
        <v xml:space="preserve"> </v>
      </c>
      <c r="X60" s="178"/>
      <c r="Y60" s="12"/>
      <c r="Z60" s="2">
        <f t="shared" ref="Z60:Z62" si="131">Z59+1</f>
        <v>4</v>
      </c>
      <c r="AA60" s="149" t="str">
        <f t="shared" ref="AA60:AA62" si="132">D60</f>
        <v>REOT501</v>
      </c>
      <c r="AB60" s="130">
        <f t="shared" si="96"/>
        <v>130</v>
      </c>
      <c r="AC60" s="129" t="str">
        <f t="shared" si="118"/>
        <v/>
      </c>
      <c r="AD60" s="130">
        <f t="shared" si="97"/>
        <v>135</v>
      </c>
      <c r="AE60" s="129" t="str">
        <f t="shared" ref="AE60" si="133">IFERROR(IF(HLOOKUP(AD60,$M$57:$W$63,$Z60,FALSE)=0,"",HLOOKUP(AD60,$M$57:$W$63,$Z60,FALSE)),"")</f>
        <v/>
      </c>
      <c r="AF60" s="130">
        <f t="shared" si="99"/>
        <v>140</v>
      </c>
      <c r="AG60" s="129" t="str">
        <f t="shared" ref="AG60" si="134">IFERROR(IF(HLOOKUP(AF60,$M$57:$W$63,$Z60,FALSE)=0,"",HLOOKUP(AF60,$M$57:$W$63,$Z60,FALSE)),"")</f>
        <v/>
      </c>
      <c r="AH60" s="130">
        <f t="shared" si="101"/>
        <v>145</v>
      </c>
      <c r="AI60" s="129" t="str">
        <f t="shared" ref="AI60" si="135">IFERROR(IF(HLOOKUP(AH60,$M$57:$W$63,$Z60,FALSE)=0,"",HLOOKUP(AH60,$M$57:$W$63,$Z60,FALSE)),"")</f>
        <v/>
      </c>
      <c r="AJ60" s="130">
        <f t="shared" si="103"/>
        <v>150</v>
      </c>
      <c r="AK60" s="129" t="str">
        <f t="shared" ref="AK60" si="136">IFERROR(IF(HLOOKUP(AJ60,$M$57:$W$63,$Z60,FALSE)=0,"",HLOOKUP(AJ60,$M$57:$W$63,$Z60,FALSE)),"")</f>
        <v/>
      </c>
      <c r="AL60" s="130" t="str">
        <f t="shared" si="105"/>
        <v/>
      </c>
      <c r="AM60" s="129" t="str">
        <f t="shared" ref="AM60" si="137">IFERROR(IF(HLOOKUP(AL60,$M$57:$W$63,$Z60,FALSE)=0,"",HLOOKUP(AL60,$M$57:$W$63,$Z60,FALSE)),"")</f>
        <v/>
      </c>
      <c r="AN60" s="130" t="str">
        <f t="shared" si="107"/>
        <v/>
      </c>
      <c r="AO60" s="129" t="str">
        <f t="shared" ref="AO60" si="138">IFERROR(IF(HLOOKUP(AN60,$M$57:$W$63,$Z60,FALSE)=0,"",HLOOKUP(AN60,$M$57:$W$63,$Z60,FALSE)),"")</f>
        <v/>
      </c>
      <c r="AP60" s="130" t="str">
        <f t="shared" si="109"/>
        <v/>
      </c>
      <c r="AQ60" s="129" t="str">
        <f t="shared" ref="AQ60" si="139">IFERROR(IF(HLOOKUP(AP60,$M$57:$W$63,$Z60,FALSE)=0,"",HLOOKUP(AP60,$M$57:$W$63,$Z60,FALSE)),"")</f>
        <v/>
      </c>
      <c r="AR60" s="130" t="str">
        <f t="shared" si="111"/>
        <v/>
      </c>
      <c r="AS60" s="129" t="str">
        <f t="shared" ref="AS60" si="140">IFERROR(IF(HLOOKUP(AR60,$M$57:$W$63,$Z60,FALSE)=0,"",HLOOKUP(AR60,$M$57:$W$63,$Z60,FALSE)),"")</f>
        <v/>
      </c>
      <c r="AT60" s="130" t="str">
        <f t="shared" si="113"/>
        <v/>
      </c>
      <c r="AU60" s="129" t="str">
        <f t="shared" ref="AU60" si="141">IFERROR(IF(HLOOKUP(AT60,$M$57:$W$63,$Z60,FALSE)=0,"",HLOOKUP(AT60,$M$57:$W$63,$Z60,FALSE)),"")</f>
        <v/>
      </c>
      <c r="AV60" s="130" t="str">
        <f t="shared" si="115"/>
        <v/>
      </c>
      <c r="AW60" s="596" t="str">
        <f t="shared" si="116"/>
        <v/>
      </c>
      <c r="AY60" s="43"/>
      <c r="BA60" s="43"/>
    </row>
    <row r="61" spans="2:53" s="8" customFormat="1" ht="12.75" hidden="1" customHeight="1">
      <c r="B61" s="9">
        <f>IF(SNOWBOARD_CALCULATOR_TYPE=1,IF(ISBLANK(D61),MAX(B$56:B60),IF(AND(ISNUMBER(L61),L61&gt;0)=TRUE,MAX(B$56:B60)+1,MAX(B$56:B60))),0)</f>
        <v>0</v>
      </c>
      <c r="C61" s="158"/>
      <c r="D61" s="589" t="s">
        <v>197</v>
      </c>
      <c r="E61" s="574" t="str">
        <f t="shared" si="92"/>
        <v>REPLY RAIL M/L (sizes 8-15)</v>
      </c>
      <c r="F61" s="575">
        <f t="shared" si="93"/>
        <v>212</v>
      </c>
      <c r="G61" s="186">
        <f t="shared" ca="1" si="128"/>
        <v>0</v>
      </c>
      <c r="H61" s="508">
        <f t="shared" si="94"/>
        <v>212</v>
      </c>
      <c r="I61" s="380">
        <v>0</v>
      </c>
      <c r="J61" s="381">
        <f t="shared" si="129"/>
        <v>0</v>
      </c>
      <c r="K61" s="244">
        <f t="shared" ca="1" si="95"/>
        <v>0</v>
      </c>
      <c r="L61" s="280">
        <f t="shared" ca="1" si="130"/>
        <v>0</v>
      </c>
      <c r="M61" s="581" t="str">
        <f ca="1">IFERROR(ROUND(HLOOKUP(M$57,INDIRECT("'Hidden Data'!"&amp;HLOOKUP(COLUMN(SKUS_TO_SIZES),NUMBER_TO_LETTER,2,FALSE)&amp;MATCH($D61,'Hidden Data'!$D:$D,0)&amp;":T"&amp;MATCH($D61&amp;"-sizecurve",'Hidden Data'!$D:$D,0)),2,FALSE),0)," ")</f>
        <v xml:space="preserve"> </v>
      </c>
      <c r="N61" s="583" t="str">
        <f ca="1">IFERROR(ROUND(HLOOKUP(N$57,INDIRECT("'Hidden Data'!"&amp;HLOOKUP(COLUMN(SKUS_TO_SIZES),NUMBER_TO_LETTER,2,FALSE)&amp;MATCH($D61,'Hidden Data'!$D:$D,0)&amp;":T"&amp;MATCH($D61&amp;"-sizecurve",'Hidden Data'!$D:$D,0)),2,FALSE),0)," ")</f>
        <v xml:space="preserve"> </v>
      </c>
      <c r="O61" s="582"/>
      <c r="P61" s="583" t="str">
        <f ca="1">IFERROR(ROUND(HLOOKUP(P$57,INDIRECT("'Hidden Data'!"&amp;HLOOKUP(COLUMN(SKUS_TO_SIZES),NUMBER_TO_LETTER,2,FALSE)&amp;MATCH($D61,'Hidden Data'!$D:$D,0)&amp;":T"&amp;MATCH($D61&amp;"-sizecurve",'Hidden Data'!$D:$D,0)),2,FALSE),0)," ")</f>
        <v xml:space="preserve"> </v>
      </c>
      <c r="Q61" s="583" t="str">
        <f ca="1">IFERROR(ROUND(HLOOKUP(Q$57,INDIRECT("'Hidden Data'!"&amp;HLOOKUP(COLUMN(SKUS_TO_SIZES),NUMBER_TO_LETTER,2,FALSE)&amp;MATCH($D61,'Hidden Data'!$D:$D,0)&amp;":T"&amp;MATCH($D61&amp;"-sizecurve",'Hidden Data'!$D:$D,0)),2,FALSE),0)," ")</f>
        <v xml:space="preserve"> </v>
      </c>
      <c r="R61" s="583" t="str">
        <f ca="1">IFERROR(ROUND(HLOOKUP(R$57,INDIRECT("'Hidden Data'!"&amp;HLOOKUP(COLUMN(SKUS_TO_SIZES),NUMBER_TO_LETTER,2,FALSE)&amp;MATCH($D61,'Hidden Data'!$D:$D,0)&amp;":T"&amp;MATCH($D61&amp;"-sizecurve",'Hidden Data'!$D:$D,0)),2,FALSE),0)," ")</f>
        <v xml:space="preserve"> </v>
      </c>
      <c r="S61" s="583" t="str">
        <f ca="1">IFERROR(ROUND(HLOOKUP(S$57,INDIRECT("'Hidden Data'!"&amp;HLOOKUP(COLUMN(SKUS_TO_SIZES),NUMBER_TO_LETTER,2,FALSE)&amp;MATCH($D61,'Hidden Data'!$D:$D,0)&amp;":T"&amp;MATCH($D61&amp;"-sizecurve",'Hidden Data'!$D:$D,0)),2,FALSE),0)," ")</f>
        <v xml:space="preserve"> </v>
      </c>
      <c r="T61" s="583" t="str">
        <f ca="1">IFERROR(ROUND(HLOOKUP(T$57,INDIRECT("'Hidden Data'!"&amp;HLOOKUP(COLUMN(SKUS_TO_SIZES),NUMBER_TO_LETTER,2,FALSE)&amp;MATCH($D61,'Hidden Data'!$D:$D,0)&amp;":T"&amp;MATCH($D61&amp;"-sizecurve",'Hidden Data'!$D:$D,0)),2,FALSE),0)," ")</f>
        <v xml:space="preserve"> </v>
      </c>
      <c r="U61" s="583" t="str">
        <f ca="1">IFERROR(ROUND(HLOOKUP(U$57,INDIRECT("'Hidden Data'!"&amp;HLOOKUP(COLUMN(SKUS_TO_SIZES),NUMBER_TO_LETTER,2,FALSE)&amp;MATCH($D61,'Hidden Data'!$D:$D,0)&amp;":T"&amp;MATCH($D61&amp;"-sizecurve",'Hidden Data'!$D:$D,0)),2,FALSE),0)," ")</f>
        <v xml:space="preserve"> </v>
      </c>
      <c r="V61" s="583" t="str">
        <f ca="1">IFERROR(ROUND(HLOOKUP(V$57,INDIRECT("'Hidden Data'!"&amp;HLOOKUP(COLUMN(SKUS_TO_SIZES),NUMBER_TO_LETTER,2,FALSE)&amp;MATCH($D61,'Hidden Data'!$D:$D,0)&amp;":T"&amp;MATCH($D61&amp;"-sizecurve",'Hidden Data'!$D:$D,0)),2,FALSE),0)," ")</f>
        <v xml:space="preserve"> </v>
      </c>
      <c r="W61" s="584" t="str">
        <f ca="1">IFERROR(ROUND(HLOOKUP(W$57,INDIRECT("'Hidden Data'!"&amp;HLOOKUP(COLUMN(SKUS_TO_SIZES),NUMBER_TO_LETTER,2,FALSE)&amp;MATCH($D61,'Hidden Data'!$D:$D,0)&amp;":T"&amp;MATCH($D61&amp;"-sizecurve",'Hidden Data'!$D:$D,0)),2,FALSE),0)," ")</f>
        <v xml:space="preserve"> </v>
      </c>
      <c r="X61" s="178"/>
      <c r="Y61" s="12"/>
      <c r="Z61" s="2">
        <f t="shared" si="131"/>
        <v>5</v>
      </c>
      <c r="AA61" s="149" t="str">
        <f t="shared" si="132"/>
        <v>RGJ0080</v>
      </c>
      <c r="AB61" s="130" t="str">
        <f t="shared" si="96"/>
        <v>M/L</v>
      </c>
      <c r="AC61" s="129" t="str">
        <f t="shared" si="118"/>
        <v/>
      </c>
      <c r="AD61" s="130" t="str">
        <f t="shared" si="97"/>
        <v/>
      </c>
      <c r="AE61" s="129" t="str">
        <f t="shared" ref="AE61" si="142">IFERROR(IF(HLOOKUP(AD61,$M$57:$W$63,$Z61,FALSE)=0,"",HLOOKUP(AD61,$M$57:$W$63,$Z61,FALSE)),"")</f>
        <v/>
      </c>
      <c r="AF61" s="130" t="str">
        <f t="shared" si="99"/>
        <v/>
      </c>
      <c r="AG61" s="129" t="str">
        <f t="shared" ref="AG61" si="143">IFERROR(IF(HLOOKUP(AF61,$M$57:$W$63,$Z61,FALSE)=0,"",HLOOKUP(AF61,$M$57:$W$63,$Z61,FALSE)),"")</f>
        <v/>
      </c>
      <c r="AH61" s="130" t="str">
        <f t="shared" si="101"/>
        <v/>
      </c>
      <c r="AI61" s="129" t="str">
        <f t="shared" ref="AI61" si="144">IFERROR(IF(HLOOKUP(AH61,$M$57:$W$63,$Z61,FALSE)=0,"",HLOOKUP(AH61,$M$57:$W$63,$Z61,FALSE)),"")</f>
        <v/>
      </c>
      <c r="AJ61" s="130" t="str">
        <f t="shared" si="103"/>
        <v/>
      </c>
      <c r="AK61" s="129" t="str">
        <f t="shared" ref="AK61" si="145">IFERROR(IF(HLOOKUP(AJ61,$M$57:$W$63,$Z61,FALSE)=0,"",HLOOKUP(AJ61,$M$57:$W$63,$Z61,FALSE)),"")</f>
        <v/>
      </c>
      <c r="AL61" s="130" t="str">
        <f t="shared" si="105"/>
        <v/>
      </c>
      <c r="AM61" s="129" t="str">
        <f t="shared" ref="AM61" si="146">IFERROR(IF(HLOOKUP(AL61,$M$57:$W$63,$Z61,FALSE)=0,"",HLOOKUP(AL61,$M$57:$W$63,$Z61,FALSE)),"")</f>
        <v/>
      </c>
      <c r="AN61" s="130" t="str">
        <f t="shared" si="107"/>
        <v/>
      </c>
      <c r="AO61" s="129" t="str">
        <f t="shared" ref="AO61" si="147">IFERROR(IF(HLOOKUP(AN61,$M$57:$W$63,$Z61,FALSE)=0,"",HLOOKUP(AN61,$M$57:$W$63,$Z61,FALSE)),"")</f>
        <v/>
      </c>
      <c r="AP61" s="130" t="str">
        <f t="shared" si="109"/>
        <v/>
      </c>
      <c r="AQ61" s="129" t="str">
        <f t="shared" ref="AQ61" si="148">IFERROR(IF(HLOOKUP(AP61,$M$57:$W$63,$Z61,FALSE)=0,"",HLOOKUP(AP61,$M$57:$W$63,$Z61,FALSE)),"")</f>
        <v/>
      </c>
      <c r="AR61" s="130" t="str">
        <f t="shared" si="111"/>
        <v/>
      </c>
      <c r="AS61" s="129" t="str">
        <f t="shared" ref="AS61" si="149">IFERROR(IF(HLOOKUP(AR61,$M$57:$W$63,$Z61,FALSE)=0,"",HLOOKUP(AR61,$M$57:$W$63,$Z61,FALSE)),"")</f>
        <v/>
      </c>
      <c r="AT61" s="130" t="str">
        <f t="shared" si="113"/>
        <v/>
      </c>
      <c r="AU61" s="129" t="str">
        <f t="shared" ref="AU61" si="150">IFERROR(IF(HLOOKUP(AT61,$M$57:$W$63,$Z61,FALSE)=0,"",HLOOKUP(AT61,$M$57:$W$63,$Z61,FALSE)),"")</f>
        <v/>
      </c>
      <c r="AV61" s="130" t="str">
        <f t="shared" si="115"/>
        <v/>
      </c>
      <c r="AW61" s="596" t="str">
        <f t="shared" si="116"/>
        <v/>
      </c>
      <c r="AY61" s="43"/>
      <c r="BA61" s="43"/>
    </row>
    <row r="62" spans="2:53" s="8" customFormat="1" ht="12.75" hidden="1" customHeight="1">
      <c r="B62" s="9">
        <f>IF(SNOWBOARD_CALCULATOR_TYPE=1,IF(ISBLANK(D62),MAX(B$56:B61),IF(AND(ISNUMBER(L62),L62&gt;0)=TRUE,MAX(B$56:B61)+1,MAX(B$56:B61))),0)</f>
        <v>0</v>
      </c>
      <c r="C62" s="158"/>
      <c r="D62" s="568" t="s">
        <v>196</v>
      </c>
      <c r="E62" s="456" t="str">
        <f t="shared" si="92"/>
        <v>REPLY RAIL S/M (sizes 5-8)</v>
      </c>
      <c r="F62" s="465">
        <f t="shared" si="93"/>
        <v>212</v>
      </c>
      <c r="G62" s="458">
        <f t="shared" ca="1" si="128"/>
        <v>0</v>
      </c>
      <c r="H62" s="459">
        <f t="shared" si="94"/>
        <v>212</v>
      </c>
      <c r="I62" s="569">
        <v>0</v>
      </c>
      <c r="J62" s="570">
        <f t="shared" si="129"/>
        <v>0</v>
      </c>
      <c r="K62" s="572">
        <f t="shared" ca="1" si="95"/>
        <v>0</v>
      </c>
      <c r="L62" s="280">
        <f t="shared" ca="1" si="130"/>
        <v>0</v>
      </c>
      <c r="M62" s="586"/>
      <c r="N62" s="420"/>
      <c r="O62" s="413" t="str">
        <f ca="1">IFERROR(ROUND(HLOOKUP(O$57,INDIRECT("'Hidden Data'!"&amp;HLOOKUP(COLUMN(SKUS_TO_SIZES),NUMBER_TO_LETTER,2,FALSE)&amp;MATCH($D62,'Hidden Data'!$D:$D,0)&amp;":T"&amp;MATCH($D62&amp;"-sizecurve",'Hidden Data'!$D:$D,0)),2,FALSE),0)," ")</f>
        <v xml:space="preserve"> </v>
      </c>
      <c r="P62" s="413" t="str">
        <f ca="1">IFERROR(ROUND(HLOOKUP(P$57,INDIRECT("'Hidden Data'!"&amp;HLOOKUP(COLUMN(SKUS_TO_SIZES),NUMBER_TO_LETTER,2,FALSE)&amp;MATCH($D62,'Hidden Data'!$D:$D,0)&amp;":T"&amp;MATCH($D62&amp;"-sizecurve",'Hidden Data'!$D:$D,0)),2,FALSE),0)," ")</f>
        <v xml:space="preserve"> </v>
      </c>
      <c r="Q62" s="413" t="str">
        <f ca="1">IFERROR(ROUND(HLOOKUP(Q$57,INDIRECT("'Hidden Data'!"&amp;HLOOKUP(COLUMN(SKUS_TO_SIZES),NUMBER_TO_LETTER,2,FALSE)&amp;MATCH($D62,'Hidden Data'!$D:$D,0)&amp;":T"&amp;MATCH($D62&amp;"-sizecurve",'Hidden Data'!$D:$D,0)),2,FALSE),0)," ")</f>
        <v xml:space="preserve"> </v>
      </c>
      <c r="R62" s="413" t="str">
        <f ca="1">IFERROR(ROUND(HLOOKUP(R$57,INDIRECT("'Hidden Data'!"&amp;HLOOKUP(COLUMN(SKUS_TO_SIZES),NUMBER_TO_LETTER,2,FALSE)&amp;MATCH($D62,'Hidden Data'!$D:$D,0)&amp;":T"&amp;MATCH($D62&amp;"-sizecurve",'Hidden Data'!$D:$D,0)),2,FALSE),0)," ")</f>
        <v xml:space="preserve"> </v>
      </c>
      <c r="S62" s="413" t="str">
        <f ca="1">IFERROR(ROUND(HLOOKUP(S$57,INDIRECT("'Hidden Data'!"&amp;HLOOKUP(COLUMN(SKUS_TO_SIZES),NUMBER_TO_LETTER,2,FALSE)&amp;MATCH($D62,'Hidden Data'!$D:$D,0)&amp;":T"&amp;MATCH($D62&amp;"-sizecurve",'Hidden Data'!$D:$D,0)),2,FALSE),0)," ")</f>
        <v xml:space="preserve"> </v>
      </c>
      <c r="T62" s="413" t="str">
        <f ca="1">IFERROR(ROUND(HLOOKUP(T$57,INDIRECT("'Hidden Data'!"&amp;HLOOKUP(COLUMN(SKUS_TO_SIZES),NUMBER_TO_LETTER,2,FALSE)&amp;MATCH($D62,'Hidden Data'!$D:$D,0)&amp;":T"&amp;MATCH($D62&amp;"-sizecurve",'Hidden Data'!$D:$D,0)),2,FALSE),0)," ")</f>
        <v xml:space="preserve"> </v>
      </c>
      <c r="U62" s="413" t="str">
        <f ca="1">IFERROR(ROUND(HLOOKUP(U$57,INDIRECT("'Hidden Data'!"&amp;HLOOKUP(COLUMN(SKUS_TO_SIZES),NUMBER_TO_LETTER,2,FALSE)&amp;MATCH($D62,'Hidden Data'!$D:$D,0)&amp;":T"&amp;MATCH($D62&amp;"-sizecurve",'Hidden Data'!$D:$D,0)),2,FALSE),0)," ")</f>
        <v xml:space="preserve"> </v>
      </c>
      <c r="V62" s="413" t="str">
        <f ca="1">IFERROR(ROUND(HLOOKUP(V$57,INDIRECT("'Hidden Data'!"&amp;HLOOKUP(COLUMN(SKUS_TO_SIZES),NUMBER_TO_LETTER,2,FALSE)&amp;MATCH($D62,'Hidden Data'!$D:$D,0)&amp;":T"&amp;MATCH($D62&amp;"-sizecurve",'Hidden Data'!$D:$D,0)),2,FALSE),0)," ")</f>
        <v xml:space="preserve"> </v>
      </c>
      <c r="W62" s="411" t="str">
        <f ca="1">IFERROR(ROUND(HLOOKUP(W$57,INDIRECT("'Hidden Data'!"&amp;HLOOKUP(COLUMN(SKUS_TO_SIZES),NUMBER_TO_LETTER,2,FALSE)&amp;MATCH($D62,'Hidden Data'!$D:$D,0)&amp;":T"&amp;MATCH($D62&amp;"-sizecurve",'Hidden Data'!$D:$D,0)),2,FALSE),0)," ")</f>
        <v xml:space="preserve"> </v>
      </c>
      <c r="X62" s="178"/>
      <c r="Y62" s="12"/>
      <c r="Z62" s="2">
        <f t="shared" si="131"/>
        <v>6</v>
      </c>
      <c r="AA62" s="149" t="str">
        <f t="shared" si="132"/>
        <v>RGJ0081</v>
      </c>
      <c r="AB62" s="130" t="str">
        <f t="shared" si="96"/>
        <v>S/M</v>
      </c>
      <c r="AC62" s="129" t="str">
        <f t="shared" si="118"/>
        <v/>
      </c>
      <c r="AD62" s="130" t="str">
        <f t="shared" si="97"/>
        <v/>
      </c>
      <c r="AE62" s="129" t="str">
        <f t="shared" ref="AE62" si="151">IFERROR(IF(HLOOKUP(AD62,$M$57:$W$63,$Z62,FALSE)=0,"",HLOOKUP(AD62,$M$57:$W$63,$Z62,FALSE)),"")</f>
        <v/>
      </c>
      <c r="AF62" s="130" t="str">
        <f t="shared" si="99"/>
        <v/>
      </c>
      <c r="AG62" s="129" t="str">
        <f t="shared" ref="AG62" si="152">IFERROR(IF(HLOOKUP(AF62,$M$57:$W$63,$Z62,FALSE)=0,"",HLOOKUP(AF62,$M$57:$W$63,$Z62,FALSE)),"")</f>
        <v/>
      </c>
      <c r="AH62" s="130" t="str">
        <f t="shared" si="101"/>
        <v/>
      </c>
      <c r="AI62" s="129" t="str">
        <f t="shared" ref="AI62" si="153">IFERROR(IF(HLOOKUP(AH62,$M$57:$W$63,$Z62,FALSE)=0,"",HLOOKUP(AH62,$M$57:$W$63,$Z62,FALSE)),"")</f>
        <v/>
      </c>
      <c r="AJ62" s="130" t="str">
        <f t="shared" si="103"/>
        <v/>
      </c>
      <c r="AK62" s="129" t="str">
        <f t="shared" ref="AK62" si="154">IFERROR(IF(HLOOKUP(AJ62,$M$57:$W$63,$Z62,FALSE)=0,"",HLOOKUP(AJ62,$M$57:$W$63,$Z62,FALSE)),"")</f>
        <v/>
      </c>
      <c r="AL62" s="130" t="str">
        <f t="shared" si="105"/>
        <v/>
      </c>
      <c r="AM62" s="129" t="str">
        <f t="shared" ref="AM62" si="155">IFERROR(IF(HLOOKUP(AL62,$M$57:$W$63,$Z62,FALSE)=0,"",HLOOKUP(AL62,$M$57:$W$63,$Z62,FALSE)),"")</f>
        <v/>
      </c>
      <c r="AN62" s="130" t="str">
        <f t="shared" si="107"/>
        <v/>
      </c>
      <c r="AO62" s="129" t="str">
        <f t="shared" ref="AO62" si="156">IFERROR(IF(HLOOKUP(AN62,$M$57:$W$63,$Z62,FALSE)=0,"",HLOOKUP(AN62,$M$57:$W$63,$Z62,FALSE)),"")</f>
        <v/>
      </c>
      <c r="AP62" s="130" t="str">
        <f t="shared" si="109"/>
        <v/>
      </c>
      <c r="AQ62" s="129" t="str">
        <f t="shared" ref="AQ62" si="157">IFERROR(IF(HLOOKUP(AP62,$M$57:$W$63,$Z62,FALSE)=0,"",HLOOKUP(AP62,$M$57:$W$63,$Z62,FALSE)),"")</f>
        <v/>
      </c>
      <c r="AR62" s="130" t="str">
        <f t="shared" si="111"/>
        <v/>
      </c>
      <c r="AS62" s="129" t="str">
        <f t="shared" ref="AS62" si="158">IFERROR(IF(HLOOKUP(AR62,$M$57:$W$63,$Z62,FALSE)=0,"",HLOOKUP(AR62,$M$57:$W$63,$Z62,FALSE)),"")</f>
        <v/>
      </c>
      <c r="AT62" s="130" t="str">
        <f t="shared" si="113"/>
        <v/>
      </c>
      <c r="AU62" s="129" t="str">
        <f t="shared" ref="AU62" si="159">IFERROR(IF(HLOOKUP(AT62,$M$57:$W$63,$Z62,FALSE)=0,"",HLOOKUP(AT62,$M$57:$W$63,$Z62,FALSE)),"")</f>
        <v/>
      </c>
      <c r="AV62" s="130" t="str">
        <f t="shared" si="115"/>
        <v/>
      </c>
      <c r="AW62" s="596" t="str">
        <f t="shared" si="116"/>
        <v/>
      </c>
      <c r="AY62" s="43"/>
      <c r="BA62" s="43"/>
    </row>
    <row r="63" spans="2:53" s="8" customFormat="1" ht="12.75" hidden="1" customHeight="1">
      <c r="B63" s="9">
        <f>IF(SNOWBOARD_CALCULATOR_TYPE=1,IF(ISBLANK(D63),MAX(B$56:B62),IF(AND(ISNUMBER(L63),L63&gt;0)=TRUE,MAX(B$56:B62)+1,MAX(B$56:B62))),0)</f>
        <v>0</v>
      </c>
      <c r="C63" s="12"/>
      <c r="D63" s="588" t="s">
        <v>247</v>
      </c>
      <c r="E63" s="456" t="str">
        <f t="shared" si="92"/>
        <v>REPLY POWER HANDLE RED (PAIR)</v>
      </c>
      <c r="F63" s="465">
        <f t="shared" si="93"/>
        <v>18</v>
      </c>
      <c r="G63" s="458">
        <f ca="1">SUM(M63:N63)*F63</f>
        <v>0</v>
      </c>
      <c r="H63" s="459">
        <f t="shared" si="94"/>
        <v>18</v>
      </c>
      <c r="I63" s="569">
        <v>0</v>
      </c>
      <c r="J63" s="576">
        <f>$J$7</f>
        <v>0</v>
      </c>
      <c r="K63" s="577">
        <f t="shared" ca="1" si="95"/>
        <v>0</v>
      </c>
      <c r="L63" s="280">
        <f ca="1">SUM(M63:W63)</f>
        <v>0</v>
      </c>
      <c r="M63" s="419"/>
      <c r="N63" s="516" t="str">
        <f ca="1">IFERROR(ROUND(HLOOKUP(N$57,INDIRECT("'Hidden Data'!"&amp;HLOOKUP(COLUMN(SKUS_TO_SIZES),NUMBER_TO_LETTER,2,FALSE)&amp;MATCH($D63,'Hidden Data'!$D:$D,0)&amp;":T"&amp;MATCH($D63&amp;"-sizecurve",'Hidden Data'!$D:$D,0)),2,FALSE),0)," ")</f>
        <v xml:space="preserve"> </v>
      </c>
      <c r="O63" s="516" t="str">
        <f ca="1">IFERROR(ROUND(HLOOKUP(O$57,INDIRECT("'Hidden Data'!"&amp;HLOOKUP(COLUMN(SKUS_TO_SIZES),NUMBER_TO_LETTER,2,FALSE)&amp;MATCH($D63,'Hidden Data'!$D:$D,0)&amp;":T"&amp;MATCH($D63&amp;"-sizecurve",'Hidden Data'!$D:$D,0)),2,FALSE),0)," ")</f>
        <v xml:space="preserve"> </v>
      </c>
      <c r="P63" s="516" t="str">
        <f ca="1">IFERROR(ROUND(HLOOKUP(P$57,INDIRECT("'Hidden Data'!"&amp;HLOOKUP(COLUMN(SKUS_TO_SIZES),NUMBER_TO_LETTER,2,FALSE)&amp;MATCH($D63,'Hidden Data'!$D:$D,0)&amp;":T"&amp;MATCH($D63&amp;"-sizecurve",'Hidden Data'!$D:$D,0)),2,FALSE),0)," ")</f>
        <v xml:space="preserve"> </v>
      </c>
      <c r="Q63" s="516" t="str">
        <f ca="1">IFERROR(ROUND(HLOOKUP(Q$57,INDIRECT("'Hidden Data'!"&amp;HLOOKUP(COLUMN(SKUS_TO_SIZES),NUMBER_TO_LETTER,2,FALSE)&amp;MATCH($D63,'Hidden Data'!$D:$D,0)&amp;":T"&amp;MATCH($D63&amp;"-sizecurve",'Hidden Data'!$D:$D,0)),2,FALSE),0)," ")</f>
        <v xml:space="preserve"> </v>
      </c>
      <c r="R63" s="516" t="str">
        <f ca="1">IFERROR(ROUND(HLOOKUP(R$57,INDIRECT("'Hidden Data'!"&amp;HLOOKUP(COLUMN(SKUS_TO_SIZES),NUMBER_TO_LETTER,2,FALSE)&amp;MATCH($D63,'Hidden Data'!$D:$D,0)&amp;":T"&amp;MATCH($D63&amp;"-sizecurve",'Hidden Data'!$D:$D,0)),2,FALSE),0)," ")</f>
        <v xml:space="preserve"> </v>
      </c>
      <c r="S63" s="516" t="str">
        <f ca="1">IFERROR(ROUND(HLOOKUP(S$57,INDIRECT("'Hidden Data'!"&amp;HLOOKUP(COLUMN(SKUS_TO_SIZES),NUMBER_TO_LETTER,2,FALSE)&amp;MATCH($D63,'Hidden Data'!$D:$D,0)&amp;":T"&amp;MATCH($D63&amp;"-sizecurve",'Hidden Data'!$D:$D,0)),2,FALSE),0)," ")</f>
        <v xml:space="preserve"> </v>
      </c>
      <c r="T63" s="516" t="str">
        <f ca="1">IFERROR(ROUND(HLOOKUP(T$57,INDIRECT("'Hidden Data'!"&amp;HLOOKUP(COLUMN(SKUS_TO_SIZES),NUMBER_TO_LETTER,2,FALSE)&amp;MATCH($D63,'Hidden Data'!$D:$D,0)&amp;":T"&amp;MATCH($D63&amp;"-sizecurve",'Hidden Data'!$D:$D,0)),2,FALSE),0)," ")</f>
        <v xml:space="preserve"> </v>
      </c>
      <c r="U63" s="516" t="str">
        <f ca="1">IFERROR(ROUND(HLOOKUP(U$57,INDIRECT("'Hidden Data'!"&amp;HLOOKUP(COLUMN(SKUS_TO_SIZES),NUMBER_TO_LETTER,2,FALSE)&amp;MATCH($D63,'Hidden Data'!$D:$D,0)&amp;":T"&amp;MATCH($D63&amp;"-sizecurve",'Hidden Data'!$D:$D,0)),2,FALSE),0)," ")</f>
        <v xml:space="preserve"> </v>
      </c>
      <c r="V63" s="516" t="str">
        <f ca="1">IFERROR(ROUND(HLOOKUP(V$57,INDIRECT("'Hidden Data'!"&amp;HLOOKUP(COLUMN(SKUS_TO_SIZES),NUMBER_TO_LETTER,2,FALSE)&amp;MATCH($D63,'Hidden Data'!$D:$D,0)&amp;":T"&amp;MATCH($D63&amp;"-sizecurve",'Hidden Data'!$D:$D,0)),2,FALSE),0)," ")</f>
        <v xml:space="preserve"> </v>
      </c>
      <c r="W63" s="593" t="str">
        <f ca="1">IFERROR(ROUND(HLOOKUP(W$57,INDIRECT("'Hidden Data'!"&amp;HLOOKUP(COLUMN(SKUS_TO_SIZES),NUMBER_TO_LETTER,2,FALSE)&amp;MATCH($D63,'Hidden Data'!$D:$D,0)&amp;":T"&amp;MATCH($D63&amp;"-sizecurve",'Hidden Data'!$D:$D,0)),2,FALSE),0)," ")</f>
        <v xml:space="preserve"> </v>
      </c>
      <c r="X63" s="178"/>
      <c r="Y63" s="12"/>
      <c r="Z63" s="2">
        <f t="shared" ref="Z63" si="160">Z62+1</f>
        <v>7</v>
      </c>
      <c r="AA63" s="149" t="str">
        <f t="shared" ref="AA63" si="161">D63</f>
        <v>RVEW415</v>
      </c>
      <c r="AB63" s="130" t="str">
        <f t="shared" si="96"/>
        <v>PAIR</v>
      </c>
      <c r="AC63" s="129" t="str">
        <f t="shared" si="118"/>
        <v/>
      </c>
      <c r="AD63" s="130" t="str">
        <f t="shared" si="97"/>
        <v/>
      </c>
      <c r="AE63" s="129" t="str">
        <f t="shared" ref="AE63" si="162">IFERROR(IF(HLOOKUP(AD63,$M$57:$W$63,$Z63,FALSE)=0,"",HLOOKUP(AD63,$M$57:$W$63,$Z63,FALSE)),"")</f>
        <v/>
      </c>
      <c r="AF63" s="130" t="str">
        <f t="shared" si="99"/>
        <v/>
      </c>
      <c r="AG63" s="129" t="str">
        <f t="shared" ref="AG63" si="163">IFERROR(IF(HLOOKUP(AF63,$M$57:$W$63,$Z63,FALSE)=0,"",HLOOKUP(AF63,$M$57:$W$63,$Z63,FALSE)),"")</f>
        <v/>
      </c>
      <c r="AH63" s="130" t="str">
        <f t="shared" si="101"/>
        <v/>
      </c>
      <c r="AI63" s="129" t="str">
        <f t="shared" ref="AI63" si="164">IFERROR(IF(HLOOKUP(AH63,$M$57:$W$63,$Z63,FALSE)=0,"",HLOOKUP(AH63,$M$57:$W$63,$Z63,FALSE)),"")</f>
        <v/>
      </c>
      <c r="AJ63" s="130" t="str">
        <f t="shared" si="103"/>
        <v/>
      </c>
      <c r="AK63" s="129" t="str">
        <f t="shared" ref="AK63" si="165">IFERROR(IF(HLOOKUP(AJ63,$M$57:$W$63,$Z63,FALSE)=0,"",HLOOKUP(AJ63,$M$57:$W$63,$Z63,FALSE)),"")</f>
        <v/>
      </c>
      <c r="AL63" s="130" t="str">
        <f t="shared" si="105"/>
        <v/>
      </c>
      <c r="AM63" s="129" t="str">
        <f t="shared" ref="AM63" si="166">IFERROR(IF(HLOOKUP(AL63,$M$57:$W$63,$Z63,FALSE)=0,"",HLOOKUP(AL63,$M$57:$W$63,$Z63,FALSE)),"")</f>
        <v/>
      </c>
      <c r="AN63" s="130" t="str">
        <f t="shared" si="107"/>
        <v/>
      </c>
      <c r="AO63" s="129" t="str">
        <f t="shared" ref="AO63" si="167">IFERROR(IF(HLOOKUP(AN63,$M$57:$W$63,$Z63,FALSE)=0,"",HLOOKUP(AN63,$M$57:$W$63,$Z63,FALSE)),"")</f>
        <v/>
      </c>
      <c r="AP63" s="130" t="str">
        <f t="shared" si="109"/>
        <v/>
      </c>
      <c r="AQ63" s="129" t="str">
        <f t="shared" ref="AQ63" si="168">IFERROR(IF(HLOOKUP(AP63,$M$57:$W$63,$Z63,FALSE)=0,"",HLOOKUP(AP63,$M$57:$W$63,$Z63,FALSE)),"")</f>
        <v/>
      </c>
      <c r="AR63" s="130" t="str">
        <f t="shared" si="111"/>
        <v/>
      </c>
      <c r="AS63" s="129" t="str">
        <f t="shared" ref="AS63" si="169">IFERROR(IF(HLOOKUP(AR63,$M$57:$W$63,$Z63,FALSE)=0,"",HLOOKUP(AR63,$M$57:$W$63,$Z63,FALSE)),"")</f>
        <v/>
      </c>
      <c r="AT63" s="130" t="str">
        <f t="shared" si="113"/>
        <v/>
      </c>
      <c r="AU63" s="129" t="str">
        <f t="shared" ref="AU63" si="170">IFERROR(IF(HLOOKUP(AT63,$M$57:$W$63,$Z63,FALSE)=0,"",HLOOKUP(AT63,$M$57:$W$63,$Z63,FALSE)),"")</f>
        <v/>
      </c>
      <c r="AV63" s="130" t="str">
        <f t="shared" si="115"/>
        <v/>
      </c>
      <c r="AW63" s="596" t="str">
        <f t="shared" si="116"/>
        <v/>
      </c>
      <c r="AY63" s="43"/>
      <c r="BA63" s="43"/>
    </row>
    <row r="64" spans="2:53" ht="12.75" hidden="1" customHeight="1">
      <c r="B64" s="9">
        <f>IF(SNOWBOARD_CALCULATOR_TYPE=1,IF(ISBLANK(D64),MAX(B$56:B63),IF(AND(ISNUMBER(L64),L64&gt;0)=TRUE,MAX(B$56:B63)+1,MAX(B$56:B63))),0)</f>
        <v>0</v>
      </c>
      <c r="C64" s="10"/>
      <c r="D64" s="265"/>
      <c r="E64" s="180"/>
      <c r="F64" s="214"/>
      <c r="G64" s="578">
        <f ca="1">SUM(G58:G63)</f>
        <v>0</v>
      </c>
      <c r="H64" s="214"/>
      <c r="I64" s="214"/>
      <c r="J64" s="215"/>
      <c r="K64" s="181">
        <f ca="1">SUM(K58:K63)</f>
        <v>0</v>
      </c>
      <c r="L64" s="230">
        <f ca="1">SUM(M64:W64)</f>
        <v>0</v>
      </c>
      <c r="M64" s="183">
        <f ca="1">SUM(M58:M63)</f>
        <v>0</v>
      </c>
      <c r="N64" s="184">
        <f t="shared" ref="N64:U64" ca="1" si="171">SUM(N58:N63)</f>
        <v>0</v>
      </c>
      <c r="O64" s="184">
        <f t="shared" ca="1" si="171"/>
        <v>0</v>
      </c>
      <c r="P64" s="184">
        <f t="shared" ca="1" si="171"/>
        <v>0</v>
      </c>
      <c r="Q64" s="184">
        <f t="shared" ca="1" si="171"/>
        <v>0</v>
      </c>
      <c r="R64" s="184">
        <f t="shared" ca="1" si="171"/>
        <v>0</v>
      </c>
      <c r="S64" s="184">
        <f t="shared" ca="1" si="171"/>
        <v>0</v>
      </c>
      <c r="T64" s="184">
        <f ca="1">SUM(T58:T63)</f>
        <v>0</v>
      </c>
      <c r="U64" s="184">
        <f t="shared" ca="1" si="171"/>
        <v>0</v>
      </c>
      <c r="V64" s="184">
        <f t="shared" ref="V64" ca="1" si="172">SUM(V58:V63)</f>
        <v>0</v>
      </c>
      <c r="W64" s="580">
        <f t="shared" ref="W64" ca="1" si="173">SUM(W58:W63)</f>
        <v>0</v>
      </c>
      <c r="X64" s="178"/>
      <c r="Y64" s="10"/>
      <c r="AA64" s="150"/>
      <c r="AB64" s="6"/>
      <c r="AC64" s="45"/>
      <c r="AD64" s="6"/>
      <c r="AE64" s="45"/>
      <c r="AF64" s="6"/>
      <c r="AG64" s="45"/>
      <c r="AH64" s="6"/>
      <c r="AI64" s="45"/>
      <c r="AJ64" s="6"/>
      <c r="AK64" s="45"/>
      <c r="AL64" s="6"/>
      <c r="AM64" s="45"/>
      <c r="AN64" s="6"/>
      <c r="AO64" s="45"/>
      <c r="AP64" s="6"/>
      <c r="AQ64" s="45"/>
      <c r="AR64" s="6"/>
      <c r="AS64" s="45"/>
      <c r="AT64" s="6"/>
      <c r="AU64" s="45"/>
      <c r="AV64" s="6"/>
      <c r="AW64" s="45"/>
      <c r="AX64" s="6"/>
    </row>
    <row r="65" spans="2:53" ht="12.75" hidden="1" customHeight="1">
      <c r="B65" s="9">
        <f>IF(SNOWBOARD_CALCULATOR_TYPE=1,IF(ISBLANK(D65),MAX(B$56:B64),IF(AND(ISNUMBER(L65),L65&gt;0)=TRUE,MAX(B$56:B64)+1,MAX(B$56:B64))),0)</f>
        <v>0</v>
      </c>
      <c r="C65" s="10"/>
      <c r="D65" s="957" t="s">
        <v>246</v>
      </c>
      <c r="E65" s="954"/>
      <c r="F65" s="189"/>
      <c r="G65" s="189"/>
      <c r="H65" s="185"/>
      <c r="I65" s="185"/>
      <c r="J65" s="185"/>
      <c r="K65" s="185"/>
      <c r="L65" s="185"/>
      <c r="M65" s="592"/>
      <c r="N65" s="592"/>
      <c r="O65" s="592"/>
      <c r="P65" s="592"/>
      <c r="Q65" s="592"/>
      <c r="R65" s="592"/>
      <c r="S65" s="592"/>
      <c r="T65" s="592"/>
      <c r="U65" s="592"/>
      <c r="V65" s="592"/>
      <c r="W65" s="209"/>
      <c r="X65" s="177"/>
      <c r="Y65" s="12"/>
      <c r="Z65" s="9"/>
      <c r="AA65" s="8"/>
      <c r="AB65" s="8"/>
      <c r="AC65" s="8"/>
      <c r="AD65" s="8"/>
      <c r="AE65" s="8"/>
      <c r="AF65" s="8"/>
      <c r="AG65" s="8"/>
      <c r="AH65" s="8"/>
      <c r="AI65" s="8"/>
      <c r="AJ65" s="8"/>
      <c r="AK65" s="8"/>
      <c r="AL65" s="8"/>
      <c r="AM65" s="8"/>
      <c r="AN65" s="8"/>
      <c r="AO65" s="8"/>
      <c r="AP65" s="8"/>
      <c r="AQ65" s="8"/>
      <c r="AR65" s="8"/>
      <c r="AS65" s="8"/>
      <c r="AT65" s="8"/>
      <c r="AU65" s="8"/>
      <c r="AV65" s="8"/>
      <c r="AW65" s="8"/>
      <c r="AX65" s="8"/>
    </row>
    <row r="66" spans="2:53" s="8" customFormat="1" ht="12.75" hidden="1" customHeight="1" thickBot="1">
      <c r="B66" s="9">
        <f>IF(SNOWBOARD_CALCULATOR_TYPE=1,IF(ISBLANK(D66),MAX(B$56:B65),IF(AND(ISNUMBER(L66),L66&gt;0)=TRUE,MAX(B$56:B65)+1,MAX(B$56:B65))),0)</f>
        <v>0</v>
      </c>
      <c r="C66" s="12"/>
      <c r="D66" s="190" t="s">
        <v>0</v>
      </c>
      <c r="E66" s="191" t="s">
        <v>1</v>
      </c>
      <c r="F66" s="192" t="s">
        <v>43</v>
      </c>
      <c r="G66" s="192" t="s">
        <v>19</v>
      </c>
      <c r="H66" s="272" t="s">
        <v>102</v>
      </c>
      <c r="I66" s="323" t="s">
        <v>21</v>
      </c>
      <c r="J66" s="193" t="s">
        <v>21</v>
      </c>
      <c r="K66" s="194" t="s">
        <v>6</v>
      </c>
      <c r="L66" s="195" t="s">
        <v>5</v>
      </c>
      <c r="M66" s="564" t="s">
        <v>248</v>
      </c>
      <c r="N66" s="564" t="s">
        <v>3</v>
      </c>
      <c r="O66" s="565" t="s">
        <v>2</v>
      </c>
      <c r="P66" s="566">
        <v>135</v>
      </c>
      <c r="Q66" s="565">
        <v>140</v>
      </c>
      <c r="R66" s="565">
        <v>145</v>
      </c>
      <c r="S66" s="565">
        <v>150</v>
      </c>
      <c r="T66" s="565">
        <v>155</v>
      </c>
      <c r="U66" s="565">
        <v>160</v>
      </c>
      <c r="V66" s="567">
        <v>165</v>
      </c>
      <c r="W66" s="177"/>
      <c r="X66" s="178"/>
      <c r="Y66" s="12"/>
      <c r="Z66" s="9"/>
      <c r="AX66" s="9"/>
      <c r="AY66" s="43"/>
      <c r="BA66" s="43"/>
    </row>
    <row r="67" spans="2:53" s="8" customFormat="1" ht="12.75" hidden="1" customHeight="1" thickTop="1">
      <c r="B67" s="9">
        <f>IF(SNOWBOARD_CALCULATOR_TYPE=1,IF(ISBLANK(D67),MAX(B$56:B66),IF(AND(ISNUMBER(L67),L67&gt;0)=TRUE,MAX(B$56:B66)+1,MAX(B$56:B66))),0)</f>
        <v>0</v>
      </c>
      <c r="C67" s="12"/>
      <c r="D67" s="387" t="s">
        <v>284</v>
      </c>
      <c r="E67" s="196" t="str">
        <f t="shared" ref="E67:E72" si="174">VLOOKUP(D67,SKUS_TO_SIZES,2,FALSE)</f>
        <v>EXP WIDE</v>
      </c>
      <c r="F67" s="197">
        <f t="shared" ref="F67:F72" si="175">VLOOKUP(D67,SKUS_TO_SIZES,3,FALSE)</f>
        <v>225</v>
      </c>
      <c r="G67" s="198">
        <f ca="1">SUM(M67:W67)*F67</f>
        <v>0</v>
      </c>
      <c r="H67" s="328">
        <f t="shared" ref="H67:H72" si="176">IF(SNOWBOARD_DISCOUNT_TYPE=1,IF($J$7=0,F67,F67*(SUM(1-$J$7))),IF(I67=0,F67,F67*(SUM(1-I67))))</f>
        <v>225</v>
      </c>
      <c r="I67" s="336">
        <v>0</v>
      </c>
      <c r="J67" s="268">
        <f t="shared" ref="J67:J72" si="177">$J$7</f>
        <v>0</v>
      </c>
      <c r="K67" s="244">
        <f t="shared" ref="K67:K72" ca="1" si="178">SUM(M67:W67)*H67</f>
        <v>0</v>
      </c>
      <c r="L67" s="280">
        <f ca="1">SUM(M67:W67)</f>
        <v>0</v>
      </c>
      <c r="M67" s="412" t="str">
        <f ca="1">IFERROR(ROUND(HLOOKUP(M$66,INDIRECT("'Hidden Data'!"&amp;HLOOKUP(COLUMN(SKUS_TO_SIZES),NUMBER_TO_LETTER,2,FALSE)&amp;MATCH($D67,'Hidden Data'!$D:$D,0)&amp;":T"&amp;MATCH($D67&amp;"-sizecurve",'Hidden Data'!$D:$D,0)),2,FALSE),0)," ")</f>
        <v xml:space="preserve"> </v>
      </c>
      <c r="N67" s="409" t="str">
        <f ca="1">IFERROR(ROUND(HLOOKUP(N$66,INDIRECT("'Hidden Data'!"&amp;HLOOKUP(COLUMN(SKUS_TO_SIZES),NUMBER_TO_LETTER,2,FALSE)&amp;MATCH($D67,'Hidden Data'!$D:$D,0)&amp;":T"&amp;MATCH($D67&amp;"-sizecurve",'Hidden Data'!$D:$D,0)),2,FALSE),0)," ")</f>
        <v xml:space="preserve"> </v>
      </c>
      <c r="O67" s="409" t="str">
        <f ca="1">IFERROR(ROUND(HLOOKUP(O$66,INDIRECT("'Hidden Data'!"&amp;HLOOKUP(COLUMN(SKUS_TO_SIZES),NUMBER_TO_LETTER,2,FALSE)&amp;MATCH($D67,'Hidden Data'!$D:$D,0)&amp;":T"&amp;MATCH($D67&amp;"-sizecurve",'Hidden Data'!$D:$D,0)),2,FALSE),0)," ")</f>
        <v xml:space="preserve"> </v>
      </c>
      <c r="P67" s="409" t="str">
        <f ca="1">IFERROR(ROUND(HLOOKUP(P$66,INDIRECT("'Hidden Data'!"&amp;HLOOKUP(COLUMN(SKUS_TO_SIZES),NUMBER_TO_LETTER,2,FALSE)&amp;MATCH($D67,'Hidden Data'!$D:$D,0)&amp;":T"&amp;MATCH($D67&amp;"-sizecurve",'Hidden Data'!$D:$D,0)),2,FALSE),0)," ")</f>
        <v xml:space="preserve"> </v>
      </c>
      <c r="Q67" s="409" t="str">
        <f ca="1">IFERROR(ROUND(HLOOKUP(Q$66,INDIRECT("'Hidden Data'!"&amp;HLOOKUP(COLUMN(SKUS_TO_SIZES),NUMBER_TO_LETTER,2,FALSE)&amp;MATCH($D67,'Hidden Data'!$D:$D,0)&amp;":T"&amp;MATCH($D67&amp;"-sizecurve",'Hidden Data'!$D:$D,0)),2,FALSE),0)," ")</f>
        <v xml:space="preserve"> </v>
      </c>
      <c r="R67" s="409" t="str">
        <f ca="1">IFERROR(ROUND(HLOOKUP(R$66,INDIRECT("'Hidden Data'!"&amp;HLOOKUP(COLUMN(SKUS_TO_SIZES),NUMBER_TO_LETTER,2,FALSE)&amp;MATCH($D67,'Hidden Data'!$D:$D,0)&amp;":T"&amp;MATCH($D67&amp;"-sizecurve",'Hidden Data'!$D:$D,0)),2,FALSE),0)," ")</f>
        <v xml:space="preserve"> </v>
      </c>
      <c r="S67" s="409" t="str">
        <f ca="1">IFERROR(ROUND(HLOOKUP(S$66,INDIRECT("'Hidden Data'!"&amp;HLOOKUP(COLUMN(SKUS_TO_SIZES),NUMBER_TO_LETTER,2,FALSE)&amp;MATCH($D67,'Hidden Data'!$D:$D,0)&amp;":T"&amp;MATCH($D67&amp;"-sizecurve",'Hidden Data'!$D:$D,0)),2,FALSE),0)," ")</f>
        <v xml:space="preserve"> </v>
      </c>
      <c r="T67" s="416"/>
      <c r="U67" s="416"/>
      <c r="V67" s="417"/>
      <c r="W67" s="179"/>
      <c r="X67" s="178"/>
      <c r="Y67" s="12"/>
      <c r="Z67" s="9">
        <v>2</v>
      </c>
      <c r="AA67" s="149" t="str">
        <f>D67</f>
        <v>RENNA01</v>
      </c>
      <c r="AB67" s="130">
        <f t="shared" ref="AB67:AB72" si="179">IF(VLOOKUP($AA67,SKUS_TO_SIZES,AB$12,FALSE)=0,"",VLOOKUP($AA67,SKUS_TO_SIZES,AB$12,FALSE))</f>
        <v>155</v>
      </c>
      <c r="AC67" s="129" t="str">
        <f>IFERROR(IF(HLOOKUP(AB67,$M$66:$W$72,$Z67,FALSE)=0,"",HLOOKUP(AB67,$M$66:$W$72,$Z67,FALSE)),"")</f>
        <v/>
      </c>
      <c r="AD67" s="130">
        <f t="shared" ref="AD67:AD72" si="180">IF(VLOOKUP($AA67,SKUS_TO_SIZES,AD$12,FALSE)=0,"",VLOOKUP($AA67,SKUS_TO_SIZES,AD$12,FALSE))</f>
        <v>160</v>
      </c>
      <c r="AE67" s="129" t="str">
        <f t="shared" ref="AE67" si="181">IFERROR(IF(HLOOKUP(AD67,$M$66:$W$72,$Z67,FALSE)=0,"",HLOOKUP(AD67,$M$66:$W$72,$Z67,FALSE)),"")</f>
        <v/>
      </c>
      <c r="AF67" s="130">
        <f t="shared" ref="AF67:AF72" si="182">IF(VLOOKUP($AA67,SKUS_TO_SIZES,AF$12,FALSE)=0,"",VLOOKUP($AA67,SKUS_TO_SIZES,AF$12,FALSE))</f>
        <v>165</v>
      </c>
      <c r="AG67" s="129" t="str">
        <f t="shared" ref="AG67" si="183">IFERROR(IF(HLOOKUP(AF67,$M$66:$W$72,$Z67,FALSE)=0,"",HLOOKUP(AF67,$M$66:$W$72,$Z67,FALSE)),"")</f>
        <v/>
      </c>
      <c r="AH67" s="130" t="str">
        <f t="shared" ref="AH67:AH72" si="184">IF(VLOOKUP($AA67,SKUS_TO_SIZES,AH$12,FALSE)=0,"",VLOOKUP($AA67,SKUS_TO_SIZES,AH$12,FALSE))</f>
        <v/>
      </c>
      <c r="AI67" s="129" t="str">
        <f t="shared" ref="AI67" si="185">IFERROR(IF(HLOOKUP(AH67,$M$66:$W$72,$Z67,FALSE)=0,"",HLOOKUP(AH67,$M$66:$W$72,$Z67,FALSE)),"")</f>
        <v/>
      </c>
      <c r="AJ67" s="130" t="str">
        <f t="shared" ref="AJ67:AJ72" si="186">IF(VLOOKUP($AA67,SKUS_TO_SIZES,AJ$12,FALSE)=0,"",VLOOKUP($AA67,SKUS_TO_SIZES,AJ$12,FALSE))</f>
        <v/>
      </c>
      <c r="AK67" s="129" t="str">
        <f t="shared" ref="AK67" si="187">IFERROR(IF(HLOOKUP(AJ67,$M$66:$W$72,$Z67,FALSE)=0,"",HLOOKUP(AJ67,$M$66:$W$72,$Z67,FALSE)),"")</f>
        <v/>
      </c>
      <c r="AL67" s="130" t="str">
        <f t="shared" ref="AL67:AL72" si="188">IF(VLOOKUP($AA67,SKUS_TO_SIZES,AL$12,FALSE)=0,"",VLOOKUP($AA67,SKUS_TO_SIZES,AL$12,FALSE))</f>
        <v/>
      </c>
      <c r="AM67" s="129" t="str">
        <f t="shared" ref="AM67" si="189">IFERROR(IF(HLOOKUP(AL67,$M$66:$W$72,$Z67,FALSE)=0,"",HLOOKUP(AL67,$M$66:$W$72,$Z67,FALSE)),"")</f>
        <v/>
      </c>
      <c r="AN67" s="130" t="str">
        <f t="shared" ref="AN67:AN72" si="190">IF(VLOOKUP($AA67,SKUS_TO_SIZES,AN$12,FALSE)=0,"",VLOOKUP($AA67,SKUS_TO_SIZES,AN$12,FALSE))</f>
        <v/>
      </c>
      <c r="AO67" s="129" t="str">
        <f t="shared" ref="AO67" si="191">IFERROR(IF(HLOOKUP(AN67,$M$66:$W$72,$Z67,FALSE)=0,"",HLOOKUP(AN67,$M$66:$W$72,$Z67,FALSE)),"")</f>
        <v/>
      </c>
      <c r="AP67" s="130" t="str">
        <f t="shared" ref="AP67:AP72" si="192">IF(VLOOKUP($AA67,SKUS_TO_SIZES,AP$12,FALSE)=0,"",VLOOKUP($AA67,SKUS_TO_SIZES,AP$12,FALSE))</f>
        <v/>
      </c>
      <c r="AQ67" s="129" t="str">
        <f t="shared" ref="AQ67" si="193">IFERROR(IF(HLOOKUP(AP67,$M$66:$W$72,$Z67,FALSE)=0,"",HLOOKUP(AP67,$M$66:$W$72,$Z67,FALSE)),"")</f>
        <v/>
      </c>
      <c r="AR67" s="130" t="str">
        <f t="shared" ref="AR67:AR72" si="194">IF(VLOOKUP($AA67,SKUS_TO_SIZES,AR$12,FALSE)=0,"",VLOOKUP($AA67,SKUS_TO_SIZES,AR$12,FALSE))</f>
        <v/>
      </c>
      <c r="AS67" s="129" t="str">
        <f t="shared" ref="AS67" si="195">IFERROR(IF(HLOOKUP(AR67,$M$66:$W$72,$Z67,FALSE)=0,"",HLOOKUP(AR67,$M$66:$W$72,$Z67,FALSE)),"")</f>
        <v/>
      </c>
      <c r="AT67" s="130" t="str">
        <f t="shared" ref="AT67:AT72" si="196">IF(VLOOKUP($AA67,SKUS_TO_SIZES,AT$12,FALSE)=0,"",VLOOKUP($AA67,SKUS_TO_SIZES,AT$12,FALSE))</f>
        <v/>
      </c>
      <c r="AU67" s="129" t="str">
        <f t="shared" ref="AU67" si="197">IFERROR(IF(HLOOKUP(AT67,$M$66:$W$72,$Z67,FALSE)=0,"",HLOOKUP(AT67,$M$66:$W$72,$Z67,FALSE)),"")</f>
        <v/>
      </c>
      <c r="AV67" s="130" t="str">
        <f t="shared" ref="AV67:AV72" si="198">IF(VLOOKUP($AA67,SKUS_TO_SIZES,AV$12,FALSE)=0,"",VLOOKUP($AA67,SKUS_TO_SIZES,AV$12,FALSE))</f>
        <v/>
      </c>
      <c r="AW67" s="596" t="str">
        <f t="shared" ref="AW67:AW72" si="199">IFERROR(IF(HLOOKUP(AV67,$M$66:$W$72,$Z67,FALSE)=0,"",HLOOKUP(AV67,$M$66:$W$72,$Z67,FALSE)),"")</f>
        <v/>
      </c>
      <c r="AY67" s="39"/>
      <c r="BA67" s="43"/>
    </row>
    <row r="68" spans="2:53" s="8" customFormat="1" ht="12.75" hidden="1" customHeight="1">
      <c r="B68" s="9">
        <f>IF(SNOWBOARD_CALCULATOR_TYPE=1,IF(ISBLANK(D68),MAX(B$56:B67),IF(AND(ISNUMBER(L68),L68&gt;0)=TRUE,MAX(B$56:B67)+1,MAX(B$56:B67))),0)</f>
        <v>0</v>
      </c>
      <c r="C68" s="158"/>
      <c r="D68" s="388" t="s">
        <v>285</v>
      </c>
      <c r="E68" s="201" t="str">
        <f t="shared" si="174"/>
        <v>EXP REGULAR</v>
      </c>
      <c r="F68" s="202">
        <f t="shared" si="175"/>
        <v>225</v>
      </c>
      <c r="G68" s="203">
        <f ca="1">SUM(M68:W68)*F68</f>
        <v>0</v>
      </c>
      <c r="H68" s="329">
        <f t="shared" si="176"/>
        <v>225</v>
      </c>
      <c r="I68" s="320">
        <v>0</v>
      </c>
      <c r="J68" s="269">
        <f t="shared" si="177"/>
        <v>0</v>
      </c>
      <c r="K68" s="343">
        <f t="shared" ca="1" si="178"/>
        <v>0</v>
      </c>
      <c r="L68" s="280">
        <f ca="1">SUM(M68:W68)</f>
        <v>0</v>
      </c>
      <c r="M68" s="414" t="str">
        <f ca="1">IFERROR(ROUND(HLOOKUP(M$66,INDIRECT("'Hidden Data'!"&amp;HLOOKUP(COLUMN(SKUS_TO_SIZES),NUMBER_TO_LETTER,2,FALSE)&amp;MATCH($D68,'Hidden Data'!$D:$D,0)&amp;":T"&amp;MATCH($D68&amp;"-sizecurve",'Hidden Data'!$D:$D,0)),2,FALSE),0)," ")</f>
        <v xml:space="preserve"> </v>
      </c>
      <c r="N68" s="415" t="str">
        <f ca="1">IFERROR(ROUND(HLOOKUP(N$66,INDIRECT("'Hidden Data'!"&amp;HLOOKUP(COLUMN(SKUS_TO_SIZES),NUMBER_TO_LETTER,2,FALSE)&amp;MATCH($D68,'Hidden Data'!$D:$D,0)&amp;":T"&amp;MATCH($D68&amp;"-sizecurve",'Hidden Data'!$D:$D,0)),2,FALSE),0)," ")</f>
        <v xml:space="preserve"> </v>
      </c>
      <c r="O68" s="415" t="str">
        <f ca="1">IFERROR(ROUND(HLOOKUP(O$66,INDIRECT("'Hidden Data'!"&amp;HLOOKUP(COLUMN(SKUS_TO_SIZES),NUMBER_TO_LETTER,2,FALSE)&amp;MATCH($D68,'Hidden Data'!$D:$D,0)&amp;":T"&amp;MATCH($D68&amp;"-sizecurve",'Hidden Data'!$D:$D,0)),2,FALSE),0)," ")</f>
        <v xml:space="preserve"> </v>
      </c>
      <c r="P68" s="415" t="str">
        <f ca="1">IFERROR(ROUND(HLOOKUP(P$66,INDIRECT("'Hidden Data'!"&amp;HLOOKUP(COLUMN(SKUS_TO_SIZES),NUMBER_TO_LETTER,2,FALSE)&amp;MATCH($D68,'Hidden Data'!$D:$D,0)&amp;":T"&amp;MATCH($D68&amp;"-sizecurve",'Hidden Data'!$D:$D,0)),2,FALSE),0)," ")</f>
        <v xml:space="preserve"> </v>
      </c>
      <c r="Q68" s="418"/>
      <c r="R68" s="418"/>
      <c r="S68" s="418"/>
      <c r="T68" s="418"/>
      <c r="U68" s="418"/>
      <c r="V68" s="410" t="str">
        <f ca="1">IFERROR(ROUND(HLOOKUP(V$66,INDIRECT("'Hidden Data'!"&amp;HLOOKUP(COLUMN(SKUS_TO_SIZES),NUMBER_TO_LETTER,2,FALSE)&amp;MATCH($D68,'Hidden Data'!$D:$D,0)&amp;":T"&amp;MATCH($D68&amp;"-sizecurve",'Hidden Data'!$D:$D,0)),2,FALSE),0)," ")</f>
        <v xml:space="preserve"> </v>
      </c>
      <c r="W68" s="179"/>
      <c r="X68" s="178"/>
      <c r="Y68" s="12"/>
      <c r="Z68" s="2">
        <f t="shared" ref="Z68" si="200">Z67+1</f>
        <v>3</v>
      </c>
      <c r="AA68" s="149" t="str">
        <f>D68</f>
        <v>RENN901</v>
      </c>
      <c r="AB68" s="130">
        <f t="shared" si="179"/>
        <v>140</v>
      </c>
      <c r="AC68" s="129" t="str">
        <f t="shared" ref="AC68:AC72" si="201">IFERROR(IF(HLOOKUP(AB68,$M$66:$W$72,$Z68,FALSE)=0,"",HLOOKUP(AB68,$M$66:$W$72,$Z68,FALSE)),"")</f>
        <v/>
      </c>
      <c r="AD68" s="130">
        <f t="shared" si="180"/>
        <v>145</v>
      </c>
      <c r="AE68" s="129" t="str">
        <f t="shared" ref="AE68" si="202">IFERROR(IF(HLOOKUP(AD68,$M$66:$W$72,$Z68,FALSE)=0,"",HLOOKUP(AD68,$M$66:$W$72,$Z68,FALSE)),"")</f>
        <v/>
      </c>
      <c r="AF68" s="130">
        <f t="shared" si="182"/>
        <v>150</v>
      </c>
      <c r="AG68" s="129" t="str">
        <f t="shared" ref="AG68" si="203">IFERROR(IF(HLOOKUP(AF68,$M$66:$W$72,$Z68,FALSE)=0,"",HLOOKUP(AF68,$M$66:$W$72,$Z68,FALSE)),"")</f>
        <v/>
      </c>
      <c r="AH68" s="130">
        <f t="shared" si="184"/>
        <v>155</v>
      </c>
      <c r="AI68" s="129" t="str">
        <f t="shared" ref="AI68" si="204">IFERROR(IF(HLOOKUP(AH68,$M$66:$W$72,$Z68,FALSE)=0,"",HLOOKUP(AH68,$M$66:$W$72,$Z68,FALSE)),"")</f>
        <v/>
      </c>
      <c r="AJ68" s="130">
        <f t="shared" si="186"/>
        <v>160</v>
      </c>
      <c r="AK68" s="129" t="str">
        <f t="shared" ref="AK68" si="205">IFERROR(IF(HLOOKUP(AJ68,$M$66:$W$72,$Z68,FALSE)=0,"",HLOOKUP(AJ68,$M$66:$W$72,$Z68,FALSE)),"")</f>
        <v/>
      </c>
      <c r="AL68" s="130" t="str">
        <f t="shared" si="188"/>
        <v/>
      </c>
      <c r="AM68" s="129" t="str">
        <f t="shared" ref="AM68" si="206">IFERROR(IF(HLOOKUP(AL68,$M$66:$W$72,$Z68,FALSE)=0,"",HLOOKUP(AL68,$M$66:$W$72,$Z68,FALSE)),"")</f>
        <v/>
      </c>
      <c r="AN68" s="130" t="str">
        <f t="shared" si="190"/>
        <v/>
      </c>
      <c r="AO68" s="129" t="str">
        <f t="shared" ref="AO68" si="207">IFERROR(IF(HLOOKUP(AN68,$M$66:$W$72,$Z68,FALSE)=0,"",HLOOKUP(AN68,$M$66:$W$72,$Z68,FALSE)),"")</f>
        <v/>
      </c>
      <c r="AP68" s="130" t="str">
        <f t="shared" si="192"/>
        <v/>
      </c>
      <c r="AQ68" s="129" t="str">
        <f t="shared" ref="AQ68" si="208">IFERROR(IF(HLOOKUP(AP68,$M$66:$W$72,$Z68,FALSE)=0,"",HLOOKUP(AP68,$M$66:$W$72,$Z68,FALSE)),"")</f>
        <v/>
      </c>
      <c r="AR68" s="130" t="str">
        <f t="shared" si="194"/>
        <v/>
      </c>
      <c r="AS68" s="129" t="str">
        <f t="shared" ref="AS68" si="209">IFERROR(IF(HLOOKUP(AR68,$M$66:$W$72,$Z68,FALSE)=0,"",HLOOKUP(AR68,$M$66:$W$72,$Z68,FALSE)),"")</f>
        <v/>
      </c>
      <c r="AT68" s="130" t="str">
        <f t="shared" si="196"/>
        <v/>
      </c>
      <c r="AU68" s="129" t="str">
        <f t="shared" ref="AU68" si="210">IFERROR(IF(HLOOKUP(AT68,$M$66:$W$72,$Z68,FALSE)=0,"",HLOOKUP(AT68,$M$66:$W$72,$Z68,FALSE)),"")</f>
        <v/>
      </c>
      <c r="AV68" s="130" t="str">
        <f t="shared" si="198"/>
        <v/>
      </c>
      <c r="AW68" s="596" t="str">
        <f t="shared" si="199"/>
        <v/>
      </c>
      <c r="AY68" s="43"/>
      <c r="BA68" s="43"/>
    </row>
    <row r="69" spans="2:53" s="8" customFormat="1" ht="12.75" hidden="1" customHeight="1">
      <c r="B69" s="9">
        <f>IF(SNOWBOARD_CALCULATOR_TYPE=1,IF(ISBLANK(D69),MAX(B$56:B68),IF(AND(ISNUMBER(L69),L69&gt;0)=TRUE,MAX(B$56:B68)+1,MAX(B$56:B68))),0)</f>
        <v>0</v>
      </c>
      <c r="C69" s="158"/>
      <c r="D69" s="389" t="s">
        <v>286</v>
      </c>
      <c r="E69" s="205" t="str">
        <f t="shared" si="174"/>
        <v>EXP NARROW</v>
      </c>
      <c r="F69" s="166">
        <f t="shared" si="175"/>
        <v>225</v>
      </c>
      <c r="G69" s="206">
        <f ca="1">SUM(M69:W69)*F69</f>
        <v>0</v>
      </c>
      <c r="H69" s="330">
        <f t="shared" si="176"/>
        <v>225</v>
      </c>
      <c r="I69" s="321">
        <v>0</v>
      </c>
      <c r="J69" s="270">
        <f t="shared" si="177"/>
        <v>0</v>
      </c>
      <c r="K69" s="170">
        <f t="shared" ca="1" si="178"/>
        <v>0</v>
      </c>
      <c r="L69" s="585">
        <f t="shared" ref="L69:L72" ca="1" si="211">SUM(M69:W69)</f>
        <v>0</v>
      </c>
      <c r="M69" s="586" t="str">
        <f ca="1">IFERROR(ROUND(HLOOKUP(M$66,INDIRECT("'Hidden Data'!"&amp;HLOOKUP(COLUMN(SKUS_TO_SIZES),NUMBER_TO_LETTER,2,FALSE)&amp;MATCH($D69,'Hidden Data'!$D:$D,0)&amp;":T"&amp;MATCH($D69&amp;"-sizecurve",'Hidden Data'!$D:$D,0)),2,FALSE),0)," ")</f>
        <v xml:space="preserve"> </v>
      </c>
      <c r="N69" s="516" t="str">
        <f ca="1">IFERROR(ROUND(HLOOKUP(N$66,INDIRECT("'Hidden Data'!"&amp;HLOOKUP(COLUMN(SKUS_TO_SIZES),NUMBER_TO_LETTER,2,FALSE)&amp;MATCH($D69,'Hidden Data'!$D:$D,0)&amp;":T"&amp;MATCH($D69&amp;"-sizecurve",'Hidden Data'!$D:$D,0)),2,FALSE),0)," ")</f>
        <v xml:space="preserve"> </v>
      </c>
      <c r="O69" s="516" t="str">
        <f ca="1">IFERROR(ROUND(HLOOKUP(O$66,INDIRECT("'Hidden Data'!"&amp;HLOOKUP(COLUMN(SKUS_TO_SIZES),NUMBER_TO_LETTER,2,FALSE)&amp;MATCH($D69,'Hidden Data'!$D:$D,0)&amp;":T"&amp;MATCH($D69&amp;"-sizecurve",'Hidden Data'!$D:$D,0)),2,FALSE),0)," ")</f>
        <v xml:space="preserve"> </v>
      </c>
      <c r="P69" s="462"/>
      <c r="Q69" s="462"/>
      <c r="R69" s="462"/>
      <c r="S69" s="516" t="str">
        <f ca="1">IFERROR(ROUND(HLOOKUP(S$66,INDIRECT("'Hidden Data'!"&amp;HLOOKUP(COLUMN(SKUS_TO_SIZES),NUMBER_TO_LETTER,2,FALSE)&amp;MATCH($D69,'Hidden Data'!$D:$D,0)&amp;":T"&amp;MATCH($D69&amp;"-sizecurve",'Hidden Data'!$D:$D,0)),2,FALSE),0)," ")</f>
        <v xml:space="preserve"> </v>
      </c>
      <c r="T69" s="516" t="str">
        <f ca="1">IFERROR(ROUND(HLOOKUP(T$66,INDIRECT("'Hidden Data'!"&amp;HLOOKUP(COLUMN(SKUS_TO_SIZES),NUMBER_TO_LETTER,2,FALSE)&amp;MATCH($D69,'Hidden Data'!$D:$D,0)&amp;":T"&amp;MATCH($D69&amp;"-sizecurve",'Hidden Data'!$D:$D,0)),2,FALSE),0)," ")</f>
        <v xml:space="preserve"> </v>
      </c>
      <c r="U69" s="516" t="str">
        <f ca="1">IFERROR(ROUND(HLOOKUP(U$66,INDIRECT("'Hidden Data'!"&amp;HLOOKUP(COLUMN(SKUS_TO_SIZES),NUMBER_TO_LETTER,2,FALSE)&amp;MATCH($D69,'Hidden Data'!$D:$D,0)&amp;":T"&amp;MATCH($D69&amp;"-sizecurve",'Hidden Data'!$D:$D,0)),2,FALSE),0)," ")</f>
        <v xml:space="preserve"> </v>
      </c>
      <c r="V69" s="587" t="str">
        <f ca="1">IFERROR(ROUND(HLOOKUP(V$66,INDIRECT("'Hidden Data'!"&amp;HLOOKUP(COLUMN(SKUS_TO_SIZES),NUMBER_TO_LETTER,2,FALSE)&amp;MATCH($D69,'Hidden Data'!$D:$D,0)&amp;":T"&amp;MATCH($D69&amp;"-sizecurve",'Hidden Data'!$D:$D,0)),2,FALSE),0)," ")</f>
        <v xml:space="preserve"> </v>
      </c>
      <c r="W69" s="179"/>
      <c r="X69" s="178"/>
      <c r="Y69" s="12"/>
      <c r="Z69" s="2">
        <f t="shared" ref="Z69:Z72" si="212">Z68+1</f>
        <v>4</v>
      </c>
      <c r="AA69" s="149" t="str">
        <f t="shared" ref="AA69:AA72" si="213">D69</f>
        <v>RENN802</v>
      </c>
      <c r="AB69" s="130">
        <f t="shared" si="179"/>
        <v>135</v>
      </c>
      <c r="AC69" s="129" t="str">
        <f t="shared" si="201"/>
        <v/>
      </c>
      <c r="AD69" s="130">
        <f t="shared" si="180"/>
        <v>140</v>
      </c>
      <c r="AE69" s="129" t="str">
        <f t="shared" ref="AE69" si="214">IFERROR(IF(HLOOKUP(AD69,$M$66:$W$72,$Z69,FALSE)=0,"",HLOOKUP(AD69,$M$66:$W$72,$Z69,FALSE)),"")</f>
        <v/>
      </c>
      <c r="AF69" s="130">
        <f t="shared" si="182"/>
        <v>145</v>
      </c>
      <c r="AG69" s="129" t="str">
        <f t="shared" ref="AG69" si="215">IFERROR(IF(HLOOKUP(AF69,$M$66:$W$72,$Z69,FALSE)=0,"",HLOOKUP(AF69,$M$66:$W$72,$Z69,FALSE)),"")</f>
        <v/>
      </c>
      <c r="AH69" s="130" t="str">
        <f t="shared" si="184"/>
        <v/>
      </c>
      <c r="AI69" s="129" t="str">
        <f t="shared" ref="AI69" si="216">IFERROR(IF(HLOOKUP(AH69,$M$66:$W$72,$Z69,FALSE)=0,"",HLOOKUP(AH69,$M$66:$W$72,$Z69,FALSE)),"")</f>
        <v/>
      </c>
      <c r="AJ69" s="130" t="str">
        <f t="shared" si="186"/>
        <v/>
      </c>
      <c r="AK69" s="129" t="str">
        <f t="shared" ref="AK69" si="217">IFERROR(IF(HLOOKUP(AJ69,$M$66:$W$72,$Z69,FALSE)=0,"",HLOOKUP(AJ69,$M$66:$W$72,$Z69,FALSE)),"")</f>
        <v/>
      </c>
      <c r="AL69" s="130" t="str">
        <f t="shared" si="188"/>
        <v/>
      </c>
      <c r="AM69" s="129" t="str">
        <f t="shared" ref="AM69" si="218">IFERROR(IF(HLOOKUP(AL69,$M$66:$W$72,$Z69,FALSE)=0,"",HLOOKUP(AL69,$M$66:$W$72,$Z69,FALSE)),"")</f>
        <v/>
      </c>
      <c r="AN69" s="130" t="str">
        <f t="shared" si="190"/>
        <v/>
      </c>
      <c r="AO69" s="129" t="str">
        <f t="shared" ref="AO69" si="219">IFERROR(IF(HLOOKUP(AN69,$M$66:$W$72,$Z69,FALSE)=0,"",HLOOKUP(AN69,$M$66:$W$72,$Z69,FALSE)),"")</f>
        <v/>
      </c>
      <c r="AP69" s="130" t="str">
        <f t="shared" si="192"/>
        <v/>
      </c>
      <c r="AQ69" s="129" t="str">
        <f t="shared" ref="AQ69" si="220">IFERROR(IF(HLOOKUP(AP69,$M$66:$W$72,$Z69,FALSE)=0,"",HLOOKUP(AP69,$M$66:$W$72,$Z69,FALSE)),"")</f>
        <v/>
      </c>
      <c r="AR69" s="130" t="str">
        <f t="shared" si="194"/>
        <v/>
      </c>
      <c r="AS69" s="129" t="str">
        <f t="shared" ref="AS69" si="221">IFERROR(IF(HLOOKUP(AR69,$M$66:$W$72,$Z69,FALSE)=0,"",HLOOKUP(AR69,$M$66:$W$72,$Z69,FALSE)),"")</f>
        <v/>
      </c>
      <c r="AT69" s="130" t="str">
        <f t="shared" si="196"/>
        <v/>
      </c>
      <c r="AU69" s="129" t="str">
        <f t="shared" ref="AU69" si="222">IFERROR(IF(HLOOKUP(AT69,$M$66:$W$72,$Z69,FALSE)=0,"",HLOOKUP(AT69,$M$66:$W$72,$Z69,FALSE)),"")</f>
        <v/>
      </c>
      <c r="AV69" s="130" t="str">
        <f t="shared" si="198"/>
        <v/>
      </c>
      <c r="AW69" s="596" t="str">
        <f t="shared" si="199"/>
        <v/>
      </c>
      <c r="AY69" s="43"/>
      <c r="BA69" s="43"/>
    </row>
    <row r="70" spans="2:53" s="8" customFormat="1" ht="12.75" hidden="1" customHeight="1">
      <c r="B70" s="9">
        <f>IF(SNOWBOARD_CALCULATOR_TYPE=1,IF(ISBLANK(D70),MAX(B$56:B69),IF(AND(ISNUMBER(L70),L70&gt;0)=TRUE,MAX(B$56:B69)+1,MAX(B$56:B69))),0)</f>
        <v>0</v>
      </c>
      <c r="C70" s="158"/>
      <c r="D70" s="243" t="s">
        <v>195</v>
      </c>
      <c r="E70" s="377" t="str">
        <f t="shared" si="174"/>
        <v>REPLY 4x4 M/L (sizes 8-15)</v>
      </c>
      <c r="F70" s="248">
        <f t="shared" si="175"/>
        <v>212</v>
      </c>
      <c r="G70" s="249">
        <f ca="1">SUM(M70:N70)*F70</f>
        <v>0</v>
      </c>
      <c r="H70" s="347">
        <f t="shared" si="176"/>
        <v>212</v>
      </c>
      <c r="I70" s="378">
        <v>0</v>
      </c>
      <c r="J70" s="379">
        <f t="shared" si="177"/>
        <v>0</v>
      </c>
      <c r="K70" s="318">
        <f ca="1">SUM(M70:W70)*H70</f>
        <v>0</v>
      </c>
      <c r="L70" s="280">
        <f t="shared" ca="1" si="211"/>
        <v>0</v>
      </c>
      <c r="M70" s="581" t="str">
        <f ca="1">IFERROR(ROUND(HLOOKUP(M$66,INDIRECT("'Hidden Data'!"&amp;HLOOKUP(COLUMN(SKUS_TO_SIZES),NUMBER_TO_LETTER,2,FALSE)&amp;MATCH($D70,'Hidden Data'!$D:$D,0)&amp;":T"&amp;MATCH($D70&amp;"-sizecurve",'Hidden Data'!$D:$D,0)),2,FALSE),0)," ")</f>
        <v xml:space="preserve"> </v>
      </c>
      <c r="N70" s="583" t="str">
        <f ca="1">IFERROR(ROUND(HLOOKUP(N$66,INDIRECT("'Hidden Data'!"&amp;HLOOKUP(COLUMN(SKUS_TO_SIZES),NUMBER_TO_LETTER,2,FALSE)&amp;MATCH($D70,'Hidden Data'!$D:$D,0)&amp;":T"&amp;MATCH($D70&amp;"-sizecurve",'Hidden Data'!$D:$D,0)),2,FALSE),0)," ")</f>
        <v xml:space="preserve"> </v>
      </c>
      <c r="O70" s="582"/>
      <c r="P70" s="583" t="str">
        <f ca="1">IFERROR(ROUND(HLOOKUP(P$66,INDIRECT("'Hidden Data'!"&amp;HLOOKUP(COLUMN(SKUS_TO_SIZES),NUMBER_TO_LETTER,2,FALSE)&amp;MATCH($D70,'Hidden Data'!$D:$D,0)&amp;":T"&amp;MATCH($D70&amp;"-sizecurve",'Hidden Data'!$D:$D,0)),2,FALSE),0)," ")</f>
        <v xml:space="preserve"> </v>
      </c>
      <c r="Q70" s="583" t="str">
        <f ca="1">IFERROR(ROUND(HLOOKUP(Q$66,INDIRECT("'Hidden Data'!"&amp;HLOOKUP(COLUMN(SKUS_TO_SIZES),NUMBER_TO_LETTER,2,FALSE)&amp;MATCH($D70,'Hidden Data'!$D:$D,0)&amp;":T"&amp;MATCH($D70&amp;"-sizecurve",'Hidden Data'!$D:$D,0)),2,FALSE),0)," ")</f>
        <v xml:space="preserve"> </v>
      </c>
      <c r="R70" s="583" t="str">
        <f ca="1">IFERROR(ROUND(HLOOKUP(R$66,INDIRECT("'Hidden Data'!"&amp;HLOOKUP(COLUMN(SKUS_TO_SIZES),NUMBER_TO_LETTER,2,FALSE)&amp;MATCH($D70,'Hidden Data'!$D:$D,0)&amp;":T"&amp;MATCH($D70&amp;"-sizecurve",'Hidden Data'!$D:$D,0)),2,FALSE),0)," ")</f>
        <v xml:space="preserve"> </v>
      </c>
      <c r="S70" s="583" t="str">
        <f ca="1">IFERROR(ROUND(HLOOKUP(S$66,INDIRECT("'Hidden Data'!"&amp;HLOOKUP(COLUMN(SKUS_TO_SIZES),NUMBER_TO_LETTER,2,FALSE)&amp;MATCH($D70,'Hidden Data'!$D:$D,0)&amp;":T"&amp;MATCH($D70&amp;"-sizecurve",'Hidden Data'!$D:$D,0)),2,FALSE),0)," ")</f>
        <v xml:space="preserve"> </v>
      </c>
      <c r="T70" s="583" t="str">
        <f ca="1">IFERROR(ROUND(HLOOKUP(T$66,INDIRECT("'Hidden Data'!"&amp;HLOOKUP(COLUMN(SKUS_TO_SIZES),NUMBER_TO_LETTER,2,FALSE)&amp;MATCH($D70,'Hidden Data'!$D:$D,0)&amp;":T"&amp;MATCH($D70&amp;"-sizecurve",'Hidden Data'!$D:$D,0)),2,FALSE),0)," ")</f>
        <v xml:space="preserve"> </v>
      </c>
      <c r="U70" s="583" t="str">
        <f ca="1">IFERROR(ROUND(HLOOKUP(U$66,INDIRECT("'Hidden Data'!"&amp;HLOOKUP(COLUMN(SKUS_TO_SIZES),NUMBER_TO_LETTER,2,FALSE)&amp;MATCH($D70,'Hidden Data'!$D:$D,0)&amp;":T"&amp;MATCH($D70&amp;"-sizecurve",'Hidden Data'!$D:$D,0)),2,FALSE),0)," ")</f>
        <v xml:space="preserve"> </v>
      </c>
      <c r="V70" s="584" t="str">
        <f ca="1">IFERROR(ROUND(HLOOKUP(V$66,INDIRECT("'Hidden Data'!"&amp;HLOOKUP(COLUMN(SKUS_TO_SIZES),NUMBER_TO_LETTER,2,FALSE)&amp;MATCH($D70,'Hidden Data'!$D:$D,0)&amp;":T"&amp;MATCH($D70&amp;"-sizecurve",'Hidden Data'!$D:$D,0)),2,FALSE),0)," ")</f>
        <v xml:space="preserve"> </v>
      </c>
      <c r="W70" s="179"/>
      <c r="X70" s="178"/>
      <c r="Y70" s="12"/>
      <c r="Z70" s="2">
        <f t="shared" si="212"/>
        <v>5</v>
      </c>
      <c r="AA70" s="149" t="str">
        <f t="shared" si="213"/>
        <v>RGJ0082</v>
      </c>
      <c r="AB70" s="130" t="str">
        <f t="shared" si="179"/>
        <v>M/L</v>
      </c>
      <c r="AC70" s="129" t="str">
        <f t="shared" si="201"/>
        <v/>
      </c>
      <c r="AD70" s="130" t="str">
        <f t="shared" si="180"/>
        <v/>
      </c>
      <c r="AE70" s="129" t="str">
        <f t="shared" ref="AE70" si="223">IFERROR(IF(HLOOKUP(AD70,$M$66:$W$72,$Z70,FALSE)=0,"",HLOOKUP(AD70,$M$66:$W$72,$Z70,FALSE)),"")</f>
        <v/>
      </c>
      <c r="AF70" s="130" t="str">
        <f t="shared" si="182"/>
        <v/>
      </c>
      <c r="AG70" s="129" t="str">
        <f t="shared" ref="AG70" si="224">IFERROR(IF(HLOOKUP(AF70,$M$66:$W$72,$Z70,FALSE)=0,"",HLOOKUP(AF70,$M$66:$W$72,$Z70,FALSE)),"")</f>
        <v/>
      </c>
      <c r="AH70" s="130" t="str">
        <f t="shared" si="184"/>
        <v/>
      </c>
      <c r="AI70" s="129" t="str">
        <f t="shared" ref="AI70" si="225">IFERROR(IF(HLOOKUP(AH70,$M$66:$W$72,$Z70,FALSE)=0,"",HLOOKUP(AH70,$M$66:$W$72,$Z70,FALSE)),"")</f>
        <v/>
      </c>
      <c r="AJ70" s="130" t="str">
        <f t="shared" si="186"/>
        <v/>
      </c>
      <c r="AK70" s="129" t="str">
        <f t="shared" ref="AK70" si="226">IFERROR(IF(HLOOKUP(AJ70,$M$66:$W$72,$Z70,FALSE)=0,"",HLOOKUP(AJ70,$M$66:$W$72,$Z70,FALSE)),"")</f>
        <v/>
      </c>
      <c r="AL70" s="130" t="str">
        <f t="shared" si="188"/>
        <v/>
      </c>
      <c r="AM70" s="129" t="str">
        <f t="shared" ref="AM70" si="227">IFERROR(IF(HLOOKUP(AL70,$M$66:$W$72,$Z70,FALSE)=0,"",HLOOKUP(AL70,$M$66:$W$72,$Z70,FALSE)),"")</f>
        <v/>
      </c>
      <c r="AN70" s="130" t="str">
        <f t="shared" si="190"/>
        <v/>
      </c>
      <c r="AO70" s="129" t="str">
        <f t="shared" ref="AO70" si="228">IFERROR(IF(HLOOKUP(AN70,$M$66:$W$72,$Z70,FALSE)=0,"",HLOOKUP(AN70,$M$66:$W$72,$Z70,FALSE)),"")</f>
        <v/>
      </c>
      <c r="AP70" s="130" t="str">
        <f t="shared" si="192"/>
        <v/>
      </c>
      <c r="AQ70" s="129" t="str">
        <f t="shared" ref="AQ70" si="229">IFERROR(IF(HLOOKUP(AP70,$M$66:$W$72,$Z70,FALSE)=0,"",HLOOKUP(AP70,$M$66:$W$72,$Z70,FALSE)),"")</f>
        <v/>
      </c>
      <c r="AR70" s="130" t="str">
        <f t="shared" si="194"/>
        <v/>
      </c>
      <c r="AS70" s="129" t="str">
        <f t="shared" ref="AS70" si="230">IFERROR(IF(HLOOKUP(AR70,$M$66:$W$72,$Z70,FALSE)=0,"",HLOOKUP(AR70,$M$66:$W$72,$Z70,FALSE)),"")</f>
        <v/>
      </c>
      <c r="AT70" s="130" t="str">
        <f t="shared" si="196"/>
        <v/>
      </c>
      <c r="AU70" s="129" t="str">
        <f t="shared" ref="AU70" si="231">IFERROR(IF(HLOOKUP(AT70,$M$66:$W$72,$Z70,FALSE)=0,"",HLOOKUP(AT70,$M$66:$W$72,$Z70,FALSE)),"")</f>
        <v/>
      </c>
      <c r="AV70" s="130" t="str">
        <f t="shared" si="198"/>
        <v/>
      </c>
      <c r="AW70" s="596" t="str">
        <f t="shared" si="199"/>
        <v/>
      </c>
      <c r="AY70" s="43"/>
      <c r="BA70" s="43"/>
    </row>
    <row r="71" spans="2:53" s="8" customFormat="1" ht="12.75" hidden="1" customHeight="1">
      <c r="B71" s="9">
        <f>IF(SNOWBOARD_CALCULATOR_TYPE=1,IF(ISBLANK(D71),MAX(B$56:B70),IF(AND(ISNUMBER(L71),L71&gt;0)=TRUE,MAX(B$56:B70)+1,MAX(B$56:B70))),0)</f>
        <v>0</v>
      </c>
      <c r="C71" s="158"/>
      <c r="D71" s="164" t="s">
        <v>194</v>
      </c>
      <c r="E71" s="219" t="str">
        <f t="shared" si="174"/>
        <v>REPLY 4x4 S/M (sizes 5-8)</v>
      </c>
      <c r="F71" s="168">
        <f t="shared" si="175"/>
        <v>212</v>
      </c>
      <c r="G71" s="167">
        <f>SUM(M71:N71)*F71</f>
        <v>0</v>
      </c>
      <c r="H71" s="337">
        <f t="shared" si="176"/>
        <v>212</v>
      </c>
      <c r="I71" s="321">
        <v>0</v>
      </c>
      <c r="J71" s="169">
        <f t="shared" si="177"/>
        <v>0</v>
      </c>
      <c r="K71" s="220">
        <f t="shared" ca="1" si="178"/>
        <v>0</v>
      </c>
      <c r="L71" s="280">
        <f t="shared" ca="1" si="211"/>
        <v>0</v>
      </c>
      <c r="M71" s="586"/>
      <c r="N71" s="420"/>
      <c r="O71" s="413" t="str">
        <f ca="1">IFERROR(ROUND(HLOOKUP(O$66,INDIRECT("'Hidden Data'!"&amp;HLOOKUP(COLUMN(SKUS_TO_SIZES),NUMBER_TO_LETTER,2,FALSE)&amp;MATCH($D71,'Hidden Data'!$D:$D,0)&amp;":T"&amp;MATCH($D71&amp;"-sizecurve",'Hidden Data'!$D:$D,0)),2,FALSE),0)," ")</f>
        <v xml:space="preserve"> </v>
      </c>
      <c r="P71" s="413" t="str">
        <f ca="1">IFERROR(ROUND(HLOOKUP(P$66,INDIRECT("'Hidden Data'!"&amp;HLOOKUP(COLUMN(SKUS_TO_SIZES),NUMBER_TO_LETTER,2,FALSE)&amp;MATCH($D71,'Hidden Data'!$D:$D,0)&amp;":T"&amp;MATCH($D71&amp;"-sizecurve",'Hidden Data'!$D:$D,0)),2,FALSE),0)," ")</f>
        <v xml:space="preserve"> </v>
      </c>
      <c r="Q71" s="413" t="str">
        <f ca="1">IFERROR(ROUND(HLOOKUP(Q$66,INDIRECT("'Hidden Data'!"&amp;HLOOKUP(COLUMN(SKUS_TO_SIZES),NUMBER_TO_LETTER,2,FALSE)&amp;MATCH($D71,'Hidden Data'!$D:$D,0)&amp;":T"&amp;MATCH($D71&amp;"-sizecurve",'Hidden Data'!$D:$D,0)),2,FALSE),0)," ")</f>
        <v xml:space="preserve"> </v>
      </c>
      <c r="R71" s="413" t="str">
        <f ca="1">IFERROR(ROUND(HLOOKUP(R$66,INDIRECT("'Hidden Data'!"&amp;HLOOKUP(COLUMN(SKUS_TO_SIZES),NUMBER_TO_LETTER,2,FALSE)&amp;MATCH($D71,'Hidden Data'!$D:$D,0)&amp;":T"&amp;MATCH($D71&amp;"-sizecurve",'Hidden Data'!$D:$D,0)),2,FALSE),0)," ")</f>
        <v xml:space="preserve"> </v>
      </c>
      <c r="S71" s="413" t="str">
        <f ca="1">IFERROR(ROUND(HLOOKUP(S$66,INDIRECT("'Hidden Data'!"&amp;HLOOKUP(COLUMN(SKUS_TO_SIZES),NUMBER_TO_LETTER,2,FALSE)&amp;MATCH($D71,'Hidden Data'!$D:$D,0)&amp;":T"&amp;MATCH($D71&amp;"-sizecurve",'Hidden Data'!$D:$D,0)),2,FALSE),0)," ")</f>
        <v xml:space="preserve"> </v>
      </c>
      <c r="T71" s="413" t="str">
        <f ca="1">IFERROR(ROUND(HLOOKUP(T$66,INDIRECT("'Hidden Data'!"&amp;HLOOKUP(COLUMN(SKUS_TO_SIZES),NUMBER_TO_LETTER,2,FALSE)&amp;MATCH($D71,'Hidden Data'!$D:$D,0)&amp;":T"&amp;MATCH($D71&amp;"-sizecurve",'Hidden Data'!$D:$D,0)),2,FALSE),0)," ")</f>
        <v xml:space="preserve"> </v>
      </c>
      <c r="U71" s="413" t="str">
        <f ca="1">IFERROR(ROUND(HLOOKUP(U$66,INDIRECT("'Hidden Data'!"&amp;HLOOKUP(COLUMN(SKUS_TO_SIZES),NUMBER_TO_LETTER,2,FALSE)&amp;MATCH($D71,'Hidden Data'!$D:$D,0)&amp;":T"&amp;MATCH($D71&amp;"-sizecurve",'Hidden Data'!$D:$D,0)),2,FALSE),0)," ")</f>
        <v xml:space="preserve"> </v>
      </c>
      <c r="V71" s="411" t="str">
        <f ca="1">IFERROR(ROUND(HLOOKUP(V$66,INDIRECT("'Hidden Data'!"&amp;HLOOKUP(COLUMN(SKUS_TO_SIZES),NUMBER_TO_LETTER,2,FALSE)&amp;MATCH($D71,'Hidden Data'!$D:$D,0)&amp;":T"&amp;MATCH($D71&amp;"-sizecurve",'Hidden Data'!$D:$D,0)),2,FALSE),0)," ")</f>
        <v xml:space="preserve"> </v>
      </c>
      <c r="W71" s="179"/>
      <c r="X71" s="178"/>
      <c r="Y71" s="12"/>
      <c r="Z71" s="2">
        <f t="shared" si="212"/>
        <v>6</v>
      </c>
      <c r="AA71" s="149" t="str">
        <f t="shared" si="213"/>
        <v>RGJ0083</v>
      </c>
      <c r="AB71" s="130" t="str">
        <f t="shared" si="179"/>
        <v>S/M</v>
      </c>
      <c r="AC71" s="129" t="str">
        <f t="shared" si="201"/>
        <v/>
      </c>
      <c r="AD71" s="130" t="str">
        <f t="shared" si="180"/>
        <v/>
      </c>
      <c r="AE71" s="129" t="str">
        <f t="shared" ref="AE71" si="232">IFERROR(IF(HLOOKUP(AD71,$M$66:$W$72,$Z71,FALSE)=0,"",HLOOKUP(AD71,$M$66:$W$72,$Z71,FALSE)),"")</f>
        <v/>
      </c>
      <c r="AF71" s="130" t="str">
        <f t="shared" si="182"/>
        <v/>
      </c>
      <c r="AG71" s="129" t="str">
        <f t="shared" ref="AG71" si="233">IFERROR(IF(HLOOKUP(AF71,$M$66:$W$72,$Z71,FALSE)=0,"",HLOOKUP(AF71,$M$66:$W$72,$Z71,FALSE)),"")</f>
        <v/>
      </c>
      <c r="AH71" s="130" t="str">
        <f t="shared" si="184"/>
        <v/>
      </c>
      <c r="AI71" s="129" t="str">
        <f t="shared" ref="AI71" si="234">IFERROR(IF(HLOOKUP(AH71,$M$66:$W$72,$Z71,FALSE)=0,"",HLOOKUP(AH71,$M$66:$W$72,$Z71,FALSE)),"")</f>
        <v/>
      </c>
      <c r="AJ71" s="130" t="str">
        <f t="shared" si="186"/>
        <v/>
      </c>
      <c r="AK71" s="129" t="str">
        <f t="shared" ref="AK71" si="235">IFERROR(IF(HLOOKUP(AJ71,$M$66:$W$72,$Z71,FALSE)=0,"",HLOOKUP(AJ71,$M$66:$W$72,$Z71,FALSE)),"")</f>
        <v/>
      </c>
      <c r="AL71" s="130" t="str">
        <f t="shared" si="188"/>
        <v/>
      </c>
      <c r="AM71" s="129" t="str">
        <f t="shared" ref="AM71" si="236">IFERROR(IF(HLOOKUP(AL71,$M$66:$W$72,$Z71,FALSE)=0,"",HLOOKUP(AL71,$M$66:$W$72,$Z71,FALSE)),"")</f>
        <v/>
      </c>
      <c r="AN71" s="130" t="str">
        <f t="shared" si="190"/>
        <v/>
      </c>
      <c r="AO71" s="129" t="str">
        <f t="shared" ref="AO71" si="237">IFERROR(IF(HLOOKUP(AN71,$M$66:$W$72,$Z71,FALSE)=0,"",HLOOKUP(AN71,$M$66:$W$72,$Z71,FALSE)),"")</f>
        <v/>
      </c>
      <c r="AP71" s="130" t="str">
        <f t="shared" si="192"/>
        <v/>
      </c>
      <c r="AQ71" s="129" t="str">
        <f t="shared" ref="AQ71" si="238">IFERROR(IF(HLOOKUP(AP71,$M$66:$W$72,$Z71,FALSE)=0,"",HLOOKUP(AP71,$M$66:$W$72,$Z71,FALSE)),"")</f>
        <v/>
      </c>
      <c r="AR71" s="130" t="str">
        <f t="shared" si="194"/>
        <v/>
      </c>
      <c r="AS71" s="129" t="str">
        <f t="shared" ref="AS71" si="239">IFERROR(IF(HLOOKUP(AR71,$M$66:$W$72,$Z71,FALSE)=0,"",HLOOKUP(AR71,$M$66:$W$72,$Z71,FALSE)),"")</f>
        <v/>
      </c>
      <c r="AT71" s="130" t="str">
        <f t="shared" si="196"/>
        <v/>
      </c>
      <c r="AU71" s="129" t="str">
        <f t="shared" ref="AU71" si="240">IFERROR(IF(HLOOKUP(AT71,$M$66:$W$72,$Z71,FALSE)=0,"",HLOOKUP(AT71,$M$66:$W$72,$Z71,FALSE)),"")</f>
        <v/>
      </c>
      <c r="AV71" s="130" t="str">
        <f t="shared" si="198"/>
        <v/>
      </c>
      <c r="AW71" s="596" t="str">
        <f t="shared" si="199"/>
        <v/>
      </c>
      <c r="AY71" s="43"/>
      <c r="BA71" s="43"/>
    </row>
    <row r="72" spans="2:53" s="8" customFormat="1" ht="12.75" hidden="1" customHeight="1">
      <c r="B72" s="9">
        <f>IF(SNOWBOARD_CALCULATOR_TYPE=1,IF(ISBLANK(D72),MAX(B$56:B71),IF(AND(ISNUMBER(L72),L72&gt;0)=TRUE,MAX(B$56:B71)+1,MAX(B$56:B71))),0)</f>
        <v>0</v>
      </c>
      <c r="C72" s="12"/>
      <c r="D72" s="588" t="s">
        <v>247</v>
      </c>
      <c r="E72" s="456" t="str">
        <f t="shared" si="174"/>
        <v>REPLY POWER HANDLE RED (PAIR)</v>
      </c>
      <c r="F72" s="465">
        <f t="shared" si="175"/>
        <v>18</v>
      </c>
      <c r="G72" s="458">
        <f ca="1">SUM(M72:N72)*F72</f>
        <v>0</v>
      </c>
      <c r="H72" s="459">
        <f t="shared" si="176"/>
        <v>18</v>
      </c>
      <c r="I72" s="569">
        <v>0</v>
      </c>
      <c r="J72" s="576">
        <f t="shared" si="177"/>
        <v>0</v>
      </c>
      <c r="K72" s="577">
        <f t="shared" ca="1" si="178"/>
        <v>0</v>
      </c>
      <c r="L72" s="280">
        <f t="shared" ca="1" si="211"/>
        <v>0</v>
      </c>
      <c r="M72" s="419"/>
      <c r="N72" s="516" t="str">
        <f ca="1">IFERROR(ROUND(HLOOKUP(N$66,INDIRECT("'Hidden Data'!"&amp;HLOOKUP(COLUMN(SKUS_TO_SIZES),NUMBER_TO_LETTER,2,FALSE)&amp;MATCH($D72,'Hidden Data'!$D:$D,0)&amp;":T"&amp;MATCH($D72&amp;"-sizecurve",'Hidden Data'!$D:$D,0)),2,FALSE),0)," ")</f>
        <v xml:space="preserve"> </v>
      </c>
      <c r="O72" s="516" t="str">
        <f ca="1">IFERROR(ROUND(HLOOKUP(O$66,INDIRECT("'Hidden Data'!"&amp;HLOOKUP(COLUMN(SKUS_TO_SIZES),NUMBER_TO_LETTER,2,FALSE)&amp;MATCH($D72,'Hidden Data'!$D:$D,0)&amp;":T"&amp;MATCH($D72&amp;"-sizecurve",'Hidden Data'!$D:$D,0)),2,FALSE),0)," ")</f>
        <v xml:space="preserve"> </v>
      </c>
      <c r="P72" s="516" t="str">
        <f ca="1">IFERROR(ROUND(HLOOKUP(P$66,INDIRECT("'Hidden Data'!"&amp;HLOOKUP(COLUMN(SKUS_TO_SIZES),NUMBER_TO_LETTER,2,FALSE)&amp;MATCH($D72,'Hidden Data'!$D:$D,0)&amp;":T"&amp;MATCH($D72&amp;"-sizecurve",'Hidden Data'!$D:$D,0)),2,FALSE),0)," ")</f>
        <v xml:space="preserve"> </v>
      </c>
      <c r="Q72" s="516" t="str">
        <f ca="1">IFERROR(ROUND(HLOOKUP(Q$66,INDIRECT("'Hidden Data'!"&amp;HLOOKUP(COLUMN(SKUS_TO_SIZES),NUMBER_TO_LETTER,2,FALSE)&amp;MATCH($D72,'Hidden Data'!$D:$D,0)&amp;":T"&amp;MATCH($D72&amp;"-sizecurve",'Hidden Data'!$D:$D,0)),2,FALSE),0)," ")</f>
        <v xml:space="preserve"> </v>
      </c>
      <c r="R72" s="516" t="str">
        <f ca="1">IFERROR(ROUND(HLOOKUP(R$66,INDIRECT("'Hidden Data'!"&amp;HLOOKUP(COLUMN(SKUS_TO_SIZES),NUMBER_TO_LETTER,2,FALSE)&amp;MATCH($D72,'Hidden Data'!$D:$D,0)&amp;":T"&amp;MATCH($D72&amp;"-sizecurve",'Hidden Data'!$D:$D,0)),2,FALSE),0)," ")</f>
        <v xml:space="preserve"> </v>
      </c>
      <c r="S72" s="516" t="str">
        <f ca="1">IFERROR(ROUND(HLOOKUP(S$66,INDIRECT("'Hidden Data'!"&amp;HLOOKUP(COLUMN(SKUS_TO_SIZES),NUMBER_TO_LETTER,2,FALSE)&amp;MATCH($D72,'Hidden Data'!$D:$D,0)&amp;":T"&amp;MATCH($D72&amp;"-sizecurve",'Hidden Data'!$D:$D,0)),2,FALSE),0)," ")</f>
        <v xml:space="preserve"> </v>
      </c>
      <c r="T72" s="516" t="str">
        <f ca="1">IFERROR(ROUND(HLOOKUP(T$66,INDIRECT("'Hidden Data'!"&amp;HLOOKUP(COLUMN(SKUS_TO_SIZES),NUMBER_TO_LETTER,2,FALSE)&amp;MATCH($D72,'Hidden Data'!$D:$D,0)&amp;":T"&amp;MATCH($D72&amp;"-sizecurve",'Hidden Data'!$D:$D,0)),2,FALSE),0)," ")</f>
        <v xml:space="preserve"> </v>
      </c>
      <c r="U72" s="516" t="str">
        <f ca="1">IFERROR(ROUND(HLOOKUP(U$66,INDIRECT("'Hidden Data'!"&amp;HLOOKUP(COLUMN(SKUS_TO_SIZES),NUMBER_TO_LETTER,2,FALSE)&amp;MATCH($D72,'Hidden Data'!$D:$D,0)&amp;":T"&amp;MATCH($D72&amp;"-sizecurve",'Hidden Data'!$D:$D,0)),2,FALSE),0)," ")</f>
        <v xml:space="preserve"> </v>
      </c>
      <c r="V72" s="593" t="str">
        <f ca="1">IFERROR(ROUND(HLOOKUP(V$66,INDIRECT("'Hidden Data'!"&amp;HLOOKUP(COLUMN(SKUS_TO_SIZES),NUMBER_TO_LETTER,2,FALSE)&amp;MATCH($D72,'Hidden Data'!$D:$D,0)&amp;":T"&amp;MATCH($D72&amp;"-sizecurve",'Hidden Data'!$D:$D,0)),2,FALSE),0)," ")</f>
        <v xml:space="preserve"> </v>
      </c>
      <c r="W72" s="179"/>
      <c r="X72" s="178"/>
      <c r="Y72" s="12"/>
      <c r="Z72" s="2">
        <f t="shared" si="212"/>
        <v>7</v>
      </c>
      <c r="AA72" s="149" t="str">
        <f t="shared" si="213"/>
        <v>RVEW415</v>
      </c>
      <c r="AB72" s="130" t="str">
        <f t="shared" si="179"/>
        <v>PAIR</v>
      </c>
      <c r="AC72" s="129" t="str">
        <f t="shared" si="201"/>
        <v/>
      </c>
      <c r="AD72" s="130" t="str">
        <f t="shared" si="180"/>
        <v/>
      </c>
      <c r="AE72" s="129" t="str">
        <f t="shared" ref="AE72" si="241">IFERROR(IF(HLOOKUP(AD72,$M$66:$W$72,$Z72,FALSE)=0,"",HLOOKUP(AD72,$M$66:$W$72,$Z72,FALSE)),"")</f>
        <v/>
      </c>
      <c r="AF72" s="130" t="str">
        <f t="shared" si="182"/>
        <v/>
      </c>
      <c r="AG72" s="129" t="str">
        <f t="shared" ref="AG72" si="242">IFERROR(IF(HLOOKUP(AF72,$M$66:$W$72,$Z72,FALSE)=0,"",HLOOKUP(AF72,$M$66:$W$72,$Z72,FALSE)),"")</f>
        <v/>
      </c>
      <c r="AH72" s="130" t="str">
        <f t="shared" si="184"/>
        <v/>
      </c>
      <c r="AI72" s="129" t="str">
        <f t="shared" ref="AI72" si="243">IFERROR(IF(HLOOKUP(AH72,$M$66:$W$72,$Z72,FALSE)=0,"",HLOOKUP(AH72,$M$66:$W$72,$Z72,FALSE)),"")</f>
        <v/>
      </c>
      <c r="AJ72" s="130" t="str">
        <f t="shared" si="186"/>
        <v/>
      </c>
      <c r="AK72" s="129" t="str">
        <f t="shared" ref="AK72" si="244">IFERROR(IF(HLOOKUP(AJ72,$M$66:$W$72,$Z72,FALSE)=0,"",HLOOKUP(AJ72,$M$66:$W$72,$Z72,FALSE)),"")</f>
        <v/>
      </c>
      <c r="AL72" s="130" t="str">
        <f t="shared" si="188"/>
        <v/>
      </c>
      <c r="AM72" s="129" t="str">
        <f t="shared" ref="AM72" si="245">IFERROR(IF(HLOOKUP(AL72,$M$66:$W$72,$Z72,FALSE)=0,"",HLOOKUP(AL72,$M$66:$W$72,$Z72,FALSE)),"")</f>
        <v/>
      </c>
      <c r="AN72" s="130" t="str">
        <f t="shared" si="190"/>
        <v/>
      </c>
      <c r="AO72" s="129" t="str">
        <f t="shared" ref="AO72" si="246">IFERROR(IF(HLOOKUP(AN72,$M$66:$W$72,$Z72,FALSE)=0,"",HLOOKUP(AN72,$M$66:$W$72,$Z72,FALSE)),"")</f>
        <v/>
      </c>
      <c r="AP72" s="130" t="str">
        <f t="shared" si="192"/>
        <v/>
      </c>
      <c r="AQ72" s="129" t="str">
        <f t="shared" ref="AQ72" si="247">IFERROR(IF(HLOOKUP(AP72,$M$66:$W$72,$Z72,FALSE)=0,"",HLOOKUP(AP72,$M$66:$W$72,$Z72,FALSE)),"")</f>
        <v/>
      </c>
      <c r="AR72" s="130" t="str">
        <f t="shared" si="194"/>
        <v/>
      </c>
      <c r="AS72" s="129" t="str">
        <f t="shared" ref="AS72" si="248">IFERROR(IF(HLOOKUP(AR72,$M$66:$W$72,$Z72,FALSE)=0,"",HLOOKUP(AR72,$M$66:$W$72,$Z72,FALSE)),"")</f>
        <v/>
      </c>
      <c r="AT72" s="130" t="str">
        <f t="shared" si="196"/>
        <v/>
      </c>
      <c r="AU72" s="129" t="str">
        <f t="shared" ref="AU72" si="249">IFERROR(IF(HLOOKUP(AT72,$M$66:$W$72,$Z72,FALSE)=0,"",HLOOKUP(AT72,$M$66:$W$72,$Z72,FALSE)),"")</f>
        <v/>
      </c>
      <c r="AV72" s="130" t="str">
        <f t="shared" si="198"/>
        <v/>
      </c>
      <c r="AW72" s="596" t="str">
        <f t="shared" si="199"/>
        <v/>
      </c>
      <c r="AY72" s="43"/>
      <c r="BA72" s="43"/>
    </row>
    <row r="73" spans="2:53" ht="12.75" hidden="1" customHeight="1">
      <c r="B73" s="9">
        <f>IF(SNOWBOARD_CALCULATOR_TYPE=1,IF(ISBLANK(D73),MAX(B$56:B72),IF(AND(ISNUMBER(L73),L73&gt;0)=TRUE,MAX(B$56:B72)+1,MAX(B$56:B72))),0)</f>
        <v>0</v>
      </c>
      <c r="C73" s="10"/>
      <c r="D73" s="265"/>
      <c r="E73" s="180"/>
      <c r="F73" s="214"/>
      <c r="G73" s="578">
        <f ca="1">SUM(G67:G72)</f>
        <v>0</v>
      </c>
      <c r="H73" s="214"/>
      <c r="I73" s="214"/>
      <c r="J73" s="215"/>
      <c r="K73" s="181">
        <f ca="1">SUM(K67:K72)</f>
        <v>0</v>
      </c>
      <c r="L73" s="230">
        <f ca="1">SUM(M73:W73)</f>
        <v>0</v>
      </c>
      <c r="M73" s="183">
        <f ca="1">SUM(M67:M72)</f>
        <v>0</v>
      </c>
      <c r="N73" s="184">
        <f ca="1">SUM(N67:N72)</f>
        <v>0</v>
      </c>
      <c r="O73" s="184">
        <f t="shared" ref="O73:V73" ca="1" si="250">SUM(O67:O72)</f>
        <v>0</v>
      </c>
      <c r="P73" s="184">
        <f t="shared" ca="1" si="250"/>
        <v>0</v>
      </c>
      <c r="Q73" s="184">
        <f t="shared" ca="1" si="250"/>
        <v>0</v>
      </c>
      <c r="R73" s="184">
        <f t="shared" ca="1" si="250"/>
        <v>0</v>
      </c>
      <c r="S73" s="184">
        <f t="shared" ca="1" si="250"/>
        <v>0</v>
      </c>
      <c r="T73" s="184">
        <f t="shared" ca="1" si="250"/>
        <v>0</v>
      </c>
      <c r="U73" s="184">
        <f t="shared" ca="1" si="250"/>
        <v>0</v>
      </c>
      <c r="V73" s="580">
        <f t="shared" ca="1" si="250"/>
        <v>0</v>
      </c>
      <c r="W73" s="179"/>
      <c r="X73" s="178"/>
      <c r="Y73" s="10"/>
      <c r="AA73" s="150"/>
      <c r="AB73" s="6"/>
      <c r="AC73" s="45"/>
      <c r="AD73" s="6"/>
      <c r="AE73" s="45"/>
      <c r="AF73" s="6"/>
      <c r="AG73" s="45"/>
      <c r="AH73" s="6"/>
      <c r="AI73" s="45"/>
      <c r="AJ73" s="6"/>
      <c r="AK73" s="45"/>
      <c r="AL73" s="6"/>
      <c r="AM73" s="45"/>
      <c r="AN73" s="6"/>
      <c r="AO73" s="45"/>
      <c r="AP73" s="6"/>
      <c r="AQ73" s="45"/>
      <c r="AR73" s="6"/>
      <c r="AS73" s="45"/>
      <c r="AT73" s="6"/>
      <c r="AU73" s="45"/>
      <c r="AV73" s="6"/>
      <c r="AW73" s="45"/>
      <c r="AX73" s="6"/>
    </row>
    <row r="74" spans="2:53" s="8" customFormat="1" ht="12.75" hidden="1" customHeight="1">
      <c r="B74" s="9">
        <f>IF(SNOWBOARD_CALCULATOR_TYPE=1,IF(ISBLANK(D74),MAX(B$56:B73),IF(AND(ISNUMBER(L74),L74&gt;0)=TRUE,MAX(B$56:B73)+1,MAX(B$56:B73))),0)</f>
        <v>0</v>
      </c>
      <c r="C74" s="12"/>
      <c r="D74" s="957" t="s">
        <v>4</v>
      </c>
      <c r="E74" s="954"/>
      <c r="F74" s="173"/>
      <c r="G74" s="173"/>
      <c r="H74" s="173"/>
      <c r="I74" s="173"/>
      <c r="J74" s="173"/>
      <c r="K74" s="173"/>
      <c r="L74" s="173"/>
      <c r="M74" s="173"/>
      <c r="N74" s="173"/>
      <c r="O74" s="173"/>
      <c r="P74" s="173"/>
      <c r="Q74" s="173"/>
      <c r="R74" s="173"/>
      <c r="S74" s="173"/>
      <c r="T74" s="173"/>
      <c r="U74" s="173"/>
      <c r="V74" s="173"/>
      <c r="W74" s="173"/>
      <c r="X74" s="173"/>
      <c r="Y74" s="12"/>
      <c r="Z74" s="2"/>
      <c r="AA74" s="150"/>
      <c r="AB74" s="6"/>
      <c r="AC74" s="45"/>
      <c r="AD74" s="6"/>
      <c r="AE74" s="45"/>
      <c r="AF74" s="6"/>
      <c r="AG74" s="45"/>
      <c r="AH74" s="6"/>
      <c r="AI74" s="45"/>
      <c r="AJ74" s="6"/>
      <c r="AK74" s="45"/>
      <c r="AL74" s="6"/>
      <c r="AM74" s="45"/>
      <c r="AN74" s="6"/>
      <c r="AO74" s="45"/>
      <c r="AP74" s="6"/>
      <c r="AQ74" s="45"/>
      <c r="AR74" s="6"/>
      <c r="AS74" s="45"/>
      <c r="AT74" s="6"/>
      <c r="AU74" s="45"/>
      <c r="AV74" s="6"/>
      <c r="AW74" s="45"/>
      <c r="AX74" s="6"/>
      <c r="AY74" s="43"/>
      <c r="BA74" s="43"/>
    </row>
    <row r="75" spans="2:53" s="6" customFormat="1" ht="12.75" hidden="1" customHeight="1" thickBot="1">
      <c r="B75" s="9">
        <f>IF(SNOWBOARD_CALCULATOR_TYPE=1,IF(ISBLANK(D75),MAX(B$56:B74),IF(AND(ISNUMBER(L75),L75&gt;0)=TRUE,MAX(B$56:B74)+1,MAX(B$56:B74))),0)</f>
        <v>0</v>
      </c>
      <c r="C75" s="13"/>
      <c r="D75" s="251" t="s">
        <v>0</v>
      </c>
      <c r="E75" s="242" t="s">
        <v>1</v>
      </c>
      <c r="F75" s="217" t="s">
        <v>43</v>
      </c>
      <c r="G75" s="217" t="s">
        <v>19</v>
      </c>
      <c r="H75" s="272" t="s">
        <v>102</v>
      </c>
      <c r="I75" s="271" t="s">
        <v>21</v>
      </c>
      <c r="J75" s="193" t="s">
        <v>21</v>
      </c>
      <c r="K75" s="218" t="s">
        <v>6</v>
      </c>
      <c r="L75" s="195" t="s">
        <v>5</v>
      </c>
      <c r="M75" s="174">
        <v>5.5</v>
      </c>
      <c r="N75" s="175">
        <v>6.5</v>
      </c>
      <c r="O75" s="175">
        <v>7.5</v>
      </c>
      <c r="P75" s="175">
        <v>8.5</v>
      </c>
      <c r="Q75" s="175">
        <v>9.5</v>
      </c>
      <c r="R75" s="175">
        <v>10.5</v>
      </c>
      <c r="S75" s="175">
        <v>11.5</v>
      </c>
      <c r="T75" s="175">
        <v>12.5</v>
      </c>
      <c r="U75" s="175">
        <v>13.5</v>
      </c>
      <c r="V75" s="175">
        <v>14.5</v>
      </c>
      <c r="W75" s="195">
        <v>15.5</v>
      </c>
      <c r="X75" s="178"/>
      <c r="Y75" s="12"/>
      <c r="Z75" s="7"/>
      <c r="AA75" s="151"/>
      <c r="AB75" s="8"/>
      <c r="AC75" s="43"/>
      <c r="AD75" s="8"/>
      <c r="AE75" s="43"/>
      <c r="AF75" s="8"/>
      <c r="AG75" s="43"/>
      <c r="AH75" s="8"/>
      <c r="AI75" s="43"/>
      <c r="AJ75" s="8"/>
      <c r="AK75" s="43"/>
      <c r="AL75" s="8"/>
      <c r="AM75" s="43"/>
      <c r="AN75" s="8"/>
      <c r="AO75" s="43"/>
      <c r="AP75" s="8"/>
      <c r="AQ75" s="43"/>
      <c r="AR75" s="8"/>
      <c r="AS75" s="43"/>
      <c r="AT75" s="8"/>
      <c r="AU75" s="43"/>
      <c r="AV75" s="8"/>
      <c r="AW75" s="43"/>
      <c r="AX75" s="8"/>
      <c r="AY75" s="45"/>
      <c r="BA75" s="45"/>
    </row>
    <row r="76" spans="2:53" s="8" customFormat="1" ht="12.75" hidden="1" customHeight="1" thickTop="1">
      <c r="B76" s="9">
        <f>IF(SNOWBOARD_CALCULATOR_TYPE=1,IF(ISBLANK(D76),MAX(B$56:B75),IF(AND(ISNUMBER(L76),L76&gt;0)=TRUE,MAX(B$56:B75)+1,MAX(B$56:B75))),0)</f>
        <v>0</v>
      </c>
      <c r="C76" s="12"/>
      <c r="D76" s="243" t="s">
        <v>219</v>
      </c>
      <c r="E76" s="250" t="str">
        <f>VLOOKUP(D76,SKUS_TO_SIZES,2,FALSE)</f>
        <v>EXP BOA H4 RTL SHIELD</v>
      </c>
      <c r="F76" s="248">
        <f>VLOOKUP(D76,SKUS_TO_SIZES,3,FALSE)</f>
        <v>212</v>
      </c>
      <c r="G76" s="249">
        <f>SUM(L76)*F76</f>
        <v>0</v>
      </c>
      <c r="H76" s="347">
        <f>IF(SNOWBOARD_DISCOUNT_TYPE=1,IF($J$7=0,F76,F76*(SUM(1-$J$7))),IF(I76=0,F76,F76*(SUM(1-I76))))</f>
        <v>212</v>
      </c>
      <c r="I76" s="346">
        <v>0</v>
      </c>
      <c r="J76" s="334">
        <f>$J$7</f>
        <v>0</v>
      </c>
      <c r="K76" s="266">
        <f t="shared" ref="K76:K77" si="251">SUM(M76:W76)*H76</f>
        <v>0</v>
      </c>
      <c r="L76" s="280">
        <f>SUM(M76:W76)</f>
        <v>0</v>
      </c>
      <c r="M76" s="245"/>
      <c r="N76" s="247"/>
      <c r="O76" s="247"/>
      <c r="P76" s="247"/>
      <c r="Q76" s="247"/>
      <c r="R76" s="247"/>
      <c r="S76" s="247"/>
      <c r="T76" s="247"/>
      <c r="U76" s="247"/>
      <c r="V76" s="247"/>
      <c r="W76" s="200"/>
      <c r="X76" s="178"/>
      <c r="Y76" s="13"/>
      <c r="Z76" s="9">
        <v>2</v>
      </c>
      <c r="AA76" s="149" t="str">
        <f>D76</f>
        <v>RFM0043</v>
      </c>
      <c r="AB76" s="130">
        <f>IF(VLOOKUP($AA76,SKUS_TO_SIZES,AB$12,FALSE)=0,"",VLOOKUP($AA76,SKUS_TO_SIZES,AB$12,FALSE))</f>
        <v>5.5</v>
      </c>
      <c r="AC76" s="129" t="str">
        <f>IFERROR(IF(HLOOKUP(AB76,$M$75:$W$77,$Z76,FALSE)=0,"",HLOOKUP(AB76,$M$75:$W$77,$Z76,FALSE)),"")</f>
        <v/>
      </c>
      <c r="AD76" s="130">
        <f>IF(VLOOKUP($AA76,SKUS_TO_SIZES,AD$12,FALSE)=0,"",VLOOKUP($AA76,SKUS_TO_SIZES,AD$12,FALSE))</f>
        <v>6.5</v>
      </c>
      <c r="AE76" s="129" t="str">
        <f t="shared" ref="AE76:AE77" si="252">IFERROR(IF(HLOOKUP(AD76,$M$75:$W$77,$Z76,FALSE)=0,"",HLOOKUP(AD76,$M$75:$W$77,$Z76,FALSE)),"")</f>
        <v/>
      </c>
      <c r="AF76" s="130">
        <f>IF(VLOOKUP($AA76,SKUS_TO_SIZES,AF$12,FALSE)=0,"",VLOOKUP($AA76,SKUS_TO_SIZES,AF$12,FALSE))</f>
        <v>7.5</v>
      </c>
      <c r="AG76" s="129" t="str">
        <f t="shared" ref="AG76:AG77" si="253">IFERROR(IF(HLOOKUP(AF76,$M$75:$W$77,$Z76,FALSE)=0,"",HLOOKUP(AF76,$M$75:$W$77,$Z76,FALSE)),"")</f>
        <v/>
      </c>
      <c r="AH76" s="130">
        <f>IF(VLOOKUP($AA76,SKUS_TO_SIZES,AH$12,FALSE)=0,"",VLOOKUP($AA76,SKUS_TO_SIZES,AH$12,FALSE))</f>
        <v>8.5</v>
      </c>
      <c r="AI76" s="129" t="str">
        <f t="shared" ref="AI76:AI77" si="254">IFERROR(IF(HLOOKUP(AH76,$M$75:$W$77,$Z76,FALSE)=0,"",HLOOKUP(AH76,$M$75:$W$77,$Z76,FALSE)),"")</f>
        <v/>
      </c>
      <c r="AJ76" s="130">
        <f>IF(VLOOKUP($AA76,SKUS_TO_SIZES,AJ$12,FALSE)=0,"",VLOOKUP($AA76,SKUS_TO_SIZES,AJ$12,FALSE))</f>
        <v>9.5</v>
      </c>
      <c r="AK76" s="129" t="str">
        <f t="shared" ref="AK76:AK77" si="255">IFERROR(IF(HLOOKUP(AJ76,$M$75:$W$77,$Z76,FALSE)=0,"",HLOOKUP(AJ76,$M$75:$W$77,$Z76,FALSE)),"")</f>
        <v/>
      </c>
      <c r="AL76" s="594">
        <f>IF(VLOOKUP($AA76,SKUS_TO_SIZES,AL$12,FALSE)=0,"",VLOOKUP($AA76,SKUS_TO_SIZES,AL$12,FALSE))</f>
        <v>10.5</v>
      </c>
      <c r="AM76" s="129" t="str">
        <f t="shared" ref="AM76:AM77" si="256">IFERROR(IF(HLOOKUP(AL76,$M$75:$W$77,$Z76,FALSE)=0,"",HLOOKUP(AL76,$M$75:$W$77,$Z76,FALSE)),"")</f>
        <v/>
      </c>
      <c r="AN76" s="594">
        <f>IF(VLOOKUP($AA76,SKUS_TO_SIZES,AN$12,FALSE)=0,"",VLOOKUP($AA76,SKUS_TO_SIZES,AN$12,FALSE))</f>
        <v>11.5</v>
      </c>
      <c r="AO76" s="129" t="str">
        <f t="shared" ref="AO76:AO77" si="257">IFERROR(IF(HLOOKUP(AN76,$M$75:$W$77,$Z76,FALSE)=0,"",HLOOKUP(AN76,$M$75:$W$77,$Z76,FALSE)),"")</f>
        <v/>
      </c>
      <c r="AP76" s="594">
        <f>IF(VLOOKUP($AA76,SKUS_TO_SIZES,AP$12,FALSE)=0,"",VLOOKUP($AA76,SKUS_TO_SIZES,AP$12,FALSE))</f>
        <v>12.5</v>
      </c>
      <c r="AQ76" s="129" t="str">
        <f t="shared" ref="AQ76:AQ77" si="258">IFERROR(IF(HLOOKUP(AP76,$M$75:$W$77,$Z76,FALSE)=0,"",HLOOKUP(AP76,$M$75:$W$77,$Z76,FALSE)),"")</f>
        <v/>
      </c>
      <c r="AR76" s="594">
        <f>IF(VLOOKUP($AA76,SKUS_TO_SIZES,AR$12,FALSE)=0,"",VLOOKUP($AA76,SKUS_TO_SIZES,AR$12,FALSE))</f>
        <v>13.5</v>
      </c>
      <c r="AS76" s="129" t="str">
        <f t="shared" ref="AS76:AS77" si="259">IFERROR(IF(HLOOKUP(AR76,$M$75:$W$77,$Z76,FALSE)=0,"",HLOOKUP(AR76,$M$75:$W$77,$Z76,FALSE)),"")</f>
        <v/>
      </c>
      <c r="AT76" s="594">
        <f>IF(VLOOKUP($AA76,SKUS_TO_SIZES,AT$12,FALSE)=0,"",VLOOKUP($AA76,SKUS_TO_SIZES,AT$12,FALSE))</f>
        <v>14.5</v>
      </c>
      <c r="AU76" s="129" t="str">
        <f t="shared" ref="AU76:AU77" si="260">IFERROR(IF(HLOOKUP(AT76,$M$75:$W$77,$Z76,FALSE)=0,"",HLOOKUP(AT76,$M$75:$W$77,$Z76,FALSE)),"")</f>
        <v/>
      </c>
      <c r="AV76" s="594">
        <f>IF(VLOOKUP($AA76,SKUS_TO_SIZES,AV$12,FALSE)=0,"",VLOOKUP($AA76,SKUS_TO_SIZES,AV$12,FALSE))</f>
        <v>15.5</v>
      </c>
      <c r="AW76" s="596" t="str">
        <f t="shared" ref="AW76:AW77" si="261">IFERROR(IF(HLOOKUP(AV76,$M$75:$W$77,$Z76,FALSE)=0,"",HLOOKUP(AV76,$M$75:$W$77,$Z76,FALSE)),"")</f>
        <v/>
      </c>
      <c r="AY76" s="43"/>
      <c r="BA76" s="43"/>
    </row>
    <row r="77" spans="2:53" s="8" customFormat="1" ht="12.75" hidden="1" customHeight="1">
      <c r="B77" s="9">
        <f>IF(SNOWBOARD_CALCULATOR_TYPE=1,IF(ISBLANK(D77),MAX(B$56:B76),IF(AND(ISNUMBER(L77),L77&gt;0)=TRUE,MAX(B$56:B76)+1,MAX(B$56:B76))),0)</f>
        <v>0</v>
      </c>
      <c r="C77" s="12"/>
      <c r="D77" s="164" t="s">
        <v>221</v>
      </c>
      <c r="E77" s="165" t="str">
        <f>VLOOKUP(D77,SKUS_TO_SIZES,2,FALSE)</f>
        <v>EXP LACE</v>
      </c>
      <c r="F77" s="166">
        <f>VLOOKUP(D77,SKUS_TO_SIZES,3,FALSE)</f>
        <v>165</v>
      </c>
      <c r="G77" s="167">
        <f>SUM(L77)*F77</f>
        <v>0</v>
      </c>
      <c r="H77" s="337">
        <f>IF(SNOWBOARD_DISCOUNT_TYPE=1,IF($J$7=0,F77,F77*(SUM(1-$J$7))),IF(I77=0,F77,F77*(SUM(1-I77))))</f>
        <v>165</v>
      </c>
      <c r="I77" s="333">
        <v>0</v>
      </c>
      <c r="J77" s="332">
        <f>$J$7</f>
        <v>0</v>
      </c>
      <c r="K77" s="267">
        <f t="shared" si="251"/>
        <v>0</v>
      </c>
      <c r="L77" s="281">
        <f>SUM(M77:W77)</f>
        <v>0</v>
      </c>
      <c r="M77" s="283"/>
      <c r="N77" s="246"/>
      <c r="O77" s="246"/>
      <c r="P77" s="246"/>
      <c r="Q77" s="246"/>
      <c r="R77" s="246"/>
      <c r="S77" s="246"/>
      <c r="T77" s="246"/>
      <c r="U77" s="246"/>
      <c r="V77" s="246"/>
      <c r="W77" s="171"/>
      <c r="X77" s="178"/>
      <c r="Y77" s="12"/>
      <c r="Z77" s="2">
        <f>Z76+1</f>
        <v>3</v>
      </c>
      <c r="AA77" s="149" t="str">
        <f>D77</f>
        <v>RFM0042</v>
      </c>
      <c r="AB77" s="130">
        <f>IF(VLOOKUP($AA77,SKUS_TO_SIZES,AB$12,FALSE)=0,"",VLOOKUP($AA77,SKUS_TO_SIZES,AB$12,FALSE))</f>
        <v>5.5</v>
      </c>
      <c r="AC77" s="129" t="str">
        <f>IFERROR(IF(HLOOKUP(AB77,$M$75:$W$77,$Z77,FALSE)=0,"",HLOOKUP(AB77,$M$75:$W$77,$Z77,FALSE)),"")</f>
        <v/>
      </c>
      <c r="AD77" s="130">
        <f>IF(VLOOKUP($AA77,SKUS_TO_SIZES,AD$12,FALSE)=0,"",VLOOKUP($AA77,SKUS_TO_SIZES,AD$12,FALSE))</f>
        <v>6.5</v>
      </c>
      <c r="AE77" s="129" t="str">
        <f t="shared" si="252"/>
        <v/>
      </c>
      <c r="AF77" s="130">
        <f>IF(VLOOKUP($AA77,SKUS_TO_SIZES,AF$12,FALSE)=0,"",VLOOKUP($AA77,SKUS_TO_SIZES,AF$12,FALSE))</f>
        <v>7.5</v>
      </c>
      <c r="AG77" s="129" t="str">
        <f t="shared" si="253"/>
        <v/>
      </c>
      <c r="AH77" s="130">
        <f>IF(VLOOKUP($AA77,SKUS_TO_SIZES,AH$12,FALSE)=0,"",VLOOKUP($AA77,SKUS_TO_SIZES,AH$12,FALSE))</f>
        <v>8.5</v>
      </c>
      <c r="AI77" s="129" t="str">
        <f t="shared" si="254"/>
        <v/>
      </c>
      <c r="AJ77" s="130">
        <f>IF(VLOOKUP($AA77,SKUS_TO_SIZES,AJ$12,FALSE)=0,"",VLOOKUP($AA77,SKUS_TO_SIZES,AJ$12,FALSE))</f>
        <v>9.5</v>
      </c>
      <c r="AK77" s="129" t="str">
        <f t="shared" si="255"/>
        <v/>
      </c>
      <c r="AL77" s="594">
        <f>IF(VLOOKUP($AA77,SKUS_TO_SIZES,AL$12,FALSE)=0,"",VLOOKUP($AA77,SKUS_TO_SIZES,AL$12,FALSE))</f>
        <v>10.5</v>
      </c>
      <c r="AM77" s="129" t="str">
        <f t="shared" si="256"/>
        <v/>
      </c>
      <c r="AN77" s="594">
        <f>IF(VLOOKUP($AA77,SKUS_TO_SIZES,AN$12,FALSE)=0,"",VLOOKUP($AA77,SKUS_TO_SIZES,AN$12,FALSE))</f>
        <v>11.5</v>
      </c>
      <c r="AO77" s="129" t="str">
        <f t="shared" si="257"/>
        <v/>
      </c>
      <c r="AP77" s="594">
        <f>IF(VLOOKUP($AA77,SKUS_TO_SIZES,AP$12,FALSE)=0,"",VLOOKUP($AA77,SKUS_TO_SIZES,AP$12,FALSE))</f>
        <v>12.5</v>
      </c>
      <c r="AQ77" s="129" t="str">
        <f t="shared" si="258"/>
        <v/>
      </c>
      <c r="AR77" s="594">
        <f>IF(VLOOKUP($AA77,SKUS_TO_SIZES,AR$12,FALSE)=0,"",VLOOKUP($AA77,SKUS_TO_SIZES,AR$12,FALSE))</f>
        <v>13.5</v>
      </c>
      <c r="AS77" s="129" t="str">
        <f t="shared" si="259"/>
        <v/>
      </c>
      <c r="AT77" s="594">
        <f>IF(VLOOKUP($AA77,SKUS_TO_SIZES,AT$12,FALSE)=0,"",VLOOKUP($AA77,SKUS_TO_SIZES,AT$12,FALSE))</f>
        <v>14.5</v>
      </c>
      <c r="AU77" s="129" t="str">
        <f t="shared" si="260"/>
        <v/>
      </c>
      <c r="AV77" s="594">
        <f>IF(VLOOKUP($AA77,SKUS_TO_SIZES,AV$12,FALSE)=0,"",VLOOKUP($AA77,SKUS_TO_SIZES,AV$12,FALSE))</f>
        <v>15.5</v>
      </c>
      <c r="AW77" s="596" t="str">
        <f t="shared" si="261"/>
        <v/>
      </c>
      <c r="AY77" s="43"/>
      <c r="BA77" s="43"/>
    </row>
    <row r="78" spans="2:53" ht="12.75" hidden="1" customHeight="1">
      <c r="B78" s="9">
        <f>IF(SNOWBOARD_CALCULATOR_TYPE=1,IF(ISBLANK(D78),MAX(B$56:B77),IF(AND(ISNUMBER(L78),L78&gt;0)=TRUE,MAX(B$56:B77)+1,MAX(B$56:B77))),0)</f>
        <v>0</v>
      </c>
      <c r="C78" s="10"/>
      <c r="D78" s="265"/>
      <c r="E78" s="180"/>
      <c r="F78" s="214"/>
      <c r="G78" s="578">
        <f>SUM(G76:G77)</f>
        <v>0</v>
      </c>
      <c r="H78" s="214"/>
      <c r="I78" s="214"/>
      <c r="J78" s="215"/>
      <c r="K78" s="181">
        <f>SUM(K76:K77)</f>
        <v>0</v>
      </c>
      <c r="L78" s="230">
        <f>SUM(M78:W78)</f>
        <v>0</v>
      </c>
      <c r="M78" s="183">
        <f>SUM(M76:M77)</f>
        <v>0</v>
      </c>
      <c r="N78" s="184">
        <f>SUM(N76:N77)</f>
        <v>0</v>
      </c>
      <c r="O78" s="184">
        <f t="shared" ref="O78" si="262">SUM(O76:O77)</f>
        <v>0</v>
      </c>
      <c r="P78" s="184">
        <f t="shared" ref="P78" si="263">SUM(P76:P77)</f>
        <v>0</v>
      </c>
      <c r="Q78" s="184">
        <f>SUM(Q76:Q77)</f>
        <v>0</v>
      </c>
      <c r="R78" s="184">
        <f t="shared" ref="R78" si="264">SUM(R76:R77)</f>
        <v>0</v>
      </c>
      <c r="S78" s="184">
        <f>SUM(S76:S77)</f>
        <v>0</v>
      </c>
      <c r="T78" s="184">
        <f t="shared" ref="T78" si="265">SUM(T76:T77)</f>
        <v>0</v>
      </c>
      <c r="U78" s="184">
        <f t="shared" ref="U78" si="266">SUM(U76:U77)</f>
        <v>0</v>
      </c>
      <c r="V78" s="184">
        <f t="shared" ref="V78" si="267">SUM(V76:V77)</f>
        <v>0</v>
      </c>
      <c r="W78" s="182">
        <f t="shared" ref="W78" si="268">SUM(W76:W77)</f>
        <v>0</v>
      </c>
      <c r="X78" s="216"/>
      <c r="Y78" s="10"/>
      <c r="AA78" s="150"/>
      <c r="AB78" s="6"/>
      <c r="AC78" s="45"/>
      <c r="AD78" s="6"/>
      <c r="AE78" s="45"/>
      <c r="AF78" s="6"/>
      <c r="AG78" s="45"/>
      <c r="AH78" s="6"/>
      <c r="AI78" s="45"/>
      <c r="AJ78" s="6"/>
      <c r="AK78" s="45"/>
      <c r="AL78" s="6"/>
      <c r="AM78" s="45"/>
      <c r="AN78" s="6"/>
      <c r="AO78" s="45"/>
      <c r="AP78" s="6"/>
      <c r="AQ78" s="45"/>
      <c r="AR78" s="6"/>
      <c r="AS78" s="45"/>
      <c r="AT78" s="6"/>
      <c r="AU78" s="45"/>
      <c r="AV78" s="6"/>
      <c r="AW78" s="45"/>
      <c r="AX78" s="6"/>
    </row>
    <row r="79" spans="2:53" ht="12.75" hidden="1" customHeight="1">
      <c r="B79" s="9">
        <f>IF(SNOWBOARD_CALCULATOR_TYPE=1,IF(ISBLANK(D79),MAX(B$56:B78),IF(AND(ISNUMBER(L79),L79&gt;0)=TRUE,MAX(B$56:B78)+1,MAX(B$56:B78))),0)</f>
        <v>0</v>
      </c>
      <c r="C79" s="10"/>
      <c r="D79" s="208"/>
      <c r="E79" s="209"/>
      <c r="F79" s="186"/>
      <c r="G79" s="186"/>
      <c r="H79" s="186"/>
      <c r="I79" s="187"/>
      <c r="J79" s="187"/>
      <c r="K79" s="188"/>
      <c r="L79" s="279"/>
      <c r="M79" s="179"/>
      <c r="N79" s="179"/>
      <c r="O79" s="178"/>
      <c r="P79" s="178"/>
      <c r="Q79" s="178"/>
      <c r="R79" s="178"/>
      <c r="S79" s="178"/>
      <c r="T79" s="178"/>
      <c r="U79" s="178"/>
      <c r="V79" s="178"/>
      <c r="W79" s="178"/>
      <c r="X79" s="178"/>
      <c r="Y79" s="12"/>
      <c r="Z79" s="9"/>
      <c r="AA79" s="149"/>
      <c r="AB79" s="15"/>
      <c r="AC79" s="38"/>
      <c r="AD79" s="15"/>
      <c r="AE79" s="38"/>
      <c r="AF79" s="15"/>
      <c r="AG79" s="38"/>
      <c r="AH79" s="15"/>
      <c r="AI79" s="38"/>
      <c r="AJ79" s="15"/>
      <c r="AK79" s="38"/>
      <c r="AL79" s="15"/>
      <c r="AM79" s="38"/>
      <c r="AN79" s="15"/>
      <c r="AO79" s="38"/>
      <c r="AP79" s="15"/>
      <c r="AQ79" s="38"/>
      <c r="AR79" s="15"/>
      <c r="AS79" s="38"/>
      <c r="AT79" s="15"/>
      <c r="AU79" s="38"/>
      <c r="AV79" s="15"/>
      <c r="AW79" s="38"/>
      <c r="AX79" s="8"/>
    </row>
    <row r="80" spans="2:53" ht="15.75" hidden="1" customHeight="1">
      <c r="B80" s="9">
        <f>IF(SNOWBOARD_CALCULATOR_TYPE=1,IF(ISBLANK(D80),MAX(B$56:B79),IF(AND(ISNUMBER(L80),L80&gt;0)=TRUE,MAX(B$56:B79)+1,MAX(B$56:B79))),0)</f>
        <v>0</v>
      </c>
      <c r="C80" s="10"/>
      <c r="D80" s="961" t="s">
        <v>103</v>
      </c>
      <c r="E80" s="961"/>
      <c r="F80" s="961"/>
      <c r="G80" s="961"/>
      <c r="H80" s="961"/>
      <c r="I80" s="961"/>
      <c r="J80" s="961"/>
      <c r="K80" s="961"/>
      <c r="L80" s="961"/>
      <c r="M80" s="961"/>
      <c r="N80" s="961"/>
      <c r="O80" s="961"/>
      <c r="P80" s="961"/>
      <c r="Q80" s="961"/>
      <c r="R80" s="961"/>
      <c r="S80" s="961"/>
      <c r="T80" s="961"/>
      <c r="U80" s="961"/>
      <c r="V80" s="961"/>
      <c r="W80" s="961"/>
      <c r="X80" s="961"/>
      <c r="Y80" s="12"/>
      <c r="Z80" s="9"/>
      <c r="AA80" s="149"/>
      <c r="AB80" s="15"/>
      <c r="AC80" s="38"/>
      <c r="AD80" s="15"/>
      <c r="AE80" s="38"/>
      <c r="AF80" s="15"/>
      <c r="AG80" s="38"/>
      <c r="AH80" s="15"/>
      <c r="AI80" s="38"/>
      <c r="AJ80" s="15"/>
      <c r="AK80" s="38"/>
      <c r="AL80" s="15"/>
      <c r="AM80" s="38"/>
      <c r="AN80" s="15"/>
      <c r="AO80" s="38"/>
      <c r="AP80" s="15"/>
      <c r="AQ80" s="38"/>
      <c r="AR80" s="15"/>
      <c r="AS80" s="38"/>
      <c r="AT80" s="15"/>
      <c r="AU80" s="38"/>
      <c r="AV80" s="15"/>
      <c r="AW80" s="38"/>
      <c r="AX80" s="8"/>
    </row>
    <row r="81" spans="2:53" ht="12.75" hidden="1" customHeight="1">
      <c r="B81" s="9">
        <f>IF(SNOWBOARD_CALCULATOR_TYPE=1,IF(ISBLANK(D81),MAX(B$56:B80),IF(AND(ISNUMBER(L81),L81&gt;0)=TRUE,MAX(B$56:B80)+1,MAX(B$56:B80))),0)</f>
        <v>0</v>
      </c>
      <c r="C81" s="10"/>
      <c r="D81" s="957" t="s">
        <v>113</v>
      </c>
      <c r="E81" s="954"/>
      <c r="F81" s="186"/>
      <c r="G81" s="186"/>
      <c r="H81" s="186"/>
      <c r="I81" s="187"/>
      <c r="J81" s="187"/>
      <c r="K81" s="188"/>
      <c r="L81" s="279"/>
      <c r="M81" s="179"/>
      <c r="N81" s="179"/>
      <c r="O81" s="178"/>
      <c r="P81" s="178"/>
      <c r="Q81" s="178"/>
      <c r="R81" s="178"/>
      <c r="S81" s="178"/>
      <c r="T81" s="178"/>
      <c r="U81" s="178"/>
      <c r="V81" s="178"/>
      <c r="W81" s="178"/>
      <c r="X81" s="178"/>
      <c r="Y81" s="12"/>
      <c r="Z81" s="9"/>
      <c r="AA81" s="149"/>
      <c r="AB81" s="15"/>
      <c r="AC81" s="38"/>
      <c r="AD81" s="15"/>
      <c r="AE81" s="38"/>
      <c r="AF81" s="15"/>
      <c r="AG81" s="38"/>
      <c r="AH81" s="15"/>
      <c r="AI81" s="38"/>
      <c r="AJ81" s="15"/>
      <c r="AK81" s="38"/>
      <c r="AL81" s="15"/>
      <c r="AM81" s="38"/>
      <c r="AN81" s="15"/>
      <c r="AO81" s="38"/>
      <c r="AP81" s="15"/>
      <c r="AQ81" s="38"/>
      <c r="AR81" s="15"/>
      <c r="AS81" s="38"/>
      <c r="AT81" s="15"/>
      <c r="AU81" s="38"/>
      <c r="AV81" s="15"/>
      <c r="AW81" s="38"/>
      <c r="AX81" s="8"/>
    </row>
    <row r="82" spans="2:53" s="8" customFormat="1" ht="14" hidden="1" thickBot="1">
      <c r="B82" s="9">
        <f>IF(SNOWBOARD_CALCULATOR_TYPE=1,IF(ISBLANK(D82),MAX(B$56:B81),IF(AND(ISNUMBER(L82),L82&gt;0)=TRUE,MAX(B$56:B81)+1,MAX(B$56:B81))),0)</f>
        <v>0</v>
      </c>
      <c r="C82" s="12"/>
      <c r="D82" s="251" t="s">
        <v>0</v>
      </c>
      <c r="E82" s="242" t="s">
        <v>1</v>
      </c>
      <c r="F82" s="217" t="s">
        <v>43</v>
      </c>
      <c r="G82" s="217" t="s">
        <v>19</v>
      </c>
      <c r="H82" s="272" t="s">
        <v>102</v>
      </c>
      <c r="I82" s="271" t="s">
        <v>21</v>
      </c>
      <c r="J82" s="193" t="s">
        <v>21</v>
      </c>
      <c r="K82" s="218" t="s">
        <v>6</v>
      </c>
      <c r="L82" s="195" t="s">
        <v>5</v>
      </c>
      <c r="M82" s="174">
        <v>70</v>
      </c>
      <c r="N82" s="175">
        <v>80</v>
      </c>
      <c r="O82" s="175">
        <v>90</v>
      </c>
      <c r="P82" s="175">
        <v>100</v>
      </c>
      <c r="Q82" s="175">
        <v>110</v>
      </c>
      <c r="R82" s="175">
        <v>120</v>
      </c>
      <c r="S82" s="175">
        <v>125</v>
      </c>
      <c r="T82" s="175">
        <v>130</v>
      </c>
      <c r="U82" s="195">
        <v>135</v>
      </c>
      <c r="V82" s="178"/>
      <c r="W82" s="178"/>
      <c r="X82" s="178"/>
      <c r="Y82" s="12"/>
      <c r="Z82" s="2"/>
      <c r="AA82" s="1"/>
      <c r="AB82" s="1"/>
      <c r="AC82" s="37"/>
      <c r="AD82" s="1"/>
      <c r="AE82" s="41"/>
      <c r="AF82" s="1"/>
      <c r="AG82" s="41"/>
      <c r="AH82" s="1"/>
      <c r="AI82" s="41"/>
      <c r="AJ82" s="1"/>
      <c r="AK82" s="41"/>
      <c r="AL82" s="1"/>
      <c r="AM82" s="41"/>
      <c r="AN82" s="1"/>
      <c r="AO82" s="41"/>
      <c r="AP82" s="1"/>
      <c r="AQ82" s="41"/>
      <c r="AR82" s="1"/>
      <c r="AS82" s="41"/>
      <c r="AT82" s="1"/>
      <c r="AU82" s="41"/>
      <c r="AV82" s="1"/>
      <c r="AW82" s="41"/>
      <c r="AX82" s="1"/>
      <c r="AY82" s="43"/>
      <c r="BA82" s="43"/>
    </row>
    <row r="83" spans="2:53" ht="12.75" hidden="1" customHeight="1" thickTop="1">
      <c r="B83" s="9">
        <f>IF(SNOWBOARD_CALCULATOR_TYPE=1,IF(ISBLANK(D83),MAX(B$56:B82),IF(AND(ISNUMBER(L83),L83&gt;0)=TRUE,MAX(B$56:B82)+1,MAX(B$56:B82))),0)</f>
        <v>0</v>
      </c>
      <c r="C83" s="12"/>
      <c r="D83" s="391" t="s">
        <v>287</v>
      </c>
      <c r="E83" s="211" t="str">
        <f>VLOOKUP(D83,SKUS_TO_SIZES,2,FALSE)</f>
        <v>EXP JUNIOR</v>
      </c>
      <c r="F83" s="212">
        <f>VLOOKUP(D83,SKUS_TO_SIZES,3,FALSE)</f>
        <v>135</v>
      </c>
      <c r="G83" s="213">
        <f>SUM(L83)*F83</f>
        <v>0</v>
      </c>
      <c r="H83" s="345">
        <f>IF(SNOWBOARD_DISCOUNT_TYPE=1,IF($J$10=0,F83,F83*(SUM(1-$J$10))),IF(I83=0,F83,F83*(SUM(1-I83))))</f>
        <v>135</v>
      </c>
      <c r="I83" s="344">
        <v>0</v>
      </c>
      <c r="J83" s="338">
        <f>$J$10</f>
        <v>0</v>
      </c>
      <c r="K83" s="263">
        <f>SUM(M83:W83)*H83</f>
        <v>0</v>
      </c>
      <c r="L83" s="282">
        <f>SUM(M83:W83)</f>
        <v>0</v>
      </c>
      <c r="M83" s="285"/>
      <c r="N83" s="286"/>
      <c r="O83" s="246"/>
      <c r="P83" s="286"/>
      <c r="Q83" s="246"/>
      <c r="R83" s="246"/>
      <c r="S83" s="246"/>
      <c r="T83" s="246"/>
      <c r="U83" s="287"/>
      <c r="V83" s="178"/>
      <c r="W83" s="178"/>
      <c r="X83" s="178"/>
      <c r="Y83" s="12"/>
      <c r="Z83" s="9">
        <v>2</v>
      </c>
      <c r="AA83" s="149" t="str">
        <f>D83</f>
        <v>RENN701</v>
      </c>
      <c r="AB83" s="130">
        <f>IF(VLOOKUP($AA83,SKUS_TO_SIZES,AB$12,FALSE)=0,"",VLOOKUP($AA83,SKUS_TO_SIZES,AB$12,FALSE))</f>
        <v>70</v>
      </c>
      <c r="AC83" s="129" t="str">
        <f>IFERROR(IF(HLOOKUP(AB83,$M$82:$W$83,$Z83,FALSE)=0,"",HLOOKUP(AB83,$M$82:$W$83,$Z83,FALSE)),"")</f>
        <v/>
      </c>
      <c r="AD83" s="130">
        <f>IF(VLOOKUP($AA83,SKUS_TO_SIZES,AD$12,FALSE)=0,"",VLOOKUP($AA83,SKUS_TO_SIZES,AD$12,FALSE))</f>
        <v>80</v>
      </c>
      <c r="AE83" s="129" t="str">
        <f t="shared" ref="AE83" si="269">IFERROR(IF(HLOOKUP(AD83,$M$82:$W$83,$Z83,FALSE)=0,"",HLOOKUP(AD83,$M$82:$W$83,$Z83,FALSE)),"")</f>
        <v/>
      </c>
      <c r="AF83" s="130">
        <f>IF(VLOOKUP($AA83,SKUS_TO_SIZES,AF$12,FALSE)=0,"",VLOOKUP($AA83,SKUS_TO_SIZES,AF$12,FALSE))</f>
        <v>90</v>
      </c>
      <c r="AG83" s="129" t="str">
        <f t="shared" ref="AG83" si="270">IFERROR(IF(HLOOKUP(AF83,$M$82:$W$83,$Z83,FALSE)=0,"",HLOOKUP(AF83,$M$82:$W$83,$Z83,FALSE)),"")</f>
        <v/>
      </c>
      <c r="AH83" s="130">
        <f>IF(VLOOKUP($AA83,SKUS_TO_SIZES,AH$12,FALSE)=0,"",VLOOKUP($AA83,SKUS_TO_SIZES,AH$12,FALSE))</f>
        <v>100</v>
      </c>
      <c r="AI83" s="129" t="str">
        <f t="shared" ref="AI83" si="271">IFERROR(IF(HLOOKUP(AH83,$M$82:$W$83,$Z83,FALSE)=0,"",HLOOKUP(AH83,$M$82:$W$83,$Z83,FALSE)),"")</f>
        <v/>
      </c>
      <c r="AJ83" s="130">
        <f>IF(VLOOKUP($AA83,SKUS_TO_SIZES,AJ$12,FALSE)=0,"",VLOOKUP($AA83,SKUS_TO_SIZES,AJ$12,FALSE))</f>
        <v>110</v>
      </c>
      <c r="AK83" s="129" t="str">
        <f t="shared" ref="AK83" si="272">IFERROR(IF(HLOOKUP(AJ83,$M$82:$W$83,$Z83,FALSE)=0,"",HLOOKUP(AJ83,$M$82:$W$83,$Z83,FALSE)),"")</f>
        <v/>
      </c>
      <c r="AL83" s="130">
        <f>IF(VLOOKUP($AA83,SKUS_TO_SIZES,AL$12,FALSE)=0,"",VLOOKUP($AA83,SKUS_TO_SIZES,AL$12,FALSE))</f>
        <v>120</v>
      </c>
      <c r="AM83" s="129" t="str">
        <f t="shared" ref="AM83" si="273">IFERROR(IF(HLOOKUP(AL83,$M$82:$W$83,$Z83,FALSE)=0,"",HLOOKUP(AL83,$M$82:$W$83,$Z83,FALSE)),"")</f>
        <v/>
      </c>
      <c r="AN83" s="130">
        <f>IF(VLOOKUP($AA83,SKUS_TO_SIZES,AN$12,FALSE)=0,"",VLOOKUP($AA83,SKUS_TO_SIZES,AN$12,FALSE))</f>
        <v>125</v>
      </c>
      <c r="AO83" s="129" t="str">
        <f t="shared" ref="AO83" si="274">IFERROR(IF(HLOOKUP(AN83,$M$82:$W$83,$Z83,FALSE)=0,"",HLOOKUP(AN83,$M$82:$W$83,$Z83,FALSE)),"")</f>
        <v/>
      </c>
      <c r="AP83" s="130">
        <f>IF(VLOOKUP($AA83,SKUS_TO_SIZES,AP$12,FALSE)=0,"",VLOOKUP($AA83,SKUS_TO_SIZES,AP$12,FALSE))</f>
        <v>130</v>
      </c>
      <c r="AQ83" s="129" t="str">
        <f t="shared" ref="AQ83" si="275">IFERROR(IF(HLOOKUP(AP83,$M$82:$W$83,$Z83,FALSE)=0,"",HLOOKUP(AP83,$M$82:$W$83,$Z83,FALSE)),"")</f>
        <v/>
      </c>
      <c r="AR83" s="130">
        <f>IF(VLOOKUP($AA83,SKUS_TO_SIZES,AR$12,FALSE)=0,"",VLOOKUP($AA83,SKUS_TO_SIZES,AR$12,FALSE))</f>
        <v>135.1</v>
      </c>
      <c r="AS83" s="129" t="str">
        <f t="shared" ref="AS83" si="276">IFERROR(IF(HLOOKUP(AR83,$M$82:$W$83,$Z83,FALSE)=0,"",HLOOKUP(AR83,$M$82:$W$83,$Z83,FALSE)),"")</f>
        <v/>
      </c>
      <c r="AT83" s="130" t="str">
        <f>IF(VLOOKUP($AA83,SKUS_TO_SIZES,AT$12,FALSE)=0,"",VLOOKUP($AA83,SKUS_TO_SIZES,AT$12,FALSE))</f>
        <v/>
      </c>
      <c r="AU83" s="129" t="str">
        <f t="shared" ref="AU83" si="277">IFERROR(IF(HLOOKUP(AT83,$M$82:$W$83,$Z83,FALSE)=0,"",HLOOKUP(AT83,$M$82:$W$83,$Z83,FALSE)),"")</f>
        <v/>
      </c>
      <c r="AV83" s="130" t="str">
        <f>IF(VLOOKUP($AA83,SKUS_TO_SIZES,AV$12,FALSE)=0,"",VLOOKUP($AA83,SKUS_TO_SIZES,AV$12,FALSE))</f>
        <v/>
      </c>
      <c r="AW83" s="596" t="str">
        <f t="shared" ref="AW83" si="278">IFERROR(IF(HLOOKUP(AV83,$M$82:$W$83,$Z83,FALSE)=0,"",HLOOKUP(AV83,$M$82:$W$83,$Z83,FALSE)),"")</f>
        <v/>
      </c>
      <c r="AX83" s="8"/>
    </row>
    <row r="84" spans="2:53" ht="12.75" hidden="1" customHeight="1">
      <c r="B84" s="9">
        <f>IF(SNOWBOARD_CALCULATOR_TYPE=1,IF(ISBLANK(D84),MAX(B$56:B83),IF(AND(ISNUMBER(L84),L84&gt;0)=TRUE,MAX(B$56:B83)+1,MAX(B$56:B83))),0)</f>
        <v>0</v>
      </c>
      <c r="C84" s="12"/>
      <c r="D84" s="208"/>
      <c r="E84" s="209"/>
      <c r="F84" s="186"/>
      <c r="G84" s="578">
        <f>SUM(G83)</f>
        <v>0</v>
      </c>
      <c r="H84" s="186"/>
      <c r="I84" s="187"/>
      <c r="J84" s="187"/>
      <c r="K84" s="181">
        <f>SUM(K83)</f>
        <v>0</v>
      </c>
      <c r="L84" s="182">
        <f>SUM(M84:W84)</f>
        <v>0</v>
      </c>
      <c r="M84" s="229">
        <f>SUM(M83)</f>
        <v>0</v>
      </c>
      <c r="N84" s="234">
        <f t="shared" ref="N84:P84" si="279">SUM(N83)</f>
        <v>0</v>
      </c>
      <c r="O84" s="234">
        <f t="shared" ref="O84:Q84" si="280">SUM(O83)</f>
        <v>0</v>
      </c>
      <c r="P84" s="234">
        <f t="shared" si="279"/>
        <v>0</v>
      </c>
      <c r="Q84" s="234">
        <f t="shared" si="280"/>
        <v>0</v>
      </c>
      <c r="R84" s="234">
        <f t="shared" ref="R84" si="281">SUM(R83)</f>
        <v>0</v>
      </c>
      <c r="S84" s="234">
        <f t="shared" ref="S84" si="282">SUM(S83)</f>
        <v>0</v>
      </c>
      <c r="T84" s="234">
        <f t="shared" ref="T84" si="283">SUM(T83)</f>
        <v>0</v>
      </c>
      <c r="U84" s="262">
        <f>SUM(U83)</f>
        <v>0</v>
      </c>
      <c r="V84" s="178"/>
      <c r="W84" s="178"/>
      <c r="X84" s="178"/>
      <c r="Y84" s="12"/>
      <c r="AA84" s="149"/>
      <c r="AB84" s="15"/>
      <c r="AC84" s="38"/>
      <c r="AD84" s="15"/>
      <c r="AE84" s="38"/>
      <c r="AF84" s="15"/>
      <c r="AG84" s="38"/>
      <c r="AH84" s="15"/>
      <c r="AI84" s="38"/>
      <c r="AJ84" s="15"/>
      <c r="AK84" s="38"/>
      <c r="AL84" s="15"/>
      <c r="AM84" s="38"/>
      <c r="AN84" s="15"/>
      <c r="AO84" s="38"/>
      <c r="AP84" s="15"/>
      <c r="AQ84" s="38"/>
      <c r="AR84" s="15"/>
      <c r="AS84" s="38"/>
      <c r="AT84" s="15"/>
      <c r="AU84" s="38"/>
      <c r="AV84" s="15"/>
      <c r="AW84" s="38"/>
      <c r="AX84" s="8"/>
    </row>
    <row r="85" spans="2:53" ht="12.75" hidden="1" customHeight="1">
      <c r="B85" s="9">
        <f>IF(SNOWBOARD_CALCULATOR_TYPE=1,IF(ISBLANK(D85),MAX(B$56:B84),IF(AND(ISNUMBER(L85),L85&gt;0)=TRUE,MAX(B$56:B84)+1,MAX(B$56:B84))),0)</f>
        <v>0</v>
      </c>
      <c r="C85" s="12"/>
      <c r="D85" s="957" t="s">
        <v>114</v>
      </c>
      <c r="E85" s="954"/>
      <c r="F85" s="186"/>
      <c r="G85" s="186"/>
      <c r="H85" s="186"/>
      <c r="I85" s="187"/>
      <c r="J85" s="187"/>
      <c r="K85" s="188"/>
      <c r="L85" s="279"/>
      <c r="M85" s="179"/>
      <c r="N85" s="179"/>
      <c r="O85" s="179"/>
      <c r="P85" s="179"/>
      <c r="Q85" s="179"/>
      <c r="R85" s="179"/>
      <c r="S85" s="179"/>
      <c r="T85" s="178"/>
      <c r="U85" s="178"/>
      <c r="V85" s="178"/>
      <c r="W85" s="178"/>
      <c r="X85" s="178"/>
      <c r="Y85" s="12"/>
      <c r="AA85" s="149"/>
      <c r="AB85" s="15"/>
      <c r="AC85" s="38"/>
      <c r="AD85" s="15"/>
      <c r="AE85" s="38"/>
      <c r="AF85" s="15"/>
      <c r="AG85" s="38"/>
      <c r="AH85" s="15"/>
      <c r="AI85" s="38"/>
      <c r="AJ85" s="15"/>
      <c r="AK85" s="38"/>
      <c r="AL85" s="15"/>
      <c r="AM85" s="38"/>
      <c r="AN85" s="15"/>
      <c r="AO85" s="38"/>
      <c r="AP85" s="15"/>
      <c r="AQ85" s="38"/>
      <c r="AR85" s="15"/>
      <c r="AS85" s="38"/>
      <c r="AT85" s="15"/>
      <c r="AU85" s="38"/>
      <c r="AV85" s="15"/>
      <c r="AW85" s="38"/>
      <c r="AX85" s="8"/>
    </row>
    <row r="86" spans="2:53" s="8" customFormat="1" ht="14" hidden="1" thickBot="1">
      <c r="B86" s="9">
        <f>IF(SNOWBOARD_CALCULATOR_TYPE=1,IF(ISBLANK(D86),MAX(B$56:B85),IF(AND(ISNUMBER(L86),L86&gt;0)=TRUE,MAX(B$56:B85)+1,MAX(B$56:B85))),0)</f>
        <v>0</v>
      </c>
      <c r="C86" s="12"/>
      <c r="D86" s="251" t="s">
        <v>0</v>
      </c>
      <c r="E86" s="242" t="s">
        <v>1</v>
      </c>
      <c r="F86" s="217" t="s">
        <v>43</v>
      </c>
      <c r="G86" s="217" t="s">
        <v>19</v>
      </c>
      <c r="H86" s="272" t="s">
        <v>102</v>
      </c>
      <c r="I86" s="271" t="s">
        <v>21</v>
      </c>
      <c r="J86" s="193" t="s">
        <v>21</v>
      </c>
      <c r="K86" s="218" t="s">
        <v>6</v>
      </c>
      <c r="L86" s="195" t="s">
        <v>5</v>
      </c>
      <c r="M86" s="174" t="s">
        <v>101</v>
      </c>
      <c r="N86" s="195" t="s">
        <v>8</v>
      </c>
      <c r="O86" s="178"/>
      <c r="P86" s="178"/>
      <c r="Q86" s="178"/>
      <c r="R86" s="178"/>
      <c r="S86" s="178"/>
      <c r="T86" s="178"/>
      <c r="U86" s="178"/>
      <c r="V86" s="178"/>
      <c r="W86" s="178"/>
      <c r="X86" s="178"/>
      <c r="Y86" s="12"/>
      <c r="Z86" s="2"/>
      <c r="AA86" s="1"/>
      <c r="AB86" s="1"/>
      <c r="AC86" s="37"/>
      <c r="AD86" s="1"/>
      <c r="AE86" s="41"/>
      <c r="AF86" s="1"/>
      <c r="AG86" s="41"/>
      <c r="AH86" s="1"/>
      <c r="AI86" s="41"/>
      <c r="AJ86" s="1"/>
      <c r="AK86" s="41"/>
      <c r="AL86" s="1"/>
      <c r="AM86" s="41"/>
      <c r="AN86" s="1"/>
      <c r="AO86" s="41"/>
      <c r="AP86" s="1"/>
      <c r="AQ86" s="41"/>
      <c r="AR86" s="1"/>
      <c r="AS86" s="41"/>
      <c r="AT86" s="1"/>
      <c r="AU86" s="41"/>
      <c r="AV86" s="1"/>
      <c r="AW86" s="41"/>
      <c r="AX86" s="1"/>
      <c r="AY86" s="43"/>
      <c r="BA86" s="43"/>
    </row>
    <row r="87" spans="2:53" ht="12.75" hidden="1" customHeight="1" thickTop="1">
      <c r="B87" s="9">
        <f>IF(SNOWBOARD_CALCULATOR_TYPE=1,IF(ISBLANK(D87),MAX(B$56:B86),IF(AND(ISNUMBER(L87),L87&gt;0)=TRUE,MAX(B$56:B86)+1,MAX(B$56:B86))),0)</f>
        <v>0</v>
      </c>
      <c r="C87" s="12"/>
      <c r="D87" s="392" t="s">
        <v>217</v>
      </c>
      <c r="E87" s="159" t="str">
        <f>VLOOKUP(D87,SKUS_TO_SIZES,2,FALSE)</f>
        <v>ROOKIE S (sizes 2-4)</v>
      </c>
      <c r="F87" s="160">
        <f>VLOOKUP(D87,SKUS_TO_SIZES,3,FALSE)</f>
        <v>93</v>
      </c>
      <c r="G87" s="161">
        <f>SUM(M87:N87)*F87</f>
        <v>0</v>
      </c>
      <c r="H87" s="348">
        <f>IF(SNOWBOARD_DISCOUNT_TYPE=1,IF($J$10=0,F87,F87*(SUM(1-$J$10))),IF(I87=0,F87,F87*(SUM(1-I87))))</f>
        <v>93</v>
      </c>
      <c r="I87" s="349">
        <v>0</v>
      </c>
      <c r="J87" s="339">
        <f>$J$10</f>
        <v>0</v>
      </c>
      <c r="K87" s="350">
        <f t="shared" ref="K87" si="284">SUM(M87:W87)*H87</f>
        <v>0</v>
      </c>
      <c r="L87" s="280">
        <f t="shared" ref="L87:L88" si="285">SUM(M87:W87)</f>
        <v>0</v>
      </c>
      <c r="M87" s="224"/>
      <c r="N87" s="284"/>
      <c r="O87" s="178"/>
      <c r="P87" s="178"/>
      <c r="Q87" s="178"/>
      <c r="R87" s="178"/>
      <c r="S87" s="178"/>
      <c r="T87" s="178"/>
      <c r="U87" s="178"/>
      <c r="V87" s="178"/>
      <c r="W87" s="178"/>
      <c r="X87" s="178"/>
      <c r="Y87" s="12"/>
      <c r="Z87" s="9">
        <v>2</v>
      </c>
      <c r="AA87" s="149" t="str">
        <f>D87</f>
        <v>RGMRK01</v>
      </c>
      <c r="AB87" s="130" t="str">
        <f>IF(VLOOKUP($AA87,SKUS_TO_SIZES,AB$12,FALSE)=0,"",VLOOKUP($AA87,SKUS_TO_SIZES,AB$12,FALSE))</f>
        <v>S</v>
      </c>
      <c r="AC87" s="129" t="str">
        <f>IFERROR(IF(HLOOKUP(AB87,$M$86:$W$88,$Z87,FALSE)=0,"",HLOOKUP(AB87,$M$86:$W$88,$Z87,FALSE)),"")</f>
        <v/>
      </c>
      <c r="AD87" s="130" t="str">
        <f>IF(VLOOKUP($AA87,SKUS_TO_SIZES,AD$12,FALSE)=0,"",VLOOKUP($AA87,SKUS_TO_SIZES,AD$12,FALSE))</f>
        <v/>
      </c>
      <c r="AE87" s="129" t="str">
        <f t="shared" ref="AE87:AE88" si="286">IFERROR(IF(HLOOKUP(AD87,$M$86:$W$88,$Z87,FALSE)=0,"",HLOOKUP(AD87,$M$86:$W$88,$Z87,FALSE)),"")</f>
        <v/>
      </c>
      <c r="AF87" s="130" t="str">
        <f>IF(VLOOKUP($AA87,SKUS_TO_SIZES,AF$12,FALSE)=0,"",VLOOKUP($AA87,SKUS_TO_SIZES,AF$12,FALSE))</f>
        <v/>
      </c>
      <c r="AG87" s="129" t="str">
        <f t="shared" ref="AG87:AG88" si="287">IFERROR(IF(HLOOKUP(AF87,$M$86:$W$88,$Z87,FALSE)=0,"",HLOOKUP(AF87,$M$86:$W$88,$Z87,FALSE)),"")</f>
        <v/>
      </c>
      <c r="AH87" s="130" t="str">
        <f>IF(VLOOKUP($AA87,SKUS_TO_SIZES,AH$12,FALSE)=0,"",VLOOKUP($AA87,SKUS_TO_SIZES,AH$12,FALSE))</f>
        <v/>
      </c>
      <c r="AI87" s="129" t="str">
        <f t="shared" ref="AI87:AI88" si="288">IFERROR(IF(HLOOKUP(AH87,$M$86:$W$88,$Z87,FALSE)=0,"",HLOOKUP(AH87,$M$86:$W$88,$Z87,FALSE)),"")</f>
        <v/>
      </c>
      <c r="AJ87" s="130" t="str">
        <f>IF(VLOOKUP($AA87,SKUS_TO_SIZES,AJ$12,FALSE)=0,"",VLOOKUP($AA87,SKUS_TO_SIZES,AJ$12,FALSE))</f>
        <v/>
      </c>
      <c r="AK87" s="129" t="str">
        <f t="shared" ref="AK87:AK88" si="289">IFERROR(IF(HLOOKUP(AJ87,$M$86:$W$88,$Z87,FALSE)=0,"",HLOOKUP(AJ87,$M$86:$W$88,$Z87,FALSE)),"")</f>
        <v/>
      </c>
      <c r="AL87" s="130" t="str">
        <f>IF(VLOOKUP($AA87,SKUS_TO_SIZES,AL$12,FALSE)=0,"",VLOOKUP($AA87,SKUS_TO_SIZES,AL$12,FALSE))</f>
        <v/>
      </c>
      <c r="AM87" s="129" t="str">
        <f t="shared" ref="AM87:AM88" si="290">IFERROR(IF(HLOOKUP(AL87,$M$86:$W$88,$Z87,FALSE)=0,"",HLOOKUP(AL87,$M$86:$W$88,$Z87,FALSE)),"")</f>
        <v/>
      </c>
      <c r="AN87" s="130" t="str">
        <f>IF(VLOOKUP($AA87,SKUS_TO_SIZES,AN$12,FALSE)=0,"",VLOOKUP($AA87,SKUS_TO_SIZES,AN$12,FALSE))</f>
        <v/>
      </c>
      <c r="AO87" s="129" t="str">
        <f t="shared" ref="AO87:AO88" si="291">IFERROR(IF(HLOOKUP(AN87,$M$86:$W$88,$Z87,FALSE)=0,"",HLOOKUP(AN87,$M$86:$W$88,$Z87,FALSE)),"")</f>
        <v/>
      </c>
      <c r="AP87" s="130" t="str">
        <f>IF(VLOOKUP($AA87,SKUS_TO_SIZES,AP$12,FALSE)=0,"",VLOOKUP($AA87,SKUS_TO_SIZES,AP$12,FALSE))</f>
        <v/>
      </c>
      <c r="AQ87" s="129" t="str">
        <f t="shared" ref="AQ87:AQ88" si="292">IFERROR(IF(HLOOKUP(AP87,$M$86:$W$88,$Z87,FALSE)=0,"",HLOOKUP(AP87,$M$86:$W$88,$Z87,FALSE)),"")</f>
        <v/>
      </c>
      <c r="AR87" s="130" t="str">
        <f>IF(VLOOKUP($AA87,SKUS_TO_SIZES,AR$12,FALSE)=0,"",VLOOKUP($AA87,SKUS_TO_SIZES,AR$12,FALSE))</f>
        <v/>
      </c>
      <c r="AS87" s="129" t="str">
        <f t="shared" ref="AS87:AS88" si="293">IFERROR(IF(HLOOKUP(AR87,$M$86:$W$88,$Z87,FALSE)=0,"",HLOOKUP(AR87,$M$86:$W$88,$Z87,FALSE)),"")</f>
        <v/>
      </c>
      <c r="AT87" s="130" t="str">
        <f>IF(VLOOKUP($AA87,SKUS_TO_SIZES,AT$12,FALSE)=0,"",VLOOKUP($AA87,SKUS_TO_SIZES,AT$12,FALSE))</f>
        <v/>
      </c>
      <c r="AU87" s="129" t="str">
        <f t="shared" ref="AU87:AU88" si="294">IFERROR(IF(HLOOKUP(AT87,$M$86:$W$88,$Z87,FALSE)=0,"",HLOOKUP(AT87,$M$86:$W$88,$Z87,FALSE)),"")</f>
        <v/>
      </c>
      <c r="AV87" s="130" t="str">
        <f>IF(VLOOKUP($AA87,SKUS_TO_SIZES,AV$12,FALSE)=0,"",VLOOKUP($AA87,SKUS_TO_SIZES,AV$12,FALSE))</f>
        <v/>
      </c>
      <c r="AW87" s="596" t="str">
        <f t="shared" ref="AW87:AW88" si="295">IFERROR(IF(HLOOKUP(AV87,$M$86:$W$88,$Z87,FALSE)=0,"",HLOOKUP(AV87,$M$86:$W$88,$Z87,FALSE)),"")</f>
        <v/>
      </c>
      <c r="AX87" s="8"/>
    </row>
    <row r="88" spans="2:53" s="8" customFormat="1" ht="12.75" hidden="1" customHeight="1">
      <c r="B88" s="9">
        <f>IF(SNOWBOARD_CALCULATOR_TYPE=1,IF(ISBLANK(D88),MAX(B$56:B87),IF(AND(ISNUMBER(L88),L88&gt;0)=TRUE,MAX(B$56:B87)+1,MAX(B$56:B87))),0)</f>
        <v>0</v>
      </c>
      <c r="C88" s="12"/>
      <c r="D88" s="226" t="s">
        <v>218</v>
      </c>
      <c r="E88" s="165" t="str">
        <f>VLOOKUP(D88,SKUS_TO_SIZES,2,FALSE)</f>
        <v>ROOKIE XS (fits 9, 10, 11, 12, 13, 1)</v>
      </c>
      <c r="F88" s="166">
        <f>VLOOKUP(D88,SKUS_TO_SIZES,3,FALSE)</f>
        <v>77</v>
      </c>
      <c r="G88" s="167">
        <f>SUM(M88:N88)*F88</f>
        <v>0</v>
      </c>
      <c r="H88" s="337">
        <f>IF(SNOWBOARD_DISCOUNT_TYPE=1,IF($J$10=0,F88,F88*(SUM(1-$J$10))),IF(I88=0,F88,F88*(SUM(1-I88))))</f>
        <v>77</v>
      </c>
      <c r="I88" s="333">
        <v>0</v>
      </c>
      <c r="J88" s="332">
        <f>$J$10</f>
        <v>0</v>
      </c>
      <c r="K88" s="220">
        <f>SUM(M88:W88)*H88</f>
        <v>0</v>
      </c>
      <c r="L88" s="280">
        <f t="shared" si="285"/>
        <v>0</v>
      </c>
      <c r="M88" s="283"/>
      <c r="N88" s="222"/>
      <c r="O88" s="178"/>
      <c r="P88" s="178"/>
      <c r="Q88" s="178"/>
      <c r="R88" s="178"/>
      <c r="S88" s="178"/>
      <c r="T88" s="178"/>
      <c r="U88" s="178"/>
      <c r="V88" s="178"/>
      <c r="W88" s="178"/>
      <c r="X88" s="178"/>
      <c r="Y88" s="12"/>
      <c r="Z88" s="2">
        <f>Z87+1</f>
        <v>3</v>
      </c>
      <c r="AA88" s="149" t="str">
        <f>D88</f>
        <v>RGMRK02</v>
      </c>
      <c r="AB88" s="130" t="str">
        <f>IF(VLOOKUP($AA88,SKUS_TO_SIZES,AB$12,FALSE)=0,"",VLOOKUP($AA88,SKUS_TO_SIZES,AB$12,FALSE))</f>
        <v>XS</v>
      </c>
      <c r="AC88" s="129" t="str">
        <f>IFERROR(IF(HLOOKUP(AB88,$M$86:$W$88,$Z88,FALSE)=0,"",HLOOKUP(AB88,$M$86:$W$88,$Z88,FALSE)),"")</f>
        <v/>
      </c>
      <c r="AD88" s="130" t="str">
        <f>IF(VLOOKUP($AA88,SKUS_TO_SIZES,AD$12,FALSE)=0,"",VLOOKUP($AA88,SKUS_TO_SIZES,AD$12,FALSE))</f>
        <v/>
      </c>
      <c r="AE88" s="129" t="str">
        <f t="shared" si="286"/>
        <v/>
      </c>
      <c r="AF88" s="130" t="str">
        <f>IF(VLOOKUP($AA88,SKUS_TO_SIZES,AF$12,FALSE)=0,"",VLOOKUP($AA88,SKUS_TO_SIZES,AF$12,FALSE))</f>
        <v/>
      </c>
      <c r="AG88" s="129" t="str">
        <f t="shared" si="287"/>
        <v/>
      </c>
      <c r="AH88" s="130" t="str">
        <f>IF(VLOOKUP($AA88,SKUS_TO_SIZES,AH$12,FALSE)=0,"",VLOOKUP($AA88,SKUS_TO_SIZES,AH$12,FALSE))</f>
        <v/>
      </c>
      <c r="AI88" s="129" t="str">
        <f t="shared" si="288"/>
        <v/>
      </c>
      <c r="AJ88" s="130" t="str">
        <f>IF(VLOOKUP($AA88,SKUS_TO_SIZES,AJ$12,FALSE)=0,"",VLOOKUP($AA88,SKUS_TO_SIZES,AJ$12,FALSE))</f>
        <v/>
      </c>
      <c r="AK88" s="129" t="str">
        <f t="shared" si="289"/>
        <v/>
      </c>
      <c r="AL88" s="130" t="str">
        <f>IF(VLOOKUP($AA88,SKUS_TO_SIZES,AL$12,FALSE)=0,"",VLOOKUP($AA88,SKUS_TO_SIZES,AL$12,FALSE))</f>
        <v/>
      </c>
      <c r="AM88" s="129" t="str">
        <f t="shared" si="290"/>
        <v/>
      </c>
      <c r="AN88" s="130" t="str">
        <f>IF(VLOOKUP($AA88,SKUS_TO_SIZES,AN$12,FALSE)=0,"",VLOOKUP($AA88,SKUS_TO_SIZES,AN$12,FALSE))</f>
        <v/>
      </c>
      <c r="AO88" s="129" t="str">
        <f t="shared" si="291"/>
        <v/>
      </c>
      <c r="AP88" s="130" t="str">
        <f>IF(VLOOKUP($AA88,SKUS_TO_SIZES,AP$12,FALSE)=0,"",VLOOKUP($AA88,SKUS_TO_SIZES,AP$12,FALSE))</f>
        <v/>
      </c>
      <c r="AQ88" s="129" t="str">
        <f t="shared" si="292"/>
        <v/>
      </c>
      <c r="AR88" s="130" t="str">
        <f>IF(VLOOKUP($AA88,SKUS_TO_SIZES,AR$12,FALSE)=0,"",VLOOKUP($AA88,SKUS_TO_SIZES,AR$12,FALSE))</f>
        <v/>
      </c>
      <c r="AS88" s="129" t="str">
        <f t="shared" si="293"/>
        <v/>
      </c>
      <c r="AT88" s="130" t="str">
        <f>IF(VLOOKUP($AA88,SKUS_TO_SIZES,AT$12,FALSE)=0,"",VLOOKUP($AA88,SKUS_TO_SIZES,AT$12,FALSE))</f>
        <v/>
      </c>
      <c r="AU88" s="129" t="str">
        <f t="shared" si="294"/>
        <v/>
      </c>
      <c r="AV88" s="130" t="str">
        <f>IF(VLOOKUP($AA88,SKUS_TO_SIZES,AV$12,FALSE)=0,"",VLOOKUP($AA88,SKUS_TO_SIZES,AV$12,FALSE))</f>
        <v/>
      </c>
      <c r="AW88" s="596" t="str">
        <f t="shared" si="295"/>
        <v/>
      </c>
      <c r="AY88" s="43"/>
      <c r="BA88" s="43"/>
    </row>
    <row r="89" spans="2:53" s="8" customFormat="1" ht="12.75" hidden="1" customHeight="1">
      <c r="B89" s="9">
        <f>IF(SNOWBOARD_CALCULATOR_TYPE=1,IF(ISBLANK(D89),MAX(B$56:B88),IF(AND(ISNUMBER(L89),L89&gt;0)=TRUE,MAX(B$56:B88)+1,MAX(B$56:B88))),0)</f>
        <v>0</v>
      </c>
      <c r="C89" s="12"/>
      <c r="D89" s="208"/>
      <c r="E89" s="209"/>
      <c r="F89" s="186"/>
      <c r="G89" s="579">
        <f>SUM(G87:G88)</f>
        <v>0</v>
      </c>
      <c r="H89" s="186"/>
      <c r="I89" s="187"/>
      <c r="J89" s="187"/>
      <c r="K89" s="227">
        <f>SUM(K87:K88)</f>
        <v>0</v>
      </c>
      <c r="L89" s="233">
        <f>SUM(M89:W89)</f>
        <v>0</v>
      </c>
      <c r="M89" s="229">
        <f>SUM(M87:M88)</f>
        <v>0</v>
      </c>
      <c r="N89" s="230">
        <f>SUM(N87:N88)</f>
        <v>0</v>
      </c>
      <c r="O89" s="178"/>
      <c r="P89" s="178"/>
      <c r="Q89" s="178"/>
      <c r="R89" s="178"/>
      <c r="S89" s="178"/>
      <c r="T89" s="178"/>
      <c r="U89" s="178"/>
      <c r="V89" s="178"/>
      <c r="W89" s="178"/>
      <c r="X89" s="178"/>
      <c r="Y89" s="12"/>
      <c r="Z89" s="9"/>
      <c r="AA89" s="149"/>
      <c r="AB89" s="15"/>
      <c r="AC89" s="38"/>
      <c r="AD89" s="15"/>
      <c r="AE89" s="38"/>
      <c r="AF89" s="15"/>
      <c r="AG89" s="38"/>
      <c r="AH89" s="15"/>
      <c r="AI89" s="38"/>
      <c r="AJ89" s="15"/>
      <c r="AK89" s="38"/>
      <c r="AL89" s="15"/>
      <c r="AM89" s="38"/>
      <c r="AN89" s="15"/>
      <c r="AO89" s="38"/>
      <c r="AP89" s="15"/>
      <c r="AQ89" s="38"/>
      <c r="AR89" s="15"/>
      <c r="AS89" s="38"/>
      <c r="AT89" s="15"/>
      <c r="AU89" s="38"/>
      <c r="AV89" s="15"/>
      <c r="AW89" s="38"/>
      <c r="AY89" s="43"/>
      <c r="BA89" s="43"/>
    </row>
    <row r="90" spans="2:53" s="8" customFormat="1" ht="12.75" hidden="1" customHeight="1">
      <c r="B90" s="9">
        <f>IF(SNOWBOARD_CALCULATOR_TYPE=1,IF(ISBLANK(D90),MAX(B$56:B89),IF(AND(ISNUMBER(L90),L90&gt;0)=TRUE,MAX(B$56:B89)+1,MAX(B$56:B89))),0)</f>
        <v>0</v>
      </c>
      <c r="C90" s="12"/>
      <c r="D90" s="957" t="s">
        <v>115</v>
      </c>
      <c r="E90" s="954"/>
      <c r="F90" s="186"/>
      <c r="G90" s="186"/>
      <c r="H90" s="186"/>
      <c r="I90" s="187"/>
      <c r="J90" s="187"/>
      <c r="K90" s="188"/>
      <c r="L90" s="279"/>
      <c r="M90" s="179"/>
      <c r="N90" s="179"/>
      <c r="O90" s="178"/>
      <c r="P90" s="178"/>
      <c r="Q90" s="178"/>
      <c r="R90" s="178"/>
      <c r="S90" s="178"/>
      <c r="T90" s="178"/>
      <c r="U90" s="178"/>
      <c r="V90" s="178"/>
      <c r="W90" s="178"/>
      <c r="X90" s="178"/>
      <c r="Y90" s="12"/>
      <c r="Z90" s="9"/>
      <c r="AA90" s="149"/>
      <c r="AB90" s="15"/>
      <c r="AC90" s="38"/>
      <c r="AD90" s="15"/>
      <c r="AE90" s="38"/>
      <c r="AF90" s="15"/>
      <c r="AG90" s="38"/>
      <c r="AH90" s="15"/>
      <c r="AI90" s="38"/>
      <c r="AJ90" s="15"/>
      <c r="AK90" s="38"/>
      <c r="AL90" s="15"/>
      <c r="AM90" s="38"/>
      <c r="AN90" s="15"/>
      <c r="AO90" s="38"/>
      <c r="AP90" s="15"/>
      <c r="AQ90" s="38"/>
      <c r="AR90" s="15"/>
      <c r="AS90" s="38"/>
      <c r="AT90" s="15"/>
      <c r="AU90" s="38"/>
      <c r="AV90" s="15"/>
      <c r="AW90" s="38"/>
      <c r="AY90" s="43"/>
      <c r="BA90" s="43"/>
    </row>
    <row r="91" spans="2:53" s="8" customFormat="1" ht="14" hidden="1" thickBot="1">
      <c r="B91" s="9">
        <f>IF(SNOWBOARD_CALCULATOR_TYPE=1,IF(ISBLANK(D91),MAX(B$56:B90),IF(AND(ISNUMBER(L91),L91&gt;0)=TRUE,MAX(B$56:B90)+1,MAX(B$56:B90))),0)</f>
        <v>0</v>
      </c>
      <c r="C91" s="12"/>
      <c r="D91" s="251" t="s">
        <v>0</v>
      </c>
      <c r="E91" s="242" t="s">
        <v>1</v>
      </c>
      <c r="F91" s="217" t="s">
        <v>43</v>
      </c>
      <c r="G91" s="217" t="s">
        <v>19</v>
      </c>
      <c r="H91" s="272" t="s">
        <v>102</v>
      </c>
      <c r="I91" s="323" t="s">
        <v>21</v>
      </c>
      <c r="J91" s="324" t="s">
        <v>21</v>
      </c>
      <c r="K91" s="325" t="s">
        <v>6</v>
      </c>
      <c r="L91" s="176" t="s">
        <v>5</v>
      </c>
      <c r="M91" s="174" t="str">
        <f>"9-11"</f>
        <v>9-11</v>
      </c>
      <c r="N91" s="175" t="str">
        <f>"11-13"</f>
        <v>11-13</v>
      </c>
      <c r="O91" s="175">
        <v>1</v>
      </c>
      <c r="P91" s="175">
        <v>2</v>
      </c>
      <c r="Q91" s="175">
        <v>3</v>
      </c>
      <c r="R91" s="175">
        <v>4</v>
      </c>
      <c r="S91" s="195">
        <v>5</v>
      </c>
      <c r="T91" s="178"/>
      <c r="U91" s="178"/>
      <c r="V91" s="178"/>
      <c r="W91" s="178"/>
      <c r="X91" s="178"/>
      <c r="Y91" s="12"/>
      <c r="Z91" s="2"/>
      <c r="AA91" s="1"/>
      <c r="AB91" s="1"/>
      <c r="AC91" s="37"/>
      <c r="AD91" s="1"/>
      <c r="AE91" s="41"/>
      <c r="AF91" s="1"/>
      <c r="AG91" s="41"/>
      <c r="AH91" s="1"/>
      <c r="AI91" s="41"/>
      <c r="AJ91" s="1"/>
      <c r="AK91" s="41"/>
      <c r="AL91" s="1"/>
      <c r="AM91" s="41"/>
      <c r="AN91" s="1"/>
      <c r="AO91" s="41"/>
      <c r="AP91" s="1"/>
      <c r="AQ91" s="41"/>
      <c r="AR91" s="1"/>
      <c r="AS91" s="41"/>
      <c r="AT91" s="1"/>
      <c r="AU91" s="41"/>
      <c r="AV91" s="1"/>
      <c r="AW91" s="41"/>
      <c r="AX91" s="1"/>
      <c r="AY91" s="43"/>
      <c r="BA91" s="43"/>
    </row>
    <row r="92" spans="2:53" ht="12.75" hidden="1" customHeight="1" thickTop="1">
      <c r="B92" s="9">
        <f>IF(SNOWBOARD_CALCULATOR_TYPE=1,IF(ISBLANK(D92),MAX(B$56:B91),IF(AND(ISNUMBER(L92),L92&gt;0)=TRUE,MAX(B$56:B91)+1,MAX(B$56:B91))),0)</f>
        <v>0</v>
      </c>
      <c r="C92" s="12"/>
      <c r="D92" s="387" t="s">
        <v>223</v>
      </c>
      <c r="E92" s="196" t="str">
        <f>VLOOKUP(D92,SKUS_TO_SIZES,2,FALSE)</f>
        <v>CRUMB</v>
      </c>
      <c r="F92" s="197">
        <f>VLOOKUP(D92,SKUS_TO_SIZES,3,FALSE)</f>
        <v>135</v>
      </c>
      <c r="G92" s="198">
        <f>SUM(L92)*F92</f>
        <v>0</v>
      </c>
      <c r="H92" s="328">
        <f>IF(SNOWBOARD_DISCOUNT_TYPE=1,IF($J$10=0,F92,F92*(SUM(1-$J$10))),IF(I92=0,F92,F92*(SUM(1-I92))))</f>
        <v>135</v>
      </c>
      <c r="I92" s="273">
        <v>0</v>
      </c>
      <c r="J92" s="340">
        <f>$J$10</f>
        <v>0</v>
      </c>
      <c r="K92" s="199">
        <f t="shared" ref="K92:K94" si="296">SUM(M92:W92)*H92</f>
        <v>0</v>
      </c>
      <c r="L92" s="280">
        <f>SUM(M92:W92)</f>
        <v>0</v>
      </c>
      <c r="M92" s="435"/>
      <c r="N92" s="434"/>
      <c r="O92" s="433"/>
      <c r="P92" s="433"/>
      <c r="Q92" s="433"/>
      <c r="R92" s="433"/>
      <c r="S92" s="436"/>
      <c r="T92" s="178"/>
      <c r="U92" s="178"/>
      <c r="V92" s="178"/>
      <c r="W92" s="178"/>
      <c r="X92" s="178"/>
      <c r="Y92" s="12"/>
      <c r="Z92" s="9">
        <v>2</v>
      </c>
      <c r="AA92" s="149" t="str">
        <f>D92</f>
        <v>RFM0033</v>
      </c>
      <c r="AB92" s="130">
        <f>IF(VLOOKUP($AA92,SKUS_TO_SIZES,AB$12,FALSE)=0,"",VLOOKUP($AA92,SKUS_TO_SIZES,AB$12,FALSE))</f>
        <v>1</v>
      </c>
      <c r="AC92" s="129" t="str">
        <f>IFERROR(IF(HLOOKUP(AB92,$M$91:$W$94,$Z92,FALSE)=0,"",HLOOKUP(AB92,$M$91:$W$94,$Z92,FALSE)),"")</f>
        <v/>
      </c>
      <c r="AD92" s="130">
        <f>IF(VLOOKUP($AA92,SKUS_TO_SIZES,AD$12,FALSE)=0,"",VLOOKUP($AA92,SKUS_TO_SIZES,AD$12,FALSE))</f>
        <v>2</v>
      </c>
      <c r="AE92" s="129" t="str">
        <f t="shared" ref="AE92" si="297">IFERROR(IF(HLOOKUP(AD92,$M$91:$W$94,$Z92,FALSE)=0,"",HLOOKUP(AD92,$M$91:$W$94,$Z92,FALSE)),"")</f>
        <v/>
      </c>
      <c r="AF92" s="130">
        <f>IF(VLOOKUP($AA92,SKUS_TO_SIZES,AF$12,FALSE)=0,"",VLOOKUP($AA92,SKUS_TO_SIZES,AF$12,FALSE))</f>
        <v>3</v>
      </c>
      <c r="AG92" s="129" t="str">
        <f t="shared" ref="AG92" si="298">IFERROR(IF(HLOOKUP(AF92,$M$91:$W$94,$Z92,FALSE)=0,"",HLOOKUP(AF92,$M$91:$W$94,$Z92,FALSE)),"")</f>
        <v/>
      </c>
      <c r="AH92" s="130">
        <f>IF(VLOOKUP($AA92,SKUS_TO_SIZES,AH$12,FALSE)=0,"",VLOOKUP($AA92,SKUS_TO_SIZES,AH$12,FALSE))</f>
        <v>4</v>
      </c>
      <c r="AI92" s="129" t="str">
        <f t="shared" ref="AI92" si="299">IFERROR(IF(HLOOKUP(AH92,$M$91:$W$94,$Z92,FALSE)=0,"",HLOOKUP(AH92,$M$91:$W$94,$Z92,FALSE)),"")</f>
        <v/>
      </c>
      <c r="AJ92" s="130">
        <f>IF(VLOOKUP($AA92,SKUS_TO_SIZES,AJ$12,FALSE)=0,"",VLOOKUP($AA92,SKUS_TO_SIZES,AJ$12,FALSE))</f>
        <v>5</v>
      </c>
      <c r="AK92" s="129" t="str">
        <f t="shared" ref="AK92" si="300">IFERROR(IF(HLOOKUP(AJ92,$M$91:$W$94,$Z92,FALSE)=0,"",HLOOKUP(AJ92,$M$91:$W$94,$Z92,FALSE)),"")</f>
        <v/>
      </c>
      <c r="AL92" s="130" t="str">
        <f>IF(VLOOKUP($AA92,SKUS_TO_SIZES,AL$12,FALSE)=0,"",VLOOKUP($AA92,SKUS_TO_SIZES,AL$12,FALSE))</f>
        <v/>
      </c>
      <c r="AM92" s="129" t="str">
        <f t="shared" ref="AM92" si="301">IFERROR(IF(HLOOKUP(AL92,$M$91:$W$94,$Z92,FALSE)=0,"",HLOOKUP(AL92,$M$91:$W$94,$Z92,FALSE)),"")</f>
        <v/>
      </c>
      <c r="AN92" s="130" t="str">
        <f>IF(VLOOKUP($AA92,SKUS_TO_SIZES,AN$12,FALSE)=0,"",VLOOKUP($AA92,SKUS_TO_SIZES,AN$12,FALSE))</f>
        <v/>
      </c>
      <c r="AO92" s="129" t="str">
        <f t="shared" ref="AO92" si="302">IFERROR(IF(HLOOKUP(AN92,$M$91:$W$94,$Z92,FALSE)=0,"",HLOOKUP(AN92,$M$91:$W$94,$Z92,FALSE)),"")</f>
        <v/>
      </c>
      <c r="AP92" s="130" t="str">
        <f>IF(VLOOKUP($AA92,SKUS_TO_SIZES,AP$12,FALSE)=0,"",VLOOKUP($AA92,SKUS_TO_SIZES,AP$12,FALSE))</f>
        <v/>
      </c>
      <c r="AQ92" s="129" t="str">
        <f t="shared" ref="AQ92" si="303">IFERROR(IF(HLOOKUP(AP92,$M$91:$W$94,$Z92,FALSE)=0,"",HLOOKUP(AP92,$M$91:$W$94,$Z92,FALSE)),"")</f>
        <v/>
      </c>
      <c r="AR92" s="130" t="str">
        <f>IF(VLOOKUP($AA92,SKUS_TO_SIZES,AR$12,FALSE)=0,"",VLOOKUP($AA92,SKUS_TO_SIZES,AR$12,FALSE))</f>
        <v/>
      </c>
      <c r="AS92" s="129" t="str">
        <f t="shared" ref="AS92:AW93" si="304">IFERROR(IF(HLOOKUP(AR92,$M$91:$W$94,$Z92,FALSE)=0,"",HLOOKUP(AR92,$M$91:$W$94,$Z92,FALSE)),"")</f>
        <v/>
      </c>
      <c r="AT92" s="130" t="str">
        <f>IF(VLOOKUP($AA92,SKUS_TO_SIZES,AT$12,FALSE)=0,"",VLOOKUP($AA92,SKUS_TO_SIZES,AT$12,FALSE))</f>
        <v/>
      </c>
      <c r="AU92" s="129" t="str">
        <f t="shared" ref="AU92" si="305">IFERROR(IF(HLOOKUP(AT92,$M$91:$W$94,$Z92,FALSE)=0,"",HLOOKUP(AT92,$M$91:$W$94,$Z92,FALSE)),"")</f>
        <v/>
      </c>
      <c r="AV92" s="130" t="str">
        <f>IF(VLOOKUP($AA92,SKUS_TO_SIZES,AV$12,FALSE)=0,"",VLOOKUP($AA92,SKUS_TO_SIZES,AV$12,FALSE))</f>
        <v/>
      </c>
      <c r="AW92" s="596" t="str">
        <f t="shared" ref="AW92" si="306">IFERROR(IF(HLOOKUP(AV92,$M$91:$W$94,$Z92,FALSE)=0,"",HLOOKUP(AV92,$M$91:$W$94,$Z92,FALSE)),"")</f>
        <v/>
      </c>
      <c r="AX92" s="8"/>
    </row>
    <row r="93" spans="2:53" ht="12.75" hidden="1" customHeight="1">
      <c r="B93" s="9">
        <f>IF(SNOWBOARD_CALCULATOR_TYPE=1,IF(ISBLANK(D93),MAX(B$56:B92),IF(AND(ISNUMBER(L93),L93&gt;0)=TRUE,MAX(B$56:B92)+1,MAX(B$56:B92))),0)</f>
        <v>0</v>
      </c>
      <c r="C93" s="10"/>
      <c r="D93" s="388" t="s">
        <v>224</v>
      </c>
      <c r="E93" s="201" t="str">
        <f>VLOOKUP(D93,SKUS_TO_SIZES,2,FALSE)</f>
        <v>CRUMB KIDS (inc. extra footbeds (11/12/13)</v>
      </c>
      <c r="F93" s="202">
        <f>VLOOKUP(D93,SKUS_TO_SIZES,3,FALSE)</f>
        <v>124</v>
      </c>
      <c r="G93" s="203">
        <f>SUM(L93)*F93</f>
        <v>0</v>
      </c>
      <c r="H93" s="329">
        <f>IF(SNOWBOARD_DISCOUNT_TYPE=1,IF($J$10=0,F93,F93*(SUM(1-$J$10))),IF(I93=0,F93,F93*(SUM(1-I93))))</f>
        <v>124</v>
      </c>
      <c r="I93" s="274">
        <v>0</v>
      </c>
      <c r="J93" s="341">
        <f>$J$10</f>
        <v>0</v>
      </c>
      <c r="K93" s="204">
        <f t="shared" si="296"/>
        <v>0</v>
      </c>
      <c r="L93" s="280">
        <f>SUM(M93:W93)</f>
        <v>0</v>
      </c>
      <c r="M93" s="437"/>
      <c r="N93" s="433"/>
      <c r="O93" s="432"/>
      <c r="P93" s="432"/>
      <c r="Q93" s="432"/>
      <c r="R93" s="432"/>
      <c r="S93" s="438"/>
      <c r="T93" s="178"/>
      <c r="U93" s="178"/>
      <c r="V93" s="178"/>
      <c r="W93" s="178"/>
      <c r="X93" s="178"/>
      <c r="Y93" s="12"/>
      <c r="Z93" s="2">
        <f t="shared" ref="Z93:Z94" si="307">Z92+1</f>
        <v>3</v>
      </c>
      <c r="AA93" s="149" t="str">
        <f>D93</f>
        <v>RFM0032</v>
      </c>
      <c r="AB93" s="130" t="str">
        <f>IF(VLOOKUP($AA93,SKUS_TO_SIZES,AB$12,FALSE)=0,"",VLOOKUP($AA93,SKUS_TO_SIZES,AB$12,FALSE))</f>
        <v>11-13</v>
      </c>
      <c r="AC93" s="129" t="str">
        <f t="shared" ref="AC93:AQ94" si="308">IFERROR(IF(HLOOKUP(AB93,$M$91:$W$94,$Z93,FALSE)=0,"",HLOOKUP(AB93,$M$91:$W$94,$Z93,FALSE)),"")</f>
        <v/>
      </c>
      <c r="AD93" s="130" t="str">
        <f>IF(VLOOKUP($AA93,SKUS_TO_SIZES,AD$12,FALSE)=0,"",VLOOKUP($AA93,SKUS_TO_SIZES,AD$12,FALSE))</f>
        <v/>
      </c>
      <c r="AE93" s="129" t="str">
        <f t="shared" si="308"/>
        <v/>
      </c>
      <c r="AF93" s="130" t="str">
        <f>IF(VLOOKUP($AA93,SKUS_TO_SIZES,AF$12,FALSE)=0,"",VLOOKUP($AA93,SKUS_TO_SIZES,AF$12,FALSE))</f>
        <v/>
      </c>
      <c r="AG93" s="129" t="str">
        <f t="shared" si="308"/>
        <v/>
      </c>
      <c r="AH93" s="130" t="str">
        <f>IF(VLOOKUP($AA93,SKUS_TO_SIZES,AH$12,FALSE)=0,"",VLOOKUP($AA93,SKUS_TO_SIZES,AH$12,FALSE))</f>
        <v/>
      </c>
      <c r="AI93" s="129" t="str">
        <f t="shared" si="308"/>
        <v/>
      </c>
      <c r="AJ93" s="130" t="str">
        <f>IF(VLOOKUP($AA93,SKUS_TO_SIZES,AJ$12,FALSE)=0,"",VLOOKUP($AA93,SKUS_TO_SIZES,AJ$12,FALSE))</f>
        <v/>
      </c>
      <c r="AK93" s="129" t="str">
        <f t="shared" si="308"/>
        <v/>
      </c>
      <c r="AL93" s="130" t="str">
        <f>IF(VLOOKUP($AA93,SKUS_TO_SIZES,AL$12,FALSE)=0,"",VLOOKUP($AA93,SKUS_TO_SIZES,AL$12,FALSE))</f>
        <v/>
      </c>
      <c r="AM93" s="129" t="str">
        <f t="shared" si="308"/>
        <v/>
      </c>
      <c r="AN93" s="130" t="str">
        <f>IF(VLOOKUP($AA93,SKUS_TO_SIZES,AN$12,FALSE)=0,"",VLOOKUP($AA93,SKUS_TO_SIZES,AN$12,FALSE))</f>
        <v/>
      </c>
      <c r="AO93" s="129" t="str">
        <f t="shared" si="308"/>
        <v/>
      </c>
      <c r="AP93" s="130" t="str">
        <f>IF(VLOOKUP($AA93,SKUS_TO_SIZES,AP$12,FALSE)=0,"",VLOOKUP($AA93,SKUS_TO_SIZES,AP$12,FALSE))</f>
        <v/>
      </c>
      <c r="AQ93" s="129" t="str">
        <f t="shared" si="308"/>
        <v/>
      </c>
      <c r="AR93" s="130" t="str">
        <f>IF(VLOOKUP($AA93,SKUS_TO_SIZES,AR$12,FALSE)=0,"",VLOOKUP($AA93,SKUS_TO_SIZES,AR$12,FALSE))</f>
        <v/>
      </c>
      <c r="AS93" s="129" t="str">
        <f t="shared" si="304"/>
        <v/>
      </c>
      <c r="AT93" s="130" t="str">
        <f>IF(VLOOKUP($AA93,SKUS_TO_SIZES,AT$12,FALSE)=0,"",VLOOKUP($AA93,SKUS_TO_SIZES,AT$12,FALSE))</f>
        <v/>
      </c>
      <c r="AU93" s="129" t="str">
        <f t="shared" si="304"/>
        <v/>
      </c>
      <c r="AV93" s="130" t="str">
        <f>IF(VLOOKUP($AA93,SKUS_TO_SIZES,AV$12,FALSE)=0,"",VLOOKUP($AA93,SKUS_TO_SIZES,AV$12,FALSE))</f>
        <v/>
      </c>
      <c r="AW93" s="596" t="str">
        <f t="shared" si="304"/>
        <v/>
      </c>
      <c r="AX93" s="8"/>
    </row>
    <row r="94" spans="2:53" ht="12.75" hidden="1" customHeight="1">
      <c r="B94" s="9">
        <f>IF(SNOWBOARD_CALCULATOR_TYPE=1,IF(ISBLANK(D94),MAX(B$56:B93),IF(AND(ISNUMBER(L94),L94&gt;0)=TRUE,MAX(B$56:B93)+1,MAX(B$56:B93))),0)</f>
        <v>0</v>
      </c>
      <c r="C94" s="10"/>
      <c r="D94" s="389" t="s">
        <v>225</v>
      </c>
      <c r="E94" s="205" t="str">
        <f>VLOOKUP(D94,SKUS_TO_SIZES,2,FALSE)</f>
        <v>CRUMB TODDLER (inc. extra footbeds 9/10/11)</v>
      </c>
      <c r="F94" s="166">
        <f>VLOOKUP(D94,SKUS_TO_SIZES,3,FALSE)</f>
        <v>118</v>
      </c>
      <c r="G94" s="206">
        <f>SUM(L94)*F94</f>
        <v>0</v>
      </c>
      <c r="H94" s="330">
        <f>IF(SNOWBOARD_DISCOUNT_TYPE=1,IF($J$10=0,F94,F94*(SUM(1-$J$10))),IF(I94=0,F94,F94*(SUM(1-I94))))</f>
        <v>118</v>
      </c>
      <c r="I94" s="275">
        <v>0</v>
      </c>
      <c r="J94" s="342">
        <f>$J$10</f>
        <v>0</v>
      </c>
      <c r="K94" s="207">
        <f t="shared" si="296"/>
        <v>0</v>
      </c>
      <c r="L94" s="281">
        <f>SUM(M94:W94)</f>
        <v>0</v>
      </c>
      <c r="M94" s="439"/>
      <c r="N94" s="440"/>
      <c r="O94" s="440"/>
      <c r="P94" s="440"/>
      <c r="Q94" s="440"/>
      <c r="R94" s="440"/>
      <c r="S94" s="441"/>
      <c r="T94" s="178"/>
      <c r="U94" s="178"/>
      <c r="V94" s="178"/>
      <c r="W94" s="178"/>
      <c r="X94" s="178"/>
      <c r="Y94" s="12"/>
      <c r="Z94" s="2">
        <f t="shared" si="307"/>
        <v>4</v>
      </c>
      <c r="AA94" s="149" t="str">
        <f>D94</f>
        <v>RFM0031</v>
      </c>
      <c r="AB94" s="130" t="str">
        <f>IF(VLOOKUP($AA94,SKUS_TO_SIZES,AB$12,FALSE)=0,"",VLOOKUP($AA94,SKUS_TO_SIZES,AB$12,FALSE))</f>
        <v>9-11</v>
      </c>
      <c r="AC94" s="129" t="str">
        <f t="shared" si="308"/>
        <v/>
      </c>
      <c r="AD94" s="130" t="str">
        <f>IF(VLOOKUP($AA94,SKUS_TO_SIZES,AD$12,FALSE)=0,"",VLOOKUP($AA94,SKUS_TO_SIZES,AD$12,FALSE))</f>
        <v/>
      </c>
      <c r="AE94" s="129" t="str">
        <f t="shared" ref="AE94:AW94" si="309">IFERROR(IF(HLOOKUP(AD94,$M$91:$W$94,$Z94,FALSE)=0,"",HLOOKUP(AD94,$M$91:$W$94,$Z94,FALSE)),"")</f>
        <v/>
      </c>
      <c r="AF94" s="130" t="str">
        <f>IF(VLOOKUP($AA94,SKUS_TO_SIZES,AF$12,FALSE)=0,"",VLOOKUP($AA94,SKUS_TO_SIZES,AF$12,FALSE))</f>
        <v/>
      </c>
      <c r="AG94" s="129" t="str">
        <f t="shared" si="309"/>
        <v/>
      </c>
      <c r="AH94" s="130" t="str">
        <f>IF(VLOOKUP($AA94,SKUS_TO_SIZES,AH$12,FALSE)=0,"",VLOOKUP($AA94,SKUS_TO_SIZES,AH$12,FALSE))</f>
        <v/>
      </c>
      <c r="AI94" s="129" t="str">
        <f t="shared" si="309"/>
        <v/>
      </c>
      <c r="AJ94" s="130" t="str">
        <f>IF(VLOOKUP($AA94,SKUS_TO_SIZES,AJ$12,FALSE)=0,"",VLOOKUP($AA94,SKUS_TO_SIZES,AJ$12,FALSE))</f>
        <v/>
      </c>
      <c r="AK94" s="129" t="str">
        <f t="shared" si="309"/>
        <v/>
      </c>
      <c r="AL94" s="130" t="str">
        <f>IF(VLOOKUP($AA94,SKUS_TO_SIZES,AL$12,FALSE)=0,"",VLOOKUP($AA94,SKUS_TO_SIZES,AL$12,FALSE))</f>
        <v/>
      </c>
      <c r="AM94" s="129" t="str">
        <f t="shared" si="309"/>
        <v/>
      </c>
      <c r="AN94" s="130" t="str">
        <f>IF(VLOOKUP($AA94,SKUS_TO_SIZES,AN$12,FALSE)=0,"",VLOOKUP($AA94,SKUS_TO_SIZES,AN$12,FALSE))</f>
        <v/>
      </c>
      <c r="AO94" s="129" t="str">
        <f t="shared" si="309"/>
        <v/>
      </c>
      <c r="AP94" s="130" t="str">
        <f>IF(VLOOKUP($AA94,SKUS_TO_SIZES,AP$12,FALSE)=0,"",VLOOKUP($AA94,SKUS_TO_SIZES,AP$12,FALSE))</f>
        <v/>
      </c>
      <c r="AQ94" s="129" t="str">
        <f t="shared" si="309"/>
        <v/>
      </c>
      <c r="AR94" s="130" t="str">
        <f>IF(VLOOKUP($AA94,SKUS_TO_SIZES,AR$12,FALSE)=0,"",VLOOKUP($AA94,SKUS_TO_SIZES,AR$12,FALSE))</f>
        <v/>
      </c>
      <c r="AS94" s="129" t="str">
        <f t="shared" si="309"/>
        <v/>
      </c>
      <c r="AT94" s="130" t="str">
        <f>IF(VLOOKUP($AA94,SKUS_TO_SIZES,AT$12,FALSE)=0,"",VLOOKUP($AA94,SKUS_TO_SIZES,AT$12,FALSE))</f>
        <v/>
      </c>
      <c r="AU94" s="129" t="str">
        <f t="shared" si="309"/>
        <v/>
      </c>
      <c r="AV94" s="130" t="str">
        <f>IF(VLOOKUP($AA94,SKUS_TO_SIZES,AV$12,FALSE)=0,"",VLOOKUP($AA94,SKUS_TO_SIZES,AV$12,FALSE))</f>
        <v/>
      </c>
      <c r="AW94" s="596" t="str">
        <f t="shared" si="309"/>
        <v/>
      </c>
    </row>
    <row r="95" spans="2:53" ht="12.75" hidden="1" customHeight="1">
      <c r="B95" s="9">
        <f>IF(SNOWBOARD_CALCULATOR_TYPE=1,IF(ISBLANK(D95),MAX(B$56:B94),IF(AND(ISNUMBER(L95),L95&gt;0)=TRUE,MAX(B$56:B94)+1,MAX(B$56:B94))),0)</f>
        <v>0</v>
      </c>
      <c r="C95" s="10"/>
      <c r="D95" s="178"/>
      <c r="E95" s="209"/>
      <c r="F95" s="209"/>
      <c r="G95" s="579">
        <f>SUM(G92:G94)</f>
        <v>0</v>
      </c>
      <c r="H95" s="210"/>
      <c r="I95" s="210"/>
      <c r="J95" s="210"/>
      <c r="K95" s="227">
        <f>SUM(K92:K94)</f>
        <v>0</v>
      </c>
      <c r="L95" s="228">
        <f>SUM(M95:W95)</f>
        <v>0</v>
      </c>
      <c r="M95" s="442">
        <f>SUM(M92:M94)</f>
        <v>0</v>
      </c>
      <c r="N95" s="443">
        <f>SUM(N92:N94)</f>
        <v>0</v>
      </c>
      <c r="O95" s="443">
        <f t="shared" ref="O95:R95" si="310">SUM(O92:O94)</f>
        <v>0</v>
      </c>
      <c r="P95" s="443">
        <f t="shared" si="310"/>
        <v>0</v>
      </c>
      <c r="Q95" s="443">
        <f t="shared" si="310"/>
        <v>0</v>
      </c>
      <c r="R95" s="443">
        <f t="shared" si="310"/>
        <v>0</v>
      </c>
      <c r="S95" s="444">
        <f>SUM(S92:S94)</f>
        <v>0</v>
      </c>
      <c r="T95" s="179"/>
      <c r="U95" s="179"/>
      <c r="V95" s="179"/>
      <c r="W95" s="179"/>
      <c r="X95" s="178"/>
      <c r="Y95" s="23"/>
      <c r="AA95" s="150"/>
      <c r="AB95" s="6"/>
      <c r="AC95" s="45"/>
      <c r="AD95" s="6"/>
      <c r="AE95" s="45"/>
      <c r="AF95" s="6"/>
      <c r="AG95" s="45"/>
      <c r="AH95" s="6"/>
      <c r="AI95" s="45"/>
      <c r="AJ95" s="6"/>
      <c r="AK95" s="45"/>
      <c r="AL95" s="6"/>
      <c r="AM95" s="45"/>
      <c r="AN95" s="6"/>
      <c r="AO95" s="45"/>
      <c r="AP95" s="6"/>
      <c r="AQ95" s="45"/>
      <c r="AR95" s="6"/>
      <c r="AS95" s="45"/>
      <c r="AT95" s="6"/>
      <c r="AU95" s="45"/>
      <c r="AV95" s="6"/>
      <c r="AW95" s="45"/>
      <c r="AX95" s="6"/>
    </row>
    <row r="96" spans="2:53" hidden="1">
      <c r="C96" s="23"/>
      <c r="Y96" s="31"/>
    </row>
    <row r="97" spans="2:53" s="6" customFormat="1" ht="3" customHeight="1">
      <c r="B97" s="9"/>
      <c r="C97" s="13"/>
      <c r="D97" s="236"/>
      <c r="E97" s="237"/>
      <c r="F97" s="237"/>
      <c r="G97" s="237"/>
      <c r="H97" s="238"/>
      <c r="I97" s="238"/>
      <c r="J97" s="238"/>
      <c r="K97" s="239"/>
      <c r="L97" s="240"/>
      <c r="M97" s="241"/>
      <c r="N97" s="241"/>
      <c r="O97" s="241"/>
      <c r="P97" s="241"/>
      <c r="Q97" s="241"/>
      <c r="R97" s="241"/>
      <c r="S97" s="241"/>
      <c r="T97" s="241"/>
      <c r="U97" s="241"/>
      <c r="V97" s="241"/>
      <c r="W97" s="241"/>
      <c r="X97" s="236"/>
      <c r="Y97" s="10"/>
      <c r="Z97" s="7"/>
      <c r="AA97" s="151"/>
      <c r="AB97" s="8"/>
      <c r="AC97" s="43"/>
      <c r="AD97" s="8"/>
      <c r="AE97" s="43"/>
      <c r="AF97" s="8"/>
      <c r="AG97" s="43"/>
      <c r="AH97" s="8"/>
      <c r="AI97" s="43"/>
      <c r="AJ97" s="8"/>
      <c r="AK97" s="43"/>
      <c r="AL97" s="8"/>
      <c r="AM97" s="43"/>
      <c r="AN97" s="8"/>
      <c r="AO97" s="43"/>
      <c r="AP97" s="8"/>
      <c r="AQ97" s="43"/>
      <c r="AR97" s="8"/>
      <c r="AS97" s="43"/>
      <c r="AT97" s="8"/>
      <c r="AU97" s="43"/>
      <c r="AV97" s="8"/>
      <c r="AW97" s="43"/>
      <c r="AX97" s="8"/>
      <c r="AY97" s="45"/>
      <c r="BA97" s="45"/>
    </row>
  </sheetData>
  <sheetProtection algorithmName="SHA-512" hashValue="Ng74rKT06iTWVeYFb8PHyVZrYgYcBzi651DoAa/cAxUDQdkBhLK9gwFgAVTauugHiKNTuUUDQGyYEXT6UO+wwA==" saltValue="T5i+MHbPHdFl04VxC28wAQ==" spinCount="100000" sheet="1" objects="1" scenarios="1" selectLockedCells="1"/>
  <dataConsolidate/>
  <mergeCells count="32">
    <mergeCell ref="L4:T4"/>
    <mergeCell ref="D12:X12"/>
    <mergeCell ref="P11:R11"/>
    <mergeCell ref="M5:W5"/>
    <mergeCell ref="S11:T11"/>
    <mergeCell ref="M10:W10"/>
    <mergeCell ref="M8:W8"/>
    <mergeCell ref="M7:W7"/>
    <mergeCell ref="M6:W6"/>
    <mergeCell ref="M9:W9"/>
    <mergeCell ref="D81:E81"/>
    <mergeCell ref="D85:E85"/>
    <mergeCell ref="D90:E90"/>
    <mergeCell ref="D13:X13"/>
    <mergeCell ref="D55:X55"/>
    <mergeCell ref="D65:E65"/>
    <mergeCell ref="L50:L52"/>
    <mergeCell ref="D39:E39"/>
    <mergeCell ref="D43:E43"/>
    <mergeCell ref="D48:E48"/>
    <mergeCell ref="D38:X38"/>
    <mergeCell ref="D32:E32"/>
    <mergeCell ref="D23:E23"/>
    <mergeCell ref="L28:L29"/>
    <mergeCell ref="D80:X80"/>
    <mergeCell ref="L45:L46"/>
    <mergeCell ref="D74:E74"/>
    <mergeCell ref="L25:L27"/>
    <mergeCell ref="L19:L20"/>
    <mergeCell ref="D14:E14"/>
    <mergeCell ref="L16:L18"/>
    <mergeCell ref="D56:E56"/>
  </mergeCells>
  <phoneticPr fontId="0" type="noConversion"/>
  <conditionalFormatting sqref="M16:W21">
    <cfRule type="cellIs" dxfId="14" priority="16" operator="equal">
      <formula>$M$16</formula>
    </cfRule>
  </conditionalFormatting>
  <conditionalFormatting sqref="O25:V29">
    <cfRule type="cellIs" dxfId="13" priority="15" operator="equal">
      <formula>$M$16</formula>
    </cfRule>
  </conditionalFormatting>
  <conditionalFormatting sqref="M58:W62">
    <cfRule type="cellIs" dxfId="12" priority="14" operator="equal">
      <formula>$M$16</formula>
    </cfRule>
  </conditionalFormatting>
  <conditionalFormatting sqref="M67:V70 N71:V71">
    <cfRule type="cellIs" dxfId="11" priority="13" operator="equal">
      <formula>$M$16</formula>
    </cfRule>
  </conditionalFormatting>
  <conditionalFormatting sqref="O30:V30">
    <cfRule type="cellIs" dxfId="10" priority="12" operator="equal">
      <formula>$M$16</formula>
    </cfRule>
  </conditionalFormatting>
  <conditionalFormatting sqref="M63">
    <cfRule type="cellIs" dxfId="9" priority="9" operator="equal">
      <formula>$M$16</formula>
    </cfRule>
  </conditionalFormatting>
  <conditionalFormatting sqref="N63:W63">
    <cfRule type="cellIs" dxfId="8" priority="8" operator="equal">
      <formula>$M$16</formula>
    </cfRule>
  </conditionalFormatting>
  <conditionalFormatting sqref="N72:V72">
    <cfRule type="cellIs" dxfId="7" priority="7" operator="equal">
      <formula>$M$16</formula>
    </cfRule>
  </conditionalFormatting>
  <conditionalFormatting sqref="M72">
    <cfRule type="cellIs" dxfId="6" priority="6" operator="equal">
      <formula>$M$16</formula>
    </cfRule>
  </conditionalFormatting>
  <conditionalFormatting sqref="M25:N27">
    <cfRule type="cellIs" dxfId="5" priority="5" operator="equal">
      <formula>$M$16</formula>
    </cfRule>
  </conditionalFormatting>
  <conditionalFormatting sqref="M28:N28">
    <cfRule type="cellIs" dxfId="4" priority="4" operator="equal">
      <formula>$M$16</formula>
    </cfRule>
  </conditionalFormatting>
  <conditionalFormatting sqref="M29:N29">
    <cfRule type="cellIs" dxfId="3" priority="3" operator="equal">
      <formula>$M$16</formula>
    </cfRule>
  </conditionalFormatting>
  <conditionalFormatting sqref="M30:N30">
    <cfRule type="cellIs" dxfId="2" priority="2" operator="equal">
      <formula>$M$16</formula>
    </cfRule>
  </conditionalFormatting>
  <conditionalFormatting sqref="M71">
    <cfRule type="cellIs" dxfId="1" priority="1" operator="equal">
      <formula>$M$16</formula>
    </cfRule>
  </conditionalFormatting>
  <dataValidations count="1">
    <dataValidation type="decimal" allowBlank="1" showInputMessage="1" showErrorMessage="1" error="Please enter a number between 0 and 100.  Do not enter the &quot;%&quot; sign... just the number only." sqref="I10:J10 I7:J7" xr:uid="{00000000-0002-0000-0300-000000000000}">
      <formula1>0</formula1>
      <formula2>1</formula2>
    </dataValidation>
  </dataValidations>
  <pageMargins left="0.75" right="0.75" top="1" bottom="1" header="0.5" footer="0.5"/>
  <pageSetup scale="80" fitToHeight="0" orientation="landscape" r:id="rId1"/>
  <headerFooter alignWithMargins="0"/>
  <ignoredErrors>
    <ignoredError sqref="B46" formula="1"/>
  </ignoredErrors>
  <drawing r:id="rId2"/>
  <mc:AlternateContent xmlns:mc="http://schemas.openxmlformats.org/markup-compatibility/2006">
    <mc:Choice Requires="v">
      <legacyDrawing r:id="rId3"/>
    </mc:Choice>
  </mc:AlternateContent>
</worksheet>
</file>

<file path=xl/worksheets/sheet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EHiddenData">
    <tabColor theme="1"/>
    <pageSetUpPr fitToPage="1"/>
  </sheetPr>
  <dimension ref="A1:AW202"/>
  <sheetViews>
    <sheetView topLeftCell="B1" workbookViewId="0">
      <selection activeCell="D2" sqref="D2"/>
    </sheetView>
  </sheetViews>
  <sheetFormatPr baseColWidth="10" defaultColWidth="9.1640625" defaultRowHeight="13"/>
  <cols>
    <col min="1" max="1" width="56.83203125" style="471" customWidth="1"/>
    <col min="2" max="2" width="60.33203125" style="471" customWidth="1"/>
    <col min="3" max="3" width="11.83203125" style="470" customWidth="1"/>
    <col min="4" max="4" width="18.6640625" style="471" customWidth="1"/>
    <col min="5" max="5" width="49" style="504" customWidth="1"/>
    <col min="6" max="6" width="11.33203125" style="506" customWidth="1"/>
    <col min="7" max="7" width="5.33203125" style="471" customWidth="1"/>
    <col min="8" max="8" width="3.83203125" style="471" customWidth="1"/>
    <col min="9" max="20" width="8.33203125" style="472" customWidth="1"/>
    <col min="21" max="21" width="8" style="471" customWidth="1"/>
    <col min="22" max="23" width="3.83203125" style="471" customWidth="1"/>
    <col min="24" max="36" width="4.6640625" style="471" customWidth="1"/>
    <col min="37" max="47" width="3.83203125" style="471" customWidth="1"/>
    <col min="48" max="49" width="9.1640625" style="471" customWidth="1"/>
    <col min="50" max="50" width="43.33203125" style="471" customWidth="1"/>
    <col min="51" max="55" width="9.1640625" style="471" customWidth="1"/>
    <col min="56" max="16384" width="9.1640625" style="471"/>
  </cols>
  <sheetData>
    <row r="1" spans="1:49" ht="14" thickBot="1">
      <c r="A1" s="1002" t="s">
        <v>36</v>
      </c>
      <c r="B1" s="1003"/>
      <c r="C1" s="625"/>
      <c r="D1" s="626" t="s">
        <v>50</v>
      </c>
      <c r="E1" s="489" t="s">
        <v>98</v>
      </c>
      <c r="F1" s="627" t="s">
        <v>99</v>
      </c>
      <c r="G1" s="628"/>
      <c r="H1" s="628"/>
      <c r="I1" s="489"/>
      <c r="J1" s="489"/>
      <c r="K1" s="489"/>
      <c r="L1" s="489"/>
      <c r="M1" s="489"/>
      <c r="N1" s="489"/>
      <c r="O1" s="489"/>
      <c r="P1" s="489"/>
      <c r="Q1" s="489"/>
      <c r="R1" s="489"/>
      <c r="S1" s="489"/>
      <c r="T1" s="489"/>
      <c r="V1" s="471" t="s">
        <v>92</v>
      </c>
      <c r="AW1" s="616" t="s">
        <v>96</v>
      </c>
    </row>
    <row r="2" spans="1:49" ht="14" thickBot="1">
      <c r="A2" s="473" t="s">
        <v>32</v>
      </c>
      <c r="B2" s="474" t="s">
        <v>33</v>
      </c>
      <c r="C2" s="625" t="s">
        <v>105</v>
      </c>
      <c r="D2" s="671" t="s">
        <v>292</v>
      </c>
      <c r="E2" s="672" t="s">
        <v>293</v>
      </c>
      <c r="F2" s="673">
        <v>404</v>
      </c>
      <c r="G2" s="674">
        <v>13.1</v>
      </c>
      <c r="H2" s="675" t="s">
        <v>53</v>
      </c>
      <c r="I2" s="676">
        <v>132</v>
      </c>
      <c r="J2" s="676">
        <v>140</v>
      </c>
      <c r="K2" s="676">
        <v>148</v>
      </c>
      <c r="L2" s="676">
        <v>156</v>
      </c>
      <c r="M2" s="676">
        <v>164</v>
      </c>
      <c r="N2" s="676">
        <v>172</v>
      </c>
      <c r="O2" s="676">
        <v>180</v>
      </c>
      <c r="P2" s="675"/>
      <c r="Q2" s="675"/>
      <c r="R2" s="675"/>
      <c r="S2" s="675"/>
      <c r="T2" s="677"/>
      <c r="V2" s="476">
        <f>COLUMN(SKUS_TO_SIZES)</f>
        <v>4</v>
      </c>
      <c r="W2" s="477">
        <f>V2+1</f>
        <v>5</v>
      </c>
      <c r="X2" s="477">
        <f t="shared" ref="X2:AU2" si="0">W2+1</f>
        <v>6</v>
      </c>
      <c r="Y2" s="477">
        <f t="shared" si="0"/>
        <v>7</v>
      </c>
      <c r="Z2" s="477">
        <f t="shared" si="0"/>
        <v>8</v>
      </c>
      <c r="AA2" s="477">
        <f t="shared" si="0"/>
        <v>9</v>
      </c>
      <c r="AB2" s="477">
        <f t="shared" si="0"/>
        <v>10</v>
      </c>
      <c r="AC2" s="477">
        <f t="shared" si="0"/>
        <v>11</v>
      </c>
      <c r="AD2" s="477">
        <f t="shared" si="0"/>
        <v>12</v>
      </c>
      <c r="AE2" s="477">
        <f t="shared" si="0"/>
        <v>13</v>
      </c>
      <c r="AF2" s="477">
        <f t="shared" si="0"/>
        <v>14</v>
      </c>
      <c r="AG2" s="477">
        <f t="shared" si="0"/>
        <v>15</v>
      </c>
      <c r="AH2" s="477">
        <f t="shared" si="0"/>
        <v>16</v>
      </c>
      <c r="AI2" s="477">
        <f t="shared" si="0"/>
        <v>17</v>
      </c>
      <c r="AJ2" s="477">
        <f t="shared" si="0"/>
        <v>18</v>
      </c>
      <c r="AK2" s="477">
        <f t="shared" si="0"/>
        <v>19</v>
      </c>
      <c r="AL2" s="477">
        <f t="shared" si="0"/>
        <v>20</v>
      </c>
      <c r="AM2" s="477">
        <f t="shared" si="0"/>
        <v>21</v>
      </c>
      <c r="AN2" s="477">
        <f t="shared" si="0"/>
        <v>22</v>
      </c>
      <c r="AO2" s="477">
        <f t="shared" si="0"/>
        <v>23</v>
      </c>
      <c r="AP2" s="477">
        <f t="shared" si="0"/>
        <v>24</v>
      </c>
      <c r="AQ2" s="477">
        <f t="shared" si="0"/>
        <v>25</v>
      </c>
      <c r="AR2" s="477">
        <f t="shared" si="0"/>
        <v>26</v>
      </c>
      <c r="AS2" s="477">
        <f t="shared" si="0"/>
        <v>27</v>
      </c>
      <c r="AT2" s="477">
        <f t="shared" si="0"/>
        <v>28</v>
      </c>
      <c r="AU2" s="478">
        <f t="shared" si="0"/>
        <v>29</v>
      </c>
      <c r="AW2" s="669" t="s">
        <v>97</v>
      </c>
    </row>
    <row r="3" spans="1:49" ht="14" thickBot="1">
      <c r="A3" s="479" t="s">
        <v>23</v>
      </c>
      <c r="B3" s="480" t="s">
        <v>23</v>
      </c>
      <c r="C3" s="625"/>
      <c r="D3" s="678" t="str">
        <f>D2&amp;"-sizecurve"</f>
        <v>RRPFZ05-sizecurve</v>
      </c>
      <c r="E3" s="679"/>
      <c r="F3" s="680"/>
      <c r="G3" s="681">
        <v>14.1</v>
      </c>
      <c r="H3" s="670"/>
      <c r="I3" s="670">
        <v>0.08</v>
      </c>
      <c r="J3" s="670">
        <v>0.13</v>
      </c>
      <c r="K3" s="670">
        <v>0.23</v>
      </c>
      <c r="L3" s="670">
        <v>0.2</v>
      </c>
      <c r="M3" s="670">
        <v>0.21</v>
      </c>
      <c r="N3" s="670">
        <v>0.13</v>
      </c>
      <c r="O3" s="670">
        <v>0.02</v>
      </c>
      <c r="P3" s="670"/>
      <c r="Q3" s="670"/>
      <c r="R3" s="670"/>
      <c r="S3" s="670"/>
      <c r="T3" s="682"/>
      <c r="U3" s="487" t="str">
        <f t="shared" ref="U3:U41" si="1">IF(SUBTOTAL(9,I3:T3)&lt;&gt;1,"WRONG NUMBERS","")</f>
        <v/>
      </c>
      <c r="V3" s="488" t="s">
        <v>70</v>
      </c>
      <c r="W3" s="489" t="s">
        <v>71</v>
      </c>
      <c r="X3" s="489" t="s">
        <v>72</v>
      </c>
      <c r="Y3" s="489" t="s">
        <v>73</v>
      </c>
      <c r="Z3" s="489" t="s">
        <v>74</v>
      </c>
      <c r="AA3" s="489" t="s">
        <v>75</v>
      </c>
      <c r="AB3" s="489" t="s">
        <v>76</v>
      </c>
      <c r="AC3" s="489" t="s">
        <v>77</v>
      </c>
      <c r="AD3" s="489" t="s">
        <v>78</v>
      </c>
      <c r="AE3" s="489" t="s">
        <v>79</v>
      </c>
      <c r="AF3" s="489" t="s">
        <v>80</v>
      </c>
      <c r="AG3" s="489" t="s">
        <v>81</v>
      </c>
      <c r="AH3" s="489" t="s">
        <v>82</v>
      </c>
      <c r="AI3" s="489" t="s">
        <v>83</v>
      </c>
      <c r="AJ3" s="489" t="s">
        <v>84</v>
      </c>
      <c r="AK3" s="489" t="s">
        <v>8</v>
      </c>
      <c r="AL3" s="489" t="s">
        <v>85</v>
      </c>
      <c r="AM3" s="489" t="s">
        <v>86</v>
      </c>
      <c r="AN3" s="489" t="s">
        <v>87</v>
      </c>
      <c r="AO3" s="489" t="s">
        <v>88</v>
      </c>
      <c r="AP3" s="489" t="s">
        <v>89</v>
      </c>
      <c r="AQ3" s="489" t="s">
        <v>90</v>
      </c>
      <c r="AR3" s="489" t="s">
        <v>91</v>
      </c>
      <c r="AS3" s="489" t="s">
        <v>93</v>
      </c>
      <c r="AT3" s="489" t="s">
        <v>94</v>
      </c>
      <c r="AU3" s="490" t="s">
        <v>95</v>
      </c>
    </row>
    <row r="4" spans="1:49">
      <c r="A4" s="479" t="s">
        <v>44</v>
      </c>
      <c r="B4" s="480" t="s">
        <v>45</v>
      </c>
      <c r="C4" s="625" t="s">
        <v>105</v>
      </c>
      <c r="D4" s="678" t="s">
        <v>294</v>
      </c>
      <c r="E4" s="683" t="s">
        <v>295</v>
      </c>
      <c r="F4" s="673">
        <v>336</v>
      </c>
      <c r="G4" s="681">
        <v>15.1</v>
      </c>
      <c r="H4" s="670" t="s">
        <v>53</v>
      </c>
      <c r="I4" s="676">
        <v>132</v>
      </c>
      <c r="J4" s="676">
        <v>140</v>
      </c>
      <c r="K4" s="676">
        <v>148</v>
      </c>
      <c r="L4" s="676">
        <v>156</v>
      </c>
      <c r="M4" s="676">
        <v>164</v>
      </c>
      <c r="N4" s="676">
        <v>172</v>
      </c>
      <c r="O4" s="676">
        <v>180</v>
      </c>
      <c r="P4" s="670"/>
      <c r="Q4" s="670"/>
      <c r="R4" s="670"/>
      <c r="S4" s="670"/>
      <c r="T4" s="682"/>
    </row>
    <row r="5" spans="1:49">
      <c r="A5" s="479" t="s">
        <v>28</v>
      </c>
      <c r="B5" s="480" t="s">
        <v>39</v>
      </c>
      <c r="C5" s="625"/>
      <c r="D5" s="678" t="str">
        <f>D4&amp;"-sizecurve"</f>
        <v>RRPFZ04-sizecurve</v>
      </c>
      <c r="E5" s="679"/>
      <c r="F5" s="680"/>
      <c r="G5" s="681">
        <v>16.100000000000001</v>
      </c>
      <c r="H5" s="670"/>
      <c r="I5" s="670">
        <v>0.11</v>
      </c>
      <c r="J5" s="670">
        <v>0.18</v>
      </c>
      <c r="K5" s="670">
        <v>0.21</v>
      </c>
      <c r="L5" s="670">
        <v>0.19</v>
      </c>
      <c r="M5" s="670">
        <v>0.16</v>
      </c>
      <c r="N5" s="670">
        <v>0.11</v>
      </c>
      <c r="O5" s="670">
        <v>0.04</v>
      </c>
      <c r="P5" s="670"/>
      <c r="Q5" s="670"/>
      <c r="R5" s="670"/>
      <c r="S5" s="670"/>
      <c r="T5" s="682"/>
      <c r="U5" s="487" t="str">
        <f t="shared" si="1"/>
        <v/>
      </c>
    </row>
    <row r="6" spans="1:49">
      <c r="A6" s="479" t="s">
        <v>27</v>
      </c>
      <c r="B6" s="480" t="s">
        <v>27</v>
      </c>
      <c r="C6" s="625" t="s">
        <v>105</v>
      </c>
      <c r="D6" s="678" t="s">
        <v>262</v>
      </c>
      <c r="E6" s="683" t="s">
        <v>296</v>
      </c>
      <c r="F6" s="673">
        <v>323</v>
      </c>
      <c r="G6" s="684">
        <v>17.100000000000001</v>
      </c>
      <c r="H6" s="670" t="s">
        <v>53</v>
      </c>
      <c r="I6" s="676">
        <v>132</v>
      </c>
      <c r="J6" s="676">
        <v>140</v>
      </c>
      <c r="K6" s="676">
        <v>148</v>
      </c>
      <c r="L6" s="676">
        <v>156</v>
      </c>
      <c r="M6" s="676">
        <v>164</v>
      </c>
      <c r="N6" s="676">
        <v>172</v>
      </c>
      <c r="O6" s="676">
        <v>180</v>
      </c>
      <c r="P6" s="670"/>
      <c r="Q6" s="670"/>
      <c r="R6" s="670"/>
      <c r="S6" s="670"/>
      <c r="T6" s="682"/>
      <c r="AE6" s="645" t="s">
        <v>183</v>
      </c>
      <c r="AF6" s="645"/>
      <c r="AG6" s="645"/>
      <c r="AH6" s="645"/>
      <c r="AI6" s="645"/>
      <c r="AJ6" s="645"/>
      <c r="AK6" s="645"/>
      <c r="AL6" s="645"/>
      <c r="AM6" s="645"/>
      <c r="AN6" s="645"/>
    </row>
    <row r="7" spans="1:49" ht="14" thickBot="1">
      <c r="A7" s="492" t="s">
        <v>250</v>
      </c>
      <c r="B7" s="492" t="s">
        <v>250</v>
      </c>
      <c r="C7" s="625"/>
      <c r="D7" s="678" t="str">
        <f>D6&amp;"-sizecurve"</f>
        <v>RROFZ09-sizecurve</v>
      </c>
      <c r="E7" s="679"/>
      <c r="F7" s="680"/>
      <c r="G7" s="681">
        <v>18.100000000000001</v>
      </c>
      <c r="H7" s="670"/>
      <c r="I7" s="670">
        <v>7.0000000000000007E-2</v>
      </c>
      <c r="J7" s="670">
        <v>0.25</v>
      </c>
      <c r="K7" s="670">
        <v>0.3</v>
      </c>
      <c r="L7" s="670">
        <v>0.21</v>
      </c>
      <c r="M7" s="670">
        <v>0.11</v>
      </c>
      <c r="N7" s="670">
        <v>0.04</v>
      </c>
      <c r="O7" s="670">
        <v>0.02</v>
      </c>
      <c r="P7" s="670"/>
      <c r="Q7" s="670"/>
      <c r="R7" s="670"/>
      <c r="S7" s="670"/>
      <c r="T7" s="682"/>
      <c r="U7" s="487" t="str">
        <f t="shared" si="1"/>
        <v/>
      </c>
      <c r="AE7" s="645"/>
      <c r="AF7" s="645"/>
      <c r="AG7" s="645"/>
      <c r="AH7" s="645"/>
      <c r="AI7" s="645"/>
      <c r="AJ7" s="645"/>
      <c r="AK7" s="645"/>
      <c r="AL7" s="645"/>
      <c r="AM7" s="645"/>
      <c r="AN7" s="645"/>
    </row>
    <row r="8" spans="1:49">
      <c r="A8" s="493" t="s">
        <v>314</v>
      </c>
      <c r="B8" s="493" t="s">
        <v>315</v>
      </c>
      <c r="C8" s="625" t="s">
        <v>105</v>
      </c>
      <c r="D8" s="678" t="s">
        <v>263</v>
      </c>
      <c r="E8" s="683" t="s">
        <v>297</v>
      </c>
      <c r="F8" s="673">
        <v>237</v>
      </c>
      <c r="G8" s="684">
        <v>19.100000000000001</v>
      </c>
      <c r="H8" s="670" t="s">
        <v>53</v>
      </c>
      <c r="I8" s="676">
        <v>137</v>
      </c>
      <c r="J8" s="676">
        <v>145</v>
      </c>
      <c r="K8" s="676">
        <v>153</v>
      </c>
      <c r="L8" s="676">
        <v>161</v>
      </c>
      <c r="M8" s="676">
        <v>170</v>
      </c>
      <c r="N8" s="676">
        <v>179</v>
      </c>
      <c r="O8" s="676"/>
      <c r="P8" s="670"/>
      <c r="Q8" s="670"/>
      <c r="R8" s="670"/>
      <c r="S8" s="670"/>
      <c r="T8" s="682"/>
      <c r="AE8" s="645">
        <v>137</v>
      </c>
      <c r="AF8" s="645">
        <v>61</v>
      </c>
      <c r="AG8" s="645"/>
      <c r="AH8" s="645"/>
      <c r="AI8" s="645"/>
      <c r="AJ8" s="645"/>
      <c r="AK8" s="645"/>
      <c r="AL8" s="645"/>
      <c r="AM8" s="645"/>
      <c r="AN8" s="645"/>
    </row>
    <row r="9" spans="1:49">
      <c r="C9" s="625"/>
      <c r="D9" s="678" t="str">
        <f>D8&amp;"-sizecurve"</f>
        <v>RROJP01-sizecurve</v>
      </c>
      <c r="E9" s="679"/>
      <c r="F9" s="680"/>
      <c r="G9" s="681">
        <v>20.100000000000001</v>
      </c>
      <c r="H9" s="670"/>
      <c r="I9" s="670">
        <v>0.16</v>
      </c>
      <c r="J9" s="670">
        <v>0.21</v>
      </c>
      <c r="K9" s="670">
        <v>0.27</v>
      </c>
      <c r="L9" s="670">
        <v>0.24</v>
      </c>
      <c r="M9" s="670">
        <v>0.09</v>
      </c>
      <c r="N9" s="670">
        <v>0.03</v>
      </c>
      <c r="O9" s="670"/>
      <c r="P9" s="670"/>
      <c r="Q9" s="670"/>
      <c r="R9" s="670"/>
      <c r="S9" s="670"/>
      <c r="T9" s="682"/>
      <c r="U9" s="487" t="str">
        <f t="shared" si="1"/>
        <v/>
      </c>
      <c r="AE9" s="646">
        <f>AE8/SUM($AE8:$AF8)</f>
        <v>0.69191919191919193</v>
      </c>
      <c r="AF9" s="646">
        <f>AF8/SUM($AE8:$AF8)</f>
        <v>0.30808080808080807</v>
      </c>
      <c r="AG9" s="645"/>
      <c r="AH9" s="645"/>
      <c r="AI9" s="645"/>
      <c r="AJ9" s="645"/>
      <c r="AK9" s="645"/>
      <c r="AL9" s="645"/>
      <c r="AM9" s="645"/>
      <c r="AN9" s="645"/>
    </row>
    <row r="10" spans="1:49">
      <c r="C10" s="625" t="s">
        <v>105</v>
      </c>
      <c r="D10" s="678" t="s">
        <v>307</v>
      </c>
      <c r="E10" s="683" t="s">
        <v>308</v>
      </c>
      <c r="F10" s="673">
        <v>288</v>
      </c>
      <c r="G10" s="684">
        <v>21.1</v>
      </c>
      <c r="H10" s="670" t="s">
        <v>53</v>
      </c>
      <c r="I10" s="676">
        <v>148</v>
      </c>
      <c r="J10" s="676">
        <v>156</v>
      </c>
      <c r="K10" s="676">
        <v>164</v>
      </c>
      <c r="L10" s="676">
        <v>171</v>
      </c>
      <c r="M10" s="676">
        <v>179</v>
      </c>
      <c r="N10" s="676"/>
      <c r="O10" s="676"/>
      <c r="P10" s="670"/>
      <c r="Q10" s="670"/>
      <c r="R10" s="670"/>
      <c r="S10" s="670"/>
      <c r="T10" s="682"/>
      <c r="AE10" s="645"/>
      <c r="AF10" s="645"/>
      <c r="AG10" s="645"/>
      <c r="AH10" s="645"/>
      <c r="AI10" s="645"/>
      <c r="AJ10" s="645"/>
      <c r="AK10" s="645"/>
      <c r="AL10" s="645"/>
      <c r="AM10" s="645"/>
      <c r="AN10" s="645"/>
    </row>
    <row r="11" spans="1:49">
      <c r="C11" s="625"/>
      <c r="D11" s="678" t="str">
        <f>D10&amp;"-sizecurve"</f>
        <v>RROPV01-sizecurve</v>
      </c>
      <c r="E11" s="679"/>
      <c r="F11" s="680"/>
      <c r="G11" s="681">
        <v>22.1</v>
      </c>
      <c r="H11" s="670"/>
      <c r="I11" s="670">
        <v>0.15</v>
      </c>
      <c r="J11" s="670">
        <v>0.24</v>
      </c>
      <c r="K11" s="670">
        <v>0.3</v>
      </c>
      <c r="L11" s="670">
        <v>0.23</v>
      </c>
      <c r="M11" s="670">
        <v>0.08</v>
      </c>
      <c r="N11" s="670"/>
      <c r="O11" s="670"/>
      <c r="P11" s="670"/>
      <c r="Q11" s="670"/>
      <c r="R11" s="670"/>
      <c r="S11" s="670"/>
      <c r="T11" s="682"/>
      <c r="U11" s="487" t="str">
        <f t="shared" si="1"/>
        <v/>
      </c>
      <c r="AE11" s="645">
        <v>98</v>
      </c>
      <c r="AF11" s="645">
        <v>136</v>
      </c>
      <c r="AG11" s="645">
        <v>79</v>
      </c>
      <c r="AH11" s="645"/>
      <c r="AI11" s="645"/>
      <c r="AJ11" s="645"/>
      <c r="AK11" s="645"/>
      <c r="AL11" s="645"/>
      <c r="AM11" s="645"/>
      <c r="AN11" s="645"/>
    </row>
    <row r="12" spans="1:49">
      <c r="C12" s="625" t="s">
        <v>105</v>
      </c>
      <c r="D12" s="678" t="s">
        <v>309</v>
      </c>
      <c r="E12" s="683" t="s">
        <v>310</v>
      </c>
      <c r="F12" s="673">
        <v>288</v>
      </c>
      <c r="G12" s="684">
        <v>23.1</v>
      </c>
      <c r="H12" s="670" t="s">
        <v>53</v>
      </c>
      <c r="I12" s="676">
        <v>138</v>
      </c>
      <c r="J12" s="676">
        <v>146</v>
      </c>
      <c r="K12" s="676">
        <v>154</v>
      </c>
      <c r="L12" s="676">
        <v>162</v>
      </c>
      <c r="M12" s="676"/>
      <c r="N12" s="676"/>
      <c r="O12" s="676"/>
      <c r="P12" s="670"/>
      <c r="Q12" s="670"/>
      <c r="R12" s="670"/>
      <c r="S12" s="670"/>
      <c r="T12" s="682"/>
      <c r="AE12" s="646">
        <f>AE11/SUM($AE11:$AG11)</f>
        <v>0.31309904153354634</v>
      </c>
      <c r="AF12" s="646">
        <f>AF11/SUM($AE11:$AG11)</f>
        <v>0.43450479233226835</v>
      </c>
      <c r="AG12" s="646">
        <f>AG11/SUM($AE11:$AG11)</f>
        <v>0.25239616613418531</v>
      </c>
      <c r="AH12" s="645"/>
      <c r="AI12" s="645"/>
      <c r="AJ12" s="645"/>
      <c r="AK12" s="645"/>
      <c r="AL12" s="645"/>
      <c r="AM12" s="645"/>
      <c r="AN12" s="645"/>
    </row>
    <row r="13" spans="1:49">
      <c r="C13" s="625"/>
      <c r="D13" s="678" t="str">
        <f>D12&amp;"-sizecurve"</f>
        <v>RRPPV02-sizecurve</v>
      </c>
      <c r="E13" s="679"/>
      <c r="F13" s="680"/>
      <c r="G13" s="681">
        <v>24.1</v>
      </c>
      <c r="H13" s="670"/>
      <c r="I13" s="670">
        <v>0.2</v>
      </c>
      <c r="J13" s="670">
        <v>0.34</v>
      </c>
      <c r="K13" s="670">
        <v>0.33</v>
      </c>
      <c r="L13" s="670">
        <v>0.13</v>
      </c>
      <c r="M13" s="670"/>
      <c r="N13" s="670"/>
      <c r="O13" s="670"/>
      <c r="P13" s="670"/>
      <c r="Q13" s="670"/>
      <c r="R13" s="670"/>
      <c r="S13" s="670"/>
      <c r="T13" s="682"/>
      <c r="U13" s="487" t="str">
        <f t="shared" si="1"/>
        <v/>
      </c>
      <c r="AE13" s="645"/>
      <c r="AF13" s="645"/>
      <c r="AG13" s="645"/>
      <c r="AH13" s="645"/>
      <c r="AI13" s="645"/>
      <c r="AJ13" s="645"/>
      <c r="AK13" s="645"/>
      <c r="AL13" s="645"/>
      <c r="AM13" s="645"/>
      <c r="AN13" s="645"/>
    </row>
    <row r="14" spans="1:49">
      <c r="C14" s="625" t="s">
        <v>105</v>
      </c>
      <c r="D14" s="620" t="s">
        <v>170</v>
      </c>
      <c r="E14" s="621" t="s">
        <v>171</v>
      </c>
      <c r="F14" s="507"/>
      <c r="G14" s="622">
        <v>1.1000000000000001</v>
      </c>
      <c r="H14" s="623" t="s">
        <v>53</v>
      </c>
      <c r="I14" s="624">
        <v>164</v>
      </c>
      <c r="J14" s="624">
        <v>172</v>
      </c>
      <c r="K14" s="624">
        <v>180</v>
      </c>
      <c r="L14" s="624">
        <v>188</v>
      </c>
      <c r="M14" s="624"/>
      <c r="N14" s="624"/>
      <c r="O14" s="623"/>
      <c r="P14" s="623"/>
      <c r="Q14" s="623"/>
      <c r="R14" s="623"/>
      <c r="S14" s="623"/>
      <c r="T14" s="629"/>
      <c r="U14" s="471" t="s">
        <v>291</v>
      </c>
      <c r="AB14" s="471" t="s">
        <v>288</v>
      </c>
      <c r="AE14" s="645">
        <v>72</v>
      </c>
      <c r="AF14" s="645">
        <v>82</v>
      </c>
      <c r="AG14" s="645">
        <v>82</v>
      </c>
      <c r="AH14" s="645">
        <v>63</v>
      </c>
      <c r="AI14" s="645"/>
      <c r="AJ14" s="645"/>
      <c r="AK14" s="645"/>
      <c r="AL14" s="645"/>
      <c r="AM14" s="645"/>
      <c r="AN14" s="645"/>
    </row>
    <row r="15" spans="1:49">
      <c r="C15" s="625"/>
      <c r="D15" s="619" t="str">
        <f>D14&amp;"-sizecurve"</f>
        <v>RRI05QN-sizecurve</v>
      </c>
      <c r="E15" s="482"/>
      <c r="F15" s="483"/>
      <c r="G15" s="558">
        <v>2.1</v>
      </c>
      <c r="H15" s="485"/>
      <c r="I15" s="485">
        <v>0.21150855365474339</v>
      </c>
      <c r="J15" s="485">
        <v>0.33281493001555212</v>
      </c>
      <c r="K15" s="485">
        <v>0.30948678071539659</v>
      </c>
      <c r="L15" s="485">
        <v>0.14618973561430793</v>
      </c>
      <c r="M15" s="485"/>
      <c r="N15" s="485"/>
      <c r="O15" s="485"/>
      <c r="P15" s="485"/>
      <c r="Q15" s="485"/>
      <c r="R15" s="485"/>
      <c r="S15" s="485"/>
      <c r="T15" s="630"/>
      <c r="U15" s="487" t="str">
        <f t="shared" si="1"/>
        <v/>
      </c>
      <c r="AE15" s="646">
        <f>AE14/SUM($AE14:$AH14)</f>
        <v>0.24080267558528429</v>
      </c>
      <c r="AF15" s="646">
        <f>AF14/SUM($AE14:$AH14)</f>
        <v>0.27424749163879597</v>
      </c>
      <c r="AG15" s="646">
        <f>AG14/SUM($AE14:$AH14)</f>
        <v>0.27424749163879597</v>
      </c>
      <c r="AH15" s="646">
        <f>AH14/SUM($AE14:$AH14)</f>
        <v>0.21070234113712374</v>
      </c>
      <c r="AI15" s="645"/>
      <c r="AJ15" s="645"/>
      <c r="AK15" s="645"/>
      <c r="AL15" s="645"/>
      <c r="AM15" s="645"/>
      <c r="AN15" s="645"/>
    </row>
    <row r="16" spans="1:49" ht="14" thickBot="1">
      <c r="C16" s="625" t="s">
        <v>105</v>
      </c>
      <c r="D16" s="619" t="s">
        <v>172</v>
      </c>
      <c r="E16" s="482" t="s">
        <v>173</v>
      </c>
      <c r="F16" s="483"/>
      <c r="G16" s="559">
        <v>3.1</v>
      </c>
      <c r="H16" s="485" t="s">
        <v>53</v>
      </c>
      <c r="I16" s="484">
        <v>156</v>
      </c>
      <c r="J16" s="484">
        <v>164</v>
      </c>
      <c r="K16" s="484">
        <v>172</v>
      </c>
      <c r="L16" s="484">
        <v>180</v>
      </c>
      <c r="M16" s="484">
        <v>188</v>
      </c>
      <c r="N16" s="484"/>
      <c r="O16" s="485"/>
      <c r="P16" s="485"/>
      <c r="Q16" s="485"/>
      <c r="R16" s="485"/>
      <c r="S16" s="485"/>
      <c r="T16" s="630"/>
      <c r="U16" s="471" t="s">
        <v>291</v>
      </c>
      <c r="AB16" s="471" t="s">
        <v>288</v>
      </c>
      <c r="AE16" s="645"/>
      <c r="AF16" s="645"/>
      <c r="AG16" s="645"/>
      <c r="AH16" s="645"/>
      <c r="AI16" s="645"/>
      <c r="AJ16" s="645"/>
      <c r="AK16" s="645"/>
      <c r="AL16" s="645"/>
      <c r="AM16" s="645"/>
      <c r="AN16" s="645"/>
    </row>
    <row r="17" spans="1:42" ht="14" thickBot="1">
      <c r="A17" s="1002" t="s">
        <v>37</v>
      </c>
      <c r="B17" s="1004"/>
      <c r="C17" s="625"/>
      <c r="D17" s="619" t="str">
        <f>D16&amp;"-sizecurve"</f>
        <v>RRI06QP-sizecurve</v>
      </c>
      <c r="E17" s="482"/>
      <c r="F17" s="483"/>
      <c r="G17" s="559">
        <v>4.0999999999999996</v>
      </c>
      <c r="H17" s="485"/>
      <c r="I17" s="485">
        <v>0.1</v>
      </c>
      <c r="J17" s="485">
        <v>0.22</v>
      </c>
      <c r="K17" s="485">
        <v>0.34</v>
      </c>
      <c r="L17" s="485">
        <v>0.26</v>
      </c>
      <c r="M17" s="485">
        <v>0.08</v>
      </c>
      <c r="N17" s="485"/>
      <c r="O17" s="485"/>
      <c r="P17" s="485"/>
      <c r="Q17" s="485"/>
      <c r="R17" s="485"/>
      <c r="S17" s="485"/>
      <c r="T17" s="630"/>
      <c r="U17" s="487" t="str">
        <f t="shared" si="1"/>
        <v/>
      </c>
      <c r="AE17" s="645">
        <v>124</v>
      </c>
      <c r="AF17" s="645">
        <v>259</v>
      </c>
      <c r="AG17" s="645">
        <v>299</v>
      </c>
      <c r="AH17" s="645">
        <v>213</v>
      </c>
      <c r="AI17" s="645">
        <v>53</v>
      </c>
      <c r="AJ17" s="645"/>
      <c r="AK17" s="645"/>
      <c r="AL17" s="645"/>
      <c r="AM17" s="645"/>
      <c r="AN17" s="645"/>
    </row>
    <row r="18" spans="1:42">
      <c r="A18" s="473" t="s">
        <v>32</v>
      </c>
      <c r="B18" s="474" t="s">
        <v>33</v>
      </c>
      <c r="C18" s="625" t="s">
        <v>105</v>
      </c>
      <c r="D18" s="619" t="s">
        <v>174</v>
      </c>
      <c r="E18" s="482" t="s">
        <v>175</v>
      </c>
      <c r="F18" s="483"/>
      <c r="G18" s="558">
        <v>5.0999999999999996</v>
      </c>
      <c r="H18" s="485" t="s">
        <v>53</v>
      </c>
      <c r="I18" s="484">
        <v>156</v>
      </c>
      <c r="J18" s="484">
        <v>164</v>
      </c>
      <c r="K18" s="484">
        <v>172</v>
      </c>
      <c r="L18" s="484"/>
      <c r="M18" s="484"/>
      <c r="N18" s="484"/>
      <c r="O18" s="485"/>
      <c r="P18" s="485"/>
      <c r="Q18" s="485"/>
      <c r="R18" s="485"/>
      <c r="S18" s="485"/>
      <c r="T18" s="630"/>
      <c r="U18" s="471" t="s">
        <v>291</v>
      </c>
      <c r="AB18" s="471" t="s">
        <v>288</v>
      </c>
      <c r="AE18" s="646">
        <f>AE17/SUM($AE17:$AI17)</f>
        <v>0.13080168776371309</v>
      </c>
      <c r="AF18" s="646">
        <f>AF17/SUM($AE17:$AI17)</f>
        <v>0.27320675105485231</v>
      </c>
      <c r="AG18" s="646">
        <f>AG17/SUM($AE17:$AI17)</f>
        <v>0.31540084388185652</v>
      </c>
      <c r="AH18" s="646">
        <f>AH17/SUM($AE17:$AI17)</f>
        <v>0.22468354430379747</v>
      </c>
      <c r="AI18" s="646">
        <f>AI17/SUM($AE17:$AI17)</f>
        <v>5.5907172995780588E-2</v>
      </c>
      <c r="AJ18" s="645"/>
      <c r="AK18" s="645"/>
      <c r="AL18" s="645"/>
      <c r="AM18" s="645"/>
      <c r="AN18" s="645"/>
    </row>
    <row r="19" spans="1:42">
      <c r="A19" s="479" t="s">
        <v>38</v>
      </c>
      <c r="B19" s="480" t="s">
        <v>38</v>
      </c>
      <c r="C19" s="625"/>
      <c r="D19" s="619" t="str">
        <f>D18&amp;"-sizecurve"</f>
        <v>RRI08QP-sizecurve</v>
      </c>
      <c r="E19" s="482"/>
      <c r="F19" s="483"/>
      <c r="G19" s="559">
        <v>6.1</v>
      </c>
      <c r="H19" s="485"/>
      <c r="I19" s="485">
        <v>0.43</v>
      </c>
      <c r="J19" s="485">
        <v>0.46</v>
      </c>
      <c r="K19" s="485">
        <v>0.11</v>
      </c>
      <c r="L19" s="485"/>
      <c r="M19" s="485"/>
      <c r="N19" s="485"/>
      <c r="O19" s="485"/>
      <c r="P19" s="485"/>
      <c r="Q19" s="485"/>
      <c r="R19" s="485"/>
      <c r="S19" s="485"/>
      <c r="T19" s="630"/>
      <c r="U19" s="487" t="str">
        <f t="shared" si="1"/>
        <v/>
      </c>
      <c r="AE19" s="645"/>
      <c r="AF19" s="645"/>
      <c r="AG19" s="645"/>
      <c r="AH19" s="645"/>
      <c r="AI19" s="645"/>
      <c r="AJ19" s="645"/>
      <c r="AK19" s="645"/>
      <c r="AL19" s="645"/>
      <c r="AM19" s="645"/>
      <c r="AN19" s="645"/>
    </row>
    <row r="20" spans="1:42">
      <c r="A20" s="479" t="s">
        <v>44</v>
      </c>
      <c r="B20" s="480" t="s">
        <v>45</v>
      </c>
      <c r="C20" s="625" t="s">
        <v>105</v>
      </c>
      <c r="D20" s="619" t="s">
        <v>176</v>
      </c>
      <c r="E20" s="482" t="s">
        <v>179</v>
      </c>
      <c r="F20" s="483"/>
      <c r="G20" s="558">
        <v>7.1</v>
      </c>
      <c r="H20" s="485" t="s">
        <v>53</v>
      </c>
      <c r="I20" s="484">
        <v>173</v>
      </c>
      <c r="J20" s="484">
        <v>180</v>
      </c>
      <c r="K20" s="484">
        <v>187</v>
      </c>
      <c r="L20" s="484"/>
      <c r="M20" s="484"/>
      <c r="N20" s="484"/>
      <c r="O20" s="485"/>
      <c r="P20" s="485"/>
      <c r="Q20" s="485"/>
      <c r="R20" s="485"/>
      <c r="S20" s="485"/>
      <c r="T20" s="630"/>
      <c r="U20" s="471" t="s">
        <v>291</v>
      </c>
      <c r="AB20" s="471" t="s">
        <v>288</v>
      </c>
      <c r="AE20" s="645">
        <v>339</v>
      </c>
      <c r="AF20" s="645">
        <v>652</v>
      </c>
      <c r="AG20" s="645">
        <v>870</v>
      </c>
      <c r="AH20" s="645">
        <v>778</v>
      </c>
      <c r="AI20" s="645">
        <v>402</v>
      </c>
      <c r="AJ20" s="645">
        <v>161</v>
      </c>
      <c r="AK20" s="645"/>
      <c r="AL20" s="645"/>
      <c r="AM20" s="645"/>
      <c r="AN20" s="645"/>
    </row>
    <row r="21" spans="1:42">
      <c r="A21" s="479" t="s">
        <v>28</v>
      </c>
      <c r="B21" s="480" t="s">
        <v>39</v>
      </c>
      <c r="C21" s="625"/>
      <c r="D21" s="619" t="str">
        <f>D20&amp;"-sizecurve"</f>
        <v>RRI02FK-sizecurve</v>
      </c>
      <c r="E21" s="482"/>
      <c r="F21" s="483"/>
      <c r="G21" s="559">
        <v>8.1</v>
      </c>
      <c r="H21" s="485"/>
      <c r="I21" s="485">
        <v>0.39</v>
      </c>
      <c r="J21" s="485">
        <v>0.47</v>
      </c>
      <c r="K21" s="485">
        <v>0.14000000000000001</v>
      </c>
      <c r="L21" s="485"/>
      <c r="M21" s="485"/>
      <c r="N21" s="485"/>
      <c r="O21" s="485"/>
      <c r="P21" s="485"/>
      <c r="Q21" s="485"/>
      <c r="R21" s="485"/>
      <c r="S21" s="485"/>
      <c r="T21" s="630"/>
      <c r="U21" s="487" t="str">
        <f t="shared" si="1"/>
        <v/>
      </c>
      <c r="AE21" s="646">
        <f t="shared" ref="AE21:AJ21" si="2">AE20/SUM($AE20:$AJ20)</f>
        <v>0.10587133041848844</v>
      </c>
      <c r="AF21" s="646">
        <f t="shared" si="2"/>
        <v>0.20362273579013118</v>
      </c>
      <c r="AG21" s="646">
        <f t="shared" si="2"/>
        <v>0.27170518425983758</v>
      </c>
      <c r="AH21" s="646">
        <f t="shared" si="2"/>
        <v>0.24297314178638352</v>
      </c>
      <c r="AI21" s="646">
        <f t="shared" si="2"/>
        <v>0.12554653341661462</v>
      </c>
      <c r="AJ21" s="645">
        <f t="shared" si="2"/>
        <v>5.0281074328544659E-2</v>
      </c>
      <c r="AK21" s="645"/>
      <c r="AL21" s="645"/>
      <c r="AM21" s="645"/>
      <c r="AN21" s="645"/>
    </row>
    <row r="22" spans="1:42">
      <c r="A22" s="479" t="s">
        <v>27</v>
      </c>
      <c r="B22" s="480" t="s">
        <v>27</v>
      </c>
      <c r="C22" s="625" t="s">
        <v>105</v>
      </c>
      <c r="D22" s="619" t="s">
        <v>177</v>
      </c>
      <c r="E22" s="482" t="s">
        <v>178</v>
      </c>
      <c r="F22" s="483"/>
      <c r="G22" s="559">
        <v>9.1</v>
      </c>
      <c r="H22" s="485" t="s">
        <v>53</v>
      </c>
      <c r="I22" s="484">
        <v>166</v>
      </c>
      <c r="J22" s="484">
        <v>173</v>
      </c>
      <c r="K22" s="484">
        <v>180</v>
      </c>
      <c r="L22" s="484">
        <v>187</v>
      </c>
      <c r="M22" s="484"/>
      <c r="N22" s="484"/>
      <c r="O22" s="485"/>
      <c r="P22" s="485"/>
      <c r="Q22" s="485"/>
      <c r="R22" s="485"/>
      <c r="S22" s="485"/>
      <c r="T22" s="630"/>
      <c r="U22" s="471" t="s">
        <v>291</v>
      </c>
      <c r="AB22" s="471" t="s">
        <v>288</v>
      </c>
      <c r="AE22" s="645"/>
      <c r="AF22" s="645"/>
      <c r="AG22" s="645"/>
      <c r="AH22" s="645"/>
      <c r="AI22" s="645"/>
      <c r="AJ22" s="645"/>
      <c r="AK22" s="645"/>
      <c r="AL22" s="645"/>
      <c r="AM22" s="645"/>
      <c r="AN22" s="645"/>
    </row>
    <row r="23" spans="1:42" ht="14" thickBot="1">
      <c r="A23" s="492" t="s">
        <v>250</v>
      </c>
      <c r="B23" s="492" t="s">
        <v>250</v>
      </c>
      <c r="C23" s="625"/>
      <c r="D23" s="619" t="str">
        <f>D22&amp;"-sizecurve"</f>
        <v>RRI01FJ-sizecurve</v>
      </c>
      <c r="E23" s="482"/>
      <c r="F23" s="483"/>
      <c r="G23" s="558">
        <v>10.1</v>
      </c>
      <c r="H23" s="485"/>
      <c r="I23" s="485">
        <v>0.26</v>
      </c>
      <c r="J23" s="485">
        <v>0.39</v>
      </c>
      <c r="K23" s="485">
        <v>0.28000000000000003</v>
      </c>
      <c r="L23" s="485">
        <v>7.0000000000000007E-2</v>
      </c>
      <c r="M23" s="485"/>
      <c r="N23" s="485"/>
      <c r="O23" s="485"/>
      <c r="P23" s="485"/>
      <c r="Q23" s="485"/>
      <c r="R23" s="485"/>
      <c r="S23" s="485"/>
      <c r="T23" s="630"/>
      <c r="U23" s="487" t="str">
        <f t="shared" si="1"/>
        <v/>
      </c>
      <c r="AE23" s="472">
        <v>132</v>
      </c>
      <c r="AF23" s="472">
        <v>140</v>
      </c>
      <c r="AG23" s="472">
        <v>148</v>
      </c>
      <c r="AH23" s="472">
        <v>156</v>
      </c>
      <c r="AI23" s="472">
        <v>164</v>
      </c>
      <c r="AJ23" s="472">
        <v>172</v>
      </c>
      <c r="AK23" s="472">
        <v>180</v>
      </c>
    </row>
    <row r="24" spans="1:42">
      <c r="A24" s="493" t="s">
        <v>316</v>
      </c>
      <c r="B24" s="493" t="s">
        <v>317</v>
      </c>
      <c r="C24" s="625" t="s">
        <v>105</v>
      </c>
      <c r="D24" s="619" t="s">
        <v>180</v>
      </c>
      <c r="E24" s="494" t="s">
        <v>181</v>
      </c>
      <c r="F24" s="483"/>
      <c r="G24" s="559">
        <v>11.1</v>
      </c>
      <c r="H24" s="494" t="s">
        <v>53</v>
      </c>
      <c r="I24" s="491">
        <v>152</v>
      </c>
      <c r="J24" s="491">
        <v>159</v>
      </c>
      <c r="K24" s="491">
        <v>166</v>
      </c>
      <c r="L24" s="491"/>
      <c r="M24" s="491"/>
      <c r="N24" s="491"/>
      <c r="O24" s="491"/>
      <c r="P24" s="491"/>
      <c r="Q24" s="491"/>
      <c r="R24" s="491"/>
      <c r="S24" s="491"/>
      <c r="T24" s="631"/>
      <c r="U24" s="471" t="s">
        <v>291</v>
      </c>
      <c r="AB24" s="471" t="s">
        <v>288</v>
      </c>
      <c r="AE24" s="646">
        <f>AE23/SUM($AE23:$AK23)</f>
        <v>0.12087912087912088</v>
      </c>
      <c r="AF24" s="646">
        <f t="shared" ref="AF24:AK24" si="3">AF23/SUM($AE23:$AK23)</f>
        <v>0.12820512820512819</v>
      </c>
      <c r="AG24" s="646">
        <f t="shared" si="3"/>
        <v>0.13553113553113552</v>
      </c>
      <c r="AH24" s="646">
        <f t="shared" si="3"/>
        <v>0.14285714285714285</v>
      </c>
      <c r="AI24" s="646">
        <f t="shared" si="3"/>
        <v>0.15018315018315018</v>
      </c>
      <c r="AJ24" s="646">
        <f t="shared" si="3"/>
        <v>0.1575091575091575</v>
      </c>
      <c r="AK24" s="646">
        <f t="shared" si="3"/>
        <v>0.16483516483516483</v>
      </c>
    </row>
    <row r="25" spans="1:42">
      <c r="C25" s="496"/>
      <c r="D25" s="481" t="str">
        <f>D24&amp;"-sizecurve"</f>
        <v>RRH06FJ-sizecurve</v>
      </c>
      <c r="E25" s="482"/>
      <c r="F25" s="483"/>
      <c r="G25" s="559">
        <v>12.1</v>
      </c>
      <c r="H25" s="485"/>
      <c r="I25" s="485">
        <v>0.35</v>
      </c>
      <c r="J25" s="485">
        <v>0.39444444444444443</v>
      </c>
      <c r="K25" s="485">
        <v>0.25555555555555554</v>
      </c>
      <c r="L25" s="485"/>
      <c r="M25" s="485"/>
      <c r="N25" s="485"/>
      <c r="O25" s="485"/>
      <c r="P25" s="485"/>
      <c r="Q25" s="485"/>
      <c r="R25" s="485"/>
      <c r="S25" s="485"/>
      <c r="T25" s="630"/>
      <c r="U25" s="487" t="str">
        <f t="shared" si="1"/>
        <v/>
      </c>
    </row>
    <row r="26" spans="1:42">
      <c r="C26" s="496" t="s">
        <v>105</v>
      </c>
      <c r="D26" s="678" t="s">
        <v>311</v>
      </c>
      <c r="E26" s="683" t="s">
        <v>312</v>
      </c>
      <c r="F26" s="673">
        <v>224</v>
      </c>
      <c r="G26" s="684">
        <v>25.1</v>
      </c>
      <c r="H26" s="670" t="s">
        <v>53</v>
      </c>
      <c r="I26" s="676">
        <v>132</v>
      </c>
      <c r="J26" s="676">
        <v>140</v>
      </c>
      <c r="K26" s="676">
        <v>148</v>
      </c>
      <c r="L26" s="676">
        <v>156</v>
      </c>
      <c r="M26" s="676">
        <v>164</v>
      </c>
      <c r="N26" s="676">
        <v>172</v>
      </c>
      <c r="O26" s="676">
        <v>180</v>
      </c>
      <c r="P26" s="670"/>
      <c r="Q26" s="670"/>
      <c r="R26" s="670"/>
      <c r="S26" s="670"/>
      <c r="T26" s="682"/>
      <c r="AB26" s="471" t="s">
        <v>288</v>
      </c>
      <c r="AE26" s="655">
        <v>40</v>
      </c>
      <c r="AF26" s="655">
        <v>98</v>
      </c>
      <c r="AG26" s="655">
        <v>112</v>
      </c>
      <c r="AH26" s="655">
        <v>112</v>
      </c>
      <c r="AI26" s="655">
        <v>154</v>
      </c>
      <c r="AJ26" s="655">
        <v>194</v>
      </c>
      <c r="AK26" s="655">
        <v>89</v>
      </c>
      <c r="AL26" s="655">
        <v>238</v>
      </c>
      <c r="AM26" s="655">
        <v>82</v>
      </c>
      <c r="AN26" s="645"/>
    </row>
    <row r="27" spans="1:42">
      <c r="C27" s="496"/>
      <c r="D27" s="678" t="str">
        <f>D26&amp;"-sizecurve"</f>
        <v>RAOFZ09-sizecurve</v>
      </c>
      <c r="E27" s="679"/>
      <c r="F27" s="680"/>
      <c r="G27" s="681">
        <v>26.1</v>
      </c>
      <c r="H27" s="670"/>
      <c r="I27" s="670">
        <v>0.11</v>
      </c>
      <c r="J27" s="670">
        <v>0.18</v>
      </c>
      <c r="K27" s="670">
        <v>0.21</v>
      </c>
      <c r="L27" s="670">
        <v>0.19</v>
      </c>
      <c r="M27" s="670">
        <v>0.16</v>
      </c>
      <c r="N27" s="670">
        <v>0.11</v>
      </c>
      <c r="O27" s="670">
        <v>0.04</v>
      </c>
      <c r="P27" s="670"/>
      <c r="Q27" s="670"/>
      <c r="R27" s="670"/>
      <c r="S27" s="670"/>
      <c r="T27" s="682"/>
      <c r="U27" s="487" t="str">
        <f t="shared" si="1"/>
        <v/>
      </c>
      <c r="AE27" s="646">
        <f t="shared" ref="AE27:AM27" si="4">AE26/SUM($AE26:$AM26)</f>
        <v>3.5746201966041107E-2</v>
      </c>
      <c r="AF27" s="646">
        <f t="shared" si="4"/>
        <v>8.7578194816800708E-2</v>
      </c>
      <c r="AG27" s="646">
        <f t="shared" si="4"/>
        <v>0.10008936550491511</v>
      </c>
      <c r="AH27" s="646">
        <f t="shared" si="4"/>
        <v>0.10008936550491511</v>
      </c>
      <c r="AI27" s="646">
        <f t="shared" si="4"/>
        <v>0.13762287756925826</v>
      </c>
      <c r="AJ27" s="646">
        <f t="shared" si="4"/>
        <v>0.17336907953529937</v>
      </c>
      <c r="AK27" s="646">
        <f t="shared" si="4"/>
        <v>7.9535299374441468E-2</v>
      </c>
      <c r="AL27" s="646">
        <f t="shared" si="4"/>
        <v>0.21268990169794461</v>
      </c>
      <c r="AM27" s="646">
        <f t="shared" si="4"/>
        <v>7.3279714030384274E-2</v>
      </c>
      <c r="AN27" s="646"/>
    </row>
    <row r="28" spans="1:42">
      <c r="C28" s="496" t="s">
        <v>105</v>
      </c>
      <c r="D28" s="481" t="s">
        <v>234</v>
      </c>
      <c r="E28" s="494" t="s">
        <v>235</v>
      </c>
      <c r="F28" s="483">
        <v>303</v>
      </c>
      <c r="G28" s="558">
        <v>27.1</v>
      </c>
      <c r="H28" s="494" t="s">
        <v>53</v>
      </c>
      <c r="I28" s="484">
        <v>130</v>
      </c>
      <c r="J28" s="484">
        <v>140</v>
      </c>
      <c r="K28" s="484">
        <v>150</v>
      </c>
      <c r="L28" s="484">
        <v>160</v>
      </c>
      <c r="M28" s="484">
        <v>170</v>
      </c>
      <c r="N28" s="484">
        <v>180</v>
      </c>
      <c r="O28" s="491"/>
      <c r="P28" s="491"/>
      <c r="Q28" s="491"/>
      <c r="R28" s="491"/>
      <c r="S28" s="491"/>
      <c r="T28" s="495"/>
      <c r="U28" s="471" t="s">
        <v>291</v>
      </c>
      <c r="AB28" s="471" t="s">
        <v>288</v>
      </c>
    </row>
    <row r="29" spans="1:42">
      <c r="C29" s="496"/>
      <c r="D29" s="481" t="str">
        <f>D28&amp;"-sizecurve"</f>
        <v>RRLQE04-sizecurve</v>
      </c>
      <c r="E29" s="482"/>
      <c r="F29" s="483"/>
      <c r="G29" s="559">
        <v>28.1</v>
      </c>
      <c r="H29" s="485"/>
      <c r="I29" s="485">
        <v>0.08</v>
      </c>
      <c r="J29" s="485">
        <v>0.14000000000000001</v>
      </c>
      <c r="K29" s="485">
        <v>0.22</v>
      </c>
      <c r="L29" s="485">
        <v>0.25</v>
      </c>
      <c r="M29" s="485">
        <v>0.21</v>
      </c>
      <c r="N29" s="485">
        <v>0.1</v>
      </c>
      <c r="O29" s="485"/>
      <c r="P29" s="485"/>
      <c r="Q29" s="485"/>
      <c r="R29" s="485"/>
      <c r="S29" s="485"/>
      <c r="T29" s="486"/>
      <c r="U29" s="487" t="str">
        <f t="shared" si="1"/>
        <v/>
      </c>
      <c r="AE29" s="655">
        <v>482</v>
      </c>
      <c r="AF29" s="655">
        <v>750</v>
      </c>
      <c r="AG29" s="655">
        <v>988</v>
      </c>
      <c r="AH29" s="655">
        <v>1147</v>
      </c>
      <c r="AI29" s="655">
        <v>1358</v>
      </c>
      <c r="AJ29" s="655">
        <v>1481</v>
      </c>
      <c r="AK29" s="655">
        <v>1299</v>
      </c>
      <c r="AL29" s="655">
        <v>801</v>
      </c>
      <c r="AM29" s="655">
        <v>325</v>
      </c>
      <c r="AN29" s="655">
        <v>137</v>
      </c>
      <c r="AO29" s="655">
        <v>88</v>
      </c>
    </row>
    <row r="30" spans="1:42">
      <c r="C30" s="496" t="s">
        <v>105</v>
      </c>
      <c r="D30" s="481" t="s">
        <v>232</v>
      </c>
      <c r="E30" s="494" t="s">
        <v>233</v>
      </c>
      <c r="F30" s="483">
        <v>303</v>
      </c>
      <c r="G30" s="559">
        <v>29.1</v>
      </c>
      <c r="H30" s="485" t="s">
        <v>53</v>
      </c>
      <c r="I30" s="484">
        <v>130</v>
      </c>
      <c r="J30" s="484">
        <v>140</v>
      </c>
      <c r="K30" s="484">
        <v>150</v>
      </c>
      <c r="L30" s="484">
        <v>160</v>
      </c>
      <c r="M30" s="484"/>
      <c r="N30" s="484"/>
      <c r="O30" s="485"/>
      <c r="P30" s="485"/>
      <c r="Q30" s="485"/>
      <c r="R30" s="485"/>
      <c r="S30" s="485"/>
      <c r="T30" s="486"/>
      <c r="U30" s="471" t="s">
        <v>291</v>
      </c>
      <c r="AB30" s="471" t="s">
        <v>288</v>
      </c>
      <c r="AE30" s="646">
        <f t="shared" ref="AE30:AO30" si="5">AE29/SUM($AE29:$AO29)</f>
        <v>5.4426377597109304E-2</v>
      </c>
      <c r="AF30" s="646">
        <f t="shared" si="5"/>
        <v>8.4688346883468837E-2</v>
      </c>
      <c r="AG30" s="646">
        <f t="shared" si="5"/>
        <v>0.11156278229448961</v>
      </c>
      <c r="AH30" s="646">
        <f t="shared" si="5"/>
        <v>0.12951671183378499</v>
      </c>
      <c r="AI30" s="646">
        <f t="shared" si="5"/>
        <v>0.15334236675700091</v>
      </c>
      <c r="AJ30" s="646">
        <f t="shared" si="5"/>
        <v>0.16723125564588978</v>
      </c>
      <c r="AK30" s="646">
        <f t="shared" si="5"/>
        <v>0.14668021680216803</v>
      </c>
      <c r="AL30" s="646">
        <f t="shared" si="5"/>
        <v>9.0447154471544722E-2</v>
      </c>
      <c r="AM30" s="646">
        <f t="shared" si="5"/>
        <v>3.6698283649503165E-2</v>
      </c>
      <c r="AN30" s="646">
        <f t="shared" si="5"/>
        <v>1.546973803071364E-2</v>
      </c>
      <c r="AO30" s="646">
        <f t="shared" si="5"/>
        <v>9.9367660343270096E-3</v>
      </c>
    </row>
    <row r="31" spans="1:42">
      <c r="C31" s="496"/>
      <c r="D31" s="481" t="str">
        <f>D30&amp;"-sizecurve"</f>
        <v>RRLQE03-sizecurve</v>
      </c>
      <c r="E31" s="482"/>
      <c r="F31" s="483"/>
      <c r="G31" s="559">
        <v>30.1</v>
      </c>
      <c r="H31" s="485"/>
      <c r="I31" s="485">
        <v>0.17</v>
      </c>
      <c r="J31" s="485">
        <v>0.28000000000000003</v>
      </c>
      <c r="K31" s="485">
        <v>0.33</v>
      </c>
      <c r="L31" s="485">
        <v>0.22</v>
      </c>
      <c r="M31" s="485"/>
      <c r="N31" s="485"/>
      <c r="O31" s="485"/>
      <c r="P31" s="485"/>
      <c r="Q31" s="485"/>
      <c r="R31" s="485"/>
      <c r="S31" s="485"/>
      <c r="T31" s="486"/>
      <c r="U31" s="487" t="str">
        <f t="shared" si="1"/>
        <v/>
      </c>
    </row>
    <row r="32" spans="1:42">
      <c r="C32" s="496" t="s">
        <v>105</v>
      </c>
      <c r="D32" s="481" t="s">
        <v>230</v>
      </c>
      <c r="E32" s="494" t="s">
        <v>231</v>
      </c>
      <c r="F32" s="483">
        <v>269</v>
      </c>
      <c r="G32" s="559">
        <v>31.1</v>
      </c>
      <c r="H32" s="485" t="s">
        <v>53</v>
      </c>
      <c r="I32" s="484">
        <v>138</v>
      </c>
      <c r="J32" s="484">
        <v>148</v>
      </c>
      <c r="K32" s="484">
        <v>158</v>
      </c>
      <c r="L32" s="484">
        <v>168</v>
      </c>
      <c r="M32" s="484">
        <v>178</v>
      </c>
      <c r="N32" s="484"/>
      <c r="O32" s="485"/>
      <c r="P32" s="485"/>
      <c r="Q32" s="485"/>
      <c r="R32" s="485"/>
      <c r="S32" s="485"/>
      <c r="T32" s="486"/>
      <c r="U32" s="471" t="s">
        <v>291</v>
      </c>
      <c r="AB32" s="471" t="s">
        <v>288</v>
      </c>
      <c r="AE32" s="471">
        <v>415</v>
      </c>
      <c r="AF32" s="471">
        <v>440</v>
      </c>
      <c r="AG32" s="471">
        <v>251</v>
      </c>
      <c r="AH32" s="471">
        <v>436</v>
      </c>
      <c r="AI32" s="471">
        <v>583</v>
      </c>
      <c r="AJ32" s="471">
        <v>756</v>
      </c>
      <c r="AK32" s="471">
        <v>405</v>
      </c>
      <c r="AL32" s="471">
        <v>222</v>
      </c>
      <c r="AM32" s="471">
        <v>280</v>
      </c>
      <c r="AN32" s="471">
        <v>130</v>
      </c>
      <c r="AO32" s="471">
        <v>30</v>
      </c>
      <c r="AP32" s="471">
        <v>11</v>
      </c>
    </row>
    <row r="33" spans="3:42">
      <c r="C33" s="496"/>
      <c r="D33" s="481" t="str">
        <f>D32&amp;"-sizecurve"</f>
        <v>RRMSP01-sizecurve</v>
      </c>
      <c r="E33" s="482"/>
      <c r="F33" s="483"/>
      <c r="G33" s="558">
        <v>32.1</v>
      </c>
      <c r="H33" s="485"/>
      <c r="I33" s="485">
        <v>0.26</v>
      </c>
      <c r="J33" s="485">
        <v>0.28000000000000003</v>
      </c>
      <c r="K33" s="485">
        <v>0.25</v>
      </c>
      <c r="L33" s="485">
        <v>0.19</v>
      </c>
      <c r="M33" s="485">
        <v>0.02</v>
      </c>
      <c r="N33" s="485"/>
      <c r="O33" s="485"/>
      <c r="P33" s="485"/>
      <c r="Q33" s="485"/>
      <c r="R33" s="485"/>
      <c r="S33" s="485"/>
      <c r="T33" s="486"/>
      <c r="U33" s="487" t="str">
        <f t="shared" si="1"/>
        <v/>
      </c>
      <c r="AE33" s="646">
        <f t="shared" ref="AE33:AP33" si="6">AE32/SUM($AE32:$AP32)</f>
        <v>0.10482445061884314</v>
      </c>
      <c r="AF33" s="646">
        <f t="shared" si="6"/>
        <v>0.1111391765597373</v>
      </c>
      <c r="AG33" s="646">
        <f t="shared" si="6"/>
        <v>6.3399848446577423E-2</v>
      </c>
      <c r="AH33" s="646">
        <f t="shared" si="6"/>
        <v>0.11012882040919424</v>
      </c>
      <c r="AI33" s="646">
        <f t="shared" si="6"/>
        <v>0.14725940894165193</v>
      </c>
      <c r="AJ33" s="646">
        <f t="shared" si="6"/>
        <v>0.19095731245263955</v>
      </c>
      <c r="AK33" s="646">
        <f t="shared" si="6"/>
        <v>0.10229856024248547</v>
      </c>
      <c r="AL33" s="646">
        <f t="shared" si="6"/>
        <v>5.6074766355140186E-2</v>
      </c>
      <c r="AM33" s="646">
        <f t="shared" si="6"/>
        <v>7.0724930538014652E-2</v>
      </c>
      <c r="AN33" s="646">
        <f t="shared" si="6"/>
        <v>3.2836574892649656E-2</v>
      </c>
      <c r="AO33" s="646">
        <f t="shared" si="6"/>
        <v>7.5776711290729982E-3</v>
      </c>
      <c r="AP33" s="646">
        <f t="shared" si="6"/>
        <v>2.7784794139934328E-3</v>
      </c>
    </row>
    <row r="34" spans="3:42">
      <c r="C34" s="496" t="s">
        <v>105</v>
      </c>
      <c r="D34" s="481" t="s">
        <v>228</v>
      </c>
      <c r="E34" s="494" t="s">
        <v>229</v>
      </c>
      <c r="F34" s="483">
        <v>269</v>
      </c>
      <c r="G34" s="559">
        <v>33.1</v>
      </c>
      <c r="H34" s="494" t="s">
        <v>53</v>
      </c>
      <c r="I34" s="491">
        <v>138</v>
      </c>
      <c r="J34" s="491">
        <v>148</v>
      </c>
      <c r="K34" s="491">
        <v>158</v>
      </c>
      <c r="L34" s="491"/>
      <c r="M34" s="491"/>
      <c r="N34" s="491"/>
      <c r="O34" s="491"/>
      <c r="P34" s="491"/>
      <c r="Q34" s="491"/>
      <c r="R34" s="491"/>
      <c r="S34" s="491"/>
      <c r="T34" s="495"/>
      <c r="U34" s="471" t="s">
        <v>291</v>
      </c>
      <c r="AB34" s="471" t="s">
        <v>288</v>
      </c>
    </row>
    <row r="35" spans="3:42">
      <c r="C35" s="496"/>
      <c r="D35" s="481" t="str">
        <f>D34&amp;"-sizecurve"</f>
        <v>RRMSP02-sizecurve</v>
      </c>
      <c r="E35" s="482"/>
      <c r="F35" s="483"/>
      <c r="G35" s="559">
        <v>34.1</v>
      </c>
      <c r="H35" s="485"/>
      <c r="I35" s="485">
        <v>0.2</v>
      </c>
      <c r="J35" s="485">
        <v>0.52</v>
      </c>
      <c r="K35" s="485">
        <v>0.28000000000000003</v>
      </c>
      <c r="L35" s="485"/>
      <c r="M35" s="485"/>
      <c r="N35" s="485"/>
      <c r="O35" s="485"/>
      <c r="P35" s="485"/>
      <c r="Q35" s="485"/>
      <c r="R35" s="485"/>
      <c r="S35" s="485"/>
      <c r="T35" s="486"/>
      <c r="U35" s="487" t="str">
        <f t="shared" si="1"/>
        <v/>
      </c>
    </row>
    <row r="36" spans="3:42">
      <c r="C36" s="496" t="s">
        <v>105</v>
      </c>
      <c r="D36" s="481" t="s">
        <v>237</v>
      </c>
      <c r="E36" s="494" t="s">
        <v>238</v>
      </c>
      <c r="F36" s="483">
        <v>281</v>
      </c>
      <c r="G36" s="558">
        <v>35.1</v>
      </c>
      <c r="H36" s="494" t="s">
        <v>53</v>
      </c>
      <c r="I36" s="491">
        <v>135</v>
      </c>
      <c r="J36" s="491">
        <v>142</v>
      </c>
      <c r="K36" s="491">
        <v>149</v>
      </c>
      <c r="L36" s="491">
        <v>156</v>
      </c>
      <c r="M36" s="491">
        <v>163</v>
      </c>
      <c r="N36" s="491">
        <v>170</v>
      </c>
      <c r="O36" s="491">
        <v>177</v>
      </c>
      <c r="P36" s="491"/>
      <c r="Q36" s="491"/>
      <c r="R36" s="491"/>
      <c r="S36" s="491"/>
      <c r="T36" s="495"/>
      <c r="U36" s="471" t="s">
        <v>291</v>
      </c>
      <c r="AB36" s="471" t="s">
        <v>288</v>
      </c>
    </row>
    <row r="37" spans="3:42">
      <c r="C37" s="496"/>
      <c r="D37" s="481" t="str">
        <f>D36&amp;"-sizecurve"</f>
        <v>RRMBK02-sizecurve</v>
      </c>
      <c r="E37" s="482"/>
      <c r="F37" s="483"/>
      <c r="G37" s="559">
        <v>36.1</v>
      </c>
      <c r="H37" s="617"/>
      <c r="I37" s="617">
        <v>0.06</v>
      </c>
      <c r="J37" s="617">
        <v>0.21</v>
      </c>
      <c r="K37" s="617">
        <v>0.18</v>
      </c>
      <c r="L37" s="617">
        <v>0.18</v>
      </c>
      <c r="M37" s="617">
        <v>0.19</v>
      </c>
      <c r="N37" s="617">
        <v>0.12</v>
      </c>
      <c r="O37" s="617">
        <v>0.06</v>
      </c>
      <c r="P37" s="617"/>
      <c r="Q37" s="617"/>
      <c r="R37" s="617"/>
      <c r="S37" s="617"/>
      <c r="T37" s="618"/>
      <c r="U37" s="487" t="str">
        <f t="shared" si="1"/>
        <v/>
      </c>
    </row>
    <row r="38" spans="3:42">
      <c r="C38" s="496" t="s">
        <v>105</v>
      </c>
      <c r="D38" s="481" t="s">
        <v>189</v>
      </c>
      <c r="E38" s="494" t="s">
        <v>190</v>
      </c>
      <c r="F38" s="483">
        <v>251</v>
      </c>
      <c r="G38" s="559">
        <v>37.1</v>
      </c>
      <c r="H38" s="494" t="s">
        <v>53</v>
      </c>
      <c r="I38" s="491">
        <v>136</v>
      </c>
      <c r="J38" s="491">
        <v>144</v>
      </c>
      <c r="K38" s="491">
        <v>152</v>
      </c>
      <c r="L38" s="491">
        <v>160</v>
      </c>
      <c r="M38" s="491"/>
      <c r="N38" s="491"/>
      <c r="O38" s="491"/>
      <c r="P38" s="491"/>
      <c r="Q38" s="491"/>
      <c r="R38" s="491"/>
      <c r="S38" s="491"/>
      <c r="T38" s="495"/>
      <c r="U38" s="471" t="s">
        <v>291</v>
      </c>
      <c r="AB38" s="471" t="s">
        <v>288</v>
      </c>
    </row>
    <row r="39" spans="3:42">
      <c r="C39" s="496"/>
      <c r="D39" s="481" t="str">
        <f>D38&amp;"-sizecurve"</f>
        <v>RRJ05LI-sizecurve</v>
      </c>
      <c r="E39" s="482"/>
      <c r="F39" s="483"/>
      <c r="G39" s="558">
        <v>38.1</v>
      </c>
      <c r="H39" s="485"/>
      <c r="I39" s="485">
        <v>0.36</v>
      </c>
      <c r="J39" s="485">
        <v>0.36</v>
      </c>
      <c r="K39" s="485">
        <v>0.19</v>
      </c>
      <c r="L39" s="485">
        <v>0.09</v>
      </c>
      <c r="M39" s="485"/>
      <c r="N39" s="485"/>
      <c r="O39" s="485"/>
      <c r="P39" s="485"/>
      <c r="Q39" s="485"/>
      <c r="R39" s="485"/>
      <c r="S39" s="485"/>
      <c r="T39" s="486"/>
      <c r="U39" s="487" t="str">
        <f t="shared" si="1"/>
        <v/>
      </c>
    </row>
    <row r="40" spans="3:42">
      <c r="C40" s="496" t="s">
        <v>105</v>
      </c>
      <c r="D40" s="481" t="s">
        <v>191</v>
      </c>
      <c r="E40" s="494" t="s">
        <v>192</v>
      </c>
      <c r="F40" s="483"/>
      <c r="G40" s="559">
        <v>39.1</v>
      </c>
      <c r="H40" s="494" t="s">
        <v>53</v>
      </c>
      <c r="I40" s="491">
        <v>118</v>
      </c>
      <c r="J40" s="491">
        <v>138</v>
      </c>
      <c r="K40" s="491"/>
      <c r="L40" s="491"/>
      <c r="M40" s="491"/>
      <c r="N40" s="491"/>
      <c r="O40" s="491"/>
      <c r="P40" s="491"/>
      <c r="Q40" s="491"/>
      <c r="R40" s="491"/>
      <c r="S40" s="491"/>
      <c r="T40" s="495"/>
      <c r="U40" s="471" t="s">
        <v>291</v>
      </c>
      <c r="AB40" s="471" t="s">
        <v>288</v>
      </c>
    </row>
    <row r="41" spans="3:42" ht="14" thickBot="1">
      <c r="C41" s="497"/>
      <c r="D41" s="498" t="str">
        <f>D40&amp;"-sizecurve"</f>
        <v>RRJ01MU-sizecurve</v>
      </c>
      <c r="E41" s="499"/>
      <c r="F41" s="500"/>
      <c r="G41" s="560">
        <v>40.1</v>
      </c>
      <c r="H41" s="501"/>
      <c r="I41" s="501">
        <v>0.69</v>
      </c>
      <c r="J41" s="501">
        <v>0.31</v>
      </c>
      <c r="K41" s="501"/>
      <c r="L41" s="501"/>
      <c r="M41" s="501"/>
      <c r="N41" s="501"/>
      <c r="O41" s="501"/>
      <c r="P41" s="501"/>
      <c r="Q41" s="501"/>
      <c r="R41" s="501"/>
      <c r="S41" s="501"/>
      <c r="T41" s="502"/>
      <c r="U41" s="487" t="str">
        <f t="shared" si="1"/>
        <v/>
      </c>
    </row>
    <row r="42" spans="3:42">
      <c r="C42" s="503" t="s">
        <v>150</v>
      </c>
      <c r="D42" s="685" t="s">
        <v>264</v>
      </c>
      <c r="E42" s="683" t="s">
        <v>272</v>
      </c>
      <c r="F42" s="673">
        <v>200</v>
      </c>
      <c r="G42" s="681">
        <v>57.1</v>
      </c>
      <c r="H42" s="683" t="s">
        <v>53</v>
      </c>
      <c r="I42" s="676">
        <v>24.5</v>
      </c>
      <c r="J42" s="676">
        <v>25.5</v>
      </c>
      <c r="K42" s="676">
        <v>26.5</v>
      </c>
      <c r="L42" s="676">
        <v>27.5</v>
      </c>
      <c r="M42" s="676">
        <v>28.5</v>
      </c>
      <c r="N42" s="676">
        <v>29.5</v>
      </c>
      <c r="O42" s="676">
        <v>30.5</v>
      </c>
      <c r="P42" s="676">
        <v>31.5</v>
      </c>
      <c r="Q42" s="676">
        <v>32.5</v>
      </c>
      <c r="R42" s="676">
        <v>33.5</v>
      </c>
      <c r="S42" s="676"/>
      <c r="T42" s="686"/>
      <c r="AB42" s="471" t="s">
        <v>288</v>
      </c>
    </row>
    <row r="43" spans="3:42">
      <c r="C43" s="496"/>
      <c r="D43" s="685" t="str">
        <f>D42&amp;"-sizecurve"</f>
        <v>RBO8420-sizecurve</v>
      </c>
      <c r="E43" s="679"/>
      <c r="F43" s="680"/>
      <c r="G43" s="684">
        <v>58.1</v>
      </c>
      <c r="H43" s="670"/>
      <c r="I43" s="670">
        <v>0.06</v>
      </c>
      <c r="J43" s="670">
        <v>0.12</v>
      </c>
      <c r="K43" s="670">
        <v>0.16</v>
      </c>
      <c r="L43" s="670">
        <v>0.19</v>
      </c>
      <c r="M43" s="670">
        <v>0.18</v>
      </c>
      <c r="N43" s="670">
        <v>0.15</v>
      </c>
      <c r="O43" s="670">
        <v>0.08</v>
      </c>
      <c r="P43" s="670">
        <v>0.03</v>
      </c>
      <c r="Q43" s="670">
        <v>0.02</v>
      </c>
      <c r="R43" s="670">
        <v>0.01</v>
      </c>
      <c r="S43" s="670"/>
      <c r="T43" s="687"/>
      <c r="U43" s="487" t="str">
        <f t="shared" ref="U43:U51" si="7">IF(SUBTOTAL(9,I43:T43)&lt;&gt;1,"WRONG NUMBERS","")</f>
        <v/>
      </c>
    </row>
    <row r="44" spans="3:42">
      <c r="C44" s="496" t="s">
        <v>150</v>
      </c>
      <c r="D44" s="685" t="s">
        <v>265</v>
      </c>
      <c r="E44" s="683" t="s">
        <v>271</v>
      </c>
      <c r="F44" s="673">
        <v>200</v>
      </c>
      <c r="G44" s="681">
        <v>59.1</v>
      </c>
      <c r="H44" s="683" t="s">
        <v>53</v>
      </c>
      <c r="I44" s="676">
        <v>22.5</v>
      </c>
      <c r="J44" s="676">
        <v>23.5</v>
      </c>
      <c r="K44" s="676">
        <v>24.5</v>
      </c>
      <c r="L44" s="676">
        <v>25.5</v>
      </c>
      <c r="M44" s="676">
        <v>26.5</v>
      </c>
      <c r="N44" s="676">
        <v>27.5</v>
      </c>
      <c r="O44" s="676"/>
      <c r="P44" s="676"/>
      <c r="Q44" s="676"/>
      <c r="R44" s="676"/>
      <c r="S44" s="676"/>
      <c r="T44" s="686"/>
      <c r="AB44" s="471" t="s">
        <v>288</v>
      </c>
    </row>
    <row r="45" spans="3:42">
      <c r="C45" s="496"/>
      <c r="D45" s="685" t="str">
        <f>D44&amp;"-sizecurve"</f>
        <v>RBN8440-sizecurve</v>
      </c>
      <c r="E45" s="679"/>
      <c r="F45" s="680"/>
      <c r="G45" s="684">
        <v>60.1</v>
      </c>
      <c r="H45" s="670"/>
      <c r="I45" s="670">
        <v>0.09</v>
      </c>
      <c r="J45" s="670">
        <v>0.25</v>
      </c>
      <c r="K45" s="670">
        <v>0.3</v>
      </c>
      <c r="L45" s="670">
        <v>0.2</v>
      </c>
      <c r="M45" s="670">
        <v>0.12</v>
      </c>
      <c r="N45" s="670">
        <v>0.04</v>
      </c>
      <c r="O45" s="670"/>
      <c r="P45" s="670"/>
      <c r="Q45" s="670"/>
      <c r="R45" s="670"/>
      <c r="S45" s="670"/>
      <c r="T45" s="687"/>
      <c r="U45" s="487" t="str">
        <f t="shared" si="7"/>
        <v/>
      </c>
    </row>
    <row r="46" spans="3:42">
      <c r="C46" s="496" t="s">
        <v>150</v>
      </c>
      <c r="D46" s="685" t="s">
        <v>266</v>
      </c>
      <c r="E46" s="683" t="s">
        <v>270</v>
      </c>
      <c r="F46" s="673">
        <v>160</v>
      </c>
      <c r="G46" s="681">
        <v>61.1</v>
      </c>
      <c r="H46" s="683" t="s">
        <v>53</v>
      </c>
      <c r="I46" s="676">
        <v>24.5</v>
      </c>
      <c r="J46" s="676">
        <v>25.5</v>
      </c>
      <c r="K46" s="676">
        <v>26.5</v>
      </c>
      <c r="L46" s="676">
        <v>27.5</v>
      </c>
      <c r="M46" s="676">
        <v>28.5</v>
      </c>
      <c r="N46" s="676">
        <v>29.5</v>
      </c>
      <c r="O46" s="676">
        <v>30.5</v>
      </c>
      <c r="P46" s="676">
        <v>31.5</v>
      </c>
      <c r="Q46" s="676">
        <v>32.5</v>
      </c>
      <c r="R46" s="676">
        <v>33.5</v>
      </c>
      <c r="S46" s="676"/>
      <c r="T46" s="686"/>
      <c r="AB46" s="471" t="s">
        <v>288</v>
      </c>
    </row>
    <row r="47" spans="3:42">
      <c r="C47" s="496"/>
      <c r="D47" s="685" t="str">
        <f>D46&amp;"-sizecurve"</f>
        <v>RBO8460-sizecurve</v>
      </c>
      <c r="E47" s="679"/>
      <c r="F47" s="680"/>
      <c r="G47" s="684">
        <v>62.1</v>
      </c>
      <c r="H47" s="670"/>
      <c r="I47" s="670">
        <v>7.0000000000000007E-2</v>
      </c>
      <c r="J47" s="670">
        <v>0.12</v>
      </c>
      <c r="K47" s="670">
        <v>0.17</v>
      </c>
      <c r="L47" s="670">
        <v>0.2</v>
      </c>
      <c r="M47" s="670">
        <v>0.19</v>
      </c>
      <c r="N47" s="670">
        <v>0.13</v>
      </c>
      <c r="O47" s="670">
        <v>7.0000000000000007E-2</v>
      </c>
      <c r="P47" s="670">
        <v>0.03</v>
      </c>
      <c r="Q47" s="670">
        <v>0.01</v>
      </c>
      <c r="R47" s="670">
        <v>0.01</v>
      </c>
      <c r="S47" s="670"/>
      <c r="T47" s="687"/>
      <c r="U47" s="487" t="str">
        <f t="shared" si="7"/>
        <v/>
      </c>
    </row>
    <row r="48" spans="3:42">
      <c r="C48" s="496" t="s">
        <v>150</v>
      </c>
      <c r="D48" s="685" t="s">
        <v>267</v>
      </c>
      <c r="E48" s="683" t="s">
        <v>269</v>
      </c>
      <c r="F48" s="673">
        <v>160</v>
      </c>
      <c r="G48" s="681">
        <v>63.1</v>
      </c>
      <c r="H48" s="683" t="s">
        <v>53</v>
      </c>
      <c r="I48" s="676">
        <v>22.5</v>
      </c>
      <c r="J48" s="676">
        <v>23.5</v>
      </c>
      <c r="K48" s="676">
        <v>24.5</v>
      </c>
      <c r="L48" s="676">
        <v>25.5</v>
      </c>
      <c r="M48" s="676">
        <v>26.5</v>
      </c>
      <c r="N48" s="676">
        <v>27.5</v>
      </c>
      <c r="O48" s="676"/>
      <c r="P48" s="676"/>
      <c r="Q48" s="676"/>
      <c r="R48" s="676"/>
      <c r="S48" s="676"/>
      <c r="T48" s="686"/>
      <c r="AB48" s="471" t="s">
        <v>288</v>
      </c>
    </row>
    <row r="49" spans="3:28">
      <c r="C49" s="496"/>
      <c r="D49" s="685" t="str">
        <f>D48&amp;"-sizecurve"</f>
        <v>RBO8490-sizecurve</v>
      </c>
      <c r="E49" s="679"/>
      <c r="F49" s="680"/>
      <c r="G49" s="681">
        <v>64.099999999999994</v>
      </c>
      <c r="H49" s="670"/>
      <c r="I49" s="670">
        <v>0.1</v>
      </c>
      <c r="J49" s="670">
        <v>0.22</v>
      </c>
      <c r="K49" s="670">
        <v>0.25</v>
      </c>
      <c r="L49" s="670">
        <v>0.23</v>
      </c>
      <c r="M49" s="670">
        <v>0.15</v>
      </c>
      <c r="N49" s="670">
        <v>0.05</v>
      </c>
      <c r="O49" s="670"/>
      <c r="P49" s="670"/>
      <c r="Q49" s="670"/>
      <c r="R49" s="670"/>
      <c r="S49" s="670"/>
      <c r="T49" s="687"/>
      <c r="U49" s="487" t="str">
        <f t="shared" si="7"/>
        <v/>
      </c>
    </row>
    <row r="50" spans="3:28">
      <c r="C50" s="496" t="s">
        <v>150</v>
      </c>
      <c r="D50" s="685" t="s">
        <v>268</v>
      </c>
      <c r="E50" s="683" t="s">
        <v>303</v>
      </c>
      <c r="F50" s="673">
        <v>155</v>
      </c>
      <c r="G50" s="684">
        <v>65.099999999999994</v>
      </c>
      <c r="H50" s="683" t="s">
        <v>53</v>
      </c>
      <c r="I50" s="676">
        <v>22.5</v>
      </c>
      <c r="J50" s="676">
        <v>23.5</v>
      </c>
      <c r="K50" s="676">
        <v>24.5</v>
      </c>
      <c r="L50" s="676">
        <v>25.5</v>
      </c>
      <c r="M50" s="676">
        <v>26.5</v>
      </c>
      <c r="N50" s="676">
        <v>27.5</v>
      </c>
      <c r="O50" s="676">
        <v>28.5</v>
      </c>
      <c r="P50" s="676">
        <v>29.5</v>
      </c>
      <c r="Q50" s="676">
        <v>30.5</v>
      </c>
      <c r="R50" s="676">
        <v>31.5</v>
      </c>
      <c r="S50" s="676">
        <v>32.5</v>
      </c>
      <c r="T50" s="686">
        <v>33.5</v>
      </c>
      <c r="AB50" s="471" t="s">
        <v>288</v>
      </c>
    </row>
    <row r="51" spans="3:28" ht="14" thickBot="1">
      <c r="C51" s="496"/>
      <c r="D51" s="685" t="str">
        <f>D50&amp;"-sizecurve"</f>
        <v>RBO8450-sizecurve</v>
      </c>
      <c r="E51" s="679"/>
      <c r="F51" s="680"/>
      <c r="G51" s="681">
        <v>66.099999999999994</v>
      </c>
      <c r="H51" s="670"/>
      <c r="I51" s="670">
        <v>0.02</v>
      </c>
      <c r="J51" s="670">
        <v>7.0000000000000007E-2</v>
      </c>
      <c r="K51" s="670">
        <v>0.1</v>
      </c>
      <c r="L51" s="670">
        <v>0.12</v>
      </c>
      <c r="M51" s="670">
        <v>0.15</v>
      </c>
      <c r="N51" s="670">
        <v>0.15</v>
      </c>
      <c r="O51" s="670">
        <v>0.14000000000000001</v>
      </c>
      <c r="P51" s="670">
        <v>0.13</v>
      </c>
      <c r="Q51" s="670">
        <v>7.0000000000000007E-2</v>
      </c>
      <c r="R51" s="670">
        <v>0.03</v>
      </c>
      <c r="S51" s="670">
        <v>0.01</v>
      </c>
      <c r="T51" s="687">
        <v>0.01</v>
      </c>
      <c r="U51" s="487" t="str">
        <f t="shared" si="7"/>
        <v/>
      </c>
    </row>
    <row r="52" spans="3:28">
      <c r="C52" s="496" t="s">
        <v>150</v>
      </c>
      <c r="D52" s="688" t="s">
        <v>165</v>
      </c>
      <c r="E52" s="689" t="s">
        <v>209</v>
      </c>
      <c r="F52" s="690"/>
      <c r="G52" s="691">
        <v>41.1</v>
      </c>
      <c r="H52" s="689" t="s">
        <v>53</v>
      </c>
      <c r="I52" s="692">
        <v>24.5</v>
      </c>
      <c r="J52" s="692">
        <v>25.5</v>
      </c>
      <c r="K52" s="692">
        <v>26.5</v>
      </c>
      <c r="L52" s="692">
        <v>27.5</v>
      </c>
      <c r="M52" s="692">
        <v>28.5</v>
      </c>
      <c r="N52" s="692">
        <v>29.5</v>
      </c>
      <c r="O52" s="692">
        <v>30.5</v>
      </c>
      <c r="P52" s="692">
        <v>31.5</v>
      </c>
      <c r="Q52" s="692"/>
      <c r="R52" s="692"/>
      <c r="S52" s="692"/>
      <c r="T52" s="693"/>
      <c r="U52" s="471" t="s">
        <v>291</v>
      </c>
      <c r="AB52" s="471" t="s">
        <v>288</v>
      </c>
    </row>
    <row r="53" spans="3:28">
      <c r="C53" s="496"/>
      <c r="D53" s="694" t="str">
        <f>D52&amp;"-sizecurve"</f>
        <v>RBI2400-sizecurve</v>
      </c>
      <c r="E53" s="695"/>
      <c r="F53" s="696"/>
      <c r="G53" s="697">
        <v>42.1</v>
      </c>
      <c r="H53" s="698"/>
      <c r="I53" s="698">
        <v>0.04</v>
      </c>
      <c r="J53" s="698">
        <v>0.16</v>
      </c>
      <c r="K53" s="698">
        <v>0.17</v>
      </c>
      <c r="L53" s="698">
        <v>0.21</v>
      </c>
      <c r="M53" s="698">
        <v>0.19</v>
      </c>
      <c r="N53" s="698">
        <v>0.13</v>
      </c>
      <c r="O53" s="698">
        <v>0.08</v>
      </c>
      <c r="P53" s="698">
        <v>0.02</v>
      </c>
      <c r="Q53" s="698"/>
      <c r="R53" s="698"/>
      <c r="S53" s="698"/>
      <c r="T53" s="699"/>
      <c r="U53" s="487" t="str">
        <f t="shared" ref="U53" si="8">IF(SUBTOTAL(9,I53:T53)&lt;&gt;1,"WRONG NUMBERS","")</f>
        <v/>
      </c>
    </row>
    <row r="54" spans="3:28">
      <c r="C54" s="496" t="s">
        <v>150</v>
      </c>
      <c r="D54" s="694" t="s">
        <v>200</v>
      </c>
      <c r="E54" s="700" t="s">
        <v>201</v>
      </c>
      <c r="F54" s="696"/>
      <c r="G54" s="697">
        <v>43.1</v>
      </c>
      <c r="H54" s="700" t="s">
        <v>53</v>
      </c>
      <c r="I54" s="701">
        <v>22.5</v>
      </c>
      <c r="J54" s="701">
        <v>23.5</v>
      </c>
      <c r="K54" s="701">
        <v>24.5</v>
      </c>
      <c r="L54" s="701">
        <v>25.5</v>
      </c>
      <c r="M54" s="701">
        <v>26.5</v>
      </c>
      <c r="N54" s="701">
        <v>27.5</v>
      </c>
      <c r="O54" s="701"/>
      <c r="P54" s="701"/>
      <c r="Q54" s="701"/>
      <c r="R54" s="701"/>
      <c r="S54" s="701"/>
      <c r="T54" s="702"/>
      <c r="U54" s="471" t="s">
        <v>291</v>
      </c>
      <c r="AB54" s="471" t="s">
        <v>288</v>
      </c>
    </row>
    <row r="55" spans="3:28">
      <c r="C55" s="496"/>
      <c r="D55" s="694" t="str">
        <f>D54&amp;"-sizecurve"</f>
        <v>RBJ2430-sizecurve</v>
      </c>
      <c r="E55" s="695"/>
      <c r="F55" s="696"/>
      <c r="G55" s="703">
        <v>44.1</v>
      </c>
      <c r="H55" s="698"/>
      <c r="I55" s="698">
        <v>0.13</v>
      </c>
      <c r="J55" s="698">
        <v>0.21</v>
      </c>
      <c r="K55" s="698">
        <v>0.27</v>
      </c>
      <c r="L55" s="698">
        <v>0.27</v>
      </c>
      <c r="M55" s="698">
        <v>0.11</v>
      </c>
      <c r="N55" s="698">
        <v>0.01</v>
      </c>
      <c r="O55" s="698"/>
      <c r="P55" s="698"/>
      <c r="Q55" s="698"/>
      <c r="R55" s="698"/>
      <c r="S55" s="698"/>
      <c r="T55" s="699"/>
      <c r="U55" s="487" t="str">
        <f t="shared" ref="U55" si="9">IF(SUBTOTAL(9,I55:T55)&lt;&gt;1,"WRONG NUMBERS","")</f>
        <v/>
      </c>
    </row>
    <row r="56" spans="3:28">
      <c r="C56" s="496" t="s">
        <v>150</v>
      </c>
      <c r="D56" s="694" t="s">
        <v>168</v>
      </c>
      <c r="E56" s="700" t="s">
        <v>202</v>
      </c>
      <c r="F56" s="696"/>
      <c r="G56" s="703">
        <v>45.1</v>
      </c>
      <c r="H56" s="700" t="s">
        <v>53</v>
      </c>
      <c r="I56" s="701">
        <v>24.5</v>
      </c>
      <c r="J56" s="701">
        <v>25.5</v>
      </c>
      <c r="K56" s="701">
        <v>26.5</v>
      </c>
      <c r="L56" s="701">
        <v>27.5</v>
      </c>
      <c r="M56" s="701">
        <v>28.5</v>
      </c>
      <c r="N56" s="701">
        <v>29.5</v>
      </c>
      <c r="O56" s="701">
        <v>30.5</v>
      </c>
      <c r="P56" s="701">
        <v>31.5</v>
      </c>
      <c r="Q56" s="701"/>
      <c r="R56" s="701"/>
      <c r="S56" s="701"/>
      <c r="T56" s="702"/>
      <c r="U56" s="471" t="s">
        <v>291</v>
      </c>
      <c r="AB56" s="471" t="s">
        <v>288</v>
      </c>
    </row>
    <row r="57" spans="3:28">
      <c r="C57" s="496"/>
      <c r="D57" s="694" t="str">
        <f>D56&amp;"-sizecurve"</f>
        <v>RBI3410-sizecurve</v>
      </c>
      <c r="E57" s="695"/>
      <c r="F57" s="696"/>
      <c r="G57" s="697">
        <v>46.1</v>
      </c>
      <c r="H57" s="698"/>
      <c r="I57" s="698">
        <v>0.02</v>
      </c>
      <c r="J57" s="698">
        <v>0.1</v>
      </c>
      <c r="K57" s="698">
        <v>0.18</v>
      </c>
      <c r="L57" s="698">
        <v>0.22</v>
      </c>
      <c r="M57" s="698">
        <v>0.21</v>
      </c>
      <c r="N57" s="698">
        <v>0.16</v>
      </c>
      <c r="O57" s="698">
        <v>7.0000000000000007E-2</v>
      </c>
      <c r="P57" s="698">
        <v>0.04</v>
      </c>
      <c r="Q57" s="698"/>
      <c r="R57" s="698"/>
      <c r="S57" s="698"/>
      <c r="T57" s="699"/>
      <c r="U57" s="487" t="str">
        <f t="shared" ref="U57" si="10">IF(SUBTOTAL(9,I57:T57)&lt;&gt;1,"WRONG NUMBERS","")</f>
        <v/>
      </c>
    </row>
    <row r="58" spans="3:28">
      <c r="C58" s="496" t="s">
        <v>150</v>
      </c>
      <c r="D58" s="694" t="s">
        <v>169</v>
      </c>
      <c r="E58" s="700" t="s">
        <v>203</v>
      </c>
      <c r="F58" s="696"/>
      <c r="G58" s="697">
        <v>47.1</v>
      </c>
      <c r="H58" s="700" t="s">
        <v>53</v>
      </c>
      <c r="I58" s="701">
        <v>22.5</v>
      </c>
      <c r="J58" s="701">
        <v>23.5</v>
      </c>
      <c r="K58" s="701">
        <v>24.5</v>
      </c>
      <c r="L58" s="701">
        <v>25.5</v>
      </c>
      <c r="M58" s="701">
        <v>26.5</v>
      </c>
      <c r="N58" s="701">
        <v>27.5</v>
      </c>
      <c r="O58" s="701"/>
      <c r="P58" s="701"/>
      <c r="Q58" s="701"/>
      <c r="R58" s="701"/>
      <c r="S58" s="701"/>
      <c r="T58" s="702"/>
      <c r="U58" s="471" t="s">
        <v>291</v>
      </c>
      <c r="AB58" s="471" t="s">
        <v>288</v>
      </c>
    </row>
    <row r="59" spans="3:28">
      <c r="C59" s="496"/>
      <c r="D59" s="694" t="str">
        <f>D58&amp;"-sizecurve"</f>
        <v>RBI3420-sizecurve</v>
      </c>
      <c r="E59" s="695"/>
      <c r="F59" s="696"/>
      <c r="G59" s="703">
        <v>48.1</v>
      </c>
      <c r="H59" s="698"/>
      <c r="I59" s="698">
        <v>0.08</v>
      </c>
      <c r="J59" s="698">
        <v>0.19</v>
      </c>
      <c r="K59" s="698">
        <v>0.24</v>
      </c>
      <c r="L59" s="698">
        <v>0.25</v>
      </c>
      <c r="M59" s="698">
        <v>0.17</v>
      </c>
      <c r="N59" s="698">
        <v>7.0000000000000007E-2</v>
      </c>
      <c r="O59" s="698"/>
      <c r="P59" s="698"/>
      <c r="Q59" s="698"/>
      <c r="R59" s="698"/>
      <c r="S59" s="698"/>
      <c r="T59" s="699"/>
      <c r="U59" s="487" t="str">
        <f t="shared" ref="U59" si="11">IF(SUBTOTAL(9,I59:T59)&lt;&gt;1,"WRONG NUMBERS","")</f>
        <v/>
      </c>
    </row>
    <row r="60" spans="3:28">
      <c r="C60" s="496" t="s">
        <v>150</v>
      </c>
      <c r="D60" s="694" t="s">
        <v>204</v>
      </c>
      <c r="E60" s="700" t="s">
        <v>205</v>
      </c>
      <c r="F60" s="696"/>
      <c r="G60" s="703">
        <v>49.1</v>
      </c>
      <c r="H60" s="700" t="s">
        <v>53</v>
      </c>
      <c r="I60" s="701">
        <v>24.5</v>
      </c>
      <c r="J60" s="701">
        <v>25.5</v>
      </c>
      <c r="K60" s="701">
        <v>26.5</v>
      </c>
      <c r="L60" s="701">
        <v>27.5</v>
      </c>
      <c r="M60" s="701">
        <v>28.5</v>
      </c>
      <c r="N60" s="701">
        <v>29.5</v>
      </c>
      <c r="O60" s="701">
        <v>30.5</v>
      </c>
      <c r="P60" s="701">
        <v>31.5</v>
      </c>
      <c r="Q60" s="701"/>
      <c r="R60" s="701"/>
      <c r="S60" s="701"/>
      <c r="T60" s="702"/>
      <c r="U60" s="471" t="s">
        <v>291</v>
      </c>
      <c r="AB60" s="471" t="s">
        <v>288</v>
      </c>
    </row>
    <row r="61" spans="3:28">
      <c r="C61" s="496"/>
      <c r="D61" s="694" t="str">
        <f>D60&amp;"-sizecurve"</f>
        <v>RBJ2410-sizecurve</v>
      </c>
      <c r="E61" s="695"/>
      <c r="F61" s="696"/>
      <c r="G61" s="697">
        <v>50.1</v>
      </c>
      <c r="H61" s="698"/>
      <c r="I61" s="698">
        <v>0.05</v>
      </c>
      <c r="J61" s="698">
        <v>0.11</v>
      </c>
      <c r="K61" s="698">
        <v>0.2</v>
      </c>
      <c r="L61" s="698">
        <v>0.22</v>
      </c>
      <c r="M61" s="698">
        <v>0.21</v>
      </c>
      <c r="N61" s="698">
        <v>0.13</v>
      </c>
      <c r="O61" s="698">
        <v>0.06</v>
      </c>
      <c r="P61" s="698">
        <v>0.02</v>
      </c>
      <c r="Q61" s="698"/>
      <c r="R61" s="698"/>
      <c r="S61" s="698"/>
      <c r="T61" s="699"/>
      <c r="U61" s="487" t="str">
        <f t="shared" ref="U61" si="12">IF(SUBTOTAL(9,I61:T61)&lt;&gt;1,"WRONG NUMBERS","")</f>
        <v/>
      </c>
    </row>
    <row r="62" spans="3:28">
      <c r="C62" s="496" t="s">
        <v>150</v>
      </c>
      <c r="D62" s="694" t="s">
        <v>206</v>
      </c>
      <c r="E62" s="700" t="s">
        <v>207</v>
      </c>
      <c r="F62" s="696"/>
      <c r="G62" s="697">
        <v>51.1</v>
      </c>
      <c r="H62" s="700" t="s">
        <v>53</v>
      </c>
      <c r="I62" s="701">
        <v>22.5</v>
      </c>
      <c r="J62" s="701">
        <v>23.5</v>
      </c>
      <c r="K62" s="701">
        <v>24.5</v>
      </c>
      <c r="L62" s="701">
        <v>25.5</v>
      </c>
      <c r="M62" s="701">
        <v>26.5</v>
      </c>
      <c r="N62" s="701">
        <v>27.5</v>
      </c>
      <c r="O62" s="701"/>
      <c r="P62" s="701"/>
      <c r="Q62" s="701"/>
      <c r="R62" s="701"/>
      <c r="S62" s="701"/>
      <c r="T62" s="702"/>
      <c r="U62" s="471" t="s">
        <v>291</v>
      </c>
      <c r="AB62" s="471" t="s">
        <v>288</v>
      </c>
    </row>
    <row r="63" spans="3:28">
      <c r="C63" s="496"/>
      <c r="D63" s="694" t="str">
        <f>D62&amp;"-sizecurve"</f>
        <v>RBJ2420-sizecurve</v>
      </c>
      <c r="E63" s="695"/>
      <c r="F63" s="696"/>
      <c r="G63" s="703">
        <v>52.1</v>
      </c>
      <c r="H63" s="698"/>
      <c r="I63" s="698">
        <v>0.1</v>
      </c>
      <c r="J63" s="698">
        <v>0.23</v>
      </c>
      <c r="K63" s="698">
        <v>0.28000000000000003</v>
      </c>
      <c r="L63" s="698">
        <v>0.26</v>
      </c>
      <c r="M63" s="698">
        <v>0.1</v>
      </c>
      <c r="N63" s="698">
        <v>0.03</v>
      </c>
      <c r="O63" s="698"/>
      <c r="P63" s="698"/>
      <c r="Q63" s="698"/>
      <c r="R63" s="698"/>
      <c r="S63" s="698"/>
      <c r="T63" s="699"/>
      <c r="U63" s="487" t="str">
        <f t="shared" ref="U63" si="13">IF(SUBTOTAL(9,I63:T63)&lt;&gt;1,"WRONG NUMBERS","")</f>
        <v/>
      </c>
    </row>
    <row r="64" spans="3:28">
      <c r="C64" s="496" t="s">
        <v>150</v>
      </c>
      <c r="D64" s="694" t="s">
        <v>166</v>
      </c>
      <c r="E64" s="700" t="s">
        <v>167</v>
      </c>
      <c r="F64" s="696"/>
      <c r="G64" s="703">
        <v>53.1</v>
      </c>
      <c r="H64" s="700" t="s">
        <v>53</v>
      </c>
      <c r="I64" s="701">
        <v>24.5</v>
      </c>
      <c r="J64" s="701">
        <v>25.5</v>
      </c>
      <c r="K64" s="701">
        <v>26.5</v>
      </c>
      <c r="L64" s="701">
        <v>27.5</v>
      </c>
      <c r="M64" s="701">
        <v>28.5</v>
      </c>
      <c r="N64" s="701">
        <v>29.5</v>
      </c>
      <c r="O64" s="701">
        <v>30.5</v>
      </c>
      <c r="P64" s="701">
        <v>31.5</v>
      </c>
      <c r="Q64" s="701"/>
      <c r="R64" s="701"/>
      <c r="S64" s="701"/>
      <c r="T64" s="702"/>
      <c r="U64" s="471" t="s">
        <v>291</v>
      </c>
      <c r="AB64" s="471" t="s">
        <v>288</v>
      </c>
    </row>
    <row r="65" spans="3:28">
      <c r="C65" s="496"/>
      <c r="D65" s="694" t="str">
        <f>D64&amp;"-sizecurve"</f>
        <v>RBI4410-sizecurve</v>
      </c>
      <c r="E65" s="695"/>
      <c r="F65" s="696"/>
      <c r="G65" s="697">
        <v>54.1</v>
      </c>
      <c r="H65" s="698"/>
      <c r="I65" s="698">
        <v>0.02</v>
      </c>
      <c r="J65" s="698">
        <v>0.13</v>
      </c>
      <c r="K65" s="698">
        <v>0.18</v>
      </c>
      <c r="L65" s="698">
        <v>0.24</v>
      </c>
      <c r="M65" s="698">
        <v>0.2</v>
      </c>
      <c r="N65" s="698">
        <v>0.14000000000000001</v>
      </c>
      <c r="O65" s="698">
        <v>0.06</v>
      </c>
      <c r="P65" s="698">
        <v>0.03</v>
      </c>
      <c r="Q65" s="698"/>
      <c r="R65" s="698"/>
      <c r="S65" s="698"/>
      <c r="T65" s="699"/>
      <c r="U65" s="487" t="str">
        <f t="shared" ref="U65" si="14">IF(SUBTOTAL(9,I65:T65)&lt;&gt;1,"WRONG NUMBERS","")</f>
        <v/>
      </c>
    </row>
    <row r="66" spans="3:28">
      <c r="C66" s="496" t="s">
        <v>150</v>
      </c>
      <c r="D66" s="694" t="s">
        <v>126</v>
      </c>
      <c r="E66" s="700" t="s">
        <v>164</v>
      </c>
      <c r="F66" s="696"/>
      <c r="G66" s="697">
        <v>55.1</v>
      </c>
      <c r="H66" s="700" t="s">
        <v>53</v>
      </c>
      <c r="I66" s="701">
        <v>22.5</v>
      </c>
      <c r="J66" s="701">
        <v>23.5</v>
      </c>
      <c r="K66" s="701">
        <v>24.5</v>
      </c>
      <c r="L66" s="701">
        <v>25.5</v>
      </c>
      <c r="M66" s="701">
        <v>26.5</v>
      </c>
      <c r="N66" s="701">
        <v>27.5</v>
      </c>
      <c r="O66" s="701"/>
      <c r="P66" s="701"/>
      <c r="Q66" s="701"/>
      <c r="R66" s="701"/>
      <c r="S66" s="701"/>
      <c r="T66" s="702"/>
      <c r="U66" s="471" t="s">
        <v>291</v>
      </c>
      <c r="AB66" s="471" t="s">
        <v>288</v>
      </c>
    </row>
    <row r="67" spans="3:28" ht="14" thickBot="1">
      <c r="C67" s="496"/>
      <c r="D67" s="704" t="str">
        <f>D66&amp;"-sizecurve"</f>
        <v>RBH4430-sizecurve</v>
      </c>
      <c r="E67" s="705"/>
      <c r="F67" s="706"/>
      <c r="G67" s="707">
        <v>56.1</v>
      </c>
      <c r="H67" s="708"/>
      <c r="I67" s="708">
        <v>0.11</v>
      </c>
      <c r="J67" s="708">
        <v>0.21</v>
      </c>
      <c r="K67" s="708">
        <v>0.26</v>
      </c>
      <c r="L67" s="708">
        <v>0.23</v>
      </c>
      <c r="M67" s="708">
        <v>0.13</v>
      </c>
      <c r="N67" s="708">
        <v>0.06</v>
      </c>
      <c r="O67" s="708"/>
      <c r="P67" s="708"/>
      <c r="Q67" s="708"/>
      <c r="R67" s="708"/>
      <c r="S67" s="708"/>
      <c r="T67" s="709"/>
      <c r="U67" s="487" t="str">
        <f t="shared" ref="U67" si="15">IF(SUBTOTAL(9,I67:T67)&lt;&gt;1,"WRONG NUMBERS","")</f>
        <v/>
      </c>
    </row>
    <row r="68" spans="3:28">
      <c r="C68" s="643" t="s">
        <v>151</v>
      </c>
      <c r="D68" s="710" t="s">
        <v>275</v>
      </c>
      <c r="E68" s="672" t="s">
        <v>130</v>
      </c>
      <c r="F68" s="673">
        <v>40</v>
      </c>
      <c r="G68" s="674">
        <v>67.099999999999994</v>
      </c>
      <c r="H68" s="672" t="s">
        <v>53</v>
      </c>
      <c r="I68" s="711" t="s">
        <v>125</v>
      </c>
      <c r="J68" s="711"/>
      <c r="K68" s="711"/>
      <c r="L68" s="711"/>
      <c r="M68" s="711"/>
      <c r="N68" s="711"/>
      <c r="O68" s="711"/>
      <c r="P68" s="711"/>
      <c r="Q68" s="711"/>
      <c r="R68" s="711"/>
      <c r="S68" s="711"/>
      <c r="T68" s="712"/>
      <c r="AB68" s="471" t="s">
        <v>288</v>
      </c>
    </row>
    <row r="69" spans="3:28">
      <c r="C69" s="625"/>
      <c r="D69" s="713" t="str">
        <f>D68&amp;"-sizecurve"</f>
        <v>RDO7020-sizecurve</v>
      </c>
      <c r="E69" s="679"/>
      <c r="F69" s="680"/>
      <c r="G69" s="684">
        <v>68.099999999999994</v>
      </c>
      <c r="H69" s="670"/>
      <c r="I69" s="670">
        <v>1</v>
      </c>
      <c r="J69" s="670"/>
      <c r="K69" s="670"/>
      <c r="L69" s="670"/>
      <c r="M69" s="670"/>
      <c r="N69" s="670"/>
      <c r="O69" s="670"/>
      <c r="P69" s="670"/>
      <c r="Q69" s="670"/>
      <c r="R69" s="670"/>
      <c r="S69" s="670"/>
      <c r="T69" s="687"/>
      <c r="U69" s="487" t="str">
        <f t="shared" ref="U69" si="16">IF(SUBTOTAL(9,I69:T69)&lt;&gt;1,"WRONG NUMBERS","")</f>
        <v/>
      </c>
    </row>
    <row r="70" spans="3:28">
      <c r="C70" s="625" t="s">
        <v>151</v>
      </c>
      <c r="D70" s="713" t="s">
        <v>273</v>
      </c>
      <c r="E70" s="683" t="s">
        <v>215</v>
      </c>
      <c r="F70" s="673">
        <v>33</v>
      </c>
      <c r="G70" s="681">
        <v>69.099999999999994</v>
      </c>
      <c r="H70" s="683" t="s">
        <v>53</v>
      </c>
      <c r="I70" s="676">
        <v>110</v>
      </c>
      <c r="J70" s="676">
        <v>115</v>
      </c>
      <c r="K70" s="676">
        <v>120</v>
      </c>
      <c r="L70" s="676">
        <v>125</v>
      </c>
      <c r="M70" s="676">
        <v>130</v>
      </c>
      <c r="N70" s="676">
        <v>135</v>
      </c>
      <c r="O70" s="676">
        <v>140</v>
      </c>
      <c r="P70" s="676"/>
      <c r="Q70" s="676"/>
      <c r="R70" s="676"/>
      <c r="S70" s="676"/>
      <c r="T70" s="686"/>
      <c r="AB70" s="471" t="s">
        <v>288</v>
      </c>
    </row>
    <row r="71" spans="3:28">
      <c r="C71" s="625"/>
      <c r="D71" s="713" t="str">
        <f>D70&amp;"-sizecurve"</f>
        <v>RDO7010-sizecurve</v>
      </c>
      <c r="E71" s="679"/>
      <c r="F71" s="680"/>
      <c r="G71" s="681">
        <v>70.099999999999994</v>
      </c>
      <c r="H71" s="670"/>
      <c r="I71" s="670">
        <v>0.21</v>
      </c>
      <c r="J71" s="670">
        <v>0.25</v>
      </c>
      <c r="K71" s="670">
        <v>0.26</v>
      </c>
      <c r="L71" s="670">
        <v>0.18</v>
      </c>
      <c r="M71" s="670">
        <v>0.08</v>
      </c>
      <c r="N71" s="670">
        <v>0.02</v>
      </c>
      <c r="O71" s="670">
        <v>0</v>
      </c>
      <c r="P71" s="670"/>
      <c r="Q71" s="670"/>
      <c r="R71" s="670"/>
      <c r="S71" s="670"/>
      <c r="T71" s="687"/>
      <c r="U71" s="487" t="str">
        <f t="shared" ref="U71" si="17">IF(SUBTOTAL(9,I71:T71)&lt;&gt;1,"WRONG NUMBERS","")</f>
        <v/>
      </c>
    </row>
    <row r="72" spans="3:28">
      <c r="C72" s="625" t="s">
        <v>151</v>
      </c>
      <c r="D72" s="713" t="s">
        <v>274</v>
      </c>
      <c r="E72" s="683" t="s">
        <v>131</v>
      </c>
      <c r="F72" s="673">
        <v>29</v>
      </c>
      <c r="G72" s="684">
        <v>71.099999999999994</v>
      </c>
      <c r="H72" s="683" t="s">
        <v>53</v>
      </c>
      <c r="I72" s="676">
        <v>110</v>
      </c>
      <c r="J72" s="676">
        <v>115</v>
      </c>
      <c r="K72" s="676">
        <v>120</v>
      </c>
      <c r="L72" s="676">
        <v>125</v>
      </c>
      <c r="M72" s="676">
        <v>130</v>
      </c>
      <c r="N72" s="676">
        <v>135</v>
      </c>
      <c r="O72" s="676">
        <v>140</v>
      </c>
      <c r="P72" s="676"/>
      <c r="Q72" s="676"/>
      <c r="R72" s="676"/>
      <c r="S72" s="676"/>
      <c r="T72" s="686"/>
      <c r="AB72" s="471" t="s">
        <v>288</v>
      </c>
    </row>
    <row r="73" spans="3:28" ht="14" thickBot="1">
      <c r="C73" s="644"/>
      <c r="D73" s="714" t="str">
        <f>D72&amp;"-sizecurve"</f>
        <v>RDO7000-sizecurve</v>
      </c>
      <c r="E73" s="715"/>
      <c r="F73" s="716"/>
      <c r="G73" s="717">
        <v>72.099999999999994</v>
      </c>
      <c r="H73" s="718"/>
      <c r="I73" s="718">
        <v>0.18</v>
      </c>
      <c r="J73" s="718">
        <v>0.24</v>
      </c>
      <c r="K73" s="718">
        <v>0.25</v>
      </c>
      <c r="L73" s="718">
        <v>0.18</v>
      </c>
      <c r="M73" s="718">
        <v>0.09</v>
      </c>
      <c r="N73" s="718">
        <v>0.04</v>
      </c>
      <c r="O73" s="718">
        <v>0.02</v>
      </c>
      <c r="P73" s="718"/>
      <c r="Q73" s="718"/>
      <c r="R73" s="718"/>
      <c r="S73" s="718"/>
      <c r="T73" s="719"/>
      <c r="U73" s="609" t="str">
        <f t="shared" ref="U73" si="18">IF(SUBTOTAL(9,I73:T73)&lt;&gt;1,"WRONG NUMBERS","")</f>
        <v/>
      </c>
    </row>
    <row r="74" spans="3:28">
      <c r="C74" s="496" t="s">
        <v>182</v>
      </c>
      <c r="D74" s="720" t="s">
        <v>236</v>
      </c>
      <c r="E74" s="721" t="s">
        <v>253</v>
      </c>
      <c r="F74" s="722">
        <v>201</v>
      </c>
      <c r="G74" s="723">
        <v>73.099999999999994</v>
      </c>
      <c r="H74" s="721" t="s">
        <v>53</v>
      </c>
      <c r="I74" s="724"/>
      <c r="J74" s="724"/>
      <c r="K74" s="724"/>
      <c r="L74" s="724"/>
      <c r="M74" s="724"/>
      <c r="N74" s="724"/>
      <c r="O74" s="724"/>
      <c r="P74" s="724"/>
      <c r="Q74" s="724"/>
      <c r="R74" s="724"/>
      <c r="S74" s="724"/>
      <c r="T74" s="725"/>
      <c r="U74" s="471" t="s">
        <v>291</v>
      </c>
      <c r="AB74" s="471" t="s">
        <v>288</v>
      </c>
    </row>
    <row r="75" spans="3:28" ht="14" thickBot="1">
      <c r="C75" s="496"/>
      <c r="D75" s="726" t="str">
        <f>D74&amp;"-sizecurve"</f>
        <v>RRMJC02-sizecurve</v>
      </c>
      <c r="E75" s="695"/>
      <c r="F75" s="696"/>
      <c r="G75" s="703">
        <v>74.099999999999994</v>
      </c>
      <c r="H75" s="698"/>
      <c r="I75" s="698">
        <v>0.5</v>
      </c>
      <c r="J75" s="698">
        <v>0.5</v>
      </c>
      <c r="K75" s="698"/>
      <c r="L75" s="698"/>
      <c r="M75" s="698"/>
      <c r="N75" s="698"/>
      <c r="O75" s="698"/>
      <c r="P75" s="698"/>
      <c r="Q75" s="698"/>
      <c r="R75" s="698"/>
      <c r="S75" s="698"/>
      <c r="T75" s="699"/>
      <c r="U75" s="487" t="str">
        <f t="shared" ref="U75" si="19">IF(SUBTOTAL(9,I75:T75)&lt;&gt;1,"WRONG NUMBERS","")</f>
        <v/>
      </c>
    </row>
    <row r="76" spans="3:28">
      <c r="C76" s="496" t="s">
        <v>182</v>
      </c>
      <c r="D76" s="727" t="s">
        <v>276</v>
      </c>
      <c r="E76" s="683" t="s">
        <v>298</v>
      </c>
      <c r="F76" s="673">
        <v>189</v>
      </c>
      <c r="G76" s="681">
        <v>77.099999999999994</v>
      </c>
      <c r="H76" s="683" t="s">
        <v>53</v>
      </c>
      <c r="I76" s="676">
        <v>104</v>
      </c>
      <c r="J76" s="676">
        <v>110</v>
      </c>
      <c r="K76" s="676">
        <v>116</v>
      </c>
      <c r="L76" s="676">
        <v>122</v>
      </c>
      <c r="M76" s="676">
        <v>128</v>
      </c>
      <c r="N76" s="676">
        <v>140</v>
      </c>
      <c r="O76" s="676"/>
      <c r="P76" s="676"/>
      <c r="Q76" s="676"/>
      <c r="R76" s="676"/>
      <c r="S76" s="676"/>
      <c r="T76" s="686"/>
      <c r="U76" s="1005" t="str">
        <f>IF(SUBTOTAL(9,I77:T77,I79:T79)&lt;&gt;1,"WRONG NUMBERS","")</f>
        <v/>
      </c>
      <c r="AB76" s="471" t="s">
        <v>288</v>
      </c>
    </row>
    <row r="77" spans="3:28">
      <c r="C77" s="496"/>
      <c r="D77" s="727" t="str">
        <f>D76&amp;"-sizecurve"</f>
        <v>RROJC05W-sizecurve</v>
      </c>
      <c r="E77" s="679"/>
      <c r="F77" s="680"/>
      <c r="G77" s="684">
        <v>78.099999999999994</v>
      </c>
      <c r="H77" s="670"/>
      <c r="I77" s="670">
        <v>0.15</v>
      </c>
      <c r="J77" s="670">
        <v>0.11</v>
      </c>
      <c r="K77" s="670">
        <v>0.12</v>
      </c>
      <c r="L77" s="670">
        <v>0.14000000000000001</v>
      </c>
      <c r="M77" s="670">
        <v>0.14000000000000001</v>
      </c>
      <c r="N77" s="670">
        <v>0.08</v>
      </c>
      <c r="O77" s="670"/>
      <c r="P77" s="670"/>
      <c r="Q77" s="670"/>
      <c r="R77" s="670"/>
      <c r="S77" s="670"/>
      <c r="T77" s="687"/>
      <c r="U77" s="1006"/>
    </row>
    <row r="78" spans="3:28">
      <c r="C78" s="496" t="s">
        <v>182</v>
      </c>
      <c r="D78" s="727" t="s">
        <v>277</v>
      </c>
      <c r="E78" s="683" t="s">
        <v>299</v>
      </c>
      <c r="F78" s="673">
        <v>172</v>
      </c>
      <c r="G78" s="681">
        <v>79.099999999999994</v>
      </c>
      <c r="H78" s="683" t="s">
        <v>53</v>
      </c>
      <c r="I78" s="676">
        <v>70</v>
      </c>
      <c r="J78" s="676">
        <v>80</v>
      </c>
      <c r="K78" s="676">
        <v>92</v>
      </c>
      <c r="L78" s="676"/>
      <c r="M78" s="676"/>
      <c r="N78" s="676"/>
      <c r="O78" s="676"/>
      <c r="P78" s="676"/>
      <c r="Q78" s="676"/>
      <c r="R78" s="676"/>
      <c r="S78" s="676"/>
      <c r="T78" s="686"/>
      <c r="U78" s="1006"/>
      <c r="AB78" s="471" t="s">
        <v>288</v>
      </c>
    </row>
    <row r="79" spans="3:28" ht="14" thickBot="1">
      <c r="C79" s="496"/>
      <c r="D79" s="727" t="str">
        <f>D78&amp;"-sizecurve"</f>
        <v>RROWE03-sizecurve</v>
      </c>
      <c r="E79" s="679"/>
      <c r="F79" s="680"/>
      <c r="G79" s="681">
        <v>80.099999999999994</v>
      </c>
      <c r="H79" s="670"/>
      <c r="I79" s="670">
        <v>0.05</v>
      </c>
      <c r="J79" s="670">
        <v>0.09</v>
      </c>
      <c r="K79" s="670">
        <v>0.12</v>
      </c>
      <c r="L79" s="670"/>
      <c r="M79" s="670"/>
      <c r="N79" s="670"/>
      <c r="O79" s="670"/>
      <c r="P79" s="670"/>
      <c r="Q79" s="670"/>
      <c r="R79" s="670"/>
      <c r="S79" s="670"/>
      <c r="T79" s="687"/>
      <c r="U79" s="1007"/>
    </row>
    <row r="80" spans="3:28">
      <c r="C80" s="496" t="s">
        <v>182</v>
      </c>
      <c r="D80" s="694" t="s">
        <v>254</v>
      </c>
      <c r="E80" s="700" t="s">
        <v>255</v>
      </c>
      <c r="F80" s="696">
        <v>176</v>
      </c>
      <c r="G80" s="697">
        <v>75.099999999999994</v>
      </c>
      <c r="H80" s="700" t="s">
        <v>53</v>
      </c>
      <c r="I80" s="701">
        <v>70</v>
      </c>
      <c r="J80" s="701">
        <v>80</v>
      </c>
      <c r="K80" s="701">
        <v>92</v>
      </c>
      <c r="L80" s="701"/>
      <c r="M80" s="701"/>
      <c r="N80" s="701"/>
      <c r="O80" s="701"/>
      <c r="P80" s="701"/>
      <c r="Q80" s="701"/>
      <c r="R80" s="701"/>
      <c r="S80" s="701"/>
      <c r="T80" s="702"/>
      <c r="U80" s="471" t="s">
        <v>291</v>
      </c>
      <c r="AB80" s="471" t="s">
        <v>288</v>
      </c>
    </row>
    <row r="81" spans="3:28" ht="14" thickBot="1">
      <c r="C81" s="497"/>
      <c r="D81" s="704" t="str">
        <f>D80&amp;"-sizecurve"</f>
        <v>RAMWE02-sizecurve</v>
      </c>
      <c r="E81" s="705"/>
      <c r="F81" s="706"/>
      <c r="G81" s="707">
        <v>76.099999999999994</v>
      </c>
      <c r="H81" s="708"/>
      <c r="I81" s="708">
        <v>0.99</v>
      </c>
      <c r="J81" s="708">
        <v>0.01</v>
      </c>
      <c r="K81" s="708">
        <v>0</v>
      </c>
      <c r="L81" s="708"/>
      <c r="M81" s="708"/>
      <c r="N81" s="708"/>
      <c r="O81" s="708"/>
      <c r="P81" s="708"/>
      <c r="Q81" s="708"/>
      <c r="R81" s="708"/>
      <c r="S81" s="708"/>
      <c r="T81" s="709"/>
      <c r="U81" s="487" t="str">
        <f t="shared" ref="U81" si="20">IF(SUBTOTAL(9,I81:T81)&lt;&gt;1,"WRONG NUMBERS","")</f>
        <v/>
      </c>
    </row>
    <row r="82" spans="3:28">
      <c r="C82" s="503" t="s">
        <v>106</v>
      </c>
      <c r="D82" s="727" t="s">
        <v>300</v>
      </c>
      <c r="E82" s="683" t="s">
        <v>127</v>
      </c>
      <c r="F82" s="673">
        <v>120</v>
      </c>
      <c r="G82" s="684">
        <v>81.099999999999994</v>
      </c>
      <c r="H82" s="683" t="s">
        <v>53</v>
      </c>
      <c r="I82" s="676">
        <v>22.5</v>
      </c>
      <c r="J82" s="676">
        <v>23.5</v>
      </c>
      <c r="K82" s="676">
        <v>24.5</v>
      </c>
      <c r="L82" s="676">
        <v>25.5</v>
      </c>
      <c r="M82" s="676">
        <v>26.5</v>
      </c>
      <c r="N82" s="676"/>
      <c r="O82" s="676"/>
      <c r="P82" s="676"/>
      <c r="Q82" s="676"/>
      <c r="R82" s="676"/>
      <c r="S82" s="676"/>
      <c r="T82" s="728"/>
      <c r="U82" s="1008" t="str">
        <f>IF(SUBTOTAL(9,I83:T83,I85:T85,I87:T87)&lt;&gt;1,"WRONG NUMBERS","")</f>
        <v/>
      </c>
      <c r="AB82" s="471" t="s">
        <v>288</v>
      </c>
    </row>
    <row r="83" spans="3:28">
      <c r="C83" s="496"/>
      <c r="D83" s="727" t="str">
        <f>D82&amp;"-sizecurve"</f>
        <v>RBP5070-sizecurve</v>
      </c>
      <c r="E83" s="679"/>
      <c r="F83" s="680"/>
      <c r="G83" s="681">
        <v>82.1</v>
      </c>
      <c r="H83" s="670"/>
      <c r="I83" s="670">
        <v>0.12</v>
      </c>
      <c r="J83" s="670">
        <v>0.11</v>
      </c>
      <c r="K83" s="670">
        <v>0.09</v>
      </c>
      <c r="L83" s="670">
        <v>0.06</v>
      </c>
      <c r="M83" s="670">
        <v>0.03</v>
      </c>
      <c r="N83" s="670"/>
      <c r="O83" s="670"/>
      <c r="P83" s="670"/>
      <c r="Q83" s="670"/>
      <c r="R83" s="670"/>
      <c r="S83" s="670"/>
      <c r="T83" s="682"/>
      <c r="U83" s="1009"/>
    </row>
    <row r="84" spans="3:28">
      <c r="C84" s="496" t="s">
        <v>106</v>
      </c>
      <c r="D84" s="727" t="s">
        <v>301</v>
      </c>
      <c r="E84" s="683" t="s">
        <v>128</v>
      </c>
      <c r="F84" s="673">
        <v>105</v>
      </c>
      <c r="G84" s="681">
        <v>83.1</v>
      </c>
      <c r="H84" s="683" t="s">
        <v>53</v>
      </c>
      <c r="I84" s="676">
        <v>17.5</v>
      </c>
      <c r="J84" s="676">
        <v>18.5</v>
      </c>
      <c r="K84" s="676">
        <v>19.5</v>
      </c>
      <c r="L84" s="676">
        <v>20.5</v>
      </c>
      <c r="M84" s="676">
        <v>21.5</v>
      </c>
      <c r="N84" s="676"/>
      <c r="O84" s="676"/>
      <c r="P84" s="676"/>
      <c r="Q84" s="676"/>
      <c r="R84" s="676"/>
      <c r="S84" s="676"/>
      <c r="T84" s="728"/>
      <c r="U84" s="1009"/>
      <c r="AB84" s="471" t="s">
        <v>288</v>
      </c>
    </row>
    <row r="85" spans="3:28">
      <c r="C85" s="496"/>
      <c r="D85" s="727" t="str">
        <f>D84&amp;"-sizecurve"</f>
        <v>RBP5120-sizecurve</v>
      </c>
      <c r="E85" s="679"/>
      <c r="F85" s="680"/>
      <c r="G85" s="684">
        <v>84.1</v>
      </c>
      <c r="H85" s="670"/>
      <c r="I85" s="670">
        <v>0.06</v>
      </c>
      <c r="J85" s="670">
        <v>0.09</v>
      </c>
      <c r="K85" s="670">
        <v>0.1</v>
      </c>
      <c r="L85" s="670">
        <v>0.12</v>
      </c>
      <c r="M85" s="670">
        <v>0.13</v>
      </c>
      <c r="N85" s="670"/>
      <c r="O85" s="670"/>
      <c r="P85" s="670"/>
      <c r="Q85" s="670"/>
      <c r="R85" s="670"/>
      <c r="S85" s="670"/>
      <c r="T85" s="682"/>
      <c r="U85" s="1009"/>
    </row>
    <row r="86" spans="3:28">
      <c r="C86" s="496" t="s">
        <v>106</v>
      </c>
      <c r="D86" s="727" t="s">
        <v>302</v>
      </c>
      <c r="E86" s="683" t="s">
        <v>129</v>
      </c>
      <c r="F86" s="673">
        <v>84</v>
      </c>
      <c r="G86" s="681">
        <v>85.1</v>
      </c>
      <c r="H86" s="683" t="s">
        <v>53</v>
      </c>
      <c r="I86" s="676">
        <v>15.5</v>
      </c>
      <c r="J86" s="676">
        <v>16.5</v>
      </c>
      <c r="K86" s="676">
        <v>17.5</v>
      </c>
      <c r="L86" s="676"/>
      <c r="M86" s="676"/>
      <c r="N86" s="676"/>
      <c r="O86" s="676"/>
      <c r="P86" s="676"/>
      <c r="Q86" s="676"/>
      <c r="R86" s="676"/>
      <c r="S86" s="676"/>
      <c r="T86" s="728"/>
      <c r="U86" s="1009"/>
      <c r="AB86" s="471" t="s">
        <v>288</v>
      </c>
    </row>
    <row r="87" spans="3:28" ht="14" thickBot="1">
      <c r="C87" s="496"/>
      <c r="D87" s="729" t="str">
        <f>D86&amp;"-sizecurve"</f>
        <v>RBP6020-sizecurve</v>
      </c>
      <c r="E87" s="715"/>
      <c r="F87" s="716"/>
      <c r="G87" s="717">
        <v>86.1</v>
      </c>
      <c r="H87" s="718"/>
      <c r="I87" s="718">
        <v>0.04</v>
      </c>
      <c r="J87" s="718">
        <v>0.05</v>
      </c>
      <c r="K87" s="718">
        <v>0</v>
      </c>
      <c r="L87" s="718"/>
      <c r="M87" s="718"/>
      <c r="N87" s="718"/>
      <c r="O87" s="718"/>
      <c r="P87" s="718"/>
      <c r="Q87" s="718"/>
      <c r="R87" s="718"/>
      <c r="S87" s="718"/>
      <c r="T87" s="730"/>
      <c r="U87" s="1010"/>
    </row>
    <row r="88" spans="3:28">
      <c r="C88" s="643" t="s">
        <v>149</v>
      </c>
      <c r="D88" s="710" t="s">
        <v>278</v>
      </c>
      <c r="E88" s="672" t="s">
        <v>132</v>
      </c>
      <c r="F88" s="673">
        <v>37</v>
      </c>
      <c r="G88" s="731">
        <v>87.1</v>
      </c>
      <c r="H88" s="672" t="s">
        <v>53</v>
      </c>
      <c r="I88" s="711" t="s">
        <v>125</v>
      </c>
      <c r="J88" s="711"/>
      <c r="K88" s="711"/>
      <c r="L88" s="711"/>
      <c r="M88" s="711"/>
      <c r="N88" s="711"/>
      <c r="O88" s="711"/>
      <c r="P88" s="711"/>
      <c r="Q88" s="711"/>
      <c r="R88" s="711"/>
      <c r="S88" s="711"/>
      <c r="T88" s="732"/>
      <c r="AB88" s="471" t="s">
        <v>288</v>
      </c>
    </row>
    <row r="89" spans="3:28">
      <c r="C89" s="625"/>
      <c r="D89" s="727" t="str">
        <f>D88&amp;"-sizecurve"</f>
        <v>RDO7050-sizecurve</v>
      </c>
      <c r="E89" s="679"/>
      <c r="F89" s="680"/>
      <c r="G89" s="681">
        <v>88.1</v>
      </c>
      <c r="H89" s="670"/>
      <c r="I89" s="670">
        <v>1</v>
      </c>
      <c r="J89" s="670"/>
      <c r="K89" s="670"/>
      <c r="L89" s="670"/>
      <c r="M89" s="670"/>
      <c r="N89" s="670"/>
      <c r="O89" s="670"/>
      <c r="P89" s="670"/>
      <c r="Q89" s="670"/>
      <c r="R89" s="670"/>
      <c r="S89" s="670"/>
      <c r="T89" s="682"/>
      <c r="U89" s="487" t="str">
        <f>IF(SUBTOTAL(9,I89:T89)&lt;&gt;1,"WRONG NUMBERS","")</f>
        <v/>
      </c>
    </row>
    <row r="90" spans="3:28">
      <c r="C90" s="625" t="s">
        <v>149</v>
      </c>
      <c r="D90" s="727" t="s">
        <v>279</v>
      </c>
      <c r="E90" s="683" t="s">
        <v>216</v>
      </c>
      <c r="F90" s="673">
        <v>30</v>
      </c>
      <c r="G90" s="681">
        <v>89.1</v>
      </c>
      <c r="H90" s="683" t="s">
        <v>53</v>
      </c>
      <c r="I90" s="676">
        <v>70</v>
      </c>
      <c r="J90" s="676">
        <v>75</v>
      </c>
      <c r="K90" s="676">
        <v>80</v>
      </c>
      <c r="L90" s="676">
        <v>85</v>
      </c>
      <c r="M90" s="676">
        <v>90</v>
      </c>
      <c r="N90" s="676">
        <v>95</v>
      </c>
      <c r="O90" s="676">
        <v>100</v>
      </c>
      <c r="P90" s="676">
        <v>105</v>
      </c>
      <c r="Q90" s="676"/>
      <c r="R90" s="676"/>
      <c r="S90" s="676"/>
      <c r="T90" s="728"/>
      <c r="AB90" s="471" t="s">
        <v>288</v>
      </c>
    </row>
    <row r="91" spans="3:28">
      <c r="C91" s="625"/>
      <c r="D91" s="727" t="str">
        <f>D90&amp;"-sizecurve"</f>
        <v>RDO7040-sizecurve</v>
      </c>
      <c r="E91" s="679"/>
      <c r="F91" s="680"/>
      <c r="G91" s="684">
        <v>90.1</v>
      </c>
      <c r="H91" s="670" t="s">
        <v>212</v>
      </c>
      <c r="I91" s="670">
        <v>0.01</v>
      </c>
      <c r="J91" s="670">
        <v>0.01</v>
      </c>
      <c r="K91" s="670">
        <v>0.03</v>
      </c>
      <c r="L91" s="670">
        <v>0.06</v>
      </c>
      <c r="M91" s="670">
        <v>0.09</v>
      </c>
      <c r="N91" s="670">
        <v>0.17</v>
      </c>
      <c r="O91" s="670">
        <v>0.26</v>
      </c>
      <c r="P91" s="670">
        <v>0.37</v>
      </c>
      <c r="Q91" s="670"/>
      <c r="R91" s="670"/>
      <c r="S91" s="670"/>
      <c r="T91" s="682"/>
      <c r="U91" s="487" t="str">
        <f>IF(SUBTOTAL(9,I91:T91)&lt;&gt;1,"WRONG NUMBERS","")</f>
        <v/>
      </c>
    </row>
    <row r="92" spans="3:28">
      <c r="C92" s="625" t="s">
        <v>149</v>
      </c>
      <c r="D92" s="727" t="s">
        <v>280</v>
      </c>
      <c r="E92" s="683" t="s">
        <v>133</v>
      </c>
      <c r="F92" s="673">
        <v>26</v>
      </c>
      <c r="G92" s="681">
        <v>91.1</v>
      </c>
      <c r="H92" s="683" t="s">
        <v>53</v>
      </c>
      <c r="I92" s="676">
        <v>70</v>
      </c>
      <c r="J92" s="676">
        <v>75</v>
      </c>
      <c r="K92" s="676">
        <v>80</v>
      </c>
      <c r="L92" s="676">
        <v>85</v>
      </c>
      <c r="M92" s="676">
        <v>90</v>
      </c>
      <c r="N92" s="676">
        <v>95</v>
      </c>
      <c r="O92" s="676">
        <v>100</v>
      </c>
      <c r="P92" s="676">
        <v>105</v>
      </c>
      <c r="Q92" s="676"/>
      <c r="R92" s="676"/>
      <c r="S92" s="676"/>
      <c r="T92" s="728"/>
      <c r="AB92" s="471" t="s">
        <v>288</v>
      </c>
    </row>
    <row r="93" spans="3:28" ht="14" thickBot="1">
      <c r="C93" s="644"/>
      <c r="D93" s="729" t="str">
        <f>D92&amp;"-sizecurve"</f>
        <v>RDO7030-sizecurve</v>
      </c>
      <c r="E93" s="715"/>
      <c r="F93" s="716"/>
      <c r="G93" s="717">
        <v>92.1</v>
      </c>
      <c r="H93" s="718"/>
      <c r="I93" s="718">
        <v>0.01</v>
      </c>
      <c r="J93" s="718">
        <v>0.01</v>
      </c>
      <c r="K93" s="718">
        <v>0.05</v>
      </c>
      <c r="L93" s="718">
        <v>0.1</v>
      </c>
      <c r="M93" s="718">
        <v>0.15</v>
      </c>
      <c r="N93" s="718">
        <v>0.17</v>
      </c>
      <c r="O93" s="718">
        <v>0.21</v>
      </c>
      <c r="P93" s="718">
        <v>0.3</v>
      </c>
      <c r="Q93" s="718"/>
      <c r="R93" s="718"/>
      <c r="S93" s="718"/>
      <c r="T93" s="730"/>
      <c r="U93" s="487" t="str">
        <f>IF(SUBTOTAL(9,I93:T93)&lt;&gt;1,"WRONG NUMBERS","")</f>
        <v/>
      </c>
    </row>
    <row r="94" spans="3:28">
      <c r="C94" s="503"/>
      <c r="D94" s="733" t="s">
        <v>198</v>
      </c>
      <c r="E94" s="734" t="s">
        <v>141</v>
      </c>
      <c r="F94" s="735">
        <v>226</v>
      </c>
      <c r="G94" s="736">
        <v>107.1</v>
      </c>
      <c r="H94" s="734" t="s">
        <v>53</v>
      </c>
      <c r="I94" s="737">
        <v>158</v>
      </c>
      <c r="J94" s="737">
        <v>162</v>
      </c>
      <c r="K94" s="737"/>
      <c r="L94" s="737"/>
      <c r="M94" s="737"/>
      <c r="N94" s="737"/>
      <c r="O94" s="737"/>
      <c r="P94" s="737"/>
      <c r="Q94" s="737"/>
      <c r="R94" s="737"/>
      <c r="S94" s="737"/>
      <c r="T94" s="738"/>
      <c r="U94" s="999" t="str">
        <f>IF(SUBTOTAL(9,I95:T95,I97:T97)&lt;&gt;1,"WRONG NUMBERS","")</f>
        <v/>
      </c>
      <c r="V94" s="471" t="s">
        <v>214</v>
      </c>
      <c r="AB94" s="471" t="s">
        <v>288</v>
      </c>
    </row>
    <row r="95" spans="3:28">
      <c r="C95" s="496"/>
      <c r="D95" s="726" t="str">
        <f>D94&amp;"-sizecurve"</f>
        <v>REJWC27-sizecurve</v>
      </c>
      <c r="E95" s="695"/>
      <c r="F95" s="696"/>
      <c r="G95" s="703">
        <v>108.1</v>
      </c>
      <c r="H95" s="698"/>
      <c r="I95" s="698">
        <v>0.28000000000000003</v>
      </c>
      <c r="J95" s="698">
        <v>0.19</v>
      </c>
      <c r="K95" s="698"/>
      <c r="L95" s="698"/>
      <c r="M95" s="698"/>
      <c r="N95" s="698"/>
      <c r="O95" s="698"/>
      <c r="P95" s="698"/>
      <c r="Q95" s="698"/>
      <c r="R95" s="698"/>
      <c r="S95" s="698"/>
      <c r="T95" s="739"/>
      <c r="U95" s="1000"/>
    </row>
    <row r="96" spans="3:28">
      <c r="C96" s="496"/>
      <c r="D96" s="726" t="s">
        <v>199</v>
      </c>
      <c r="E96" s="700" t="s">
        <v>142</v>
      </c>
      <c r="F96" s="696">
        <v>226</v>
      </c>
      <c r="G96" s="697">
        <v>109.1</v>
      </c>
      <c r="H96" s="700" t="s">
        <v>53</v>
      </c>
      <c r="I96" s="701">
        <v>155</v>
      </c>
      <c r="J96" s="701">
        <v>160</v>
      </c>
      <c r="K96" s="701"/>
      <c r="L96" s="701"/>
      <c r="M96" s="701"/>
      <c r="N96" s="701"/>
      <c r="O96" s="701"/>
      <c r="P96" s="701"/>
      <c r="Q96" s="701"/>
      <c r="R96" s="701"/>
      <c r="S96" s="701"/>
      <c r="T96" s="740"/>
      <c r="U96" s="1000"/>
      <c r="V96" s="471" t="s">
        <v>214</v>
      </c>
      <c r="AB96" s="471" t="s">
        <v>288</v>
      </c>
    </row>
    <row r="97" spans="2:28" ht="14" thickBot="1">
      <c r="C97" s="497"/>
      <c r="D97" s="741" t="str">
        <f>D96&amp;"-sizecurve"</f>
        <v>REJWC25-sizecurve</v>
      </c>
      <c r="E97" s="705"/>
      <c r="F97" s="706"/>
      <c r="G97" s="742">
        <v>110.1</v>
      </c>
      <c r="H97" s="708"/>
      <c r="I97" s="708">
        <v>0.3</v>
      </c>
      <c r="J97" s="708">
        <v>0.23</v>
      </c>
      <c r="K97" s="708"/>
      <c r="L97" s="708"/>
      <c r="M97" s="708"/>
      <c r="N97" s="708"/>
      <c r="O97" s="708"/>
      <c r="P97" s="708"/>
      <c r="Q97" s="708"/>
      <c r="R97" s="708"/>
      <c r="S97" s="708"/>
      <c r="T97" s="743"/>
      <c r="U97" s="1001"/>
      <c r="V97" s="472"/>
    </row>
    <row r="98" spans="2:28">
      <c r="C98" s="643"/>
      <c r="D98" s="744" t="s">
        <v>281</v>
      </c>
      <c r="E98" s="745" t="s">
        <v>138</v>
      </c>
      <c r="F98" s="746">
        <v>250</v>
      </c>
      <c r="G98" s="747">
        <v>101.1</v>
      </c>
      <c r="H98" s="745" t="s">
        <v>53</v>
      </c>
      <c r="I98" s="748">
        <v>155</v>
      </c>
      <c r="J98" s="748">
        <v>160</v>
      </c>
      <c r="K98" s="748">
        <v>165</v>
      </c>
      <c r="L98" s="748"/>
      <c r="M98" s="748"/>
      <c r="N98" s="748"/>
      <c r="O98" s="748"/>
      <c r="P98" s="748"/>
      <c r="Q98" s="748"/>
      <c r="R98" s="748"/>
      <c r="S98" s="748"/>
      <c r="T98" s="749"/>
      <c r="U98" s="996" t="str">
        <f>IF(SUBTOTAL(9,I99:T99,I101:T101,I103:T103)&lt;&gt;1,"WRONG NUMBERS","")</f>
        <v/>
      </c>
      <c r="AB98" s="471" t="s">
        <v>288</v>
      </c>
    </row>
    <row r="99" spans="2:28">
      <c r="C99" s="625"/>
      <c r="D99" s="727" t="str">
        <f>D98&amp;"-sizecurve"</f>
        <v>REOTP02-sizecurve</v>
      </c>
      <c r="E99" s="679"/>
      <c r="F99" s="680"/>
      <c r="G99" s="684">
        <v>102.1</v>
      </c>
      <c r="H99" s="670"/>
      <c r="I99" s="670">
        <v>0.1</v>
      </c>
      <c r="J99" s="670">
        <v>0.11</v>
      </c>
      <c r="K99" s="670">
        <v>0.06</v>
      </c>
      <c r="L99" s="750"/>
      <c r="M99" s="670"/>
      <c r="N99" s="670"/>
      <c r="O99" s="670"/>
      <c r="P99" s="670"/>
      <c r="Q99" s="670"/>
      <c r="R99" s="670"/>
      <c r="S99" s="670"/>
      <c r="T99" s="682"/>
      <c r="U99" s="997"/>
    </row>
    <row r="100" spans="2:28">
      <c r="C100" s="625"/>
      <c r="D100" s="727" t="s">
        <v>282</v>
      </c>
      <c r="E100" s="683" t="s">
        <v>139</v>
      </c>
      <c r="F100" s="680">
        <v>250</v>
      </c>
      <c r="G100" s="681">
        <v>103.1</v>
      </c>
      <c r="H100" s="683" t="s">
        <v>53</v>
      </c>
      <c r="I100" s="676">
        <v>140</v>
      </c>
      <c r="J100" s="676">
        <v>145</v>
      </c>
      <c r="K100" s="676">
        <v>150</v>
      </c>
      <c r="L100" s="676">
        <v>155</v>
      </c>
      <c r="M100" s="676"/>
      <c r="N100" s="676"/>
      <c r="O100" s="676"/>
      <c r="P100" s="676"/>
      <c r="Q100" s="676"/>
      <c r="R100" s="676"/>
      <c r="S100" s="676"/>
      <c r="T100" s="728"/>
      <c r="U100" s="997"/>
      <c r="AB100" s="471" t="s">
        <v>288</v>
      </c>
    </row>
    <row r="101" spans="2:28">
      <c r="C101" s="625"/>
      <c r="D101" s="727" t="str">
        <f>D100&amp;"-sizecurve"</f>
        <v>REOTP01-sizecurve</v>
      </c>
      <c r="E101" s="679"/>
      <c r="F101" s="680"/>
      <c r="G101" s="681">
        <v>104.1</v>
      </c>
      <c r="H101" s="670"/>
      <c r="I101" s="670">
        <v>0.11</v>
      </c>
      <c r="J101" s="670">
        <v>0.15</v>
      </c>
      <c r="K101" s="670">
        <v>0.19</v>
      </c>
      <c r="L101" s="670">
        <v>0.1</v>
      </c>
      <c r="M101" s="750"/>
      <c r="N101" s="670"/>
      <c r="O101" s="670"/>
      <c r="P101" s="670"/>
      <c r="Q101" s="670"/>
      <c r="R101" s="670"/>
      <c r="S101" s="670"/>
      <c r="T101" s="682"/>
      <c r="U101" s="997"/>
    </row>
    <row r="102" spans="2:28">
      <c r="C102" s="625"/>
      <c r="D102" s="727" t="s">
        <v>283</v>
      </c>
      <c r="E102" s="683" t="s">
        <v>140</v>
      </c>
      <c r="F102" s="680">
        <v>250</v>
      </c>
      <c r="G102" s="684">
        <v>105.1</v>
      </c>
      <c r="H102" s="683" t="s">
        <v>53</v>
      </c>
      <c r="I102" s="676">
        <v>130</v>
      </c>
      <c r="J102" s="676">
        <v>135</v>
      </c>
      <c r="K102" s="676">
        <v>140</v>
      </c>
      <c r="L102" s="676">
        <v>145</v>
      </c>
      <c r="M102" s="676">
        <v>150</v>
      </c>
      <c r="N102" s="676"/>
      <c r="O102" s="676"/>
      <c r="P102" s="676"/>
      <c r="Q102" s="676"/>
      <c r="R102" s="676"/>
      <c r="S102" s="676"/>
      <c r="T102" s="728"/>
      <c r="U102" s="997"/>
      <c r="AB102" s="471" t="s">
        <v>288</v>
      </c>
    </row>
    <row r="103" spans="2:28" ht="14" thickBot="1">
      <c r="C103" s="625"/>
      <c r="D103" s="727" t="str">
        <f>D102&amp;"-sizecurve"</f>
        <v>REOT501-sizecurve</v>
      </c>
      <c r="E103" s="679"/>
      <c r="F103" s="680"/>
      <c r="G103" s="681">
        <v>106.1</v>
      </c>
      <c r="H103" s="670"/>
      <c r="I103" s="670">
        <v>0.06</v>
      </c>
      <c r="J103" s="670">
        <v>7.0000000000000007E-2</v>
      </c>
      <c r="K103" s="670">
        <v>0.03</v>
      </c>
      <c r="L103" s="670">
        <v>0.01</v>
      </c>
      <c r="M103" s="670">
        <v>0.01</v>
      </c>
      <c r="N103" s="750"/>
      <c r="O103" s="750"/>
      <c r="P103" s="670"/>
      <c r="Q103" s="670"/>
      <c r="R103" s="670"/>
      <c r="S103" s="670"/>
      <c r="T103" s="682"/>
      <c r="U103" s="998"/>
    </row>
    <row r="104" spans="2:28">
      <c r="C104" s="625"/>
      <c r="D104" s="727" t="s">
        <v>197</v>
      </c>
      <c r="E104" s="683" t="s">
        <v>143</v>
      </c>
      <c r="F104" s="673">
        <v>212</v>
      </c>
      <c r="G104" s="684">
        <v>111.1</v>
      </c>
      <c r="H104" s="683" t="s">
        <v>53</v>
      </c>
      <c r="I104" s="676" t="s">
        <v>2</v>
      </c>
      <c r="J104" s="676"/>
      <c r="K104" s="676"/>
      <c r="L104" s="676"/>
      <c r="M104" s="676"/>
      <c r="N104" s="676"/>
      <c r="O104" s="676"/>
      <c r="P104" s="676"/>
      <c r="Q104" s="676"/>
      <c r="R104" s="676"/>
      <c r="S104" s="676"/>
      <c r="T104" s="728"/>
      <c r="U104" s="999" t="str">
        <f>IF(SUBTOTAL(9,I105:T105,I107:T107)&lt;&gt;1,"WRONG NUMBERS","")</f>
        <v/>
      </c>
      <c r="V104" s="472"/>
      <c r="AB104" s="471" t="s">
        <v>288</v>
      </c>
    </row>
    <row r="105" spans="2:28">
      <c r="C105" s="625"/>
      <c r="D105" s="727" t="str">
        <f>D104&amp;"-sizecurve"</f>
        <v>RGJ0080-sizecurve</v>
      </c>
      <c r="E105" s="679"/>
      <c r="F105" s="680"/>
      <c r="G105" s="681">
        <v>112.1</v>
      </c>
      <c r="H105" s="670"/>
      <c r="I105" s="670">
        <v>0.63</v>
      </c>
      <c r="J105" s="670"/>
      <c r="K105" s="670"/>
      <c r="L105" s="670"/>
      <c r="M105" s="670"/>
      <c r="N105" s="670"/>
      <c r="O105" s="670"/>
      <c r="P105" s="670"/>
      <c r="Q105" s="670"/>
      <c r="R105" s="670"/>
      <c r="S105" s="670"/>
      <c r="T105" s="682"/>
      <c r="U105" s="1000"/>
      <c r="V105" s="472"/>
    </row>
    <row r="106" spans="2:28">
      <c r="C106" s="625"/>
      <c r="D106" s="727" t="s">
        <v>196</v>
      </c>
      <c r="E106" s="683" t="s">
        <v>144</v>
      </c>
      <c r="F106" s="673">
        <v>212</v>
      </c>
      <c r="G106" s="681">
        <v>113.1</v>
      </c>
      <c r="H106" s="683" t="s">
        <v>53</v>
      </c>
      <c r="I106" s="676" t="s">
        <v>3</v>
      </c>
      <c r="J106" s="676"/>
      <c r="K106" s="676"/>
      <c r="L106" s="676"/>
      <c r="M106" s="676"/>
      <c r="N106" s="676"/>
      <c r="O106" s="676"/>
      <c r="P106" s="676"/>
      <c r="Q106" s="676"/>
      <c r="R106" s="676"/>
      <c r="S106" s="676"/>
      <c r="T106" s="728"/>
      <c r="U106" s="1000"/>
      <c r="V106" s="472"/>
      <c r="AB106" s="471" t="s">
        <v>288</v>
      </c>
    </row>
    <row r="107" spans="2:28" ht="14" thickBot="1">
      <c r="C107" s="625"/>
      <c r="D107" s="729" t="str">
        <f>D106&amp;"-sizecurve"</f>
        <v>RGJ0081-sizecurve</v>
      </c>
      <c r="E107" s="715"/>
      <c r="F107" s="716"/>
      <c r="G107" s="751">
        <v>114.1</v>
      </c>
      <c r="H107" s="718"/>
      <c r="I107" s="718">
        <v>0.37</v>
      </c>
      <c r="J107" s="718"/>
      <c r="K107" s="718"/>
      <c r="L107" s="718"/>
      <c r="M107" s="718"/>
      <c r="N107" s="718"/>
      <c r="O107" s="718"/>
      <c r="P107" s="718"/>
      <c r="Q107" s="718"/>
      <c r="R107" s="718"/>
      <c r="S107" s="718"/>
      <c r="T107" s="730"/>
      <c r="U107" s="1001"/>
      <c r="V107" s="472"/>
    </row>
    <row r="108" spans="2:28">
      <c r="C108" s="643"/>
      <c r="D108" s="752" t="s">
        <v>284</v>
      </c>
      <c r="E108" s="745" t="s">
        <v>134</v>
      </c>
      <c r="F108" s="746">
        <v>225</v>
      </c>
      <c r="G108" s="753">
        <v>93.1</v>
      </c>
      <c r="H108" s="745" t="s">
        <v>53</v>
      </c>
      <c r="I108" s="748">
        <v>155</v>
      </c>
      <c r="J108" s="748">
        <v>160</v>
      </c>
      <c r="K108" s="748">
        <v>165</v>
      </c>
      <c r="L108" s="748"/>
      <c r="M108" s="748"/>
      <c r="N108" s="748"/>
      <c r="O108" s="748"/>
      <c r="P108" s="748"/>
      <c r="Q108" s="748"/>
      <c r="R108" s="748"/>
      <c r="S108" s="748"/>
      <c r="T108" s="749"/>
      <c r="U108" s="996" t="str">
        <f>IF(SUBTOTAL(9,I109:T109,I111:T111,I113:T113)&lt;&gt;1,"WRONG NUMBERS","")</f>
        <v/>
      </c>
      <c r="AB108" s="471" t="s">
        <v>288</v>
      </c>
    </row>
    <row r="109" spans="2:28">
      <c r="C109" s="625"/>
      <c r="D109" s="713" t="str">
        <f>D108&amp;"-sizecurve"</f>
        <v>RENNA01-sizecurve</v>
      </c>
      <c r="E109" s="679"/>
      <c r="F109" s="680"/>
      <c r="G109" s="681">
        <v>94.1</v>
      </c>
      <c r="H109" s="670"/>
      <c r="I109" s="670">
        <v>0.06</v>
      </c>
      <c r="J109" s="670">
        <v>0.08</v>
      </c>
      <c r="K109" s="670">
        <v>0.05</v>
      </c>
      <c r="L109" s="750"/>
      <c r="M109" s="670"/>
      <c r="N109" s="670"/>
      <c r="O109" s="670"/>
      <c r="P109" s="670"/>
      <c r="Q109" s="670"/>
      <c r="R109" s="670"/>
      <c r="S109" s="670"/>
      <c r="T109" s="682"/>
      <c r="U109" s="997"/>
    </row>
    <row r="110" spans="2:28">
      <c r="C110" s="625"/>
      <c r="D110" s="713" t="s">
        <v>285</v>
      </c>
      <c r="E110" s="683" t="s">
        <v>135</v>
      </c>
      <c r="F110" s="680">
        <v>225</v>
      </c>
      <c r="G110" s="681">
        <v>95.1</v>
      </c>
      <c r="H110" s="683" t="s">
        <v>53</v>
      </c>
      <c r="I110" s="676">
        <v>140</v>
      </c>
      <c r="J110" s="676">
        <v>145</v>
      </c>
      <c r="K110" s="676">
        <v>150</v>
      </c>
      <c r="L110" s="676">
        <v>155</v>
      </c>
      <c r="M110" s="676">
        <v>160</v>
      </c>
      <c r="N110" s="676"/>
      <c r="O110" s="676"/>
      <c r="P110" s="676"/>
      <c r="Q110" s="676"/>
      <c r="R110" s="676"/>
      <c r="S110" s="676"/>
      <c r="T110" s="728"/>
      <c r="U110" s="997"/>
      <c r="AB110" s="471" t="s">
        <v>288</v>
      </c>
    </row>
    <row r="111" spans="2:28">
      <c r="B111" s="504"/>
      <c r="C111" s="625"/>
      <c r="D111" s="713" t="str">
        <f>D110&amp;"-sizecurve"</f>
        <v>RENN901-sizecurve</v>
      </c>
      <c r="E111" s="679"/>
      <c r="F111" s="680"/>
      <c r="G111" s="684">
        <v>96.1</v>
      </c>
      <c r="H111" s="670"/>
      <c r="I111" s="670">
        <v>0.15</v>
      </c>
      <c r="J111" s="670">
        <v>0.13</v>
      </c>
      <c r="K111" s="670">
        <v>0.27</v>
      </c>
      <c r="L111" s="670">
        <v>0.13</v>
      </c>
      <c r="M111" s="670">
        <v>0.05</v>
      </c>
      <c r="N111" s="670"/>
      <c r="O111" s="670"/>
      <c r="P111" s="670"/>
      <c r="Q111" s="670"/>
      <c r="R111" s="670"/>
      <c r="S111" s="670"/>
      <c r="T111" s="682"/>
      <c r="U111" s="997"/>
    </row>
    <row r="112" spans="2:28">
      <c r="B112" s="504"/>
      <c r="C112" s="625"/>
      <c r="D112" s="713" t="s">
        <v>286</v>
      </c>
      <c r="E112" s="683" t="s">
        <v>136</v>
      </c>
      <c r="F112" s="680">
        <v>225</v>
      </c>
      <c r="G112" s="681">
        <v>97.1</v>
      </c>
      <c r="H112" s="683" t="s">
        <v>53</v>
      </c>
      <c r="I112" s="676">
        <v>135</v>
      </c>
      <c r="J112" s="676">
        <v>140</v>
      </c>
      <c r="K112" s="676">
        <v>145</v>
      </c>
      <c r="L112" s="676"/>
      <c r="M112" s="676"/>
      <c r="N112" s="676"/>
      <c r="O112" s="676"/>
      <c r="P112" s="676"/>
      <c r="Q112" s="676"/>
      <c r="R112" s="676"/>
      <c r="S112" s="676"/>
      <c r="T112" s="728"/>
      <c r="U112" s="997"/>
      <c r="AB112" s="471" t="s">
        <v>288</v>
      </c>
    </row>
    <row r="113" spans="2:28" ht="14" thickBot="1">
      <c r="B113" s="504"/>
      <c r="C113" s="625"/>
      <c r="D113" s="713" t="str">
        <f>D112&amp;"-sizecurve"</f>
        <v>RENN802-sizecurve</v>
      </c>
      <c r="E113" s="679"/>
      <c r="F113" s="680"/>
      <c r="G113" s="681">
        <v>98.1</v>
      </c>
      <c r="H113" s="670"/>
      <c r="I113" s="670">
        <v>0.03</v>
      </c>
      <c r="J113" s="670">
        <v>0.04</v>
      </c>
      <c r="K113" s="670">
        <v>0.01</v>
      </c>
      <c r="L113" s="750"/>
      <c r="M113" s="750"/>
      <c r="N113" s="750"/>
      <c r="O113" s="750"/>
      <c r="P113" s="670"/>
      <c r="Q113" s="670"/>
      <c r="R113" s="670"/>
      <c r="S113" s="670"/>
      <c r="T113" s="682"/>
      <c r="U113" s="998"/>
    </row>
    <row r="114" spans="2:28">
      <c r="B114" s="504"/>
      <c r="C114" s="625"/>
      <c r="D114" s="713" t="s">
        <v>195</v>
      </c>
      <c r="E114" s="683" t="s">
        <v>145</v>
      </c>
      <c r="F114" s="673">
        <v>212</v>
      </c>
      <c r="G114" s="681">
        <v>115.1</v>
      </c>
      <c r="H114" s="683" t="s">
        <v>53</v>
      </c>
      <c r="I114" s="676" t="s">
        <v>2</v>
      </c>
      <c r="J114" s="676"/>
      <c r="K114" s="676"/>
      <c r="L114" s="676"/>
      <c r="M114" s="676"/>
      <c r="N114" s="676"/>
      <c r="O114" s="676"/>
      <c r="P114" s="676"/>
      <c r="Q114" s="676"/>
      <c r="R114" s="676"/>
      <c r="S114" s="676"/>
      <c r="T114" s="728"/>
      <c r="U114" s="999" t="str">
        <f>IF(SUBTOTAL(9,I115:T115,I117:T117)&lt;&gt;1,"WRONG NUMBERS","")</f>
        <v/>
      </c>
      <c r="V114" s="472"/>
      <c r="AB114" s="471" t="s">
        <v>288</v>
      </c>
    </row>
    <row r="115" spans="2:28">
      <c r="B115" s="504"/>
      <c r="C115" s="625"/>
      <c r="D115" s="713" t="str">
        <f>D114&amp;"-sizecurve"</f>
        <v>RGJ0082-sizecurve</v>
      </c>
      <c r="E115" s="679"/>
      <c r="F115" s="680"/>
      <c r="G115" s="681">
        <v>116.1</v>
      </c>
      <c r="H115" s="670"/>
      <c r="I115" s="670">
        <v>0.56999999999999995</v>
      </c>
      <c r="J115" s="670"/>
      <c r="K115" s="670"/>
      <c r="L115" s="670"/>
      <c r="M115" s="670"/>
      <c r="N115" s="670"/>
      <c r="O115" s="670"/>
      <c r="P115" s="670"/>
      <c r="Q115" s="670"/>
      <c r="R115" s="670"/>
      <c r="S115" s="670"/>
      <c r="T115" s="682"/>
      <c r="U115" s="1000"/>
      <c r="V115" s="472"/>
    </row>
    <row r="116" spans="2:28">
      <c r="B116" s="504"/>
      <c r="C116" s="625"/>
      <c r="D116" s="713" t="s">
        <v>194</v>
      </c>
      <c r="E116" s="683" t="s">
        <v>146</v>
      </c>
      <c r="F116" s="673">
        <v>212</v>
      </c>
      <c r="G116" s="684">
        <v>117.1</v>
      </c>
      <c r="H116" s="683" t="s">
        <v>53</v>
      </c>
      <c r="I116" s="676" t="s">
        <v>3</v>
      </c>
      <c r="J116" s="676"/>
      <c r="K116" s="676"/>
      <c r="L116" s="676"/>
      <c r="M116" s="676"/>
      <c r="N116" s="676"/>
      <c r="O116" s="676"/>
      <c r="P116" s="676"/>
      <c r="Q116" s="676"/>
      <c r="R116" s="676"/>
      <c r="S116" s="676"/>
      <c r="T116" s="728"/>
      <c r="U116" s="1000"/>
      <c r="V116" s="472"/>
      <c r="AB116" s="471" t="s">
        <v>288</v>
      </c>
    </row>
    <row r="117" spans="2:28" ht="14" thickBot="1">
      <c r="B117" s="504"/>
      <c r="C117" s="625"/>
      <c r="D117" s="714" t="str">
        <f>D116&amp;"-sizecurve"</f>
        <v>RGJ0083-sizecurve</v>
      </c>
      <c r="E117" s="715"/>
      <c r="F117" s="716"/>
      <c r="G117" s="717">
        <v>118.1</v>
      </c>
      <c r="H117" s="718"/>
      <c r="I117" s="718">
        <v>0.43</v>
      </c>
      <c r="J117" s="718"/>
      <c r="K117" s="718"/>
      <c r="L117" s="718"/>
      <c r="M117" s="718"/>
      <c r="N117" s="718"/>
      <c r="O117" s="718"/>
      <c r="P117" s="718"/>
      <c r="Q117" s="718"/>
      <c r="R117" s="718"/>
      <c r="S117" s="718"/>
      <c r="T117" s="730"/>
      <c r="U117" s="1001"/>
      <c r="V117" s="472"/>
    </row>
    <row r="118" spans="2:28">
      <c r="B118" s="504"/>
      <c r="C118" s="503"/>
      <c r="D118" s="744" t="s">
        <v>219</v>
      </c>
      <c r="E118" s="745" t="s">
        <v>220</v>
      </c>
      <c r="F118" s="673">
        <v>212</v>
      </c>
      <c r="G118" s="753">
        <v>123.1</v>
      </c>
      <c r="H118" s="745" t="s">
        <v>53</v>
      </c>
      <c r="I118" s="711">
        <v>5.5</v>
      </c>
      <c r="J118" s="711">
        <v>6.5</v>
      </c>
      <c r="K118" s="711">
        <v>7.5</v>
      </c>
      <c r="L118" s="711">
        <v>8.5</v>
      </c>
      <c r="M118" s="711">
        <v>9.5</v>
      </c>
      <c r="N118" s="711">
        <v>10.5</v>
      </c>
      <c r="O118" s="711">
        <v>11.5</v>
      </c>
      <c r="P118" s="711">
        <v>12.5</v>
      </c>
      <c r="Q118" s="711">
        <v>13.5</v>
      </c>
      <c r="R118" s="711">
        <v>14.5</v>
      </c>
      <c r="S118" s="711">
        <v>15.5</v>
      </c>
      <c r="T118" s="749"/>
      <c r="V118" s="472"/>
      <c r="AB118" s="471" t="s">
        <v>288</v>
      </c>
    </row>
    <row r="119" spans="2:28">
      <c r="B119" s="504"/>
      <c r="C119" s="496"/>
      <c r="D119" s="727" t="str">
        <f>D118&amp;"-sizecurve"</f>
        <v>RFM0043-sizecurve</v>
      </c>
      <c r="E119" s="679"/>
      <c r="F119" s="680"/>
      <c r="G119" s="681">
        <v>124.1</v>
      </c>
      <c r="H119" s="670"/>
      <c r="I119" s="670">
        <v>5.4426377597109304E-2</v>
      </c>
      <c r="J119" s="670">
        <v>8.4688346883468837E-2</v>
      </c>
      <c r="K119" s="670">
        <v>0.11156278229448961</v>
      </c>
      <c r="L119" s="670">
        <v>0.12951671183378499</v>
      </c>
      <c r="M119" s="670">
        <v>0.15334236675700091</v>
      </c>
      <c r="N119" s="670">
        <v>0.16723125564588978</v>
      </c>
      <c r="O119" s="670">
        <v>0.14668021680216803</v>
      </c>
      <c r="P119" s="670">
        <v>9.0447154471544722E-2</v>
      </c>
      <c r="Q119" s="670">
        <v>3.6698283649503165E-2</v>
      </c>
      <c r="R119" s="670">
        <v>1.546973803071364E-2</v>
      </c>
      <c r="S119" s="670">
        <v>9.9367660343270096E-3</v>
      </c>
      <c r="T119" s="682"/>
      <c r="U119" s="487" t="str">
        <f>IF(SUBTOTAL(9,I119:T119)&lt;&gt;1,"WRONG NUMBERS","")</f>
        <v/>
      </c>
      <c r="V119" s="472"/>
    </row>
    <row r="120" spans="2:28">
      <c r="B120" s="504"/>
      <c r="C120" s="496"/>
      <c r="D120" s="727" t="s">
        <v>221</v>
      </c>
      <c r="E120" s="683" t="s">
        <v>222</v>
      </c>
      <c r="F120" s="673">
        <v>165</v>
      </c>
      <c r="G120" s="681">
        <v>125.1</v>
      </c>
      <c r="H120" s="683" t="s">
        <v>53</v>
      </c>
      <c r="I120" s="676">
        <v>5.5</v>
      </c>
      <c r="J120" s="676">
        <v>6.5</v>
      </c>
      <c r="K120" s="676">
        <v>7.5</v>
      </c>
      <c r="L120" s="676">
        <v>8.5</v>
      </c>
      <c r="M120" s="676">
        <v>9.5</v>
      </c>
      <c r="N120" s="676">
        <v>10.5</v>
      </c>
      <c r="O120" s="676">
        <v>11.5</v>
      </c>
      <c r="P120" s="676">
        <v>12.5</v>
      </c>
      <c r="Q120" s="676">
        <v>13.5</v>
      </c>
      <c r="R120" s="676">
        <v>14.5</v>
      </c>
      <c r="S120" s="676">
        <v>15.5</v>
      </c>
      <c r="T120" s="728"/>
      <c r="V120" s="472"/>
      <c r="AB120" s="471" t="s">
        <v>288</v>
      </c>
    </row>
    <row r="121" spans="2:28" ht="14" thickBot="1">
      <c r="B121" s="504"/>
      <c r="C121" s="497"/>
      <c r="D121" s="729" t="str">
        <f>D120&amp;"-sizecurve"</f>
        <v>RFM0042-sizecurve</v>
      </c>
      <c r="E121" s="715"/>
      <c r="F121" s="716"/>
      <c r="G121" s="751">
        <v>126.1</v>
      </c>
      <c r="H121" s="718"/>
      <c r="I121" s="718">
        <v>0.04</v>
      </c>
      <c r="J121" s="718">
        <v>7.0000000000000007E-2</v>
      </c>
      <c r="K121" s="718">
        <v>0.1</v>
      </c>
      <c r="L121" s="718">
        <v>0.14000000000000001</v>
      </c>
      <c r="M121" s="718">
        <v>0.16</v>
      </c>
      <c r="N121" s="718">
        <v>0.17</v>
      </c>
      <c r="O121" s="718">
        <v>0.15</v>
      </c>
      <c r="P121" s="718">
        <v>0.1</v>
      </c>
      <c r="Q121" s="718">
        <v>0.05</v>
      </c>
      <c r="R121" s="718">
        <v>0.01</v>
      </c>
      <c r="S121" s="718">
        <v>0.01</v>
      </c>
      <c r="T121" s="730"/>
      <c r="U121" s="487" t="str">
        <f>IF(SUBTOTAL(9,I121:T121)&lt;&gt;1,"WRONG NUMBERS","")</f>
        <v/>
      </c>
      <c r="V121" s="472"/>
    </row>
    <row r="122" spans="2:28">
      <c r="B122" s="504"/>
      <c r="C122" s="643"/>
      <c r="D122" s="744" t="s">
        <v>287</v>
      </c>
      <c r="E122" s="745" t="s">
        <v>137</v>
      </c>
      <c r="F122" s="746">
        <v>135</v>
      </c>
      <c r="G122" s="753">
        <v>99.1</v>
      </c>
      <c r="H122" s="745" t="s">
        <v>53</v>
      </c>
      <c r="I122" s="748">
        <v>70</v>
      </c>
      <c r="J122" s="748">
        <v>80</v>
      </c>
      <c r="K122" s="748">
        <v>90</v>
      </c>
      <c r="L122" s="748">
        <v>100</v>
      </c>
      <c r="M122" s="748">
        <v>110</v>
      </c>
      <c r="N122" s="748">
        <v>120</v>
      </c>
      <c r="O122" s="748">
        <v>125</v>
      </c>
      <c r="P122" s="748">
        <v>130</v>
      </c>
      <c r="Q122" s="748">
        <v>135.1</v>
      </c>
      <c r="R122" s="748"/>
      <c r="S122" s="748"/>
      <c r="T122" s="749"/>
      <c r="AB122" s="471" t="s">
        <v>288</v>
      </c>
    </row>
    <row r="123" spans="2:28" ht="14" thickBot="1">
      <c r="B123" s="504"/>
      <c r="C123" s="625"/>
      <c r="D123" s="727" t="str">
        <f>D122&amp;"-sizecurve"</f>
        <v>RENN701-sizecurve</v>
      </c>
      <c r="E123" s="679"/>
      <c r="F123" s="680"/>
      <c r="G123" s="684">
        <v>100.1</v>
      </c>
      <c r="H123" s="670"/>
      <c r="I123" s="670">
        <v>0.04</v>
      </c>
      <c r="J123" s="670">
        <v>0.09</v>
      </c>
      <c r="K123" s="670">
        <v>0.1</v>
      </c>
      <c r="L123" s="670">
        <v>0.1</v>
      </c>
      <c r="M123" s="670">
        <v>0.14000000000000001</v>
      </c>
      <c r="N123" s="670">
        <v>0.17</v>
      </c>
      <c r="O123" s="670">
        <v>0.08</v>
      </c>
      <c r="P123" s="670">
        <v>0.21</v>
      </c>
      <c r="Q123" s="670">
        <v>7.0000000000000007E-2</v>
      </c>
      <c r="R123" s="670"/>
      <c r="S123" s="670"/>
      <c r="T123" s="682"/>
      <c r="U123" s="487" t="str">
        <f>IF(SUBTOTAL(9,I123:T123)&lt;&gt;1,"WRONG NUMBERS","")</f>
        <v/>
      </c>
    </row>
    <row r="124" spans="2:28">
      <c r="B124" s="504"/>
      <c r="C124" s="625"/>
      <c r="D124" s="727" t="s">
        <v>217</v>
      </c>
      <c r="E124" s="683" t="s">
        <v>147</v>
      </c>
      <c r="F124" s="673">
        <v>93</v>
      </c>
      <c r="G124" s="681">
        <v>119.1</v>
      </c>
      <c r="H124" s="683" t="s">
        <v>53</v>
      </c>
      <c r="I124" s="676" t="s">
        <v>8</v>
      </c>
      <c r="J124" s="676"/>
      <c r="K124" s="676"/>
      <c r="L124" s="676"/>
      <c r="M124" s="676"/>
      <c r="N124" s="676"/>
      <c r="O124" s="676"/>
      <c r="P124" s="676"/>
      <c r="Q124" s="676"/>
      <c r="R124" s="676"/>
      <c r="S124" s="676"/>
      <c r="T124" s="728"/>
      <c r="U124" s="999" t="str">
        <f>IF(SUBTOTAL(9,I125:T125,I127:T127)&lt;&gt;1,"WRONG NUMBERS","")</f>
        <v/>
      </c>
      <c r="V124" s="472"/>
      <c r="AB124" s="471" t="s">
        <v>288</v>
      </c>
    </row>
    <row r="125" spans="2:28">
      <c r="B125" s="504"/>
      <c r="C125" s="625"/>
      <c r="D125" s="727" t="str">
        <f>D124&amp;"-sizecurve"</f>
        <v>RGMRK01-sizecurve</v>
      </c>
      <c r="E125" s="679"/>
      <c r="F125" s="680"/>
      <c r="G125" s="684">
        <v>120.1</v>
      </c>
      <c r="H125" s="670"/>
      <c r="I125" s="670">
        <v>0.71</v>
      </c>
      <c r="J125" s="670"/>
      <c r="K125" s="670"/>
      <c r="L125" s="670"/>
      <c r="M125" s="670"/>
      <c r="N125" s="670"/>
      <c r="O125" s="670"/>
      <c r="P125" s="670"/>
      <c r="Q125" s="670"/>
      <c r="R125" s="670"/>
      <c r="S125" s="670"/>
      <c r="T125" s="682"/>
      <c r="U125" s="1000"/>
      <c r="V125" s="472"/>
    </row>
    <row r="126" spans="2:28">
      <c r="B126" s="504"/>
      <c r="C126" s="625"/>
      <c r="D126" s="727" t="s">
        <v>218</v>
      </c>
      <c r="E126" s="683" t="s">
        <v>193</v>
      </c>
      <c r="F126" s="673">
        <v>77</v>
      </c>
      <c r="G126" s="681">
        <v>121.1</v>
      </c>
      <c r="H126" s="683" t="s">
        <v>53</v>
      </c>
      <c r="I126" s="676" t="s">
        <v>101</v>
      </c>
      <c r="J126" s="676"/>
      <c r="K126" s="676"/>
      <c r="L126" s="676"/>
      <c r="M126" s="676"/>
      <c r="N126" s="676"/>
      <c r="O126" s="676"/>
      <c r="P126" s="676"/>
      <c r="Q126" s="676"/>
      <c r="R126" s="676"/>
      <c r="S126" s="676"/>
      <c r="T126" s="728"/>
      <c r="U126" s="1000"/>
      <c r="V126" s="472"/>
      <c r="AB126" s="471" t="s">
        <v>288</v>
      </c>
    </row>
    <row r="127" spans="2:28" ht="14" thickBot="1">
      <c r="B127" s="504"/>
      <c r="C127" s="644"/>
      <c r="D127" s="729" t="str">
        <f>D126&amp;"-sizecurve"</f>
        <v>RGMRK02-sizecurve</v>
      </c>
      <c r="E127" s="715"/>
      <c r="F127" s="716"/>
      <c r="G127" s="717">
        <v>122.1</v>
      </c>
      <c r="H127" s="718"/>
      <c r="I127" s="718">
        <v>0.28999999999999998</v>
      </c>
      <c r="J127" s="718"/>
      <c r="K127" s="718"/>
      <c r="L127" s="718"/>
      <c r="M127" s="718"/>
      <c r="N127" s="718"/>
      <c r="O127" s="718"/>
      <c r="P127" s="718"/>
      <c r="Q127" s="718"/>
      <c r="R127" s="718"/>
      <c r="S127" s="718"/>
      <c r="T127" s="730"/>
      <c r="U127" s="1001"/>
      <c r="V127" s="472"/>
    </row>
    <row r="128" spans="2:28">
      <c r="B128" s="504"/>
      <c r="D128" s="754" t="s">
        <v>223</v>
      </c>
      <c r="E128" s="672" t="s">
        <v>148</v>
      </c>
      <c r="F128" s="673">
        <v>135</v>
      </c>
      <c r="G128" s="674">
        <v>127.1</v>
      </c>
      <c r="H128" s="672" t="s">
        <v>53</v>
      </c>
      <c r="I128" s="711">
        <v>1</v>
      </c>
      <c r="J128" s="711">
        <v>2</v>
      </c>
      <c r="K128" s="711">
        <v>3</v>
      </c>
      <c r="L128" s="711">
        <v>4</v>
      </c>
      <c r="M128" s="711">
        <v>5</v>
      </c>
      <c r="N128" s="711"/>
      <c r="O128" s="711"/>
      <c r="P128" s="711"/>
      <c r="Q128" s="711"/>
      <c r="R128" s="711"/>
      <c r="S128" s="711"/>
      <c r="T128" s="712"/>
      <c r="U128" s="996" t="str">
        <f>IF(SUBTOTAL(9,I129:T129,I131:T131,I133:T133)&lt;&gt;1,"WRONG NUMBERS","")</f>
        <v/>
      </c>
      <c r="V128" s="472"/>
      <c r="AB128" s="471" t="s">
        <v>288</v>
      </c>
    </row>
    <row r="129" spans="2:28">
      <c r="B129" s="504"/>
      <c r="D129" s="685" t="str">
        <f>D128&amp;"-sizecurve"</f>
        <v>RFM0033-sizecurve</v>
      </c>
      <c r="E129" s="679"/>
      <c r="F129" s="680"/>
      <c r="G129" s="681">
        <v>128.1</v>
      </c>
      <c r="H129" s="670"/>
      <c r="I129" s="670">
        <v>0.13</v>
      </c>
      <c r="J129" s="670">
        <v>0.15</v>
      </c>
      <c r="K129" s="670">
        <v>0.16</v>
      </c>
      <c r="L129" s="670">
        <v>0.17</v>
      </c>
      <c r="M129" s="670">
        <v>0.12</v>
      </c>
      <c r="N129" s="670"/>
      <c r="O129" s="670"/>
      <c r="P129" s="670"/>
      <c r="Q129" s="670"/>
      <c r="R129" s="670"/>
      <c r="S129" s="670"/>
      <c r="T129" s="687"/>
      <c r="U129" s="997"/>
      <c r="V129" s="472"/>
    </row>
    <row r="130" spans="2:28">
      <c r="B130" s="504"/>
      <c r="D130" s="685" t="s">
        <v>224</v>
      </c>
      <c r="E130" s="683" t="s">
        <v>227</v>
      </c>
      <c r="F130" s="673">
        <v>124</v>
      </c>
      <c r="G130" s="684">
        <v>129.1</v>
      </c>
      <c r="H130" s="683" t="s">
        <v>53</v>
      </c>
      <c r="I130" s="676" t="s">
        <v>210</v>
      </c>
      <c r="J130" s="676"/>
      <c r="K130" s="676"/>
      <c r="L130" s="676"/>
      <c r="M130" s="676"/>
      <c r="N130" s="676"/>
      <c r="O130" s="676"/>
      <c r="P130" s="676"/>
      <c r="Q130" s="676"/>
      <c r="R130" s="676"/>
      <c r="S130" s="676"/>
      <c r="T130" s="686"/>
      <c r="U130" s="997"/>
      <c r="V130" s="472"/>
      <c r="AB130" s="471" t="s">
        <v>288</v>
      </c>
    </row>
    <row r="131" spans="2:28">
      <c r="B131" s="504"/>
      <c r="D131" s="685" t="str">
        <f>D130&amp;"-sizecurve"</f>
        <v>RFM0032-sizecurve</v>
      </c>
      <c r="E131" s="679"/>
      <c r="F131" s="680"/>
      <c r="G131" s="681">
        <v>130.1</v>
      </c>
      <c r="H131" s="670"/>
      <c r="I131" s="670">
        <v>0.14000000000000001</v>
      </c>
      <c r="J131" s="670"/>
      <c r="K131" s="670"/>
      <c r="L131" s="670"/>
      <c r="M131" s="670"/>
      <c r="N131" s="670"/>
      <c r="O131" s="670"/>
      <c r="P131" s="670"/>
      <c r="Q131" s="670"/>
      <c r="R131" s="670"/>
      <c r="S131" s="670"/>
      <c r="T131" s="687"/>
      <c r="U131" s="997"/>
      <c r="V131" s="472"/>
    </row>
    <row r="132" spans="2:28">
      <c r="B132" s="504"/>
      <c r="D132" s="685" t="s">
        <v>225</v>
      </c>
      <c r="E132" s="683" t="s">
        <v>226</v>
      </c>
      <c r="F132" s="673">
        <v>118</v>
      </c>
      <c r="G132" s="684">
        <v>131.1</v>
      </c>
      <c r="H132" s="683" t="s">
        <v>53</v>
      </c>
      <c r="I132" s="755" t="s">
        <v>211</v>
      </c>
      <c r="J132" s="676"/>
      <c r="K132" s="676"/>
      <c r="L132" s="676"/>
      <c r="M132" s="676"/>
      <c r="N132" s="676"/>
      <c r="O132" s="676"/>
      <c r="P132" s="676"/>
      <c r="Q132" s="676"/>
      <c r="R132" s="676"/>
      <c r="S132" s="676"/>
      <c r="T132" s="686"/>
      <c r="U132" s="997"/>
      <c r="V132" s="472"/>
      <c r="AB132" s="471" t="s">
        <v>288</v>
      </c>
    </row>
    <row r="133" spans="2:28" ht="14" thickBot="1">
      <c r="B133" s="504"/>
      <c r="D133" s="756" t="str">
        <f>D132&amp;"-sizecurve"</f>
        <v>RFM0031-sizecurve</v>
      </c>
      <c r="E133" s="757"/>
      <c r="F133" s="758"/>
      <c r="G133" s="759">
        <v>132.1</v>
      </c>
      <c r="H133" s="760"/>
      <c r="I133" s="760">
        <v>0.13</v>
      </c>
      <c r="J133" s="760"/>
      <c r="K133" s="760"/>
      <c r="L133" s="760"/>
      <c r="M133" s="760"/>
      <c r="N133" s="760"/>
      <c r="O133" s="760"/>
      <c r="P133" s="760"/>
      <c r="Q133" s="760"/>
      <c r="R133" s="760"/>
      <c r="S133" s="760"/>
      <c r="T133" s="761"/>
      <c r="U133" s="998"/>
      <c r="V133" s="472"/>
    </row>
    <row r="134" spans="2:28">
      <c r="B134" s="504"/>
      <c r="C134" s="503" t="s">
        <v>153</v>
      </c>
      <c r="D134" s="762" t="s">
        <v>239</v>
      </c>
      <c r="E134" s="734" t="s">
        <v>240</v>
      </c>
      <c r="F134" s="735">
        <v>68</v>
      </c>
      <c r="G134" s="736">
        <v>133.1</v>
      </c>
      <c r="H134" s="734" t="s">
        <v>53</v>
      </c>
      <c r="I134" s="737" t="s">
        <v>259</v>
      </c>
      <c r="J134" s="737" t="s">
        <v>257</v>
      </c>
      <c r="K134" s="737" t="s">
        <v>258</v>
      </c>
      <c r="L134" s="737"/>
      <c r="M134" s="737"/>
      <c r="N134" s="737"/>
      <c r="O134" s="737"/>
      <c r="P134" s="737"/>
      <c r="Q134" s="737"/>
      <c r="R134" s="737"/>
      <c r="S134" s="737"/>
      <c r="T134" s="738"/>
      <c r="U134" s="471" t="s">
        <v>214</v>
      </c>
      <c r="AB134" s="471" t="s">
        <v>288</v>
      </c>
    </row>
    <row r="135" spans="2:28">
      <c r="B135" s="504"/>
      <c r="C135" s="496"/>
      <c r="D135" s="694" t="str">
        <f>D134&amp;"-sizecurve"</f>
        <v>RKKH600-sizecurve</v>
      </c>
      <c r="E135" s="695"/>
      <c r="F135" s="696"/>
      <c r="G135" s="703">
        <v>134.1</v>
      </c>
      <c r="H135" s="698"/>
      <c r="I135" s="698">
        <v>0.21</v>
      </c>
      <c r="J135" s="698">
        <v>0.51</v>
      </c>
      <c r="K135" s="698">
        <v>0.28000000000000003</v>
      </c>
      <c r="L135" s="698"/>
      <c r="M135" s="698"/>
      <c r="N135" s="698"/>
      <c r="O135" s="698"/>
      <c r="P135" s="698"/>
      <c r="Q135" s="698"/>
      <c r="R135" s="698"/>
      <c r="S135" s="698"/>
      <c r="T135" s="739"/>
      <c r="U135" s="487" t="str">
        <f t="shared" ref="U135" si="21">IF(SUBTOTAL(9,I135:T135)&lt;&gt;1,"WRONG NUMBERS","")</f>
        <v/>
      </c>
    </row>
    <row r="136" spans="2:28">
      <c r="B136" s="504"/>
      <c r="C136" s="640" t="s">
        <v>153</v>
      </c>
      <c r="D136" s="685" t="s">
        <v>306</v>
      </c>
      <c r="E136" s="683" t="s">
        <v>305</v>
      </c>
      <c r="F136" s="673">
        <v>65</v>
      </c>
      <c r="G136" s="684">
        <v>135.1</v>
      </c>
      <c r="H136" s="683" t="s">
        <v>53</v>
      </c>
      <c r="I136" s="676" t="s">
        <v>256</v>
      </c>
      <c r="J136" s="676" t="s">
        <v>257</v>
      </c>
      <c r="K136" s="676" t="s">
        <v>258</v>
      </c>
      <c r="L136" s="676"/>
      <c r="M136" s="676"/>
      <c r="N136" s="676"/>
      <c r="O136" s="676"/>
      <c r="P136" s="676"/>
      <c r="Q136" s="676"/>
      <c r="R136" s="676"/>
      <c r="S136" s="676"/>
      <c r="T136" s="728"/>
      <c r="V136" s="472"/>
      <c r="AB136" s="471" t="s">
        <v>288</v>
      </c>
    </row>
    <row r="137" spans="2:28">
      <c r="B137" s="504"/>
      <c r="C137" s="641"/>
      <c r="D137" s="685" t="str">
        <f>D136&amp;"-sizecurve"</f>
        <v>RKPHT06-sizecurve</v>
      </c>
      <c r="E137" s="679"/>
      <c r="F137" s="680"/>
      <c r="G137" s="681">
        <v>136.1</v>
      </c>
      <c r="H137" s="670"/>
      <c r="I137" s="670">
        <v>0.25</v>
      </c>
      <c r="J137" s="670">
        <v>0.5</v>
      </c>
      <c r="K137" s="670">
        <v>0.25</v>
      </c>
      <c r="L137" s="670"/>
      <c r="M137" s="670"/>
      <c r="N137" s="670"/>
      <c r="O137" s="670"/>
      <c r="P137" s="670"/>
      <c r="Q137" s="670"/>
      <c r="R137" s="670"/>
      <c r="S137" s="670"/>
      <c r="T137" s="682"/>
      <c r="U137" s="487" t="str">
        <f>IF(SUBTOTAL(9,I137:T137)&lt;&gt;1,"WRONG NUMBERS","")</f>
        <v/>
      </c>
      <c r="V137" s="472"/>
    </row>
    <row r="138" spans="2:28">
      <c r="B138" s="504"/>
      <c r="C138" s="640" t="s">
        <v>153</v>
      </c>
      <c r="D138" s="685" t="s">
        <v>304</v>
      </c>
      <c r="E138" s="683" t="s">
        <v>208</v>
      </c>
      <c r="F138" s="673">
        <v>50</v>
      </c>
      <c r="G138" s="684">
        <v>137.1</v>
      </c>
      <c r="H138" s="683" t="s">
        <v>53</v>
      </c>
      <c r="I138" s="676" t="s">
        <v>259</v>
      </c>
      <c r="J138" s="676" t="s">
        <v>256</v>
      </c>
      <c r="K138" s="676"/>
      <c r="L138" s="676"/>
      <c r="M138" s="676"/>
      <c r="N138" s="676"/>
      <c r="O138" s="676"/>
      <c r="P138" s="676"/>
      <c r="Q138" s="676"/>
      <c r="R138" s="676"/>
      <c r="S138" s="676"/>
      <c r="T138" s="728"/>
      <c r="V138" s="472"/>
      <c r="AB138" s="471" t="s">
        <v>288</v>
      </c>
    </row>
    <row r="139" spans="2:28" ht="14" thickBot="1">
      <c r="B139" s="504"/>
      <c r="C139" s="642"/>
      <c r="D139" s="763" t="str">
        <f>D138&amp;"-sizecurve"</f>
        <v>RKPHI05-sizecurve</v>
      </c>
      <c r="E139" s="715"/>
      <c r="F139" s="716"/>
      <c r="G139" s="717">
        <v>138.1</v>
      </c>
      <c r="H139" s="718"/>
      <c r="I139" s="718">
        <v>0.5</v>
      </c>
      <c r="J139" s="718">
        <v>0.5</v>
      </c>
      <c r="K139" s="718"/>
      <c r="L139" s="718"/>
      <c r="M139" s="718"/>
      <c r="N139" s="718"/>
      <c r="O139" s="718"/>
      <c r="P139" s="718"/>
      <c r="Q139" s="718"/>
      <c r="R139" s="718"/>
      <c r="S139" s="718"/>
      <c r="T139" s="730"/>
      <c r="U139" s="487" t="str">
        <f>IF(SUBTOTAL(9,I139:T139)&lt;&gt;1,"WRONG NUMBERS","")</f>
        <v/>
      </c>
      <c r="V139" s="472"/>
    </row>
    <row r="140" spans="2:28">
      <c r="B140" s="504"/>
      <c r="C140" s="505" t="s">
        <v>242</v>
      </c>
      <c r="D140" s="754" t="s">
        <v>241</v>
      </c>
      <c r="E140" s="672" t="s">
        <v>244</v>
      </c>
      <c r="F140" s="673">
        <v>42</v>
      </c>
      <c r="G140" s="731">
        <v>139.1</v>
      </c>
      <c r="H140" s="672" t="s">
        <v>53</v>
      </c>
      <c r="I140" s="711" t="s">
        <v>243</v>
      </c>
      <c r="J140" s="711"/>
      <c r="K140" s="711"/>
      <c r="L140" s="711"/>
      <c r="M140" s="711"/>
      <c r="N140" s="711"/>
      <c r="O140" s="711"/>
      <c r="P140" s="711"/>
      <c r="Q140" s="711"/>
      <c r="R140" s="711"/>
      <c r="S140" s="711"/>
      <c r="T140" s="712"/>
      <c r="V140" s="472"/>
      <c r="AB140" s="471" t="s">
        <v>288</v>
      </c>
    </row>
    <row r="141" spans="2:28">
      <c r="B141" s="504"/>
      <c r="C141" s="505"/>
      <c r="D141" s="685" t="str">
        <f>D140&amp;"-sizecurve"</f>
        <v>RVFN001-sizecurve</v>
      </c>
      <c r="E141" s="679"/>
      <c r="F141" s="680"/>
      <c r="G141" s="681">
        <v>140.1</v>
      </c>
      <c r="H141" s="670"/>
      <c r="I141" s="670">
        <v>1</v>
      </c>
      <c r="J141" s="670"/>
      <c r="K141" s="670"/>
      <c r="L141" s="670"/>
      <c r="M141" s="670"/>
      <c r="N141" s="670"/>
      <c r="O141" s="670"/>
      <c r="P141" s="670"/>
      <c r="Q141" s="670"/>
      <c r="R141" s="670"/>
      <c r="S141" s="670"/>
      <c r="T141" s="687"/>
      <c r="U141" s="487" t="str">
        <f>IF(SUBTOTAL(9,I141:T141)&lt;&gt;1,"WRONG NUMBERS","")</f>
        <v/>
      </c>
      <c r="V141" s="472"/>
    </row>
    <row r="142" spans="2:28">
      <c r="B142" s="504"/>
      <c r="C142" s="505" t="s">
        <v>242</v>
      </c>
      <c r="D142" s="685" t="s">
        <v>247</v>
      </c>
      <c r="E142" s="683" t="s">
        <v>249</v>
      </c>
      <c r="F142" s="673">
        <v>18</v>
      </c>
      <c r="G142" s="684">
        <v>141.1</v>
      </c>
      <c r="H142" s="683" t="s">
        <v>53</v>
      </c>
      <c r="I142" s="676" t="s">
        <v>248</v>
      </c>
      <c r="J142" s="676"/>
      <c r="K142" s="676"/>
      <c r="L142" s="676"/>
      <c r="M142" s="676"/>
      <c r="N142" s="676"/>
      <c r="O142" s="676"/>
      <c r="P142" s="676"/>
      <c r="Q142" s="676"/>
      <c r="R142" s="676"/>
      <c r="S142" s="676"/>
      <c r="T142" s="686"/>
      <c r="V142" s="472"/>
      <c r="AB142" s="471" t="s">
        <v>288</v>
      </c>
    </row>
    <row r="143" spans="2:28" ht="14" thickBot="1">
      <c r="B143" s="504"/>
      <c r="C143" s="505"/>
      <c r="D143" s="764" t="str">
        <f>D142&amp;"-sizecurve"</f>
        <v>RVEW415-sizecurve</v>
      </c>
      <c r="E143" s="765"/>
      <c r="F143" s="766"/>
      <c r="G143" s="767">
        <v>142.1</v>
      </c>
      <c r="H143" s="768"/>
      <c r="I143" s="768">
        <v>1</v>
      </c>
      <c r="J143" s="768"/>
      <c r="K143" s="768"/>
      <c r="L143" s="768"/>
      <c r="M143" s="768"/>
      <c r="N143" s="768"/>
      <c r="O143" s="768"/>
      <c r="P143" s="768"/>
      <c r="Q143" s="768"/>
      <c r="R143" s="768"/>
      <c r="S143" s="768"/>
      <c r="T143" s="769"/>
      <c r="U143" s="487" t="str">
        <f>IF(SUBTOTAL(9,I143:T143)&lt;&gt;1,"WRONG NUMBERS","")</f>
        <v/>
      </c>
      <c r="V143" s="472"/>
    </row>
    <row r="144" spans="2:28">
      <c r="B144" s="504"/>
      <c r="C144" s="505"/>
      <c r="D144" s="504"/>
      <c r="E144" s="470"/>
      <c r="F144" s="471"/>
      <c r="G144" s="504"/>
      <c r="H144" s="506"/>
      <c r="I144" s="471"/>
      <c r="J144" s="471"/>
      <c r="U144" s="472"/>
      <c r="V144" s="472"/>
      <c r="AB144" s="471" t="s">
        <v>288</v>
      </c>
    </row>
    <row r="145" spans="2:28">
      <c r="B145" s="504"/>
      <c r="C145" s="504"/>
      <c r="D145" s="504"/>
      <c r="E145" s="470"/>
      <c r="F145" s="471"/>
      <c r="G145" s="504"/>
      <c r="H145" s="506"/>
      <c r="I145" s="471"/>
      <c r="J145" s="471"/>
      <c r="U145" s="472"/>
      <c r="V145" s="472"/>
    </row>
    <row r="146" spans="2:28">
      <c r="B146" s="504"/>
      <c r="C146" s="505"/>
      <c r="D146" s="504"/>
      <c r="E146" s="470"/>
      <c r="F146" s="471"/>
      <c r="G146" s="504"/>
      <c r="H146" s="506"/>
      <c r="I146" s="471"/>
      <c r="J146" s="471"/>
      <c r="U146" s="472"/>
      <c r="V146" s="472"/>
      <c r="AB146" s="471" t="s">
        <v>288</v>
      </c>
    </row>
    <row r="147" spans="2:28" ht="14" thickBot="1">
      <c r="B147" s="504"/>
      <c r="C147" s="504"/>
      <c r="D147" s="504"/>
      <c r="F147" s="504"/>
      <c r="G147" s="504"/>
      <c r="H147" s="504"/>
      <c r="I147" s="504"/>
      <c r="J147" s="504"/>
      <c r="K147" s="504"/>
      <c r="L147" s="504"/>
      <c r="M147" s="504"/>
      <c r="N147" s="504"/>
      <c r="O147" s="504"/>
      <c r="P147" s="504"/>
      <c r="Q147" s="504"/>
      <c r="R147" s="504"/>
      <c r="S147" s="504"/>
      <c r="T147" s="504"/>
      <c r="U147" s="504"/>
      <c r="V147" s="472"/>
    </row>
    <row r="148" spans="2:28">
      <c r="B148" s="504"/>
      <c r="C148" s="505"/>
      <c r="D148" s="632" t="s">
        <v>165</v>
      </c>
      <c r="E148" s="633" t="s">
        <v>209</v>
      </c>
      <c r="F148" s="475"/>
      <c r="G148" s="634">
        <v>41.1</v>
      </c>
      <c r="H148" s="633" t="s">
        <v>53</v>
      </c>
      <c r="I148" s="635">
        <v>24.5</v>
      </c>
      <c r="J148" s="635">
        <v>25.5</v>
      </c>
      <c r="K148" s="635">
        <v>26.5</v>
      </c>
      <c r="L148" s="635">
        <v>27.5</v>
      </c>
      <c r="M148" s="635">
        <v>28.5</v>
      </c>
      <c r="N148" s="635">
        <v>29.5</v>
      </c>
      <c r="O148" s="635">
        <v>30.5</v>
      </c>
      <c r="P148" s="635">
        <v>31.5</v>
      </c>
      <c r="Q148" s="635"/>
      <c r="R148" s="635"/>
      <c r="S148" s="635"/>
      <c r="T148" s="636"/>
      <c r="U148" s="471" t="s">
        <v>291</v>
      </c>
      <c r="V148" s="472"/>
      <c r="AB148" s="471" t="s">
        <v>288</v>
      </c>
    </row>
    <row r="149" spans="2:28">
      <c r="B149" s="504"/>
      <c r="C149" s="504"/>
      <c r="D149" s="637" t="str">
        <f>D148&amp;"-sizecurve"</f>
        <v>RBI2400-sizecurve</v>
      </c>
      <c r="E149" s="482"/>
      <c r="F149" s="483"/>
      <c r="G149" s="559">
        <v>42.1</v>
      </c>
      <c r="H149" s="485"/>
      <c r="I149" s="485">
        <v>0.04</v>
      </c>
      <c r="J149" s="485">
        <v>0.16</v>
      </c>
      <c r="K149" s="485">
        <v>0.17</v>
      </c>
      <c r="L149" s="485">
        <v>0.21</v>
      </c>
      <c r="M149" s="485">
        <v>0.19</v>
      </c>
      <c r="N149" s="485">
        <v>0.13</v>
      </c>
      <c r="O149" s="485">
        <v>0.08</v>
      </c>
      <c r="P149" s="485">
        <v>0.02</v>
      </c>
      <c r="Q149" s="485"/>
      <c r="R149" s="485"/>
      <c r="S149" s="485"/>
      <c r="T149" s="638"/>
      <c r="U149" s="487" t="str">
        <f t="shared" ref="U149" si="22">IF(SUBTOTAL(9,I149:T149)&lt;&gt;1,"WRONG NUMBERS","")</f>
        <v/>
      </c>
      <c r="V149" s="472"/>
    </row>
    <row r="150" spans="2:28">
      <c r="B150" s="504"/>
      <c r="C150" s="505"/>
      <c r="D150" s="637" t="s">
        <v>200</v>
      </c>
      <c r="E150" s="494" t="s">
        <v>201</v>
      </c>
      <c r="F150" s="483"/>
      <c r="G150" s="559">
        <v>43.1</v>
      </c>
      <c r="H150" s="494" t="s">
        <v>53</v>
      </c>
      <c r="I150" s="491">
        <v>22.5</v>
      </c>
      <c r="J150" s="491">
        <v>23.5</v>
      </c>
      <c r="K150" s="491">
        <v>24.5</v>
      </c>
      <c r="L150" s="491">
        <v>25.5</v>
      </c>
      <c r="M150" s="491">
        <v>26.5</v>
      </c>
      <c r="N150" s="491">
        <v>27.5</v>
      </c>
      <c r="O150" s="491"/>
      <c r="P150" s="491"/>
      <c r="Q150" s="491"/>
      <c r="R150" s="491"/>
      <c r="S150" s="491"/>
      <c r="T150" s="639"/>
      <c r="U150" s="471" t="s">
        <v>291</v>
      </c>
      <c r="V150" s="472"/>
      <c r="AB150" s="471" t="s">
        <v>288</v>
      </c>
    </row>
    <row r="151" spans="2:28">
      <c r="B151" s="504"/>
      <c r="C151" s="504"/>
      <c r="D151" s="637" t="str">
        <f>D150&amp;"-sizecurve"</f>
        <v>RBJ2430-sizecurve</v>
      </c>
      <c r="E151" s="482"/>
      <c r="F151" s="483"/>
      <c r="G151" s="558">
        <v>44.1</v>
      </c>
      <c r="H151" s="485"/>
      <c r="I151" s="485">
        <v>0.13</v>
      </c>
      <c r="J151" s="485">
        <v>0.21</v>
      </c>
      <c r="K151" s="485">
        <v>0.27</v>
      </c>
      <c r="L151" s="485">
        <v>0.27</v>
      </c>
      <c r="M151" s="485">
        <v>0.11</v>
      </c>
      <c r="N151" s="485">
        <v>0.01</v>
      </c>
      <c r="O151" s="485"/>
      <c r="P151" s="485"/>
      <c r="Q151" s="485"/>
      <c r="R151" s="485"/>
      <c r="S151" s="485"/>
      <c r="T151" s="638"/>
      <c r="U151" s="487" t="str">
        <f t="shared" ref="U151" si="23">IF(SUBTOTAL(9,I151:T151)&lt;&gt;1,"WRONG NUMBERS","")</f>
        <v/>
      </c>
      <c r="V151" s="472"/>
    </row>
    <row r="152" spans="2:28">
      <c r="B152" s="504"/>
      <c r="C152" s="505"/>
      <c r="D152" s="637" t="s">
        <v>168</v>
      </c>
      <c r="E152" s="494" t="s">
        <v>202</v>
      </c>
      <c r="F152" s="483"/>
      <c r="G152" s="558">
        <v>45.1</v>
      </c>
      <c r="H152" s="494" t="s">
        <v>53</v>
      </c>
      <c r="I152" s="491">
        <v>24.5</v>
      </c>
      <c r="J152" s="491">
        <v>25.5</v>
      </c>
      <c r="K152" s="491">
        <v>26.5</v>
      </c>
      <c r="L152" s="491">
        <v>27.5</v>
      </c>
      <c r="M152" s="491">
        <v>28.5</v>
      </c>
      <c r="N152" s="491">
        <v>29.5</v>
      </c>
      <c r="O152" s="491">
        <v>30.5</v>
      </c>
      <c r="P152" s="491">
        <v>31.5</v>
      </c>
      <c r="Q152" s="491"/>
      <c r="R152" s="491"/>
      <c r="S152" s="491"/>
      <c r="T152" s="639"/>
      <c r="U152" s="471" t="s">
        <v>291</v>
      </c>
      <c r="V152" s="472"/>
      <c r="AB152" s="471" t="s">
        <v>288</v>
      </c>
    </row>
    <row r="153" spans="2:28">
      <c r="B153" s="504"/>
      <c r="C153" s="504"/>
      <c r="D153" s="637" t="str">
        <f>D152&amp;"-sizecurve"</f>
        <v>RBI3410-sizecurve</v>
      </c>
      <c r="E153" s="482"/>
      <c r="F153" s="483"/>
      <c r="G153" s="559">
        <v>46.1</v>
      </c>
      <c r="H153" s="485"/>
      <c r="I153" s="485">
        <v>0.02</v>
      </c>
      <c r="J153" s="485">
        <v>0.1</v>
      </c>
      <c r="K153" s="485">
        <v>0.18</v>
      </c>
      <c r="L153" s="485">
        <v>0.22</v>
      </c>
      <c r="M153" s="485">
        <v>0.21</v>
      </c>
      <c r="N153" s="485">
        <v>0.16</v>
      </c>
      <c r="O153" s="485">
        <v>7.0000000000000007E-2</v>
      </c>
      <c r="P153" s="485">
        <v>0.04</v>
      </c>
      <c r="Q153" s="485"/>
      <c r="R153" s="485"/>
      <c r="S153" s="485"/>
      <c r="T153" s="638"/>
      <c r="U153" s="487" t="str">
        <f t="shared" ref="U153" si="24">IF(SUBTOTAL(9,I153:T153)&lt;&gt;1,"WRONG NUMBERS","")</f>
        <v/>
      </c>
      <c r="V153" s="472"/>
    </row>
    <row r="154" spans="2:28">
      <c r="B154" s="504"/>
      <c r="C154" s="505"/>
      <c r="D154" s="637" t="s">
        <v>169</v>
      </c>
      <c r="E154" s="494" t="s">
        <v>203</v>
      </c>
      <c r="F154" s="483"/>
      <c r="G154" s="559">
        <v>47.1</v>
      </c>
      <c r="H154" s="494" t="s">
        <v>53</v>
      </c>
      <c r="I154" s="491">
        <v>22.5</v>
      </c>
      <c r="J154" s="491">
        <v>23.5</v>
      </c>
      <c r="K154" s="491">
        <v>24.5</v>
      </c>
      <c r="L154" s="491">
        <v>25.5</v>
      </c>
      <c r="M154" s="491">
        <v>26.5</v>
      </c>
      <c r="N154" s="491">
        <v>27.5</v>
      </c>
      <c r="O154" s="491"/>
      <c r="P154" s="491"/>
      <c r="Q154" s="491"/>
      <c r="R154" s="491"/>
      <c r="S154" s="491"/>
      <c r="T154" s="639"/>
      <c r="U154" s="471" t="s">
        <v>291</v>
      </c>
      <c r="V154" s="472"/>
      <c r="AB154" s="471" t="s">
        <v>288</v>
      </c>
    </row>
    <row r="155" spans="2:28">
      <c r="B155" s="504"/>
      <c r="C155" s="504"/>
      <c r="D155" s="637" t="str">
        <f>D154&amp;"-sizecurve"</f>
        <v>RBI3420-sizecurve</v>
      </c>
      <c r="E155" s="482"/>
      <c r="F155" s="483"/>
      <c r="G155" s="558">
        <v>48.1</v>
      </c>
      <c r="H155" s="485"/>
      <c r="I155" s="485">
        <v>0.08</v>
      </c>
      <c r="J155" s="485">
        <v>0.19</v>
      </c>
      <c r="K155" s="485">
        <v>0.24</v>
      </c>
      <c r="L155" s="485">
        <v>0.25</v>
      </c>
      <c r="M155" s="485">
        <v>0.17</v>
      </c>
      <c r="N155" s="485">
        <v>7.0000000000000007E-2</v>
      </c>
      <c r="O155" s="485"/>
      <c r="P155" s="485"/>
      <c r="Q155" s="485"/>
      <c r="R155" s="485"/>
      <c r="S155" s="485"/>
      <c r="T155" s="638"/>
      <c r="U155" s="487" t="str">
        <f t="shared" ref="U155" si="25">IF(SUBTOTAL(9,I155:T155)&lt;&gt;1,"WRONG NUMBERS","")</f>
        <v/>
      </c>
      <c r="V155" s="472"/>
    </row>
    <row r="156" spans="2:28">
      <c r="B156" s="504"/>
      <c r="C156" s="505"/>
      <c r="D156" s="637" t="s">
        <v>204</v>
      </c>
      <c r="E156" s="494" t="s">
        <v>205</v>
      </c>
      <c r="F156" s="483"/>
      <c r="G156" s="558">
        <v>49.1</v>
      </c>
      <c r="H156" s="494" t="s">
        <v>53</v>
      </c>
      <c r="I156" s="491">
        <v>24.5</v>
      </c>
      <c r="J156" s="491">
        <v>25.5</v>
      </c>
      <c r="K156" s="491">
        <v>26.5</v>
      </c>
      <c r="L156" s="491">
        <v>27.5</v>
      </c>
      <c r="M156" s="491">
        <v>28.5</v>
      </c>
      <c r="N156" s="491">
        <v>29.5</v>
      </c>
      <c r="O156" s="491">
        <v>30.5</v>
      </c>
      <c r="P156" s="491">
        <v>31.5</v>
      </c>
      <c r="Q156" s="491"/>
      <c r="R156" s="491"/>
      <c r="S156" s="491"/>
      <c r="T156" s="639"/>
      <c r="U156" s="471" t="s">
        <v>291</v>
      </c>
      <c r="V156" s="472"/>
      <c r="AB156" s="471" t="s">
        <v>288</v>
      </c>
    </row>
    <row r="157" spans="2:28">
      <c r="B157" s="504"/>
      <c r="C157" s="504"/>
      <c r="D157" s="637" t="str">
        <f>D156&amp;"-sizecurve"</f>
        <v>RBJ2410-sizecurve</v>
      </c>
      <c r="E157" s="482"/>
      <c r="F157" s="483"/>
      <c r="G157" s="559">
        <v>50.1</v>
      </c>
      <c r="H157" s="485"/>
      <c r="I157" s="485">
        <v>0.05</v>
      </c>
      <c r="J157" s="485">
        <v>0.11</v>
      </c>
      <c r="K157" s="485">
        <v>0.2</v>
      </c>
      <c r="L157" s="485">
        <v>0.22</v>
      </c>
      <c r="M157" s="485">
        <v>0.21</v>
      </c>
      <c r="N157" s="485">
        <v>0.13</v>
      </c>
      <c r="O157" s="485">
        <v>0.06</v>
      </c>
      <c r="P157" s="485">
        <v>0.02</v>
      </c>
      <c r="Q157" s="485"/>
      <c r="R157" s="485"/>
      <c r="S157" s="485"/>
      <c r="T157" s="638"/>
      <c r="U157" s="487" t="str">
        <f t="shared" ref="U157" si="26">IF(SUBTOTAL(9,I157:T157)&lt;&gt;1,"WRONG NUMBERS","")</f>
        <v/>
      </c>
      <c r="V157" s="472"/>
    </row>
    <row r="158" spans="2:28">
      <c r="B158" s="504"/>
      <c r="C158" s="505"/>
      <c r="D158" s="637" t="s">
        <v>206</v>
      </c>
      <c r="E158" s="494" t="s">
        <v>207</v>
      </c>
      <c r="F158" s="483"/>
      <c r="G158" s="559">
        <v>51.1</v>
      </c>
      <c r="H158" s="494" t="s">
        <v>53</v>
      </c>
      <c r="I158" s="491">
        <v>22.5</v>
      </c>
      <c r="J158" s="491">
        <v>23.5</v>
      </c>
      <c r="K158" s="491">
        <v>24.5</v>
      </c>
      <c r="L158" s="491">
        <v>25.5</v>
      </c>
      <c r="M158" s="491">
        <v>26.5</v>
      </c>
      <c r="N158" s="491">
        <v>27.5</v>
      </c>
      <c r="O158" s="491"/>
      <c r="P158" s="491"/>
      <c r="Q158" s="491"/>
      <c r="R158" s="491"/>
      <c r="S158" s="491"/>
      <c r="T158" s="639"/>
      <c r="U158" s="471" t="s">
        <v>291</v>
      </c>
      <c r="V158" s="472"/>
      <c r="AB158" s="471" t="s">
        <v>288</v>
      </c>
    </row>
    <row r="159" spans="2:28">
      <c r="B159" s="504"/>
      <c r="C159" s="504"/>
      <c r="D159" s="637" t="str">
        <f>D158&amp;"-sizecurve"</f>
        <v>RBJ2420-sizecurve</v>
      </c>
      <c r="E159" s="482"/>
      <c r="F159" s="483"/>
      <c r="G159" s="558">
        <v>52.1</v>
      </c>
      <c r="H159" s="485"/>
      <c r="I159" s="485">
        <v>0.1</v>
      </c>
      <c r="J159" s="485">
        <v>0.23</v>
      </c>
      <c r="K159" s="485">
        <v>0.28000000000000003</v>
      </c>
      <c r="L159" s="485">
        <v>0.26</v>
      </c>
      <c r="M159" s="485">
        <v>0.1</v>
      </c>
      <c r="N159" s="485">
        <v>0.03</v>
      </c>
      <c r="O159" s="485"/>
      <c r="P159" s="485"/>
      <c r="Q159" s="485"/>
      <c r="R159" s="485"/>
      <c r="S159" s="485"/>
      <c r="T159" s="638"/>
      <c r="U159" s="487" t="str">
        <f t="shared" ref="U159" si="27">IF(SUBTOTAL(9,I159:T159)&lt;&gt;1,"WRONG NUMBERS","")</f>
        <v/>
      </c>
      <c r="V159" s="472"/>
    </row>
    <row r="160" spans="2:28">
      <c r="B160" s="504"/>
      <c r="C160" s="505"/>
      <c r="D160" s="637" t="s">
        <v>166</v>
      </c>
      <c r="E160" s="494" t="s">
        <v>167</v>
      </c>
      <c r="F160" s="483"/>
      <c r="G160" s="558">
        <v>53.1</v>
      </c>
      <c r="H160" s="494" t="s">
        <v>53</v>
      </c>
      <c r="I160" s="491">
        <v>24.5</v>
      </c>
      <c r="J160" s="491">
        <v>25.5</v>
      </c>
      <c r="K160" s="491">
        <v>26.5</v>
      </c>
      <c r="L160" s="491">
        <v>27.5</v>
      </c>
      <c r="M160" s="491">
        <v>28.5</v>
      </c>
      <c r="N160" s="491">
        <v>29.5</v>
      </c>
      <c r="O160" s="491">
        <v>30.5</v>
      </c>
      <c r="P160" s="491">
        <v>31.5</v>
      </c>
      <c r="Q160" s="491"/>
      <c r="R160" s="491"/>
      <c r="S160" s="491"/>
      <c r="T160" s="639"/>
      <c r="U160" s="471" t="s">
        <v>291</v>
      </c>
      <c r="V160" s="472"/>
      <c r="AB160" s="471" t="s">
        <v>288</v>
      </c>
    </row>
    <row r="161" spans="2:28">
      <c r="B161" s="504"/>
      <c r="C161" s="504"/>
      <c r="D161" s="637" t="str">
        <f>D160&amp;"-sizecurve"</f>
        <v>RBI4410-sizecurve</v>
      </c>
      <c r="E161" s="482"/>
      <c r="F161" s="483"/>
      <c r="G161" s="559">
        <v>54.1</v>
      </c>
      <c r="H161" s="485"/>
      <c r="I161" s="485">
        <v>0.02</v>
      </c>
      <c r="J161" s="485">
        <v>0.13</v>
      </c>
      <c r="K161" s="485">
        <v>0.18</v>
      </c>
      <c r="L161" s="485">
        <v>0.24</v>
      </c>
      <c r="M161" s="485">
        <v>0.2</v>
      </c>
      <c r="N161" s="485">
        <v>0.14000000000000001</v>
      </c>
      <c r="O161" s="485">
        <v>0.06</v>
      </c>
      <c r="P161" s="485">
        <v>0.03</v>
      </c>
      <c r="Q161" s="485"/>
      <c r="R161" s="485"/>
      <c r="S161" s="485"/>
      <c r="T161" s="638"/>
      <c r="U161" s="487" t="str">
        <f t="shared" ref="U161" si="28">IF(SUBTOTAL(9,I161:T161)&lt;&gt;1,"WRONG NUMBERS","")</f>
        <v/>
      </c>
      <c r="V161" s="472"/>
    </row>
    <row r="162" spans="2:28">
      <c r="B162" s="504"/>
      <c r="C162" s="505"/>
      <c r="D162" s="637" t="s">
        <v>126</v>
      </c>
      <c r="E162" s="494" t="s">
        <v>164</v>
      </c>
      <c r="F162" s="483"/>
      <c r="G162" s="559">
        <v>55.1</v>
      </c>
      <c r="H162" s="494" t="s">
        <v>53</v>
      </c>
      <c r="I162" s="491">
        <v>22.5</v>
      </c>
      <c r="J162" s="491">
        <v>23.5</v>
      </c>
      <c r="K162" s="491">
        <v>24.5</v>
      </c>
      <c r="L162" s="491">
        <v>25.5</v>
      </c>
      <c r="M162" s="491">
        <v>26.5</v>
      </c>
      <c r="N162" s="491">
        <v>27.5</v>
      </c>
      <c r="O162" s="491"/>
      <c r="P162" s="491"/>
      <c r="Q162" s="491"/>
      <c r="R162" s="491"/>
      <c r="S162" s="491"/>
      <c r="T162" s="639"/>
      <c r="U162" s="471" t="s">
        <v>291</v>
      </c>
      <c r="V162" s="472"/>
      <c r="AB162" s="471" t="s">
        <v>288</v>
      </c>
    </row>
    <row r="163" spans="2:28">
      <c r="B163" s="504"/>
      <c r="C163" s="504"/>
      <c r="D163" s="637" t="str">
        <f>D162&amp;"-sizecurve"</f>
        <v>RBH4430-sizecurve</v>
      </c>
      <c r="E163" s="482"/>
      <c r="F163" s="483"/>
      <c r="G163" s="558">
        <v>56.1</v>
      </c>
      <c r="H163" s="485"/>
      <c r="I163" s="485">
        <v>0.11</v>
      </c>
      <c r="J163" s="485">
        <v>0.21</v>
      </c>
      <c r="K163" s="485">
        <v>0.26</v>
      </c>
      <c r="L163" s="485">
        <v>0.23</v>
      </c>
      <c r="M163" s="485">
        <v>0.13</v>
      </c>
      <c r="N163" s="485">
        <v>0.06</v>
      </c>
      <c r="O163" s="485"/>
      <c r="P163" s="485"/>
      <c r="Q163" s="485"/>
      <c r="R163" s="485"/>
      <c r="S163" s="485"/>
      <c r="T163" s="638"/>
      <c r="U163" s="487" t="str">
        <f t="shared" ref="U163" si="29">IF(SUBTOTAL(9,I163:T163)&lt;&gt;1,"WRONG NUMBERS","")</f>
        <v/>
      </c>
      <c r="V163" s="472"/>
    </row>
    <row r="164" spans="2:28">
      <c r="B164" s="504"/>
      <c r="C164" s="505"/>
      <c r="D164" s="504"/>
      <c r="E164" s="470"/>
      <c r="F164" s="471"/>
      <c r="G164" s="504"/>
      <c r="H164" s="506"/>
      <c r="I164" s="471"/>
      <c r="J164" s="471"/>
      <c r="U164" s="472"/>
      <c r="V164" s="472"/>
    </row>
    <row r="165" spans="2:28">
      <c r="B165" s="504"/>
      <c r="C165" s="504"/>
      <c r="D165" s="504"/>
      <c r="E165" s="470"/>
      <c r="F165" s="471"/>
      <c r="G165" s="504"/>
      <c r="H165" s="506"/>
      <c r="I165" s="471"/>
      <c r="J165" s="471"/>
      <c r="U165" s="472"/>
      <c r="V165" s="472"/>
    </row>
    <row r="166" spans="2:28">
      <c r="B166" s="504"/>
      <c r="C166" s="505"/>
      <c r="D166" s="504"/>
      <c r="E166" s="470"/>
      <c r="F166" s="471"/>
      <c r="G166" s="504"/>
      <c r="H166" s="506"/>
      <c r="I166" s="471"/>
      <c r="J166" s="471"/>
      <c r="U166" s="472"/>
      <c r="V166" s="472"/>
    </row>
    <row r="167" spans="2:28">
      <c r="B167" s="504"/>
      <c r="C167" s="504"/>
      <c r="D167" s="504"/>
      <c r="E167" s="470"/>
      <c r="F167" s="471"/>
      <c r="G167" s="504"/>
      <c r="H167" s="506"/>
      <c r="I167" s="471"/>
      <c r="J167" s="471"/>
      <c r="U167" s="472"/>
      <c r="V167" s="472"/>
    </row>
    <row r="168" spans="2:28">
      <c r="B168" s="504"/>
      <c r="C168" s="505"/>
      <c r="D168" s="504"/>
      <c r="E168" s="470"/>
      <c r="F168" s="471"/>
      <c r="G168" s="504"/>
      <c r="H168" s="506"/>
      <c r="I168" s="471"/>
      <c r="J168" s="471"/>
      <c r="U168" s="472"/>
      <c r="V168" s="472"/>
    </row>
    <row r="169" spans="2:28">
      <c r="B169" s="504"/>
      <c r="C169" s="504"/>
      <c r="D169" s="504"/>
      <c r="E169" s="470"/>
      <c r="F169" s="471"/>
      <c r="G169" s="504"/>
      <c r="H169" s="506"/>
      <c r="I169" s="471"/>
      <c r="J169" s="471"/>
      <c r="U169" s="472"/>
      <c r="V169" s="472"/>
    </row>
    <row r="170" spans="2:28">
      <c r="B170" s="504"/>
      <c r="C170" s="505"/>
      <c r="D170" s="504"/>
      <c r="E170" s="470"/>
      <c r="F170" s="471"/>
      <c r="G170" s="504"/>
      <c r="H170" s="506"/>
      <c r="I170" s="471"/>
      <c r="J170" s="471"/>
      <c r="U170" s="472"/>
      <c r="V170" s="472"/>
    </row>
    <row r="171" spans="2:28">
      <c r="B171" s="504"/>
      <c r="C171" s="504"/>
      <c r="D171" s="504"/>
      <c r="E171" s="470"/>
      <c r="F171" s="471"/>
      <c r="G171" s="504"/>
      <c r="H171" s="506"/>
      <c r="I171" s="471"/>
      <c r="J171" s="471"/>
      <c r="U171" s="472"/>
      <c r="V171" s="472"/>
    </row>
    <row r="172" spans="2:28">
      <c r="B172" s="504"/>
      <c r="C172" s="505"/>
      <c r="D172" s="504"/>
      <c r="E172" s="470"/>
      <c r="F172" s="471"/>
      <c r="G172" s="504"/>
      <c r="H172" s="506"/>
      <c r="I172" s="471"/>
      <c r="J172" s="471"/>
      <c r="U172" s="472"/>
      <c r="V172" s="472"/>
    </row>
    <row r="173" spans="2:28">
      <c r="B173" s="504"/>
      <c r="C173" s="504"/>
      <c r="D173" s="504"/>
      <c r="E173" s="470"/>
      <c r="F173" s="471"/>
      <c r="G173" s="504"/>
      <c r="H173" s="506"/>
      <c r="I173" s="471"/>
      <c r="J173" s="471"/>
      <c r="U173" s="472"/>
      <c r="V173" s="472"/>
    </row>
    <row r="174" spans="2:28">
      <c r="B174" s="504"/>
      <c r="C174" s="505"/>
      <c r="D174" s="504"/>
      <c r="E174" s="470"/>
      <c r="F174" s="471"/>
      <c r="G174" s="504"/>
      <c r="H174" s="506"/>
      <c r="I174" s="471"/>
      <c r="J174" s="471"/>
      <c r="U174" s="472"/>
      <c r="V174" s="472"/>
    </row>
    <row r="175" spans="2:28">
      <c r="B175" s="504"/>
      <c r="C175" s="504"/>
      <c r="D175" s="504"/>
      <c r="E175" s="470"/>
      <c r="F175" s="471"/>
      <c r="G175" s="504"/>
      <c r="H175" s="506"/>
      <c r="I175" s="471"/>
      <c r="J175" s="471"/>
      <c r="U175" s="472"/>
      <c r="V175" s="472"/>
    </row>
    <row r="176" spans="2:28">
      <c r="B176" s="504"/>
      <c r="C176" s="505"/>
      <c r="D176" s="504"/>
      <c r="E176" s="470"/>
      <c r="F176" s="471"/>
      <c r="G176" s="504"/>
      <c r="H176" s="506"/>
      <c r="I176" s="471"/>
      <c r="J176" s="471"/>
      <c r="U176" s="472"/>
      <c r="V176" s="472"/>
    </row>
    <row r="177" spans="2:22">
      <c r="B177" s="504"/>
      <c r="C177" s="504"/>
      <c r="D177" s="504"/>
      <c r="E177" s="470"/>
      <c r="F177" s="471"/>
      <c r="G177" s="504"/>
      <c r="H177" s="506"/>
      <c r="I177" s="471"/>
      <c r="J177" s="471"/>
      <c r="U177" s="472"/>
      <c r="V177" s="472"/>
    </row>
    <row r="178" spans="2:22">
      <c r="B178" s="504"/>
      <c r="C178" s="505"/>
      <c r="D178" s="504"/>
      <c r="E178" s="470"/>
      <c r="F178" s="471"/>
      <c r="G178" s="504"/>
      <c r="H178" s="506"/>
      <c r="I178" s="471"/>
      <c r="J178" s="471"/>
      <c r="U178" s="472"/>
      <c r="V178" s="472"/>
    </row>
    <row r="179" spans="2:22">
      <c r="C179" s="504"/>
      <c r="D179" s="504"/>
      <c r="E179" s="470"/>
      <c r="F179" s="471"/>
      <c r="G179" s="504"/>
      <c r="H179" s="506"/>
      <c r="I179" s="471"/>
      <c r="J179" s="471"/>
      <c r="U179" s="472"/>
    </row>
    <row r="180" spans="2:22">
      <c r="C180" s="505"/>
      <c r="D180" s="504"/>
      <c r="E180" s="470"/>
      <c r="F180" s="471"/>
      <c r="G180" s="504"/>
      <c r="H180" s="506"/>
      <c r="I180" s="471"/>
      <c r="J180" s="471"/>
      <c r="U180" s="472"/>
    </row>
    <row r="181" spans="2:22">
      <c r="C181" s="504"/>
      <c r="D181" s="504"/>
      <c r="E181" s="470"/>
      <c r="F181" s="471"/>
      <c r="G181" s="504"/>
      <c r="H181" s="506"/>
      <c r="I181" s="471"/>
      <c r="J181" s="471"/>
      <c r="U181" s="472"/>
    </row>
    <row r="182" spans="2:22">
      <c r="C182" s="505"/>
      <c r="D182" s="504"/>
      <c r="E182" s="470"/>
      <c r="F182" s="471"/>
      <c r="G182" s="504"/>
      <c r="H182" s="506"/>
      <c r="I182" s="471"/>
      <c r="J182" s="471"/>
      <c r="U182" s="472"/>
    </row>
    <row r="183" spans="2:22">
      <c r="C183" s="504"/>
      <c r="D183" s="504"/>
      <c r="E183" s="470"/>
      <c r="F183" s="471"/>
      <c r="G183" s="504"/>
      <c r="H183" s="506"/>
      <c r="I183" s="471"/>
      <c r="J183" s="471"/>
      <c r="U183" s="472"/>
    </row>
    <row r="184" spans="2:22">
      <c r="C184" s="505"/>
      <c r="D184" s="504"/>
      <c r="E184" s="470"/>
      <c r="F184" s="471"/>
      <c r="G184" s="504"/>
      <c r="H184" s="506"/>
      <c r="I184" s="471"/>
      <c r="J184" s="471"/>
      <c r="U184" s="472"/>
    </row>
    <row r="185" spans="2:22">
      <c r="C185" s="504"/>
      <c r="D185" s="504"/>
      <c r="E185" s="470"/>
      <c r="F185" s="471"/>
      <c r="G185" s="504"/>
      <c r="H185" s="506"/>
      <c r="I185" s="471"/>
      <c r="J185" s="471"/>
      <c r="U185" s="472"/>
    </row>
    <row r="186" spans="2:22">
      <c r="C186" s="505"/>
      <c r="D186" s="504"/>
      <c r="E186" s="470"/>
      <c r="F186" s="471"/>
      <c r="G186" s="504"/>
      <c r="H186" s="506"/>
      <c r="I186" s="471"/>
      <c r="J186" s="471"/>
      <c r="U186" s="472"/>
    </row>
    <row r="187" spans="2:22">
      <c r="C187" s="504"/>
      <c r="D187" s="504"/>
      <c r="E187" s="470"/>
      <c r="F187" s="471"/>
      <c r="G187" s="504"/>
      <c r="H187" s="506"/>
      <c r="I187" s="471"/>
      <c r="J187" s="471"/>
      <c r="U187" s="472"/>
    </row>
    <row r="188" spans="2:22">
      <c r="C188" s="505"/>
      <c r="D188" s="504"/>
      <c r="E188" s="470"/>
      <c r="F188" s="471"/>
      <c r="G188" s="504"/>
      <c r="H188" s="506"/>
      <c r="I188" s="471"/>
      <c r="J188" s="471"/>
      <c r="U188" s="472"/>
    </row>
    <row r="189" spans="2:22">
      <c r="C189" s="504"/>
      <c r="D189" s="504"/>
      <c r="E189" s="470"/>
      <c r="F189" s="471"/>
      <c r="G189" s="504"/>
      <c r="H189" s="506"/>
      <c r="I189" s="471"/>
      <c r="J189" s="471"/>
      <c r="U189" s="472"/>
    </row>
    <row r="190" spans="2:22">
      <c r="C190" s="505"/>
      <c r="D190" s="504"/>
      <c r="E190" s="470"/>
      <c r="F190" s="471"/>
      <c r="G190" s="504"/>
      <c r="H190" s="506"/>
      <c r="I190" s="471"/>
      <c r="J190" s="471"/>
      <c r="U190" s="472"/>
    </row>
    <row r="191" spans="2:22">
      <c r="C191" s="504"/>
      <c r="D191" s="504"/>
      <c r="E191" s="470"/>
      <c r="F191" s="471"/>
      <c r="G191" s="504"/>
      <c r="H191" s="506"/>
      <c r="I191" s="471"/>
      <c r="J191" s="471"/>
      <c r="U191" s="472"/>
    </row>
    <row r="192" spans="2:22">
      <c r="C192" s="505"/>
      <c r="D192" s="504"/>
      <c r="E192" s="470"/>
      <c r="F192" s="471"/>
      <c r="G192" s="504"/>
      <c r="H192" s="506"/>
      <c r="I192" s="471"/>
      <c r="J192" s="471"/>
      <c r="U192" s="472"/>
    </row>
    <row r="193" spans="3:21">
      <c r="C193" s="504"/>
      <c r="D193" s="504"/>
      <c r="E193" s="470"/>
      <c r="F193" s="471"/>
      <c r="G193" s="504"/>
      <c r="H193" s="506"/>
      <c r="I193" s="471"/>
      <c r="J193" s="471"/>
      <c r="U193" s="472"/>
    </row>
    <row r="194" spans="3:21">
      <c r="C194" s="505"/>
      <c r="D194" s="504"/>
      <c r="E194" s="470"/>
      <c r="F194" s="471"/>
      <c r="G194" s="504"/>
      <c r="H194" s="506"/>
      <c r="I194" s="471"/>
      <c r="J194" s="471"/>
      <c r="U194" s="472"/>
    </row>
    <row r="195" spans="3:21">
      <c r="C195" s="504"/>
      <c r="D195" s="504"/>
      <c r="E195" s="470"/>
      <c r="F195" s="471"/>
      <c r="G195" s="504"/>
      <c r="H195" s="506"/>
      <c r="I195" s="471"/>
      <c r="J195" s="471"/>
      <c r="U195" s="472"/>
    </row>
    <row r="196" spans="3:21">
      <c r="C196" s="505"/>
      <c r="D196" s="504"/>
      <c r="E196" s="470"/>
      <c r="F196" s="471"/>
      <c r="G196" s="504"/>
      <c r="H196" s="506"/>
      <c r="I196" s="471"/>
      <c r="J196" s="471"/>
      <c r="U196" s="472"/>
    </row>
    <row r="197" spans="3:21">
      <c r="C197" s="504"/>
      <c r="D197" s="504"/>
      <c r="E197" s="470"/>
      <c r="F197" s="471"/>
      <c r="G197" s="504"/>
      <c r="H197" s="506"/>
      <c r="I197" s="471"/>
      <c r="J197" s="471"/>
      <c r="U197" s="472"/>
    </row>
    <row r="198" spans="3:21">
      <c r="C198" s="505"/>
      <c r="D198" s="504"/>
      <c r="E198" s="470"/>
      <c r="F198" s="471"/>
      <c r="G198" s="504"/>
      <c r="H198" s="506"/>
      <c r="I198" s="471"/>
      <c r="J198" s="471"/>
      <c r="U198" s="472"/>
    </row>
    <row r="199" spans="3:21">
      <c r="C199" s="504"/>
      <c r="D199" s="504"/>
      <c r="E199" s="470"/>
      <c r="F199" s="471"/>
      <c r="G199" s="504"/>
      <c r="H199" s="506"/>
      <c r="I199" s="471"/>
      <c r="J199" s="471"/>
      <c r="U199" s="472"/>
    </row>
    <row r="200" spans="3:21">
      <c r="C200" s="505"/>
      <c r="D200" s="504"/>
      <c r="E200" s="470"/>
      <c r="F200" s="471"/>
      <c r="G200" s="504"/>
      <c r="H200" s="506"/>
      <c r="I200" s="471"/>
      <c r="J200" s="471"/>
      <c r="U200" s="472"/>
    </row>
    <row r="201" spans="3:21">
      <c r="C201" s="504"/>
      <c r="D201" s="504"/>
      <c r="E201" s="470"/>
      <c r="F201" s="471"/>
      <c r="G201" s="504"/>
      <c r="H201" s="506"/>
      <c r="I201" s="471"/>
      <c r="J201" s="471"/>
      <c r="U201" s="472"/>
    </row>
    <row r="202" spans="3:21">
      <c r="C202" s="504"/>
      <c r="D202" s="504"/>
      <c r="E202" s="470"/>
      <c r="F202" s="471"/>
      <c r="G202" s="504"/>
      <c r="H202" s="506"/>
      <c r="I202" s="471"/>
      <c r="J202" s="471"/>
      <c r="U202" s="472"/>
    </row>
  </sheetData>
  <sheetProtection selectLockedCells="1" selectUnlockedCells="1"/>
  <autoFilter ref="AG38:AG54" xr:uid="{00000000-0001-0000-0400-000000000000}">
    <sortState xmlns:xlrd2="http://schemas.microsoft.com/office/spreadsheetml/2017/richdata2" ref="AG39:AG54">
      <sortCondition ref="AG38:AG54"/>
    </sortState>
  </autoFilter>
  <dataConsolidate/>
  <mergeCells count="11">
    <mergeCell ref="U128:U133"/>
    <mergeCell ref="U114:U117"/>
    <mergeCell ref="U124:U127"/>
    <mergeCell ref="A1:B1"/>
    <mergeCell ref="A17:B17"/>
    <mergeCell ref="U76:U79"/>
    <mergeCell ref="U94:U97"/>
    <mergeCell ref="U104:U107"/>
    <mergeCell ref="U98:U103"/>
    <mergeCell ref="U82:U87"/>
    <mergeCell ref="U108:U113"/>
  </mergeCells>
  <conditionalFormatting sqref="U1:U133 U135:U146 U148:U1048576">
    <cfRule type="containsText" dxfId="0" priority="1" stopIfTrue="1" operator="containsText" text="WRONG NUMBERS">
      <formula>NOT(ISERROR(SEARCH("WRONG NUMBERS",U1)))</formula>
    </cfRule>
  </conditionalFormatting>
  <pageMargins left="0.25" right="0.25" top="0.75" bottom="0.75" header="0.3" footer="0.3"/>
  <pageSetup paperSize="17" scale="85" fitToWidth="0" orientation="landscape" r:id="rId1"/>
  <drawing r:id="rId2"/>
</worksheet>
</file>

<file path=docProps/app.xml><?xml version="1.0" encoding="utf-8"?>
<Properties xmlns="http://purl.oclc.org/ooxml/officeDocument/extendedProperties" xmlns:vt="http://purl.oclc.org/ooxml/officeDocument/docPropsVTypes">
  <TotalTime>0</TotalTime>
  <Application>Microsoft Macintosh Excel</Application>
  <DocSecurity>0</DocSecurity>
  <ScaleCrop>false</ScaleCrop>
  <HeadingPairs>
    <vt:vector size="4" baseType="variant">
      <vt:variant>
        <vt:lpstr>Worksheets</vt:lpstr>
      </vt:variant>
      <vt:variant>
        <vt:i4>5</vt:i4>
      </vt:variant>
      <vt:variant>
        <vt:lpstr>Named Ranges</vt:lpstr>
      </vt:variant>
      <vt:variant>
        <vt:i4>41</vt:i4>
      </vt:variant>
    </vt:vector>
  </HeadingPairs>
  <TitlesOfParts>
    <vt:vector size="46" baseType="lpstr">
      <vt:lpstr>OVERVIEW</vt:lpstr>
      <vt:lpstr>PURCHASE ORDER</vt:lpstr>
      <vt:lpstr>Alpine Ski Rental Calculator</vt:lpstr>
      <vt:lpstr>Snowboard Rental Calculator</vt:lpstr>
      <vt:lpstr>Hidden Data</vt:lpstr>
      <vt:lpstr>ALPINE_NET_0_ADULT_BOOTS</vt:lpstr>
      <vt:lpstr>ALPINE_NET_0_ADULT_POLES</vt:lpstr>
      <vt:lpstr>ALPINE_NET_0_ADULT_SKIS</vt:lpstr>
      <vt:lpstr>ALPINE_NET_0_HELMETS</vt:lpstr>
      <vt:lpstr>ALPINE_NET_0_JR_BOOTS</vt:lpstr>
      <vt:lpstr>ALPINE_NET_0_JR_POLES</vt:lpstr>
      <vt:lpstr>ALPINE_NET_0_JR_SKIS</vt:lpstr>
      <vt:lpstr>ALPINE_NET_1_ADULT_BOOTS</vt:lpstr>
      <vt:lpstr>ALPINE_NET_1_ADULT_POLES</vt:lpstr>
      <vt:lpstr>ALPINE_NET_1_ADULT_SKIS</vt:lpstr>
      <vt:lpstr>ALPINE_NET_1_HELMETS</vt:lpstr>
      <vt:lpstr>ALPINE_NET_1_JR_BOOTS</vt:lpstr>
      <vt:lpstr>ALPINE_NET_1_JR_POLES</vt:lpstr>
      <vt:lpstr>ALPINE_NET_1_JR_SKIS</vt:lpstr>
      <vt:lpstr>ALPINE_UNITS_0_ADULT_BOOTS</vt:lpstr>
      <vt:lpstr>ALPINE_UNITS_0_ADULT_POLES</vt:lpstr>
      <vt:lpstr>ALPINE_UNITS_0_ADULT_SKIS</vt:lpstr>
      <vt:lpstr>ALPINE_UNITS_0_HELMETS</vt:lpstr>
      <vt:lpstr>ALPINE_UNITS_0_JR_BOOTS</vt:lpstr>
      <vt:lpstr>ALPINE_UNITS_0_JR_POLES</vt:lpstr>
      <vt:lpstr>ALPINE_UNITS_0_JR_SKIS</vt:lpstr>
      <vt:lpstr>ALPINE_UNITS_1_ADULT_BOOTS</vt:lpstr>
      <vt:lpstr>ALPINE_UNITS_1_ADULT_POLES</vt:lpstr>
      <vt:lpstr>ALPINE_UNITS_1_ADULT_SKIS</vt:lpstr>
      <vt:lpstr>ALPINE_UNITS_1_HELMETS</vt:lpstr>
      <vt:lpstr>ALPINE_UNITS_1_JR_BOOTS</vt:lpstr>
      <vt:lpstr>ALPINE_UNITS_1_JR_POLES</vt:lpstr>
      <vt:lpstr>ALPINE_UNITS_1_JR_SKIS</vt:lpstr>
      <vt:lpstr>NUMBER_TO_LETTER</vt:lpstr>
      <vt:lpstr>'Alpine Ski Rental Calculator'!Print_Area</vt:lpstr>
      <vt:lpstr>'Hidden Data'!Print_Area</vt:lpstr>
      <vt:lpstr>OVERVIEW!Print_Area</vt:lpstr>
      <vt:lpstr>'Snowboard Rental Calculator'!Print_Area</vt:lpstr>
      <vt:lpstr>'PURCHASE ORDER'!Print_Titles</vt:lpstr>
      <vt:lpstr>SKI_CALCULATOR_TYPE</vt:lpstr>
      <vt:lpstr>SKI_DISCOUNT_TYPE</vt:lpstr>
      <vt:lpstr>SKIS_MASTER_DATA_AREA</vt:lpstr>
      <vt:lpstr>SKUS_TO_SIZES</vt:lpstr>
      <vt:lpstr>SNOWBOARD_CALCULATOR_TYPE</vt:lpstr>
      <vt:lpstr>SNOWBOARD_DISCOUNT_TYPE</vt:lpstr>
      <vt:lpstr>SNOWBOARDS_MASTER_DATA_AREA</vt:lpstr>
    </vt:vector>
  </TitlesOfParts>
  <Company>American Skiing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Dave Langlois</dc:creator>
  <cp:lastModifiedBy>Jose Mari Yasis</cp:lastModifiedBy>
  <cp:lastPrinted>2016-02-10T19:24:35Z</cp:lastPrinted>
  <dcterms:created xsi:type="dcterms:W3CDTF">2006-03-22T16:06:47Z</dcterms:created>
  <dcterms:modified xsi:type="dcterms:W3CDTF">2026-01-23T16:45:38Z</dcterms:modified>
</cp:coreProperties>
</file>