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ate\OneDrive\Documents\IWCB\Finance\End of Year 21 to 22 accounts\"/>
    </mc:Choice>
  </mc:AlternateContent>
  <xr:revisionPtr revIDLastSave="0" documentId="8_{33D4E9F2-7A20-4DC8-AA5B-1B38B7F140D9}" xr6:coauthVersionLast="47" xr6:coauthVersionMax="47" xr10:uidLastSave="{00000000-0000-0000-0000-000000000000}"/>
  <bookViews>
    <workbookView xWindow="2340" yWindow="840" windowWidth="26010" windowHeight="15360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9" i="1" l="1"/>
  <c r="B190" i="1" s="1"/>
  <c r="B191" i="1" s="1"/>
  <c r="B184" i="1"/>
  <c r="B183" i="1"/>
  <c r="B182" i="1"/>
  <c r="B185" i="1" s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80" i="1" s="1"/>
  <c r="B81" i="1" s="1"/>
  <c r="B186" i="1" l="1"/>
  <c r="B187" i="1" s="1"/>
  <c r="B192" i="1" s="1"/>
</calcChain>
</file>

<file path=xl/sharedStrings.xml><?xml version="1.0" encoding="utf-8"?>
<sst xmlns="http://schemas.openxmlformats.org/spreadsheetml/2006/main" count="192" uniqueCount="192">
  <si>
    <t>Total</t>
  </si>
  <si>
    <t>Income</t>
  </si>
  <si>
    <t xml:space="preserve">   4001 ECB CAG Core Funding</t>
  </si>
  <si>
    <t xml:space="preserve">   4002 CAG Coaching Fees (U11/10)</t>
  </si>
  <si>
    <t xml:space="preserve">   4003 CAG Coaching Fees (12/13)</t>
  </si>
  <si>
    <t xml:space="preserve">   4004 CAG Coaching Fees (U14/U15)</t>
  </si>
  <si>
    <t xml:space="preserve">   4005 CAG Coaching Fees (U16/U17/U18)</t>
  </si>
  <si>
    <t xml:space="preserve">   4006 Junior All Stars</t>
  </si>
  <si>
    <t xml:space="preserve">   4007 S &amp; C Fees</t>
  </si>
  <si>
    <t xml:space="preserve">   4010 Worldpay</t>
  </si>
  <si>
    <t xml:space="preserve">   4200 ECB CA Rebate</t>
  </si>
  <si>
    <t xml:space="preserve">   4301 After School Coaching</t>
  </si>
  <si>
    <t xml:space="preserve">   4400 ECB General Funding</t>
  </si>
  <si>
    <t xml:space="preserve">   4403 Dynamos Intro Activity</t>
  </si>
  <si>
    <t xml:space="preserve">   4405 Girls Sec Funding</t>
  </si>
  <si>
    <t xml:space="preserve">   4406 Facility Strategy</t>
  </si>
  <si>
    <t xml:space="preserve">   4407 Volunteer R&amp;R</t>
  </si>
  <si>
    <t xml:space="preserve">   4408 Dynamos School</t>
  </si>
  <si>
    <t xml:space="preserve">   4601 ACO Innovation Fund</t>
  </si>
  <si>
    <t xml:space="preserve">   4603 ECB Sky Dynamos</t>
  </si>
  <si>
    <t xml:space="preserve">   4604 ECB ACO Rebate</t>
  </si>
  <si>
    <t xml:space="preserve">   4605 EW Cricket Trust CCB Stimulus</t>
  </si>
  <si>
    <t xml:space="preserve">   4606 Hardship fund Income</t>
  </si>
  <si>
    <t xml:space="preserve">   4607 Presentation awards</t>
  </si>
  <si>
    <t xml:space="preserve">   4800 Club Affiliation Fees</t>
  </si>
  <si>
    <t xml:space="preserve">   4801 Outdoor League Entry Fees</t>
  </si>
  <si>
    <t xml:space="preserve">   4802 Indoor League - Adult</t>
  </si>
  <si>
    <t xml:space="preserve">   4804 Outdoor Cup</t>
  </si>
  <si>
    <t xml:space="preserve">   4806 Ball Sales</t>
  </si>
  <si>
    <t xml:space="preserve">   4807 Scorebook Sales</t>
  </si>
  <si>
    <t xml:space="preserve">   4808 Sponsorship (Club Competitions)</t>
  </si>
  <si>
    <t xml:space="preserve">   5002 U11's Match Fees Home</t>
  </si>
  <si>
    <t xml:space="preserve">   5003 U11's Match Fees Away</t>
  </si>
  <si>
    <t xml:space="preserve">   5004 U12's / U13's Match Fees Home</t>
  </si>
  <si>
    <t xml:space="preserve">   5005 U12's / U13's Match Fees Away</t>
  </si>
  <si>
    <t xml:space="preserve">   5006 U14's Match Fees Home</t>
  </si>
  <si>
    <t xml:space="preserve">   5007 U14's Match Fees Away</t>
  </si>
  <si>
    <t xml:space="preserve">   5008 U15's Match Fees Home</t>
  </si>
  <si>
    <t xml:space="preserve">   5009 U15's Match Fees Away</t>
  </si>
  <si>
    <t xml:space="preserve">   5010 U18's Match Fees Home 1 day</t>
  </si>
  <si>
    <t xml:space="preserve">   5011 U18's Match Fees Away 1 day</t>
  </si>
  <si>
    <t xml:space="preserve">   5012 U18's Match Fees Home 2 day</t>
  </si>
  <si>
    <t xml:space="preserve">   5013 U18's Match Fees Away 2 day</t>
  </si>
  <si>
    <t xml:space="preserve">   5014 U18's Away Accomodation Charge</t>
  </si>
  <si>
    <t xml:space="preserve">   5015 Girls Home</t>
  </si>
  <si>
    <t xml:space="preserve">   5016 Girls Away</t>
  </si>
  <si>
    <t xml:space="preserve">   5018 Seniors Home</t>
  </si>
  <si>
    <t xml:space="preserve">   5019 Seniors Away</t>
  </si>
  <si>
    <t xml:space="preserve">   5020 CAG Expenses from ECB</t>
  </si>
  <si>
    <t xml:space="preserve">   5021 Sponsorship (CAG)</t>
  </si>
  <si>
    <t xml:space="preserve">   5300 CTS Primary Grants</t>
  </si>
  <si>
    <t xml:space="preserve">   5400 Sponsorship (Disability)</t>
  </si>
  <si>
    <t xml:space="preserve">   5401 Match Fees (Disability)</t>
  </si>
  <si>
    <t xml:space="preserve">   5550 Funds 4 Runs Grant (ECB)</t>
  </si>
  <si>
    <t xml:space="preserve">   5600 Indoor Match Fees U12</t>
  </si>
  <si>
    <t xml:space="preserve">   5601 Indoor Match Fees U14</t>
  </si>
  <si>
    <t xml:space="preserve">   5602 Junior League U11</t>
  </si>
  <si>
    <t xml:space="preserve">   5603 Junior League U13</t>
  </si>
  <si>
    <t xml:space="preserve">   5604 Junior League U15</t>
  </si>
  <si>
    <t xml:space="preserve">   5605 Junior Cup U11</t>
  </si>
  <si>
    <t xml:space="preserve">   5606 Junior Cup U13</t>
  </si>
  <si>
    <t xml:space="preserve">   5607 Junior Cup U15</t>
  </si>
  <si>
    <t xml:space="preserve">   5608 Junior Ball Sales</t>
  </si>
  <si>
    <t xml:space="preserve">   5609 Junior U12 Girls</t>
  </si>
  <si>
    <t xml:space="preserve">   5700 EPP Funding</t>
  </si>
  <si>
    <t xml:space="preserve">   5701 Sponsorship (EPP/Performance)</t>
  </si>
  <si>
    <t xml:space="preserve">   5800 W&amp;G Strategic Funding</t>
  </si>
  <si>
    <t xml:space="preserve">   5801 Girls Coaching Income</t>
  </si>
  <si>
    <t xml:space="preserve">   5803 CAG Girls Funding</t>
  </si>
  <si>
    <t xml:space="preserve">   5804 Girls summer match fees</t>
  </si>
  <si>
    <t xml:space="preserve">   5806 Sponsorship (Girls)</t>
  </si>
  <si>
    <t xml:space="preserve">   5807 Girls school funding</t>
  </si>
  <si>
    <t xml:space="preserve">   9999 Suspense</t>
  </si>
  <si>
    <t xml:space="preserve">   PayPal Income</t>
  </si>
  <si>
    <t xml:space="preserve">   Services</t>
  </si>
  <si>
    <t>Total Income</t>
  </si>
  <si>
    <t>Gross Profit</t>
  </si>
  <si>
    <t>Expenses</t>
  </si>
  <si>
    <t xml:space="preserve">   4100 Head of Perf Salary &amp; Pension (CAG)</t>
  </si>
  <si>
    <t xml:space="preserve">   4101 Coaching Pay (U10/All Stars)</t>
  </si>
  <si>
    <t xml:space="preserve">   4102 Coaching Pay (U11/12/13)</t>
  </si>
  <si>
    <t xml:space="preserve">   4103 Coaching Pay (U14/U15)</t>
  </si>
  <si>
    <t xml:space="preserve">   4104 Coaching Pay (U16/U17/U18)</t>
  </si>
  <si>
    <t xml:space="preserve">   4106 S &amp; C Coaches Pay</t>
  </si>
  <si>
    <t xml:space="preserve">   4109 Training Equipment</t>
  </si>
  <si>
    <t xml:space="preserve">   4112 Head of Perf Expenses (CAG)</t>
  </si>
  <si>
    <t xml:space="preserve">   4113 Coaches Meeting/other</t>
  </si>
  <si>
    <t xml:space="preserve">   4114 Coaches Training session</t>
  </si>
  <si>
    <t xml:space="preserve">   4115 Other CAG</t>
  </si>
  <si>
    <t xml:space="preserve">   4500 Rent</t>
  </si>
  <si>
    <t xml:space="preserve">   4502 Payroll and Accounts</t>
  </si>
  <si>
    <t xml:space="preserve">   4503 Office Tel and Mobile</t>
  </si>
  <si>
    <t xml:space="preserve">   4504 Salaries CDM &amp; Expenses</t>
  </si>
  <si>
    <t xml:space="preserve">   4505 Salaries Community Coach &amp; Expenses</t>
  </si>
  <si>
    <t xml:space="preserve">   4506 Company Administration (Treasurer)</t>
  </si>
  <si>
    <t xml:space="preserve">   4507 Insurance</t>
  </si>
  <si>
    <t xml:space="preserve">   4508 Minibus Fuel</t>
  </si>
  <si>
    <t xml:space="preserve">   4509 Minibus Servicing</t>
  </si>
  <si>
    <t xml:space="preserve">   4510 Minibus Insurance</t>
  </si>
  <si>
    <t xml:space="preserve">   4511 Minibus Licence</t>
  </si>
  <si>
    <t xml:space="preserve">   4514 Travel</t>
  </si>
  <si>
    <t xml:space="preserve">   4515 Employer NI &amp; Pension Admin</t>
  </si>
  <si>
    <t xml:space="preserve">   4516 Company House Return</t>
  </si>
  <si>
    <t xml:space="preserve">   4518 Accountant Fee</t>
  </si>
  <si>
    <t xml:space="preserve">   4520 Websites</t>
  </si>
  <si>
    <t xml:space="preserve">   4522 COS balls and scorebooks</t>
  </si>
  <si>
    <t xml:space="preserve">   4523 ACO Innovation Fund</t>
  </si>
  <si>
    <t xml:space="preserve">   4524 Other</t>
  </si>
  <si>
    <t xml:space="preserve">   4525 Chairmans allowance</t>
  </si>
  <si>
    <t xml:space="preserve">   4526 HR</t>
  </si>
  <si>
    <t xml:space="preserve">   4527 Bank charges</t>
  </si>
  <si>
    <t xml:space="preserve">   4700 Presentation awards expenditure</t>
  </si>
  <si>
    <t xml:space="preserve">   4701 Hardship fund tfr</t>
  </si>
  <si>
    <t xml:space="preserve">   4850 Hall Hire (Indoor)</t>
  </si>
  <si>
    <t xml:space="preserve">   4851 League Expenses</t>
  </si>
  <si>
    <t xml:space="preserve">   4852 Cup Expenses</t>
  </si>
  <si>
    <t xml:space="preserve">   4853 Ball purchases</t>
  </si>
  <si>
    <t xml:space="preserve">   4950 Over 50 Match expenses</t>
  </si>
  <si>
    <t xml:space="preserve">   5100 2021 Summer expenses</t>
  </si>
  <si>
    <t xml:space="preserve">   5105 Umpires U9/U10</t>
  </si>
  <si>
    <t xml:space="preserve">   5109 Ferry Cost U9/U10</t>
  </si>
  <si>
    <t xml:space="preserve">   5110 Casual Coach U11</t>
  </si>
  <si>
    <t xml:space="preserve">   5111 Ground Hire U11</t>
  </si>
  <si>
    <t xml:space="preserve">   5114 Umpires U11</t>
  </si>
  <si>
    <t xml:space="preserve">   5117 Fuel Cost U11</t>
  </si>
  <si>
    <t xml:space="preserve">   5118 Ferry Cost U11</t>
  </si>
  <si>
    <t xml:space="preserve">   5119 Match Expenses U11</t>
  </si>
  <si>
    <t xml:space="preserve">   5120 Casual Coach U12/U13</t>
  </si>
  <si>
    <t xml:space="preserve">   5124 Umpires U12/U13</t>
  </si>
  <si>
    <t xml:space="preserve">   5127 Fuel Cost U12/U13</t>
  </si>
  <si>
    <t xml:space="preserve">   5128 Ferry Cost U12/U13</t>
  </si>
  <si>
    <t xml:space="preserve">   5129 Match Expenses U13</t>
  </si>
  <si>
    <t xml:space="preserve">   5130 Casual Coach U14</t>
  </si>
  <si>
    <t xml:space="preserve">   5131 Ground Hire U14</t>
  </si>
  <si>
    <t xml:space="preserve">   5134 Umpires U14</t>
  </si>
  <si>
    <t xml:space="preserve">   5137 Fuel Cost U14</t>
  </si>
  <si>
    <t xml:space="preserve">   5138 Ferry Cost U14</t>
  </si>
  <si>
    <t xml:space="preserve">   5139 Match Expenses U14</t>
  </si>
  <si>
    <t xml:space="preserve">   5140 Casual Coach U15</t>
  </si>
  <si>
    <t xml:space="preserve">   5144 Umpires U15</t>
  </si>
  <si>
    <t xml:space="preserve">   5147 Fuel Cost U15</t>
  </si>
  <si>
    <t xml:space="preserve">   5148 Ferry Cost U15</t>
  </si>
  <si>
    <t xml:space="preserve">   5150 Casual Coach U18</t>
  </si>
  <si>
    <t xml:space="preserve">   5152 Catering U18</t>
  </si>
  <si>
    <t xml:space="preserve">   5154 Umpires U18</t>
  </si>
  <si>
    <t xml:space="preserve">   5155 Accomodation U18</t>
  </si>
  <si>
    <t xml:space="preserve">   5157 Fuel Cost U18</t>
  </si>
  <si>
    <t xml:space="preserve">   5158 Ferry Cost U18</t>
  </si>
  <si>
    <t xml:space="preserve">   5159 Match Expenses U18</t>
  </si>
  <si>
    <t xml:space="preserve">   5161 Ground Hire Seniors</t>
  </si>
  <si>
    <t xml:space="preserve">   5164 Umpires Seniors</t>
  </si>
  <si>
    <t xml:space="preserve">   5167 Fuel Cost Seniors</t>
  </si>
  <si>
    <t xml:space="preserve">   5168 Ferry Cost Seniors</t>
  </si>
  <si>
    <t xml:space="preserve">   5169 Match Expenses Seniors</t>
  </si>
  <si>
    <t xml:space="preserve">   5170 Newclose Ground Hire</t>
  </si>
  <si>
    <t xml:space="preserve">   5172 Head of Perf Salary &amp; Pension (Summer)</t>
  </si>
  <si>
    <t xml:space="preserve">   5173 Head of Perf Expenses (Summer)</t>
  </si>
  <si>
    <t xml:space="preserve">   5350 CTS Coaches pay Primary</t>
  </si>
  <si>
    <t xml:space="preserve">   5356 CTS Coaches expenses</t>
  </si>
  <si>
    <t xml:space="preserve">   5450 Disability Match Fees (Umpire, travel,minibus)</t>
  </si>
  <si>
    <t xml:space="preserve">   5553 Coaches Pay (Disability Com)</t>
  </si>
  <si>
    <t xml:space="preserve">   5650 Indoor Hall Hire</t>
  </si>
  <si>
    <t xml:space="preserve">   5651 U11 Finals Expenses (League/Cup)</t>
  </si>
  <si>
    <t xml:space="preserve">   5750 Head of Performance Salary (EPP)</t>
  </si>
  <si>
    <t xml:space="preserve">   5751 Coaching Pay (EPP)</t>
  </si>
  <si>
    <t xml:space="preserve">   5752 Specialist Coaches</t>
  </si>
  <si>
    <t xml:space="preserve">   5753 Coaching Equipment (EPP)</t>
  </si>
  <si>
    <t xml:space="preserve">   5850 Head of Performance Salary (Girls)</t>
  </si>
  <si>
    <t xml:space="preserve">   5851 Girls Coaching Pay</t>
  </si>
  <si>
    <t xml:space="preserve">   5857 Girls RPC KIt</t>
  </si>
  <si>
    <t xml:space="preserve">   5859 Ground Hire Girls</t>
  </si>
  <si>
    <t xml:space="preserve">   5865 Fuel Cost Girls</t>
  </si>
  <si>
    <t xml:space="preserve">   5866 Ferry Cost Girls</t>
  </si>
  <si>
    <t xml:space="preserve">   5867 W &amp; G Festival</t>
  </si>
  <si>
    <t xml:space="preserve">   5956 Playing Kit (Nat Counties)</t>
  </si>
  <si>
    <t xml:space="preserve">   PayPal Fees</t>
  </si>
  <si>
    <t xml:space="preserve">   Payroll Expenses</t>
  </si>
  <si>
    <t xml:space="preserve">      Pension</t>
  </si>
  <si>
    <t xml:space="preserve">      Taxes</t>
  </si>
  <si>
    <t xml:space="preserve">      Wages</t>
  </si>
  <si>
    <t xml:space="preserve">   Total Payroll Expenses</t>
  </si>
  <si>
    <t>Total Expenses</t>
  </si>
  <si>
    <t>Net Operating Income</t>
  </si>
  <si>
    <t>Other Expenses</t>
  </si>
  <si>
    <t xml:space="preserve">   Other Expense</t>
  </si>
  <si>
    <t>Total Other Expenses</t>
  </si>
  <si>
    <t>Net Other Income</t>
  </si>
  <si>
    <t>Net Income</t>
  </si>
  <si>
    <t>Saturday, Nov 26, 2022 03:59:42 pm GMT0 - Accrual Basis</t>
  </si>
  <si>
    <t>Isle of Wight Cricket Board Limited</t>
  </si>
  <si>
    <t>Profit and Loss</t>
  </si>
  <si>
    <t>October 2021 -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</si>
</sst>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£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6"/>
  <sheetViews>
    <sheetView tabSelected="1" workbookViewId="0">
      <selection sqref="A1:B1"/>
    </sheetView>
  </sheetViews>
  <sheetFormatPr defaultRowHeight="15" x14ac:dyDescent="0.25"/>
  <cols>
    <col min="1" max="1" width="47.28515625" customWidth="1"/>
    <col min="2" max="2" width="31" customWidth="1"/>
  </cols>
  <sheetData>
    <row r="1" spans="1:2" ht="18" x14ac:dyDescent="0.25">
      <c r="A1" s="10" t="s">
        <v>189</v>
      </c>
      <c r="B1" s="9"/>
    </row>
    <row r="2" spans="1:2" ht="18" x14ac:dyDescent="0.25">
      <c r="A2" s="10" t="s">
        <v>190</v>
      </c>
      <c r="B2" s="9"/>
    </row>
    <row r="3" spans="1:2" x14ac:dyDescent="0.25">
      <c r="A3" s="11" t="s">
        <v>191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5">
        <f>16772.56</f>
        <v>16772.560000000001</v>
      </c>
    </row>
    <row r="8" spans="1:2" x14ac:dyDescent="0.25">
      <c r="A8" s="3" t="s">
        <v>3</v>
      </c>
      <c r="B8" s="5">
        <f>495</f>
        <v>495</v>
      </c>
    </row>
    <row r="9" spans="1:2" x14ac:dyDescent="0.25">
      <c r="A9" s="3" t="s">
        <v>4</v>
      </c>
      <c r="B9" s="5">
        <f>1080</f>
        <v>1080</v>
      </c>
    </row>
    <row r="10" spans="1:2" x14ac:dyDescent="0.25">
      <c r="A10" s="3" t="s">
        <v>5</v>
      </c>
      <c r="B10" s="5">
        <f>840</f>
        <v>840</v>
      </c>
    </row>
    <row r="11" spans="1:2" x14ac:dyDescent="0.25">
      <c r="A11" s="3" t="s">
        <v>6</v>
      </c>
      <c r="B11" s="5">
        <f>510</f>
        <v>510</v>
      </c>
    </row>
    <row r="12" spans="1:2" x14ac:dyDescent="0.25">
      <c r="A12" s="3" t="s">
        <v>7</v>
      </c>
      <c r="B12" s="5">
        <f>564</f>
        <v>564</v>
      </c>
    </row>
    <row r="13" spans="1:2" x14ac:dyDescent="0.25">
      <c r="A13" s="3" t="s">
        <v>8</v>
      </c>
      <c r="B13" s="5">
        <f>231</f>
        <v>231</v>
      </c>
    </row>
    <row r="14" spans="1:2" x14ac:dyDescent="0.25">
      <c r="A14" s="3" t="s">
        <v>9</v>
      </c>
      <c r="B14" s="5">
        <f>3981.01</f>
        <v>3981.01</v>
      </c>
    </row>
    <row r="15" spans="1:2" x14ac:dyDescent="0.25">
      <c r="A15" s="3" t="s">
        <v>10</v>
      </c>
      <c r="B15" s="5">
        <f>48</f>
        <v>48</v>
      </c>
    </row>
    <row r="16" spans="1:2" x14ac:dyDescent="0.25">
      <c r="A16" s="3" t="s">
        <v>11</v>
      </c>
      <c r="B16" s="5">
        <f>850</f>
        <v>850</v>
      </c>
    </row>
    <row r="17" spans="1:2" x14ac:dyDescent="0.25">
      <c r="A17" s="3" t="s">
        <v>12</v>
      </c>
      <c r="B17" s="5">
        <f>62984.69</f>
        <v>62984.69</v>
      </c>
    </row>
    <row r="18" spans="1:2" x14ac:dyDescent="0.25">
      <c r="A18" s="3" t="s">
        <v>13</v>
      </c>
      <c r="B18" s="5">
        <f>2500</f>
        <v>2500</v>
      </c>
    </row>
    <row r="19" spans="1:2" x14ac:dyDescent="0.25">
      <c r="A19" s="3" t="s">
        <v>14</v>
      </c>
      <c r="B19" s="5">
        <f>700.9</f>
        <v>700.9</v>
      </c>
    </row>
    <row r="20" spans="1:2" x14ac:dyDescent="0.25">
      <c r="A20" s="3" t="s">
        <v>15</v>
      </c>
      <c r="B20" s="5">
        <f>4000</f>
        <v>4000</v>
      </c>
    </row>
    <row r="21" spans="1:2" x14ac:dyDescent="0.25">
      <c r="A21" s="3" t="s">
        <v>16</v>
      </c>
      <c r="B21" s="5">
        <f>800</f>
        <v>800</v>
      </c>
    </row>
    <row r="22" spans="1:2" x14ac:dyDescent="0.25">
      <c r="A22" s="3" t="s">
        <v>17</v>
      </c>
      <c r="B22" s="5">
        <f>1202</f>
        <v>1202</v>
      </c>
    </row>
    <row r="23" spans="1:2" x14ac:dyDescent="0.25">
      <c r="A23" s="3" t="s">
        <v>18</v>
      </c>
      <c r="B23" s="5">
        <f>1350.09</f>
        <v>1350.09</v>
      </c>
    </row>
    <row r="24" spans="1:2" x14ac:dyDescent="0.25">
      <c r="A24" s="3" t="s">
        <v>19</v>
      </c>
      <c r="B24" s="5">
        <f>3400</f>
        <v>3400</v>
      </c>
    </row>
    <row r="25" spans="1:2" x14ac:dyDescent="0.25">
      <c r="A25" s="3" t="s">
        <v>20</v>
      </c>
      <c r="B25" s="5">
        <f>104</f>
        <v>104</v>
      </c>
    </row>
    <row r="26" spans="1:2" x14ac:dyDescent="0.25">
      <c r="A26" s="3" t="s">
        <v>21</v>
      </c>
      <c r="B26" s="5">
        <f>240</f>
        <v>240</v>
      </c>
    </row>
    <row r="27" spans="1:2" x14ac:dyDescent="0.25">
      <c r="A27" s="3" t="s">
        <v>22</v>
      </c>
      <c r="B27" s="5">
        <f>2000</f>
        <v>2000</v>
      </c>
    </row>
    <row r="28" spans="1:2" x14ac:dyDescent="0.25">
      <c r="A28" s="3" t="s">
        <v>23</v>
      </c>
      <c r="B28" s="5">
        <f>598</f>
        <v>598</v>
      </c>
    </row>
    <row r="29" spans="1:2" x14ac:dyDescent="0.25">
      <c r="A29" s="3" t="s">
        <v>24</v>
      </c>
      <c r="B29" s="5">
        <f>1022.25</f>
        <v>1022.25</v>
      </c>
    </row>
    <row r="30" spans="1:2" x14ac:dyDescent="0.25">
      <c r="A30" s="3" t="s">
        <v>25</v>
      </c>
      <c r="B30" s="5">
        <f>225</f>
        <v>225</v>
      </c>
    </row>
    <row r="31" spans="1:2" x14ac:dyDescent="0.25">
      <c r="A31" s="3" t="s">
        <v>26</v>
      </c>
      <c r="B31" s="5">
        <f>2824.5</f>
        <v>2824.5</v>
      </c>
    </row>
    <row r="32" spans="1:2" x14ac:dyDescent="0.25">
      <c r="A32" s="3" t="s">
        <v>27</v>
      </c>
      <c r="B32" s="5">
        <f>156</f>
        <v>156</v>
      </c>
    </row>
    <row r="33" spans="1:2" x14ac:dyDescent="0.25">
      <c r="A33" s="3" t="s">
        <v>28</v>
      </c>
      <c r="B33" s="5">
        <f>2359.5</f>
        <v>2359.5</v>
      </c>
    </row>
    <row r="34" spans="1:2" x14ac:dyDescent="0.25">
      <c r="A34" s="3" t="s">
        <v>29</v>
      </c>
      <c r="B34" s="5">
        <f>87.5</f>
        <v>87.5</v>
      </c>
    </row>
    <row r="35" spans="1:2" x14ac:dyDescent="0.25">
      <c r="A35" s="3" t="s">
        <v>30</v>
      </c>
      <c r="B35" s="5">
        <f>300</f>
        <v>300</v>
      </c>
    </row>
    <row r="36" spans="1:2" x14ac:dyDescent="0.25">
      <c r="A36" s="3" t="s">
        <v>31</v>
      </c>
      <c r="B36" s="5">
        <f>360</f>
        <v>360</v>
      </c>
    </row>
    <row r="37" spans="1:2" x14ac:dyDescent="0.25">
      <c r="A37" s="3" t="s">
        <v>32</v>
      </c>
      <c r="B37" s="5">
        <f>360</f>
        <v>360</v>
      </c>
    </row>
    <row r="38" spans="1:2" x14ac:dyDescent="0.25">
      <c r="A38" s="3" t="s">
        <v>33</v>
      </c>
      <c r="B38" s="5">
        <f>660</f>
        <v>660</v>
      </c>
    </row>
    <row r="39" spans="1:2" x14ac:dyDescent="0.25">
      <c r="A39" s="3" t="s">
        <v>34</v>
      </c>
      <c r="B39" s="5">
        <f>1900</f>
        <v>1900</v>
      </c>
    </row>
    <row r="40" spans="1:2" x14ac:dyDescent="0.25">
      <c r="A40" s="3" t="s">
        <v>35</v>
      </c>
      <c r="B40" s="5">
        <f>270</f>
        <v>270</v>
      </c>
    </row>
    <row r="41" spans="1:2" x14ac:dyDescent="0.25">
      <c r="A41" s="3" t="s">
        <v>36</v>
      </c>
      <c r="B41" s="5">
        <f>410</f>
        <v>410</v>
      </c>
    </row>
    <row r="42" spans="1:2" x14ac:dyDescent="0.25">
      <c r="A42" s="3" t="s">
        <v>37</v>
      </c>
      <c r="B42" s="5">
        <f>10</f>
        <v>10</v>
      </c>
    </row>
    <row r="43" spans="1:2" x14ac:dyDescent="0.25">
      <c r="A43" s="3" t="s">
        <v>38</v>
      </c>
      <c r="B43" s="5">
        <f>280</f>
        <v>280</v>
      </c>
    </row>
    <row r="44" spans="1:2" x14ac:dyDescent="0.25">
      <c r="A44" s="3" t="s">
        <v>39</v>
      </c>
      <c r="B44" s="5">
        <f>190</f>
        <v>190</v>
      </c>
    </row>
    <row r="45" spans="1:2" x14ac:dyDescent="0.25">
      <c r="A45" s="3" t="s">
        <v>40</v>
      </c>
      <c r="B45" s="5">
        <f>80</f>
        <v>80</v>
      </c>
    </row>
    <row r="46" spans="1:2" x14ac:dyDescent="0.25">
      <c r="A46" s="3" t="s">
        <v>41</v>
      </c>
      <c r="B46" s="5">
        <f>260</f>
        <v>260</v>
      </c>
    </row>
    <row r="47" spans="1:2" x14ac:dyDescent="0.25">
      <c r="A47" s="3" t="s">
        <v>42</v>
      </c>
      <c r="B47" s="5">
        <f>880</f>
        <v>880</v>
      </c>
    </row>
    <row r="48" spans="1:2" x14ac:dyDescent="0.25">
      <c r="A48" s="3" t="s">
        <v>43</v>
      </c>
      <c r="B48" s="5">
        <f>1410</f>
        <v>1410</v>
      </c>
    </row>
    <row r="49" spans="1:2" x14ac:dyDescent="0.25">
      <c r="A49" s="3" t="s">
        <v>44</v>
      </c>
      <c r="B49" s="5">
        <f>440</f>
        <v>440</v>
      </c>
    </row>
    <row r="50" spans="1:2" x14ac:dyDescent="0.25">
      <c r="A50" s="3" t="s">
        <v>45</v>
      </c>
      <c r="B50" s="5">
        <f>30</f>
        <v>30</v>
      </c>
    </row>
    <row r="51" spans="1:2" x14ac:dyDescent="0.25">
      <c r="A51" s="3" t="s">
        <v>46</v>
      </c>
      <c r="B51" s="5">
        <f>1</f>
        <v>1</v>
      </c>
    </row>
    <row r="52" spans="1:2" x14ac:dyDescent="0.25">
      <c r="A52" s="3" t="s">
        <v>47</v>
      </c>
      <c r="B52" s="5">
        <f>1</f>
        <v>1</v>
      </c>
    </row>
    <row r="53" spans="1:2" x14ac:dyDescent="0.25">
      <c r="A53" s="3" t="s">
        <v>48</v>
      </c>
      <c r="B53" s="5">
        <f>7556</f>
        <v>7556</v>
      </c>
    </row>
    <row r="54" spans="1:2" x14ac:dyDescent="0.25">
      <c r="A54" s="3" t="s">
        <v>49</v>
      </c>
      <c r="B54" s="5">
        <f>2000</f>
        <v>2000</v>
      </c>
    </row>
    <row r="55" spans="1:2" x14ac:dyDescent="0.25">
      <c r="A55" s="3" t="s">
        <v>50</v>
      </c>
      <c r="B55" s="5">
        <f>14360</f>
        <v>14360</v>
      </c>
    </row>
    <row r="56" spans="1:2" x14ac:dyDescent="0.25">
      <c r="A56" s="3" t="s">
        <v>51</v>
      </c>
      <c r="B56" s="5">
        <f>400</f>
        <v>400</v>
      </c>
    </row>
    <row r="57" spans="1:2" x14ac:dyDescent="0.25">
      <c r="A57" s="3" t="s">
        <v>52</v>
      </c>
      <c r="B57" s="5">
        <f>273</f>
        <v>273</v>
      </c>
    </row>
    <row r="58" spans="1:2" x14ac:dyDescent="0.25">
      <c r="A58" s="3" t="s">
        <v>53</v>
      </c>
      <c r="B58" s="5">
        <f>1950</f>
        <v>1950</v>
      </c>
    </row>
    <row r="59" spans="1:2" x14ac:dyDescent="0.25">
      <c r="A59" s="3" t="s">
        <v>54</v>
      </c>
      <c r="B59" s="5">
        <f>630</f>
        <v>630</v>
      </c>
    </row>
    <row r="60" spans="1:2" x14ac:dyDescent="0.25">
      <c r="A60" s="3" t="s">
        <v>55</v>
      </c>
      <c r="B60" s="5">
        <f>486</f>
        <v>486</v>
      </c>
    </row>
    <row r="61" spans="1:2" x14ac:dyDescent="0.25">
      <c r="A61" s="3" t="s">
        <v>56</v>
      </c>
      <c r="B61" s="5">
        <f>108</f>
        <v>108</v>
      </c>
    </row>
    <row r="62" spans="1:2" x14ac:dyDescent="0.25">
      <c r="A62" s="3" t="s">
        <v>57</v>
      </c>
      <c r="B62" s="5">
        <f>132</f>
        <v>132</v>
      </c>
    </row>
    <row r="63" spans="1:2" x14ac:dyDescent="0.25">
      <c r="A63" s="3" t="s">
        <v>58</v>
      </c>
      <c r="B63" s="5">
        <f>72</f>
        <v>72</v>
      </c>
    </row>
    <row r="64" spans="1:2" x14ac:dyDescent="0.25">
      <c r="A64" s="3" t="s">
        <v>59</v>
      </c>
      <c r="B64" s="5">
        <f>108</f>
        <v>108</v>
      </c>
    </row>
    <row r="65" spans="1:2" x14ac:dyDescent="0.25">
      <c r="A65" s="3" t="s">
        <v>60</v>
      </c>
      <c r="B65" s="5">
        <f>132</f>
        <v>132</v>
      </c>
    </row>
    <row r="66" spans="1:2" x14ac:dyDescent="0.25">
      <c r="A66" s="3" t="s">
        <v>61</v>
      </c>
      <c r="B66" s="5">
        <f>72</f>
        <v>72</v>
      </c>
    </row>
    <row r="67" spans="1:2" x14ac:dyDescent="0.25">
      <c r="A67" s="3" t="s">
        <v>62</v>
      </c>
      <c r="B67" s="5">
        <f>900</f>
        <v>900</v>
      </c>
    </row>
    <row r="68" spans="1:2" x14ac:dyDescent="0.25">
      <c r="A68" s="3" t="s">
        <v>63</v>
      </c>
      <c r="B68" s="5">
        <f>48</f>
        <v>48</v>
      </c>
    </row>
    <row r="69" spans="1:2" x14ac:dyDescent="0.25">
      <c r="A69" s="3" t="s">
        <v>64</v>
      </c>
      <c r="B69" s="5">
        <f>14500</f>
        <v>14500</v>
      </c>
    </row>
    <row r="70" spans="1:2" x14ac:dyDescent="0.25">
      <c r="A70" s="3" t="s">
        <v>65</v>
      </c>
      <c r="B70" s="5">
        <f>2500</f>
        <v>2500</v>
      </c>
    </row>
    <row r="71" spans="1:2" x14ac:dyDescent="0.25">
      <c r="A71" s="3" t="s">
        <v>66</v>
      </c>
      <c r="B71" s="5">
        <f>2500</f>
        <v>2500</v>
      </c>
    </row>
    <row r="72" spans="1:2" x14ac:dyDescent="0.25">
      <c r="A72" s="3" t="s">
        <v>67</v>
      </c>
      <c r="B72" s="5">
        <f>1591.5</f>
        <v>1591.5</v>
      </c>
    </row>
    <row r="73" spans="1:2" x14ac:dyDescent="0.25">
      <c r="A73" s="3" t="s">
        <v>68</v>
      </c>
      <c r="B73" s="5">
        <f>1743</f>
        <v>1743</v>
      </c>
    </row>
    <row r="74" spans="1:2" x14ac:dyDescent="0.25">
      <c r="A74" s="3" t="s">
        <v>69</v>
      </c>
      <c r="B74" s="5">
        <f>45</f>
        <v>45</v>
      </c>
    </row>
    <row r="75" spans="1:2" x14ac:dyDescent="0.25">
      <c r="A75" s="3" t="s">
        <v>70</v>
      </c>
      <c r="B75" s="5">
        <f>150</f>
        <v>150</v>
      </c>
    </row>
    <row r="76" spans="1:2" x14ac:dyDescent="0.25">
      <c r="A76" s="3" t="s">
        <v>71</v>
      </c>
      <c r="B76" s="5">
        <f>250</f>
        <v>250</v>
      </c>
    </row>
    <row r="77" spans="1:2" x14ac:dyDescent="0.25">
      <c r="A77" s="3" t="s">
        <v>72</v>
      </c>
      <c r="B77" s="5">
        <f>2190</f>
        <v>2190</v>
      </c>
    </row>
    <row r="78" spans="1:2" x14ac:dyDescent="0.25">
      <c r="A78" s="3" t="s">
        <v>73</v>
      </c>
      <c r="B78" s="5">
        <f>19.8</f>
        <v>19.8</v>
      </c>
    </row>
    <row r="79" spans="1:2" x14ac:dyDescent="0.25">
      <c r="A79" s="3" t="s">
        <v>74</v>
      </c>
      <c r="B79" s="5">
        <f>1530</f>
        <v>1530</v>
      </c>
    </row>
    <row r="80" spans="1:2" x14ac:dyDescent="0.25">
      <c r="A80" s="3" t="s">
        <v>75</v>
      </c>
      <c r="B80" s="6">
        <f>((((((((((((((((((((((((((((((((((((((((((((((((((((((((((((((((((((((((B7)+(B8))+(B9))+(B10)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)+(B64))+(B65))+(B66))+(B67))+(B68))+(B69))+(B70))+(B71))+(B72))+(B73))+(B74))+(B75))+(B76))+(B77))+(B78))+(B79)</f>
        <v>176014.3</v>
      </c>
    </row>
    <row r="81" spans="1:2" x14ac:dyDescent="0.25">
      <c r="A81" s="3" t="s">
        <v>76</v>
      </c>
      <c r="B81" s="6">
        <f>(B80)-(0)</f>
        <v>176014.3</v>
      </c>
    </row>
    <row r="82" spans="1:2" x14ac:dyDescent="0.25">
      <c r="A82" s="3" t="s">
        <v>77</v>
      </c>
      <c r="B82" s="4"/>
    </row>
    <row r="83" spans="1:2" x14ac:dyDescent="0.25">
      <c r="A83" s="3" t="s">
        <v>78</v>
      </c>
      <c r="B83" s="5">
        <f>5593</f>
        <v>5593</v>
      </c>
    </row>
    <row r="84" spans="1:2" x14ac:dyDescent="0.25">
      <c r="A84" s="3" t="s">
        <v>79</v>
      </c>
      <c r="B84" s="5">
        <f>452.7</f>
        <v>452.7</v>
      </c>
    </row>
    <row r="85" spans="1:2" x14ac:dyDescent="0.25">
      <c r="A85" s="3" t="s">
        <v>80</v>
      </c>
      <c r="B85" s="5">
        <f>812.5</f>
        <v>812.5</v>
      </c>
    </row>
    <row r="86" spans="1:2" x14ac:dyDescent="0.25">
      <c r="A86" s="3" t="s">
        <v>81</v>
      </c>
      <c r="B86" s="5">
        <f>445</f>
        <v>445</v>
      </c>
    </row>
    <row r="87" spans="1:2" x14ac:dyDescent="0.25">
      <c r="A87" s="3" t="s">
        <v>82</v>
      </c>
      <c r="B87" s="5">
        <f>337.5</f>
        <v>337.5</v>
      </c>
    </row>
    <row r="88" spans="1:2" x14ac:dyDescent="0.25">
      <c r="A88" s="3" t="s">
        <v>83</v>
      </c>
      <c r="B88" s="5">
        <f>1050</f>
        <v>1050</v>
      </c>
    </row>
    <row r="89" spans="1:2" x14ac:dyDescent="0.25">
      <c r="A89" s="3" t="s">
        <v>84</v>
      </c>
      <c r="B89" s="5">
        <f>1967.8</f>
        <v>1967.8</v>
      </c>
    </row>
    <row r="90" spans="1:2" x14ac:dyDescent="0.25">
      <c r="A90" s="3" t="s">
        <v>85</v>
      </c>
      <c r="B90" s="5">
        <f>371.47</f>
        <v>371.47</v>
      </c>
    </row>
    <row r="91" spans="1:2" x14ac:dyDescent="0.25">
      <c r="A91" s="3" t="s">
        <v>86</v>
      </c>
      <c r="B91" s="5">
        <f>80</f>
        <v>80</v>
      </c>
    </row>
    <row r="92" spans="1:2" x14ac:dyDescent="0.25">
      <c r="A92" s="3" t="s">
        <v>87</v>
      </c>
      <c r="B92" s="5">
        <f>107.74</f>
        <v>107.74</v>
      </c>
    </row>
    <row r="93" spans="1:2" x14ac:dyDescent="0.25">
      <c r="A93" s="3" t="s">
        <v>88</v>
      </c>
      <c r="B93" s="5">
        <f>250</f>
        <v>250</v>
      </c>
    </row>
    <row r="94" spans="1:2" x14ac:dyDescent="0.25">
      <c r="A94" s="3" t="s">
        <v>89</v>
      </c>
      <c r="B94" s="5">
        <f>2880</f>
        <v>2880</v>
      </c>
    </row>
    <row r="95" spans="1:2" x14ac:dyDescent="0.25">
      <c r="A95" s="3" t="s">
        <v>90</v>
      </c>
      <c r="B95" s="5">
        <f>734.09</f>
        <v>734.09</v>
      </c>
    </row>
    <row r="96" spans="1:2" x14ac:dyDescent="0.25">
      <c r="A96" s="3" t="s">
        <v>91</v>
      </c>
      <c r="B96" s="5">
        <f>460</f>
        <v>460</v>
      </c>
    </row>
    <row r="97" spans="1:2" x14ac:dyDescent="0.25">
      <c r="A97" s="3" t="s">
        <v>92</v>
      </c>
      <c r="B97" s="5">
        <f>39127.49</f>
        <v>39127.49</v>
      </c>
    </row>
    <row r="98" spans="1:2" x14ac:dyDescent="0.25">
      <c r="A98" s="3" t="s">
        <v>93</v>
      </c>
      <c r="B98" s="5">
        <f>5553.32</f>
        <v>5553.32</v>
      </c>
    </row>
    <row r="99" spans="1:2" x14ac:dyDescent="0.25">
      <c r="A99" s="3" t="s">
        <v>94</v>
      </c>
      <c r="B99" s="5">
        <f>4500</f>
        <v>4500</v>
      </c>
    </row>
    <row r="100" spans="1:2" x14ac:dyDescent="0.25">
      <c r="A100" s="3" t="s">
        <v>95</v>
      </c>
      <c r="B100" s="5">
        <f>1343.6</f>
        <v>1343.6</v>
      </c>
    </row>
    <row r="101" spans="1:2" x14ac:dyDescent="0.25">
      <c r="A101" s="3" t="s">
        <v>96</v>
      </c>
      <c r="B101" s="5">
        <f>85</f>
        <v>85</v>
      </c>
    </row>
    <row r="102" spans="1:2" x14ac:dyDescent="0.25">
      <c r="A102" s="3" t="s">
        <v>97</v>
      </c>
      <c r="B102" s="5">
        <f>1670.8</f>
        <v>1670.8</v>
      </c>
    </row>
    <row r="103" spans="1:2" x14ac:dyDescent="0.25">
      <c r="A103" s="3" t="s">
        <v>98</v>
      </c>
      <c r="B103" s="5">
        <f>1675.46</f>
        <v>1675.46</v>
      </c>
    </row>
    <row r="104" spans="1:2" x14ac:dyDescent="0.25">
      <c r="A104" s="3" t="s">
        <v>99</v>
      </c>
      <c r="B104" s="5">
        <f>165</f>
        <v>165</v>
      </c>
    </row>
    <row r="105" spans="1:2" x14ac:dyDescent="0.25">
      <c r="A105" s="3" t="s">
        <v>100</v>
      </c>
      <c r="B105" s="5">
        <f>428.5</f>
        <v>428.5</v>
      </c>
    </row>
    <row r="106" spans="1:2" x14ac:dyDescent="0.25">
      <c r="A106" s="3" t="s">
        <v>101</v>
      </c>
      <c r="B106" s="5">
        <f>1689.19</f>
        <v>1689.19</v>
      </c>
    </row>
    <row r="107" spans="1:2" x14ac:dyDescent="0.25">
      <c r="A107" s="3" t="s">
        <v>102</v>
      </c>
      <c r="B107" s="5">
        <f>13</f>
        <v>13</v>
      </c>
    </row>
    <row r="108" spans="1:2" x14ac:dyDescent="0.25">
      <c r="A108" s="3" t="s">
        <v>103</v>
      </c>
      <c r="B108" s="5">
        <f>72</f>
        <v>72</v>
      </c>
    </row>
    <row r="109" spans="1:2" x14ac:dyDescent="0.25">
      <c r="A109" s="3" t="s">
        <v>104</v>
      </c>
      <c r="B109" s="5">
        <f>1000.01</f>
        <v>1000.01</v>
      </c>
    </row>
    <row r="110" spans="1:2" x14ac:dyDescent="0.25">
      <c r="A110" s="3" t="s">
        <v>105</v>
      </c>
      <c r="B110" s="5">
        <f>2620.58</f>
        <v>2620.58</v>
      </c>
    </row>
    <row r="111" spans="1:2" x14ac:dyDescent="0.25">
      <c r="A111" s="3" t="s">
        <v>106</v>
      </c>
      <c r="B111" s="5">
        <f>257.5</f>
        <v>257.5</v>
      </c>
    </row>
    <row r="112" spans="1:2" x14ac:dyDescent="0.25">
      <c r="A112" s="3" t="s">
        <v>107</v>
      </c>
      <c r="B112" s="5">
        <f>2265.01</f>
        <v>2265.0100000000002</v>
      </c>
    </row>
    <row r="113" spans="1:2" x14ac:dyDescent="0.25">
      <c r="A113" s="3" t="s">
        <v>108</v>
      </c>
      <c r="B113" s="5">
        <f>619.1</f>
        <v>619.1</v>
      </c>
    </row>
    <row r="114" spans="1:2" x14ac:dyDescent="0.25">
      <c r="A114" s="3" t="s">
        <v>109</v>
      </c>
      <c r="B114" s="5">
        <f>1584</f>
        <v>1584</v>
      </c>
    </row>
    <row r="115" spans="1:2" x14ac:dyDescent="0.25">
      <c r="A115" s="3" t="s">
        <v>110</v>
      </c>
      <c r="B115" s="5">
        <f>107.8</f>
        <v>107.8</v>
      </c>
    </row>
    <row r="116" spans="1:2" x14ac:dyDescent="0.25">
      <c r="A116" s="3" t="s">
        <v>111</v>
      </c>
      <c r="B116" s="5">
        <f>798</f>
        <v>798</v>
      </c>
    </row>
    <row r="117" spans="1:2" x14ac:dyDescent="0.25">
      <c r="A117" s="3" t="s">
        <v>112</v>
      </c>
      <c r="B117" s="5">
        <f>1800</f>
        <v>1800</v>
      </c>
    </row>
    <row r="118" spans="1:2" x14ac:dyDescent="0.25">
      <c r="A118" s="3" t="s">
        <v>113</v>
      </c>
      <c r="B118" s="5">
        <f>2320</f>
        <v>2320</v>
      </c>
    </row>
    <row r="119" spans="1:2" x14ac:dyDescent="0.25">
      <c r="A119" s="3" t="s">
        <v>114</v>
      </c>
      <c r="B119" s="5">
        <f>26</f>
        <v>26</v>
      </c>
    </row>
    <row r="120" spans="1:2" x14ac:dyDescent="0.25">
      <c r="A120" s="3" t="s">
        <v>115</v>
      </c>
      <c r="B120" s="5">
        <f>1228.92</f>
        <v>1228.92</v>
      </c>
    </row>
    <row r="121" spans="1:2" x14ac:dyDescent="0.25">
      <c r="A121" s="3" t="s">
        <v>116</v>
      </c>
      <c r="B121" s="5">
        <f>593.58</f>
        <v>593.58000000000004</v>
      </c>
    </row>
    <row r="122" spans="1:2" x14ac:dyDescent="0.25">
      <c r="A122" s="3" t="s">
        <v>117</v>
      </c>
      <c r="B122" s="5">
        <f>641.49</f>
        <v>641.49</v>
      </c>
    </row>
    <row r="123" spans="1:2" x14ac:dyDescent="0.25">
      <c r="A123" s="3" t="s">
        <v>118</v>
      </c>
      <c r="B123" s="5">
        <f>817.12</f>
        <v>817.12</v>
      </c>
    </row>
    <row r="124" spans="1:2" x14ac:dyDescent="0.25">
      <c r="A124" s="3" t="s">
        <v>119</v>
      </c>
      <c r="B124" s="5">
        <f>200</f>
        <v>200</v>
      </c>
    </row>
    <row r="125" spans="1:2" x14ac:dyDescent="0.25">
      <c r="A125" s="3" t="s">
        <v>120</v>
      </c>
      <c r="B125" s="5">
        <f>477</f>
        <v>477</v>
      </c>
    </row>
    <row r="126" spans="1:2" x14ac:dyDescent="0.25">
      <c r="A126" s="3" t="s">
        <v>121</v>
      </c>
      <c r="B126" s="5">
        <f>595</f>
        <v>595</v>
      </c>
    </row>
    <row r="127" spans="1:2" x14ac:dyDescent="0.25">
      <c r="A127" s="3" t="s">
        <v>122</v>
      </c>
      <c r="B127" s="5">
        <f>825</f>
        <v>825</v>
      </c>
    </row>
    <row r="128" spans="1:2" x14ac:dyDescent="0.25">
      <c r="A128" s="3" t="s">
        <v>123</v>
      </c>
      <c r="B128" s="5">
        <f>160</f>
        <v>160</v>
      </c>
    </row>
    <row r="129" spans="1:2" x14ac:dyDescent="0.25">
      <c r="A129" s="3" t="s">
        <v>124</v>
      </c>
      <c r="B129" s="5">
        <f>303.19</f>
        <v>303.19</v>
      </c>
    </row>
    <row r="130" spans="1:2" x14ac:dyDescent="0.25">
      <c r="A130" s="3" t="s">
        <v>125</v>
      </c>
      <c r="B130" s="5">
        <f>689</f>
        <v>689</v>
      </c>
    </row>
    <row r="131" spans="1:2" x14ac:dyDescent="0.25">
      <c r="A131" s="3" t="s">
        <v>126</v>
      </c>
      <c r="B131" s="5">
        <f>70</f>
        <v>70</v>
      </c>
    </row>
    <row r="132" spans="1:2" x14ac:dyDescent="0.25">
      <c r="A132" s="3" t="s">
        <v>127</v>
      </c>
      <c r="B132" s="5">
        <f>1290</f>
        <v>1290</v>
      </c>
    </row>
    <row r="133" spans="1:2" x14ac:dyDescent="0.25">
      <c r="A133" s="3" t="s">
        <v>128</v>
      </c>
      <c r="B133" s="5">
        <f>440</f>
        <v>440</v>
      </c>
    </row>
    <row r="134" spans="1:2" x14ac:dyDescent="0.25">
      <c r="A134" s="3" t="s">
        <v>129</v>
      </c>
      <c r="B134" s="5">
        <f>280.7</f>
        <v>280.7</v>
      </c>
    </row>
    <row r="135" spans="1:2" x14ac:dyDescent="0.25">
      <c r="A135" s="3" t="s">
        <v>130</v>
      </c>
      <c r="B135" s="5">
        <f>1563.5</f>
        <v>1563.5</v>
      </c>
    </row>
    <row r="136" spans="1:2" x14ac:dyDescent="0.25">
      <c r="A136" s="3" t="s">
        <v>131</v>
      </c>
      <c r="B136" s="5">
        <f>225</f>
        <v>225</v>
      </c>
    </row>
    <row r="137" spans="1:2" x14ac:dyDescent="0.25">
      <c r="A137" s="3" t="s">
        <v>132</v>
      </c>
      <c r="B137" s="5">
        <f>291.6</f>
        <v>291.60000000000002</v>
      </c>
    </row>
    <row r="138" spans="1:2" x14ac:dyDescent="0.25">
      <c r="A138" s="3" t="s">
        <v>133</v>
      </c>
      <c r="B138" s="5">
        <f>300</f>
        <v>300</v>
      </c>
    </row>
    <row r="139" spans="1:2" x14ac:dyDescent="0.25">
      <c r="A139" s="3" t="s">
        <v>134</v>
      </c>
      <c r="B139" s="5">
        <f>320</f>
        <v>320</v>
      </c>
    </row>
    <row r="140" spans="1:2" x14ac:dyDescent="0.25">
      <c r="A140" s="3" t="s">
        <v>135</v>
      </c>
      <c r="B140" s="5">
        <f>266.58</f>
        <v>266.58</v>
      </c>
    </row>
    <row r="141" spans="1:2" x14ac:dyDescent="0.25">
      <c r="A141" s="3" t="s">
        <v>136</v>
      </c>
      <c r="B141" s="5">
        <f>424</f>
        <v>424</v>
      </c>
    </row>
    <row r="142" spans="1:2" x14ac:dyDescent="0.25">
      <c r="A142" s="3" t="s">
        <v>137</v>
      </c>
      <c r="B142" s="5">
        <f>142.99</f>
        <v>142.99</v>
      </c>
    </row>
    <row r="143" spans="1:2" x14ac:dyDescent="0.25">
      <c r="A143" s="3" t="s">
        <v>138</v>
      </c>
      <c r="B143" s="5">
        <f>635</f>
        <v>635</v>
      </c>
    </row>
    <row r="144" spans="1:2" x14ac:dyDescent="0.25">
      <c r="A144" s="3" t="s">
        <v>139</v>
      </c>
      <c r="B144" s="5">
        <f>400</f>
        <v>400</v>
      </c>
    </row>
    <row r="145" spans="1:2" x14ac:dyDescent="0.25">
      <c r="A145" s="3" t="s">
        <v>140</v>
      </c>
      <c r="B145" s="5">
        <f>394.27</f>
        <v>394.27</v>
      </c>
    </row>
    <row r="146" spans="1:2" x14ac:dyDescent="0.25">
      <c r="A146" s="3" t="s">
        <v>141</v>
      </c>
      <c r="B146" s="5">
        <f>654.24</f>
        <v>654.24</v>
      </c>
    </row>
    <row r="147" spans="1:2" x14ac:dyDescent="0.25">
      <c r="A147" s="3" t="s">
        <v>142</v>
      </c>
      <c r="B147" s="5">
        <f>30</f>
        <v>30</v>
      </c>
    </row>
    <row r="148" spans="1:2" x14ac:dyDescent="0.25">
      <c r="A148" s="3" t="s">
        <v>143</v>
      </c>
      <c r="B148" s="5">
        <f>1932.3</f>
        <v>1932.3</v>
      </c>
    </row>
    <row r="149" spans="1:2" x14ac:dyDescent="0.25">
      <c r="A149" s="3" t="s">
        <v>144</v>
      </c>
      <c r="B149" s="5">
        <f>360</f>
        <v>360</v>
      </c>
    </row>
    <row r="150" spans="1:2" x14ac:dyDescent="0.25">
      <c r="A150" s="3" t="s">
        <v>145</v>
      </c>
      <c r="B150" s="5">
        <f>7588.37</f>
        <v>7588.37</v>
      </c>
    </row>
    <row r="151" spans="1:2" x14ac:dyDescent="0.25">
      <c r="A151" s="3" t="s">
        <v>146</v>
      </c>
      <c r="B151" s="5">
        <f>518.57</f>
        <v>518.57000000000005</v>
      </c>
    </row>
    <row r="152" spans="1:2" x14ac:dyDescent="0.25">
      <c r="A152" s="3" t="s">
        <v>147</v>
      </c>
      <c r="B152" s="5">
        <f>992.57</f>
        <v>992.57</v>
      </c>
    </row>
    <row r="153" spans="1:2" x14ac:dyDescent="0.25">
      <c r="A153" s="3" t="s">
        <v>148</v>
      </c>
      <c r="B153" s="5">
        <f>179.8</f>
        <v>179.8</v>
      </c>
    </row>
    <row r="154" spans="1:2" x14ac:dyDescent="0.25">
      <c r="A154" s="3" t="s">
        <v>149</v>
      </c>
      <c r="B154" s="5">
        <f>300</f>
        <v>300</v>
      </c>
    </row>
    <row r="155" spans="1:2" x14ac:dyDescent="0.25">
      <c r="A155" s="3" t="s">
        <v>150</v>
      </c>
      <c r="B155" s="5">
        <f>120</f>
        <v>120</v>
      </c>
    </row>
    <row r="156" spans="1:2" x14ac:dyDescent="0.25">
      <c r="A156" s="3" t="s">
        <v>151</v>
      </c>
      <c r="B156" s="5">
        <f>132.3</f>
        <v>132.30000000000001</v>
      </c>
    </row>
    <row r="157" spans="1:2" x14ac:dyDescent="0.25">
      <c r="A157" s="3" t="s">
        <v>152</v>
      </c>
      <c r="B157" s="5">
        <f>406.74</f>
        <v>406.74</v>
      </c>
    </row>
    <row r="158" spans="1:2" x14ac:dyDescent="0.25">
      <c r="A158" s="3" t="s">
        <v>153</v>
      </c>
      <c r="B158" s="5">
        <f>325</f>
        <v>325</v>
      </c>
    </row>
    <row r="159" spans="1:2" x14ac:dyDescent="0.25">
      <c r="A159" s="3" t="s">
        <v>154</v>
      </c>
      <c r="B159" s="5">
        <f>980</f>
        <v>980</v>
      </c>
    </row>
    <row r="160" spans="1:2" x14ac:dyDescent="0.25">
      <c r="A160" s="3" t="s">
        <v>155</v>
      </c>
      <c r="B160" s="5">
        <f>8725.02</f>
        <v>8725.02</v>
      </c>
    </row>
    <row r="161" spans="1:2" x14ac:dyDescent="0.25">
      <c r="A161" s="3" t="s">
        <v>156</v>
      </c>
      <c r="B161" s="5">
        <f>3116.71</f>
        <v>3116.71</v>
      </c>
    </row>
    <row r="162" spans="1:2" x14ac:dyDescent="0.25">
      <c r="A162" s="3" t="s">
        <v>157</v>
      </c>
      <c r="B162" s="5">
        <f>37.5</f>
        <v>37.5</v>
      </c>
    </row>
    <row r="163" spans="1:2" x14ac:dyDescent="0.25">
      <c r="A163" s="3" t="s">
        <v>158</v>
      </c>
      <c r="B163" s="5">
        <f>12949.2</f>
        <v>12949.2</v>
      </c>
    </row>
    <row r="164" spans="1:2" x14ac:dyDescent="0.25">
      <c r="A164" s="3" t="s">
        <v>159</v>
      </c>
      <c r="B164" s="5">
        <f>621</f>
        <v>621</v>
      </c>
    </row>
    <row r="165" spans="1:2" x14ac:dyDescent="0.25">
      <c r="A165" s="3" t="s">
        <v>160</v>
      </c>
      <c r="B165" s="5">
        <f>75</f>
        <v>75</v>
      </c>
    </row>
    <row r="166" spans="1:2" x14ac:dyDescent="0.25">
      <c r="A166" s="3" t="s">
        <v>161</v>
      </c>
      <c r="B166" s="5">
        <f>480</f>
        <v>480</v>
      </c>
    </row>
    <row r="167" spans="1:2" x14ac:dyDescent="0.25">
      <c r="A167" s="3" t="s">
        <v>162</v>
      </c>
      <c r="B167" s="5">
        <f>24.5</f>
        <v>24.5</v>
      </c>
    </row>
    <row r="168" spans="1:2" x14ac:dyDescent="0.25">
      <c r="A168" s="3" t="s">
        <v>163</v>
      </c>
      <c r="B168" s="5">
        <f>5581.24</f>
        <v>5581.24</v>
      </c>
    </row>
    <row r="169" spans="1:2" x14ac:dyDescent="0.25">
      <c r="A169" s="3" t="s">
        <v>164</v>
      </c>
      <c r="B169" s="5">
        <f>542.5</f>
        <v>542.5</v>
      </c>
    </row>
    <row r="170" spans="1:2" x14ac:dyDescent="0.25">
      <c r="A170" s="3" t="s">
        <v>165</v>
      </c>
      <c r="B170" s="5">
        <f>1115.6</f>
        <v>1115.5999999999999</v>
      </c>
    </row>
    <row r="171" spans="1:2" x14ac:dyDescent="0.25">
      <c r="A171" s="3" t="s">
        <v>166</v>
      </c>
      <c r="B171" s="5">
        <f>737.24</f>
        <v>737.24</v>
      </c>
    </row>
    <row r="172" spans="1:2" x14ac:dyDescent="0.25">
      <c r="A172" s="3" t="s">
        <v>167</v>
      </c>
      <c r="B172" s="5">
        <f>2181.12</f>
        <v>2181.12</v>
      </c>
    </row>
    <row r="173" spans="1:2" x14ac:dyDescent="0.25">
      <c r="A173" s="3" t="s">
        <v>168</v>
      </c>
      <c r="B173" s="5">
        <f>1208.75</f>
        <v>1208.75</v>
      </c>
    </row>
    <row r="174" spans="1:2" x14ac:dyDescent="0.25">
      <c r="A174" s="3" t="s">
        <v>169</v>
      </c>
      <c r="B174" s="5">
        <f>41.95</f>
        <v>41.95</v>
      </c>
    </row>
    <row r="175" spans="1:2" x14ac:dyDescent="0.25">
      <c r="A175" s="3" t="s">
        <v>170</v>
      </c>
      <c r="B175" s="5">
        <f>20</f>
        <v>20</v>
      </c>
    </row>
    <row r="176" spans="1:2" x14ac:dyDescent="0.25">
      <c r="A176" s="3" t="s">
        <v>171</v>
      </c>
      <c r="B176" s="5">
        <f>138.01</f>
        <v>138.01</v>
      </c>
    </row>
    <row r="177" spans="1:2" x14ac:dyDescent="0.25">
      <c r="A177" s="3" t="s">
        <v>172</v>
      </c>
      <c r="B177" s="5">
        <f>206</f>
        <v>206</v>
      </c>
    </row>
    <row r="178" spans="1:2" x14ac:dyDescent="0.25">
      <c r="A178" s="3" t="s">
        <v>173</v>
      </c>
      <c r="B178" s="5">
        <f>303.5</f>
        <v>303.5</v>
      </c>
    </row>
    <row r="179" spans="1:2" x14ac:dyDescent="0.25">
      <c r="A179" s="3" t="s">
        <v>174</v>
      </c>
      <c r="B179" s="5">
        <f>419.86</f>
        <v>419.86</v>
      </c>
    </row>
    <row r="180" spans="1:2" x14ac:dyDescent="0.25">
      <c r="A180" s="3" t="s">
        <v>175</v>
      </c>
      <c r="B180" s="5">
        <f>82</f>
        <v>82</v>
      </c>
    </row>
    <row r="181" spans="1:2" x14ac:dyDescent="0.25">
      <c r="A181" s="3" t="s">
        <v>176</v>
      </c>
      <c r="B181" s="4"/>
    </row>
    <row r="182" spans="1:2" x14ac:dyDescent="0.25">
      <c r="A182" s="3" t="s">
        <v>177</v>
      </c>
      <c r="B182" s="5">
        <f>0</f>
        <v>0</v>
      </c>
    </row>
    <row r="183" spans="1:2" x14ac:dyDescent="0.25">
      <c r="A183" s="3" t="s">
        <v>178</v>
      </c>
      <c r="B183" s="5">
        <f>0</f>
        <v>0</v>
      </c>
    </row>
    <row r="184" spans="1:2" x14ac:dyDescent="0.25">
      <c r="A184" s="3" t="s">
        <v>179</v>
      </c>
      <c r="B184" s="5">
        <f>0</f>
        <v>0</v>
      </c>
    </row>
    <row r="185" spans="1:2" x14ac:dyDescent="0.25">
      <c r="A185" s="3" t="s">
        <v>180</v>
      </c>
      <c r="B185" s="6">
        <f>(((B181)+(B182))+(B183))+(B184)</f>
        <v>0</v>
      </c>
    </row>
    <row r="186" spans="1:2" x14ac:dyDescent="0.25">
      <c r="A186" s="3" t="s">
        <v>181</v>
      </c>
      <c r="B186" s="6">
        <f>((((((((((((((((((((((((((((((((((((((((((((((((((((((((((((((((((((((((((((((((((((((((((((((((((B83)+(B84))+(B85))+(B86))+(B87))+(B88))+(B89))+(B90))+(B91))+(B92))+(B93))+(B94))+(B95))+(B96))+(B97))+(B98))+(B99))+(B100))+(B101))+(B102))+(B103))+(B104))+(B105))+(B106))+(B107))+(B108))+(B109))+(B110))+(B111))+(B112))+(B113))+(B114))+(B115))+(B116))+(B117))+(B118))+(B119))+(B120))+(B121))+(B122))+(B123))+(B124))+(B125))+(B126))+(B127))+(B128))+(B129))+(B130))+(B131))+(B132))+(B133))+(B134))+(B135))+(B136))+(B137))+(B138))+(B139))+(B140))+(B141))+(B142))+(B143))+(B144))+(B145))+(B146))+(B147))+(B148))+(B149))+(B150))+(B151))+(B152))+(B153))+(B154))+(B155))+(B156))+(B157))+(B158))+(B159))+(B160))+(B161))+(B162))+(B163))+(B164))+(B165))+(B166))+(B167))+(B168))+(B169))+(B170))+(B171))+(B172))+(B173))+(B174))+(B175))+(B176))+(B177))+(B178))+(B179))+(B180))+(B185)</f>
        <v>151963.69000000006</v>
      </c>
    </row>
    <row r="187" spans="1:2" x14ac:dyDescent="0.25">
      <c r="A187" s="3" t="s">
        <v>182</v>
      </c>
      <c r="B187" s="6">
        <f>(B81)-(B186)</f>
        <v>24050.609999999928</v>
      </c>
    </row>
    <row r="188" spans="1:2" x14ac:dyDescent="0.25">
      <c r="A188" s="3" t="s">
        <v>183</v>
      </c>
      <c r="B188" s="4"/>
    </row>
    <row r="189" spans="1:2" x14ac:dyDescent="0.25">
      <c r="A189" s="3" t="s">
        <v>184</v>
      </c>
      <c r="B189" s="5">
        <f>0</f>
        <v>0</v>
      </c>
    </row>
    <row r="190" spans="1:2" x14ac:dyDescent="0.25">
      <c r="A190" s="3" t="s">
        <v>185</v>
      </c>
      <c r="B190" s="6">
        <f>B189</f>
        <v>0</v>
      </c>
    </row>
    <row r="191" spans="1:2" x14ac:dyDescent="0.25">
      <c r="A191" s="3" t="s">
        <v>186</v>
      </c>
      <c r="B191" s="6">
        <f>(0)-(B190)</f>
        <v>0</v>
      </c>
    </row>
    <row r="192" spans="1:2" x14ac:dyDescent="0.25">
      <c r="A192" s="3" t="s">
        <v>187</v>
      </c>
      <c r="B192" s="7">
        <f>(B187)+(B191)</f>
        <v>24050.609999999928</v>
      </c>
    </row>
    <row r="193" spans="1:2" x14ac:dyDescent="0.25">
      <c r="A193" s="3"/>
      <c r="B193" s="4"/>
    </row>
    <row r="196" spans="1:2" x14ac:dyDescent="0.25">
      <c r="A196" s="8" t="s">
        <v>188</v>
      </c>
      <c r="B196" s="9"/>
    </row>
  </sheetData>
  <mergeCells count="4">
    <mergeCell ref="A196:B196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Kate</cp:lastModifiedBy>
  <dcterms:created xsi:type="dcterms:W3CDTF">2022-11-26T15:59:42Z</dcterms:created>
  <dcterms:modified xsi:type="dcterms:W3CDTF">2022-11-26T17:21:52Z</dcterms:modified>
</cp:coreProperties>
</file>