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7d4790709b1d71/WEBSITE PICS/"/>
    </mc:Choice>
  </mc:AlternateContent>
  <xr:revisionPtr revIDLastSave="81" documentId="8_{8F0253A1-0AF5-48F2-8BFF-FF195CCC84F2}" xr6:coauthVersionLast="45" xr6:coauthVersionMax="45" xr10:uidLastSave="{9D8CA4D8-E7B1-439F-B66F-94148ACA71DB}"/>
  <bookViews>
    <workbookView xWindow="-109" yWindow="-109" windowWidth="26301" windowHeight="14305" tabRatio="701" xr2:uid="{00000000-000D-0000-FFFF-FFFF00000000}"/>
  </bookViews>
  <sheets>
    <sheet name="A" sheetId="3" r:id="rId1"/>
    <sheet name="Poland" sheetId="14" r:id="rId2"/>
    <sheet name="China" sheetId="13" r:id="rId3"/>
    <sheet name="Germany" sheetId="12" r:id="rId4"/>
    <sheet name="Summary" sheetId="4" r:id="rId5"/>
    <sheet name="Vokabelliste" sheetId="11" state="hidden" r:id="rId6"/>
  </sheets>
  <definedNames>
    <definedName name="_xlnm._FilterDatabase" localSheetId="0" hidden="1">A!$B$65:$J$70</definedName>
    <definedName name="_xlnm._FilterDatabase" localSheetId="2" hidden="1">China!$B$65:$J$70</definedName>
    <definedName name="_xlnm._FilterDatabase" localSheetId="3" hidden="1">Germany!$B$65:$J$70</definedName>
    <definedName name="_xlnm._FilterDatabase" localSheetId="1" hidden="1">Poland!$B$65:$J$70</definedName>
    <definedName name="calc4xl_currency" localSheetId="2" hidden="1">China!$D$7</definedName>
    <definedName name="calc4xl_currency" localSheetId="3" hidden="1">Germany!$D$7</definedName>
    <definedName name="calc4xl_currency" localSheetId="1" hidden="1">Poland!$D$7</definedName>
    <definedName name="calc4xl_currency" hidden="1">A!$D$7</definedName>
    <definedName name="calc4xl_decimalHelp" localSheetId="2" hidden="1">China!$S$2</definedName>
    <definedName name="calc4xl_decimalHelp" localSheetId="3" hidden="1">Germany!$S$2</definedName>
    <definedName name="calc4xl_decimalHelp" localSheetId="1" hidden="1">Poland!$S$2</definedName>
    <definedName name="calc4xl_decimalHelp" hidden="1">A!$S$2</definedName>
    <definedName name="calc4xl_decimalSpaceSelection1" localSheetId="2" hidden="1">China!$O$12,China!$O$35,China!$O$62,China!$O$64,China!$O$91,China!$O$91:$O$96,China!$O$104,China!$O$108,China!$O$109,China!$O$110,China!$O$112,China!$O$113,China!$O$114,China!$O$117,China!$O$118,China!$O$119,China!$J$139,China!$J$140,China!$J$141,China!$J$142,China!$J$143,China!$J$144,China!$K$139,China!$K$140,China!$K$141:$O$144,China!$O$139,China!$O$140,China!$M$139,China!$M$140,China!$L$140,China!$L$139:$O$144</definedName>
    <definedName name="calc4xl_decimalSpaceSelection1" localSheetId="3" hidden="1">Germany!$O$12,Germany!$O$35,Germany!$O$62,Germany!$O$64,Germany!$O$91,Germany!$O$91:$O$96,Germany!$O$104,Germany!$O$108,Germany!$O$109,Germany!$O$110,Germany!$O$112,Germany!$O$113,Germany!$O$114,Germany!$O$117,Germany!$O$118,Germany!$O$119,Germany!$J$139,Germany!$J$140,Germany!$J$141,Germany!$J$142,Germany!$J$143,Germany!$J$144,Germany!$K$139,Germany!$K$140,Germany!$K$141:$O$144,Germany!$O$139,Germany!$O$140,Germany!$M$139,Germany!$M$140,Germany!$L$140,Germany!$L$139:$O$144</definedName>
    <definedName name="calc4xl_decimalSpaceSelection1" localSheetId="1" hidden="1">Poland!$O$12,Poland!$O$35,Poland!$O$62,Poland!$O$64,Poland!$O$91,Poland!$O$91:$O$96,Poland!$O$104,Poland!$O$108,Poland!$O$109,Poland!$O$110,Poland!$O$112,Poland!$O$113,Poland!$O$114,Poland!$O$117,Poland!$O$118,Poland!$O$119,Poland!$J$139,Poland!$J$140,Poland!$J$141,Poland!$J$142,Poland!$J$143,Poland!$J$144,Poland!$K$139,Poland!$K$140,Poland!$K$141:$O$144,Poland!$O$139,Poland!$O$140,Poland!$M$139,Poland!$M$140,Poland!$L$140,Poland!$L$139:$O$144</definedName>
    <definedName name="calc4xl_decimalSpaceSelection1" hidden="1">A!$O$12,A!$O$35,A!$O$62,A!$O$64,A!$O$91,A!$O$91:$O$96,A!$O$104,A!$O$108,A!$O$109,A!$O$110,A!$O$112,A!$O$113,A!$O$114,A!$O$117,A!$O$118,A!$O$119,A!$J$139,A!$J$140,A!$J$141,A!$J$142,A!$J$143,A!$J$144,A!$K$139,A!$K$140,A!$K$141:$O$144,A!$O$139,A!$O$140,A!$M$139,A!$M$140,A!$L$140,A!$L$139:$O$144</definedName>
    <definedName name="calc4xl_decimalSpaceSelection2" localSheetId="2" hidden="1">China!$O$14:$O$33,China!$O$37:$O$60,China!$O$66:$O$89,China!$O$97:$O$103</definedName>
    <definedName name="calc4xl_decimalSpaceSelection2" localSheetId="3" hidden="1">Germany!$O$14:$O$33,Germany!$O$37:$O$60,Germany!$O$66:$O$89,Germany!$O$97:$O$103</definedName>
    <definedName name="calc4xl_decimalSpaceSelection2" localSheetId="1" hidden="1">Poland!$O$14:$O$33,Poland!$O$37:$O$60,Poland!$O$66:$O$89,Poland!$O$97:$O$103</definedName>
    <definedName name="calc4xl_decimalSpaceSelection2" hidden="1">A!$O$14:$O$33,A!$O$37:$O$60,A!$O$66:$O$89,A!$O$97:$O$103</definedName>
    <definedName name="calc4xl_formatCounter" localSheetId="2" hidden="1">China!$W$10</definedName>
    <definedName name="calc4xl_formatCounter" localSheetId="3" hidden="1">Germany!$W$10</definedName>
    <definedName name="calc4xl_formatCounter" localSheetId="1" hidden="1">Poland!$W$10</definedName>
    <definedName name="calc4xl_formatCounter" hidden="1">A!$W$10</definedName>
    <definedName name="calc4xl_formatCounter2" localSheetId="2" hidden="1">China!$A$131</definedName>
    <definedName name="calc4xl_formatCounter2" localSheetId="3" hidden="1">Germany!$A$131</definedName>
    <definedName name="calc4xl_formatCounter2" localSheetId="1" hidden="1">Poland!$A$131</definedName>
    <definedName name="calc4xl_formatCounter2" hidden="1">A!$A$131</definedName>
    <definedName name="calc4xl_formatLineCounter" localSheetId="2" hidden="1">China!$V$10</definedName>
    <definedName name="calc4xl_formatLineCounter" localSheetId="3" hidden="1">Germany!$V$10</definedName>
    <definedName name="calc4xl_formatLineCounter" localSheetId="1" hidden="1">Poland!$V$10</definedName>
    <definedName name="calc4xl_formatLineCounter" hidden="1">A!$V$10</definedName>
    <definedName name="calc4xl_headline" localSheetId="2" hidden="1">China!$E$1</definedName>
    <definedName name="calc4xl_headline" localSheetId="3" hidden="1">Germany!$E$1</definedName>
    <definedName name="calc4xl_headline" localSheetId="1" hidden="1">Poland!$E$1</definedName>
    <definedName name="calc4xl_headline" hidden="1">A!$E$1</definedName>
    <definedName name="calc4xl_language" localSheetId="2" hidden="1">China!$J$2</definedName>
    <definedName name="calc4xl_language" localSheetId="3" hidden="1">Germany!$J$2</definedName>
    <definedName name="calc4xl_language" localSheetId="1" hidden="1">Poland!$J$2</definedName>
    <definedName name="calc4xl_language" hidden="1">A!$J$2</definedName>
    <definedName name="calc4xl_logoCell" localSheetId="2" hidden="1">China!$A$1</definedName>
    <definedName name="calc4xl_logoCell" localSheetId="3" hidden="1">Germany!$A$1</definedName>
    <definedName name="calc4xl_logoCell" localSheetId="1" hidden="1">Poland!$A$1</definedName>
    <definedName name="calc4xl_logoCell" hidden="1">A!$A$1</definedName>
    <definedName name="calc4xl_nothing" hidden="1">"Nothing"</definedName>
    <definedName name="calc4xl_partPictureCell" localSheetId="2" hidden="1">China!$L$1:$P$5</definedName>
    <definedName name="calc4xl_partPictureCell" localSheetId="3" hidden="1">Germany!$L$1:$P$5</definedName>
    <definedName name="calc4xl_partPictureCell" localSheetId="1" hidden="1">Poland!$L$1:$P$5</definedName>
    <definedName name="calc4xl_partPictureCell" hidden="1">A!$L$1:$P$5</definedName>
    <definedName name="calc4xl_pieces" localSheetId="2" hidden="1">China!$F$7</definedName>
    <definedName name="calc4xl_pieces" localSheetId="3" hidden="1">Germany!$F$7</definedName>
    <definedName name="calc4xl_pieces" localSheetId="1" hidden="1">Poland!$F$7</definedName>
    <definedName name="calc4xl_pieces" hidden="1">A!$F$7</definedName>
    <definedName name="calc4xl_ruestkostenColumn" localSheetId="2" hidden="1">K</definedName>
    <definedName name="calc4xl_ruestkostenColumn" localSheetId="3" hidden="1">K</definedName>
    <definedName name="calc4xl_ruestkostenColumn" localSheetId="1" hidden="1">K</definedName>
    <definedName name="calc4xl_ruestkostenColumn" hidden="1">K</definedName>
    <definedName name="calc4xl_section1location1" localSheetId="2" hidden="1">China!$D$6</definedName>
    <definedName name="calc4xl_section1location1" localSheetId="3" hidden="1">Germany!$D$6</definedName>
    <definedName name="calc4xl_section1location1" localSheetId="1" hidden="1">Poland!$D$6</definedName>
    <definedName name="calc4xl_section1location1" hidden="1">A!$D$6</definedName>
    <definedName name="calc4xl_section1location2" localSheetId="2" hidden="1">China!$F$6</definedName>
    <definedName name="calc4xl_section1location2" localSheetId="3" hidden="1">Germany!$F$6</definedName>
    <definedName name="calc4xl_section1location2" localSheetId="1" hidden="1">Poland!$F$6</definedName>
    <definedName name="calc4xl_section1location2" hidden="1">A!$F$6</definedName>
    <definedName name="calc4xl_section1location3" localSheetId="2" hidden="1">China!$G$6</definedName>
    <definedName name="calc4xl_section1location3" localSheetId="3" hidden="1">Germany!$G$6</definedName>
    <definedName name="calc4xl_section1location3" localSheetId="1" hidden="1">Poland!$G$6</definedName>
    <definedName name="calc4xl_section1location3" hidden="1">A!$G$6</definedName>
    <definedName name="calc4xl_section2126total" localSheetId="2" hidden="1">China!$O$94</definedName>
    <definedName name="calc4xl_section2126total" localSheetId="3" hidden="1">Germany!$O$94</definedName>
    <definedName name="calc4xl_section2126total" localSheetId="1" hidden="1">Poland!$O$94</definedName>
    <definedName name="calc4xl_section2126total" hidden="1">A!$O$94</definedName>
    <definedName name="calc4xl_section21ausschuss" localSheetId="2" hidden="1">China!$N$13</definedName>
    <definedName name="calc4xl_section21ausschuss" localSheetId="3" hidden="1">Germany!$N$13</definedName>
    <definedName name="calc4xl_section21ausschuss" localSheetId="1" hidden="1">Poland!$N$13</definedName>
    <definedName name="calc4xl_section21ausschuss" hidden="1">A!$N$13</definedName>
    <definedName name="calc4xl_section21beschreibung" localSheetId="2" hidden="1">China!$B$13</definedName>
    <definedName name="calc4xl_section21beschreibung" localSheetId="3" hidden="1">Germany!$B$13</definedName>
    <definedName name="calc4xl_section21beschreibung" localSheetId="1" hidden="1">Poland!$B$13</definedName>
    <definedName name="calc4xl_section21beschreibung" hidden="1">A!$B$13</definedName>
    <definedName name="calc4xl_section21counter" localSheetId="2" hidden="1">China!$W$13</definedName>
    <definedName name="calc4xl_section21counter" localSheetId="3" hidden="1">Germany!$W$13</definedName>
    <definedName name="calc4xl_section21counter" localSheetId="1" hidden="1">Poland!$W$13</definedName>
    <definedName name="calc4xl_section21counter" hidden="1">A!$W$13</definedName>
    <definedName name="calc4xl_section21freightColumn" localSheetId="2" hidden="1">China!$M$14:$M$33</definedName>
    <definedName name="calc4xl_section21freightColumn" localSheetId="3" hidden="1">Germany!$M$14:$M$33</definedName>
    <definedName name="calc4xl_section21freightColumn" localSheetId="1" hidden="1">Poland!$M$14:$M$33</definedName>
    <definedName name="calc4xl_section21freightColumn" hidden="1">A!$M$14:$M$33</definedName>
    <definedName name="calc4xl_section21freightPA" localSheetId="2" hidden="1">China!$U$11</definedName>
    <definedName name="calc4xl_section21freightPA" localSheetId="3" hidden="1">Germany!$U$11</definedName>
    <definedName name="calc4xl_section21freightPA" localSheetId="1" hidden="1">Poland!$U$11</definedName>
    <definedName name="calc4xl_section21freightPA" hidden="1">A!$U$11</definedName>
    <definedName name="calc4xl_section21inboundFreight" localSheetId="2" hidden="1">China!$M$13</definedName>
    <definedName name="calc4xl_section21inboundFreight" localSheetId="3" hidden="1">Germany!$M$13</definedName>
    <definedName name="calc4xl_section21inboundFreight" localSheetId="1" hidden="1">Poland!$M$13</definedName>
    <definedName name="calc4xl_section21inboundFreight" hidden="1">A!$M$13</definedName>
    <definedName name="calc4xl_section21rowEnd" localSheetId="2" hidden="1">China!$A$33</definedName>
    <definedName name="calc4xl_section21rowEnd" localSheetId="3" hidden="1">Germany!$A$33</definedName>
    <definedName name="calc4xl_section21rowEnd" localSheetId="1" hidden="1">Poland!$A$33</definedName>
    <definedName name="calc4xl_section21rowEnd" hidden="1">A!$A$33</definedName>
    <definedName name="calc4xl_section21rowStart" localSheetId="2" hidden="1">China!$A$14</definedName>
    <definedName name="calc4xl_section21rowStart" localSheetId="3" hidden="1">Germany!$A$14</definedName>
    <definedName name="calc4xl_section21rowStart" localSheetId="1" hidden="1">Poland!$A$14</definedName>
    <definedName name="calc4xl_section21rowStart" hidden="1">A!$A$14</definedName>
    <definedName name="calc4xl_section22ausschuss" localSheetId="2" hidden="1">China!$N$36</definedName>
    <definedName name="calc4xl_section22ausschuss" localSheetId="3" hidden="1">Germany!$N$36</definedName>
    <definedName name="calc4xl_section22ausschuss" localSheetId="1" hidden="1">Poland!$N$36</definedName>
    <definedName name="calc4xl_section22ausschuss" hidden="1">A!$N$36</definedName>
    <definedName name="calc4xl_section22beschreibung" localSheetId="2" hidden="1">China!$B$36</definedName>
    <definedName name="calc4xl_section22beschreibung" localSheetId="3" hidden="1">Germany!$B$36</definedName>
    <definedName name="calc4xl_section22beschreibung" localSheetId="1" hidden="1">Poland!$B$36</definedName>
    <definedName name="calc4xl_section22beschreibung" hidden="1">A!$B$36</definedName>
    <definedName name="calc4xl_section22counter" localSheetId="2" hidden="1">China!$W$36</definedName>
    <definedName name="calc4xl_section22counter" localSheetId="3" hidden="1">Germany!$W$36</definedName>
    <definedName name="calc4xl_section22counter" localSheetId="1" hidden="1">Poland!$W$36</definedName>
    <definedName name="calc4xl_section22counter" hidden="1">A!$W$36</definedName>
    <definedName name="calc4xl_section22freightColumn" localSheetId="2" hidden="1">China!$M$37:$M$60</definedName>
    <definedName name="calc4xl_section22freightColumn" localSheetId="3" hidden="1">Germany!$M$37:$M$60</definedName>
    <definedName name="calc4xl_section22freightColumn" localSheetId="1" hidden="1">Poland!$M$37:$M$60</definedName>
    <definedName name="calc4xl_section22freightColumn" hidden="1">A!$M$37:$M$60</definedName>
    <definedName name="calc4xl_section22freightPA" localSheetId="2" hidden="1">China!$U$34</definedName>
    <definedName name="calc4xl_section22freightPA" localSheetId="3" hidden="1">Germany!$U$34</definedName>
    <definedName name="calc4xl_section22freightPA" localSheetId="1" hidden="1">Poland!$U$34</definedName>
    <definedName name="calc4xl_section22freightPA" hidden="1">A!$U$34</definedName>
    <definedName name="calc4xl_section22inboundFreight" localSheetId="2" hidden="1">China!$M$36</definedName>
    <definedName name="calc4xl_section22inboundFreight" localSheetId="3" hidden="1">Germany!$M$36</definedName>
    <definedName name="calc4xl_section22inboundFreight" localSheetId="1" hidden="1">Poland!$M$36</definedName>
    <definedName name="calc4xl_section22inboundFreight" hidden="1">A!$M$36</definedName>
    <definedName name="calc4xl_section22rowEnd" localSheetId="2" hidden="1">China!$A$60</definedName>
    <definedName name="calc4xl_section22rowEnd" localSheetId="3" hidden="1">Germany!$A$60</definedName>
    <definedName name="calc4xl_section22rowEnd" localSheetId="1" hidden="1">Poland!$A$60</definedName>
    <definedName name="calc4xl_section22rowEnd" hidden="1">A!$A$60</definedName>
    <definedName name="calc4xl_section22rowStart" localSheetId="2" hidden="1">China!$A$37</definedName>
    <definedName name="calc4xl_section22rowStart" localSheetId="3" hidden="1">Germany!$A$37</definedName>
    <definedName name="calc4xl_section22rowStart" localSheetId="1" hidden="1">Poland!$A$37</definedName>
    <definedName name="calc4xl_section22rowStart" hidden="1">A!$A$37</definedName>
    <definedName name="calc4xl_section23counter" localSheetId="2" hidden="1">China!$W$65</definedName>
    <definedName name="calc4xl_section23counter" localSheetId="3" hidden="1">Germany!$W$65</definedName>
    <definedName name="calc4xl_section23counter" localSheetId="1" hidden="1">Poland!$W$65</definedName>
    <definedName name="calc4xl_section23counter" hidden="1">A!$W$65</definedName>
    <definedName name="calc4xl_section24ausschuss" localSheetId="2" hidden="1">China!$N$65</definedName>
    <definedName name="calc4xl_section24ausschuss" localSheetId="3" hidden="1">Germany!$N$65</definedName>
    <definedName name="calc4xl_section24ausschuss" localSheetId="1" hidden="1">Poland!$N$65</definedName>
    <definedName name="calc4xl_section24ausschuss" hidden="1">A!$N$65</definedName>
    <definedName name="calc4xl_section24Bediener" localSheetId="2" hidden="1">China!$I$65</definedName>
    <definedName name="calc4xl_section24Bediener" localSheetId="3" hidden="1">Germany!$I$65</definedName>
    <definedName name="calc4xl_section24Bediener" localSheetId="1" hidden="1">Poland!$I$65</definedName>
    <definedName name="calc4xl_section24Bediener" hidden="1">A!$I$65</definedName>
    <definedName name="calc4xl_section24beschreibung" localSheetId="2" hidden="1">China!$B$65</definedName>
    <definedName name="calc4xl_section24beschreibung" localSheetId="3" hidden="1">Germany!$B$65</definedName>
    <definedName name="calc4xl_section24beschreibung" localSheetId="1" hidden="1">Poland!$B$65</definedName>
    <definedName name="calc4xl_section24beschreibung" hidden="1">A!$B$65</definedName>
    <definedName name="calc4xl_section24Maschine" localSheetId="2" hidden="1">China!$H$65</definedName>
    <definedName name="calc4xl_section24Maschine" localSheetId="3" hidden="1">Germany!$H$65</definedName>
    <definedName name="calc4xl_section24Maschine" localSheetId="1" hidden="1">Poland!$H$65</definedName>
    <definedName name="calc4xl_section24Maschine" hidden="1">A!$H$65</definedName>
    <definedName name="calc4xl_section24rowEnd" localSheetId="2" hidden="1">China!$A$89</definedName>
    <definedName name="calc4xl_section24rowEnd" localSheetId="3" hidden="1">Germany!$A$89</definedName>
    <definedName name="calc4xl_section24rowEnd" localSheetId="1" hidden="1">Poland!$A$89</definedName>
    <definedName name="calc4xl_section24rowEnd" hidden="1">A!$A$89</definedName>
    <definedName name="calc4xl_section24rowStart" localSheetId="2" hidden="1">China!$A$66</definedName>
    <definedName name="calc4xl_section24rowStart" localSheetId="3" hidden="1">Germany!$A$66</definedName>
    <definedName name="calc4xl_section24rowStart" localSheetId="1" hidden="1">Poland!$A$66</definedName>
    <definedName name="calc4xl_section24rowStart" hidden="1">A!$A$66</definedName>
    <definedName name="calc4xl_section24Ruestkosten" localSheetId="2" hidden="1">China!$K$65</definedName>
    <definedName name="calc4xl_section24Ruestkosten" localSheetId="3" hidden="1">Germany!$K$65</definedName>
    <definedName name="calc4xl_section24Ruestkosten" localSheetId="1" hidden="1">Poland!$K$65</definedName>
    <definedName name="calc4xl_section24Ruestkosten" hidden="1">A!$K$65</definedName>
    <definedName name="calc4xl_section24ruestkostenCells" localSheetId="2" hidden="1">China!$K$66:$K$89</definedName>
    <definedName name="calc4xl_section24ruestkostenCells" localSheetId="3" hidden="1">Germany!$K$66:$K$89</definedName>
    <definedName name="calc4xl_section24ruestkostenCells" localSheetId="1" hidden="1">Poland!$K$66:$K$89</definedName>
    <definedName name="calc4xl_section24ruestkostenCells" hidden="1">A!$K$66:$K$89</definedName>
    <definedName name="calc4xl_section24Setup" localSheetId="2" hidden="1">China!$AB$65</definedName>
    <definedName name="calc4xl_section24Setup" localSheetId="3" hidden="1">Germany!$AB$65</definedName>
    <definedName name="calc4xl_section24Setup" localSheetId="1" hidden="1">Poland!$AB$65</definedName>
    <definedName name="calc4xl_section24Setup" hidden="1">A!$AB$65</definedName>
    <definedName name="calc4xl_section25directLabour" localSheetId="2" hidden="1">China!$J$91</definedName>
    <definedName name="calc4xl_section25directLabour" localSheetId="3" hidden="1">Germany!$J$91</definedName>
    <definedName name="calc4xl_section25directLabour" localSheetId="1" hidden="1">Poland!$J$91</definedName>
    <definedName name="calc4xl_section25directLabour" hidden="1">A!$J$91</definedName>
    <definedName name="calc4xl_section25DLoverheadFactor" localSheetId="2" hidden="1">China!$L$91</definedName>
    <definedName name="calc4xl_section25DLoverheadFactor" localSheetId="3" hidden="1">Germany!$L$91</definedName>
    <definedName name="calc4xl_section25DLoverheadFactor" localSheetId="1" hidden="1">Poland!$L$91</definedName>
    <definedName name="calc4xl_section25DLoverheadFactor" hidden="1">A!$L$91</definedName>
    <definedName name="calc4xl_section25DLpercent" localSheetId="2" hidden="1">China!$M$91</definedName>
    <definedName name="calc4xl_section25DLpercent" localSheetId="3" hidden="1">Germany!$M$91</definedName>
    <definedName name="calc4xl_section25DLpercent" localSheetId="1" hidden="1">Poland!$M$91</definedName>
    <definedName name="calc4xl_section25DLpercent" hidden="1">A!$M$91</definedName>
    <definedName name="calc4xl_section27engOF" localSheetId="2" hidden="1">China!$K$98</definedName>
    <definedName name="calc4xl_section27engOF" localSheetId="3" hidden="1">Germany!$K$98</definedName>
    <definedName name="calc4xl_section27engOF" localSheetId="1" hidden="1">Poland!$K$98</definedName>
    <definedName name="calc4xl_section27engOF" hidden="1">A!$K$98</definedName>
    <definedName name="calc4xl_section27engOFM" localSheetId="2" hidden="1">China!$M$98</definedName>
    <definedName name="calc4xl_section27engOFM" localSheetId="3" hidden="1">Germany!$M$98</definedName>
    <definedName name="calc4xl_section27engOFM" localSheetId="1" hidden="1">Poland!$M$98</definedName>
    <definedName name="calc4xl_section27engOFM" hidden="1">A!$M$98</definedName>
    <definedName name="calc4xl_section27engOFO" localSheetId="2" hidden="1">China!$O$98</definedName>
    <definedName name="calc4xl_section27engOFO" localSheetId="3" hidden="1">Germany!$O$98</definedName>
    <definedName name="calc4xl_section27engOFO" localSheetId="1" hidden="1">Poland!$O$98</definedName>
    <definedName name="calc4xl_section27engOFO" hidden="1">A!$O$98</definedName>
    <definedName name="calc4xl_section27OFB" localSheetId="2" hidden="1">China!$K$97</definedName>
    <definedName name="calc4xl_section27OFB" localSheetId="3" hidden="1">Germany!$K$97</definedName>
    <definedName name="calc4xl_section27OFB" localSheetId="1" hidden="1">Poland!$K$97</definedName>
    <definedName name="calc4xl_section27OFB" hidden="1">A!$K$97</definedName>
    <definedName name="calc4xl_section27OFM" localSheetId="2" hidden="1">China!$M$97</definedName>
    <definedName name="calc4xl_section27OFM" localSheetId="3" hidden="1">Germany!$M$97</definedName>
    <definedName name="calc4xl_section27OFM" localSheetId="1" hidden="1">Poland!$M$97</definedName>
    <definedName name="calc4xl_section27OFM" hidden="1">A!$M$97</definedName>
    <definedName name="calc4xl_section27OFN" localSheetId="2" hidden="1">China!$N$97</definedName>
    <definedName name="calc4xl_section27OFN" localSheetId="3" hidden="1">Germany!$N$97</definedName>
    <definedName name="calc4xl_section27OFN" localSheetId="1" hidden="1">Poland!$N$97</definedName>
    <definedName name="calc4xl_section27OFN" hidden="1">A!$N$97</definedName>
    <definedName name="calc4xl_section27OFO" localSheetId="2" hidden="1">China!$O$97</definedName>
    <definedName name="calc4xl_section27OFO" localSheetId="3" hidden="1">Germany!$O$97</definedName>
    <definedName name="calc4xl_section27OFO" localSheetId="1" hidden="1">Poland!$O$97</definedName>
    <definedName name="calc4xl_section27OFO" hidden="1">A!$O$97</definedName>
    <definedName name="calc4xl_section3border" localSheetId="2" hidden="1">China!$A$120</definedName>
    <definedName name="calc4xl_section3border" localSheetId="3" hidden="1">Germany!$A$120</definedName>
    <definedName name="calc4xl_section3border" localSheetId="1" hidden="1">Poland!$A$120</definedName>
    <definedName name="calc4xl_section3border" hidden="1">A!$A$120</definedName>
    <definedName name="calc4xl_section3incoterm" localSheetId="2" hidden="1">China!$C$112</definedName>
    <definedName name="calc4xl_section3incoterm" localSheetId="3" hidden="1">Germany!$C$112</definedName>
    <definedName name="calc4xl_section3incoterm" localSheetId="1" hidden="1">Poland!$C$112</definedName>
    <definedName name="calc4xl_section3incoterm" hidden="1">A!$C$112</definedName>
    <definedName name="calc4xl_section3log1" localSheetId="2" hidden="1">China!$B$112</definedName>
    <definedName name="calc4xl_section3log1" localSheetId="3" hidden="1">Germany!$B$112</definedName>
    <definedName name="calc4xl_section3log1" localSheetId="1" hidden="1">Poland!$B$112</definedName>
    <definedName name="calc4xl_section3log1" hidden="1">A!$B$112</definedName>
    <definedName name="calc4xl_section3log2" localSheetId="2" hidden="1">China!$B$113</definedName>
    <definedName name="calc4xl_section3log2" localSheetId="3" hidden="1">Germany!$B$113</definedName>
    <definedName name="calc4xl_section3log2" localSheetId="1" hidden="1">Poland!$B$113</definedName>
    <definedName name="calc4xl_section3log2" hidden="1">A!$B$113</definedName>
    <definedName name="calc4xl_section3log3" localSheetId="2" hidden="1">China!$B$114</definedName>
    <definedName name="calc4xl_section3log3" localSheetId="3" hidden="1">Germany!$B$114</definedName>
    <definedName name="calc4xl_section3log3" localSheetId="1" hidden="1">Poland!$B$114</definedName>
    <definedName name="calc4xl_section3log3" hidden="1">A!$B$114</definedName>
    <definedName name="calc4xl_section3logAll" localSheetId="2" hidden="1">China!$B$112:$B$114</definedName>
    <definedName name="calc4xl_section3logAll" localSheetId="3" hidden="1">Germany!$B$112:$B$114</definedName>
    <definedName name="calc4xl_section3logAll" localSheetId="1" hidden="1">Poland!$B$112:$B$114</definedName>
    <definedName name="calc4xl_section3logAll" hidden="1">A!$B$112:$B$114</definedName>
    <definedName name="calc4xl_section3oneWayHeight" localSheetId="2" hidden="1">China!$F$108</definedName>
    <definedName name="calc4xl_section3oneWayHeight" localSheetId="3" hidden="1">Germany!$F$108</definedName>
    <definedName name="calc4xl_section3oneWayHeight" localSheetId="1" hidden="1">Poland!$F$108</definedName>
    <definedName name="calc4xl_section3oneWayHeight" hidden="1">A!$F$108</definedName>
    <definedName name="calc4xl_section3oneWayLength" localSheetId="2" hidden="1">China!$D$108</definedName>
    <definedName name="calc4xl_section3oneWayLength" localSheetId="3" hidden="1">Germany!$D$108</definedName>
    <definedName name="calc4xl_section3oneWayLength" localSheetId="1" hidden="1">Poland!$D$108</definedName>
    <definedName name="calc4xl_section3oneWayLength" hidden="1">A!$D$108</definedName>
    <definedName name="calc4xl_section3oneWayLT" localSheetId="2" hidden="1">China!$K$108</definedName>
    <definedName name="calc4xl_section3oneWayLT" localSheetId="3" hidden="1">Germany!$K$108</definedName>
    <definedName name="calc4xl_section3oneWayLT" localSheetId="1" hidden="1">Poland!$K$108</definedName>
    <definedName name="calc4xl_section3oneWayLT" hidden="1">A!$K$108</definedName>
    <definedName name="calc4xl_section3oneWayWidth" localSheetId="2" hidden="1">China!$E$108</definedName>
    <definedName name="calc4xl_section3oneWayWidth" localSheetId="3" hidden="1">Germany!$E$108</definedName>
    <definedName name="calc4xl_section3oneWayWidth" localSheetId="1" hidden="1">Poland!$E$108</definedName>
    <definedName name="calc4xl_section3oneWayWidth" hidden="1">A!$E$108</definedName>
    <definedName name="calc4xl_section3packagingType" localSheetId="2" hidden="1">China!$M$110</definedName>
    <definedName name="calc4xl_section3packagingType" localSheetId="3" hidden="1">Germany!$M$110</definedName>
    <definedName name="calc4xl_section3packagingType" localSheetId="1" hidden="1">Poland!$M$110</definedName>
    <definedName name="calc4xl_section3packagingType" hidden="1">A!$M$110</definedName>
    <definedName name="calc4xl_section3packagingType1" localSheetId="2" hidden="1">China!$K$112</definedName>
    <definedName name="calc4xl_section3packagingType1" localSheetId="3" hidden="1">Germany!$K$112</definedName>
    <definedName name="calc4xl_section3packagingType1" localSheetId="1" hidden="1">Poland!$K$112</definedName>
    <definedName name="calc4xl_section3packagingType1" hidden="1">A!$K$112</definedName>
    <definedName name="calc4xl_section3packagingType2" localSheetId="2" hidden="1">China!$K$113</definedName>
    <definedName name="calc4xl_section3packagingType2" localSheetId="3" hidden="1">Germany!$K$113</definedName>
    <definedName name="calc4xl_section3packagingType2" localSheetId="1" hidden="1">Poland!$K$113</definedName>
    <definedName name="calc4xl_section3packagingType2" hidden="1">A!$K$113</definedName>
    <definedName name="calc4xl_section3packagingType3" localSheetId="2" hidden="1">China!$K$114</definedName>
    <definedName name="calc4xl_section3packagingType3" localSheetId="3" hidden="1">Germany!$K$114</definedName>
    <definedName name="calc4xl_section3packagingType3" localSheetId="1" hidden="1">Poland!$K$114</definedName>
    <definedName name="calc4xl_section3packagingType3" hidden="1">A!$K$114</definedName>
    <definedName name="calc4xl_section3packagingTypeAll" localSheetId="2" hidden="1">China!$K$112:$K$114</definedName>
    <definedName name="calc4xl_section3packagingTypeAll" localSheetId="3" hidden="1">Germany!$K$112:$K$114</definedName>
    <definedName name="calc4xl_section3packagingTypeAll" localSheetId="1" hidden="1">Poland!$K$112:$K$114</definedName>
    <definedName name="calc4xl_section3packagingTypeAll" hidden="1">A!$K$112:$K$114</definedName>
    <definedName name="calc4xl_section3returnableHeight" localSheetId="2" hidden="1">China!$F$109</definedName>
    <definedName name="calc4xl_section3returnableHeight" localSheetId="3" hidden="1">Germany!$F$109</definedName>
    <definedName name="calc4xl_section3returnableHeight" localSheetId="1" hidden="1">Poland!$F$109</definedName>
    <definedName name="calc4xl_section3returnableHeight" hidden="1">A!$F$109</definedName>
    <definedName name="calc4xl_section3returnableLength" localSheetId="2" hidden="1">China!$D$109</definedName>
    <definedName name="calc4xl_section3returnableLength" localSheetId="3" hidden="1">Germany!$D$109</definedName>
    <definedName name="calc4xl_section3returnableLength" localSheetId="1" hidden="1">Poland!$D$109</definedName>
    <definedName name="calc4xl_section3returnableLength" hidden="1">A!$D$109</definedName>
    <definedName name="calc4xl_section3returnableLT" localSheetId="2" hidden="1">China!$K$109</definedName>
    <definedName name="calc4xl_section3returnableLT" localSheetId="3" hidden="1">Germany!$K$109</definedName>
    <definedName name="calc4xl_section3returnableLT" localSheetId="1" hidden="1">Poland!$K$109</definedName>
    <definedName name="calc4xl_section3returnableLT" hidden="1">A!$K$109</definedName>
    <definedName name="calc4xl_section3returnableWidth" localSheetId="2" hidden="1">China!$E$109</definedName>
    <definedName name="calc4xl_section3returnableWidth" localSheetId="3" hidden="1">Germany!$E$109</definedName>
    <definedName name="calc4xl_section3returnableWidth" localSheetId="1" hidden="1">Poland!$E$109</definedName>
    <definedName name="calc4xl_section3returnableWidth" hidden="1">A!$E$109</definedName>
    <definedName name="calc4xl_section4beschreibung" localSheetId="2" hidden="1">China!$B$122</definedName>
    <definedName name="calc4xl_section4beschreibung" localSheetId="3" hidden="1">Germany!$B$122</definedName>
    <definedName name="calc4xl_section4beschreibung" localSheetId="1" hidden="1">Poland!$B$122</definedName>
    <definedName name="calc4xl_section4beschreibung" hidden="1">A!$B$122</definedName>
    <definedName name="calc4xl_section4counter" localSheetId="2" hidden="1">China!$W$122</definedName>
    <definedName name="calc4xl_section4counter" localSheetId="3" hidden="1">Germany!$W$122</definedName>
    <definedName name="calc4xl_section4counter" localSheetId="1" hidden="1">Poland!$W$122</definedName>
    <definedName name="calc4xl_section4counter" hidden="1">A!$W$122</definedName>
    <definedName name="calc4xl_section4interimResult" localSheetId="2" hidden="1">China!$O$121</definedName>
    <definedName name="calc4xl_section4interimResult" localSheetId="3" hidden="1">Germany!$O$121</definedName>
    <definedName name="calc4xl_section4interimResult" localSheetId="1" hidden="1">Poland!$O$121</definedName>
    <definedName name="calc4xl_section4interimResult" hidden="1">A!$O$121</definedName>
    <definedName name="calc4xl_section4maxKapazitaet" localSheetId="2" hidden="1">China!$N$122</definedName>
    <definedName name="calc4xl_section4maxKapazitaet" localSheetId="3" hidden="1">Germany!$N$122</definedName>
    <definedName name="calc4xl_section4maxKapazitaet" localSheetId="1" hidden="1">Poland!$N$122</definedName>
    <definedName name="calc4xl_section4maxKapazitaet" hidden="1">A!$N$122</definedName>
    <definedName name="calc4xl_section4rowEnd" localSheetId="2" hidden="1">China!$A$130</definedName>
    <definedName name="calc4xl_section4rowEnd" localSheetId="3" hidden="1">Germany!$A$130</definedName>
    <definedName name="calc4xl_section4rowEnd" localSheetId="1" hidden="1">Poland!$A$130</definedName>
    <definedName name="calc4xl_section4rowEnd" hidden="1">A!$A$130</definedName>
    <definedName name="calc4xl_section4rowStart" localSheetId="2" hidden="1">China!$A$123</definedName>
    <definedName name="calc4xl_section4rowStart" localSheetId="3" hidden="1">Germany!$A$123</definedName>
    <definedName name="calc4xl_section4rowStart" localSheetId="1" hidden="1">Poland!$A$123</definedName>
    <definedName name="calc4xl_section4rowStart" hidden="1">A!$A$123</definedName>
    <definedName name="calc4xl_section5toolCostPostNegotiation" localSheetId="2" hidden="1">China!$J$148</definedName>
    <definedName name="calc4xl_section5toolCostPostNegotiation" localSheetId="3" hidden="1">Germany!$J$148</definedName>
    <definedName name="calc4xl_section5toolCostPostNegotiation" localSheetId="1" hidden="1">Poland!$J$148</definedName>
    <definedName name="calc4xl_section5toolCostPostNegotiation" hidden="1">A!$J$148</definedName>
    <definedName name="calc4xl_sectionClearContents" localSheetId="2" hidden="1">China!$W$6</definedName>
    <definedName name="calc4xl_sectionClearContents" localSheetId="3" hidden="1">Germany!$W$6</definedName>
    <definedName name="calc4xl_sectionClearContents" localSheetId="1" hidden="1">Poland!$W$6</definedName>
    <definedName name="calc4xl_sectionClearContents" hidden="1">A!$W$6</definedName>
    <definedName name="calc4xl_topLeftCell" localSheetId="2" hidden="1">China!$A$1</definedName>
    <definedName name="calc4xl_topLeftCell" localSheetId="3" hidden="1">Germany!$A$1</definedName>
    <definedName name="calc4xl_topLeftCell" localSheetId="1" hidden="1">Poland!$A$1</definedName>
    <definedName name="calc4xl_topLeftCell" hidden="1">A!$A$1</definedName>
    <definedName name="calc4xl_totalPrintArea" localSheetId="2" hidden="1">China!$A$1:$P$176</definedName>
    <definedName name="calc4xl_totalPrintArea" localSheetId="3" hidden="1">Germany!$A$1:$P$176</definedName>
    <definedName name="calc4xl_totalPrintArea" localSheetId="1" hidden="1">Poland!$A$1:$P$176</definedName>
    <definedName name="calc4xl_totalPrintArea" hidden="1">A!$A$1:$P$176</definedName>
    <definedName name="calc4xl_version_1" hidden="1">Summary!$F$2</definedName>
    <definedName name="calc4xl_version_2" hidden="1">Summary!$H$2</definedName>
    <definedName name="calc4xl_version_3" hidden="1">Summary!$J$2</definedName>
    <definedName name="calc4xl_version_4" hidden="1">Summary!$L$2</definedName>
    <definedName name="calc4xl_version_5" hidden="1">Summary!$N$2</definedName>
    <definedName name="calc4xl_version_6" hidden="1">Summary!$P$2</definedName>
    <definedName name="calc4xlHintCell" localSheetId="2" hidden="1">China!$W$9</definedName>
    <definedName name="calc4xlHintCell" localSheetId="3" hidden="1">Germany!$W$9</definedName>
    <definedName name="calc4xlHintCell" localSheetId="1" hidden="1">Poland!$W$9</definedName>
    <definedName name="calc4xlHintCell" hidden="1">A!$W$9</definedName>
    <definedName name="DL" localSheetId="0">A!$T$64</definedName>
    <definedName name="DL" localSheetId="2">China!$T$64</definedName>
    <definedName name="DL" localSheetId="3">Germany!$T$64</definedName>
    <definedName name="DL" localSheetId="1">Poland!$T$64</definedName>
    <definedName name="languages" localSheetId="2">Tabelle2[[Sprache]:[Spalte]]</definedName>
    <definedName name="languages" localSheetId="3">Tabelle2[[Sprache]:[Spalte]]</definedName>
    <definedName name="languages" localSheetId="1">Tabelle2[[Sprache]:[Spalte]]</definedName>
    <definedName name="languages">Tabelle2[[Sprache]:[Spalte]]</definedName>
    <definedName name="MC" localSheetId="0">A!$S$64</definedName>
    <definedName name="MC" localSheetId="2">China!$S$64</definedName>
    <definedName name="MC" localSheetId="3">Germany!$S$64</definedName>
    <definedName name="MC" localSheetId="1">Poland!$S$64</definedName>
    <definedName name="POH" localSheetId="0">A!$O$91</definedName>
    <definedName name="POH" localSheetId="2">China!$O$91</definedName>
    <definedName name="POH" localSheetId="3">Germany!$O$91</definedName>
    <definedName name="POH" localSheetId="1">Poland!$O$91</definedName>
    <definedName name="_xlnm.Print_Area" localSheetId="0">A!$A$1:$P$176</definedName>
    <definedName name="_xlnm.Print_Area" localSheetId="2">China!$A$1:$P$176</definedName>
    <definedName name="_xlnm.Print_Area" localSheetId="3">Germany!$A$1:$P$176</definedName>
    <definedName name="_xlnm.Print_Area" localSheetId="1">Poland!$A$1:$P$176</definedName>
    <definedName name="_xlnm.Print_Area" localSheetId="4">Summary!$B$2:$Q$69</definedName>
    <definedName name="_xlnm.Print_Titles" localSheetId="0">A!$1:$10</definedName>
    <definedName name="_xlnm.Print_Titles" localSheetId="2">China!$1:$10</definedName>
    <definedName name="_xlnm.Print_Titles" localSheetId="3">Germany!$1:$10</definedName>
    <definedName name="_xlnm.Print_Titles" localSheetId="1">Poland!$1:$10</definedName>
    <definedName name="PUC" localSheetId="0">A!$S$3</definedName>
    <definedName name="PUC" localSheetId="2">China!$S$3</definedName>
    <definedName name="PUC" localSheetId="3">Germany!$S$3</definedName>
    <definedName name="PUC" localSheetId="1">Poland!$S$3</definedName>
    <definedName name="Setup" localSheetId="0">A!$U$64</definedName>
    <definedName name="Setup" localSheetId="2">China!$U$64</definedName>
    <definedName name="Setup" localSheetId="3">Germany!$U$64</definedName>
    <definedName name="Setup" localSheetId="1">Poland!$U$64</definedName>
    <definedName name="TM" localSheetId="0">A!$V$64</definedName>
    <definedName name="TM" localSheetId="2">China!$V$64</definedName>
    <definedName name="TM" localSheetId="3">Germany!$V$64</definedName>
    <definedName name="TM" localSheetId="1">Poland!$V$64</definedName>
    <definedName name="translation" localSheetId="2">Tabelle1[#All]</definedName>
    <definedName name="translation" localSheetId="3">Tabelle1[#All]</definedName>
    <definedName name="translation" localSheetId="1">Tabelle1[#All]</definedName>
    <definedName name="translation">Tabelle1[#All]</definedName>
    <definedName name="varfields">Summary!$B$91:$B$92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4" l="1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L156" i="14"/>
  <c r="F156" i="14"/>
  <c r="B152" i="14"/>
  <c r="Y151" i="14"/>
  <c r="I151" i="14"/>
  <c r="G151" i="14"/>
  <c r="B151" i="14"/>
  <c r="Y149" i="14"/>
  <c r="I149" i="14"/>
  <c r="B149" i="14"/>
  <c r="I148" i="14"/>
  <c r="B148" i="14"/>
  <c r="J147" i="14"/>
  <c r="I147" i="14"/>
  <c r="B147" i="14"/>
  <c r="S144" i="14"/>
  <c r="E144" i="14"/>
  <c r="S143" i="14"/>
  <c r="E143" i="14"/>
  <c r="S142" i="14"/>
  <c r="G142" i="14"/>
  <c r="G143" i="14" s="1"/>
  <c r="G144" i="14" s="1"/>
  <c r="E142" i="14"/>
  <c r="S141" i="14"/>
  <c r="E141" i="14"/>
  <c r="B141" i="14"/>
  <c r="S140" i="14"/>
  <c r="B140" i="14"/>
  <c r="O139" i="14"/>
  <c r="G139" i="14"/>
  <c r="O138" i="14"/>
  <c r="M138" i="14"/>
  <c r="L138" i="14"/>
  <c r="K138" i="14"/>
  <c r="J138" i="14"/>
  <c r="O137" i="14"/>
  <c r="M137" i="14"/>
  <c r="L137" i="14"/>
  <c r="K137" i="14"/>
  <c r="J137" i="14"/>
  <c r="E137" i="14"/>
  <c r="E136" i="14"/>
  <c r="B136" i="14"/>
  <c r="L135" i="14"/>
  <c r="I135" i="14"/>
  <c r="B135" i="14"/>
  <c r="B134" i="14"/>
  <c r="B133" i="14"/>
  <c r="D132" i="14"/>
  <c r="B132" i="14"/>
  <c r="S130" i="14"/>
  <c r="S129" i="14"/>
  <c r="S128" i="14"/>
  <c r="S127" i="14"/>
  <c r="S126" i="14"/>
  <c r="S125" i="14"/>
  <c r="S124" i="14"/>
  <c r="S123" i="14"/>
  <c r="O122" i="14"/>
  <c r="M122" i="14"/>
  <c r="L122" i="14"/>
  <c r="K122" i="14"/>
  <c r="J122" i="14"/>
  <c r="I122" i="14"/>
  <c r="H122" i="14"/>
  <c r="G122" i="14"/>
  <c r="F122" i="14"/>
  <c r="B122" i="14"/>
  <c r="O121" i="14"/>
  <c r="J148" i="14" s="1"/>
  <c r="M121" i="14"/>
  <c r="D121" i="14"/>
  <c r="B121" i="14"/>
  <c r="O119" i="14"/>
  <c r="O140" i="14" s="1"/>
  <c r="J119" i="14"/>
  <c r="O118" i="14"/>
  <c r="M139" i="14" s="1"/>
  <c r="J118" i="14"/>
  <c r="Y117" i="14"/>
  <c r="J117" i="14"/>
  <c r="F174" i="14" s="1"/>
  <c r="E117" i="14"/>
  <c r="Y116" i="14"/>
  <c r="O116" i="14"/>
  <c r="J116" i="14"/>
  <c r="F116" i="14"/>
  <c r="A116" i="14"/>
  <c r="U114" i="14"/>
  <c r="T114" i="14"/>
  <c r="S114" i="14"/>
  <c r="O114" i="14"/>
  <c r="B114" i="14"/>
  <c r="U113" i="14"/>
  <c r="T113" i="14"/>
  <c r="S113" i="14"/>
  <c r="O113" i="14"/>
  <c r="B113" i="14"/>
  <c r="M135" i="14" s="1"/>
  <c r="Y112" i="14"/>
  <c r="B112" i="14"/>
  <c r="O111" i="14"/>
  <c r="M111" i="14"/>
  <c r="L111" i="14"/>
  <c r="K111" i="14"/>
  <c r="J111" i="14"/>
  <c r="I111" i="14"/>
  <c r="H111" i="14"/>
  <c r="F111" i="14"/>
  <c r="D111" i="14"/>
  <c r="Y110" i="14"/>
  <c r="T110" i="14"/>
  <c r="S110" i="14"/>
  <c r="J110" i="14"/>
  <c r="AC109" i="14"/>
  <c r="AD109" i="14" s="1"/>
  <c r="Z109" i="14"/>
  <c r="AE109" i="14" s="1"/>
  <c r="S109" i="14"/>
  <c r="AC108" i="14"/>
  <c r="AD108" i="14" s="1"/>
  <c r="Z108" i="14"/>
  <c r="AE108" i="14" s="1"/>
  <c r="O108" i="14"/>
  <c r="K108" i="14"/>
  <c r="S108" i="14" s="1"/>
  <c r="AE107" i="14"/>
  <c r="AD107" i="14"/>
  <c r="AC107" i="14"/>
  <c r="AB107" i="14"/>
  <c r="AA107" i="14"/>
  <c r="Z107" i="14"/>
  <c r="Y107" i="14"/>
  <c r="O107" i="14"/>
  <c r="L107" i="14"/>
  <c r="K107" i="14"/>
  <c r="J107" i="14"/>
  <c r="I107" i="14"/>
  <c r="H107" i="14"/>
  <c r="F107" i="14"/>
  <c r="E107" i="14"/>
  <c r="D107" i="14"/>
  <c r="D106" i="14"/>
  <c r="B106" i="14"/>
  <c r="Y104" i="14"/>
  <c r="J104" i="14"/>
  <c r="L103" i="14"/>
  <c r="L102" i="14"/>
  <c r="A102" i="14"/>
  <c r="L101" i="14"/>
  <c r="A101" i="14"/>
  <c r="L100" i="14"/>
  <c r="J100" i="14"/>
  <c r="L99" i="14"/>
  <c r="J99" i="14"/>
  <c r="A98" i="14"/>
  <c r="A97" i="14"/>
  <c r="D96" i="14"/>
  <c r="B96" i="14"/>
  <c r="B94" i="14"/>
  <c r="J92" i="14"/>
  <c r="D92" i="14"/>
  <c r="B92" i="14"/>
  <c r="D91" i="14"/>
  <c r="B91" i="14"/>
  <c r="AS89" i="14"/>
  <c r="AT89" i="14" s="1"/>
  <c r="AR89" i="14"/>
  <c r="AQ89" i="14"/>
  <c r="AP89" i="14"/>
  <c r="AN89" i="14"/>
  <c r="AL89" i="14"/>
  <c r="AG89" i="14"/>
  <c r="AF89" i="14"/>
  <c r="AD89" i="14"/>
  <c r="AH89" i="14" s="1"/>
  <c r="AC89" i="14"/>
  <c r="K89" i="14"/>
  <c r="AS88" i="14"/>
  <c r="AT88" i="14" s="1"/>
  <c r="AR88" i="14"/>
  <c r="AQ88" i="14"/>
  <c r="AP88" i="14"/>
  <c r="AN88" i="14"/>
  <c r="AL88" i="14"/>
  <c r="AG88" i="14"/>
  <c r="AF88" i="14"/>
  <c r="AD88" i="14"/>
  <c r="AH88" i="14" s="1"/>
  <c r="AC88" i="14"/>
  <c r="K88" i="14"/>
  <c r="AS87" i="14"/>
  <c r="AT87" i="14" s="1"/>
  <c r="AR87" i="14"/>
  <c r="AQ87" i="14"/>
  <c r="AP87" i="14"/>
  <c r="AN87" i="14"/>
  <c r="AL87" i="14"/>
  <c r="AG87" i="14"/>
  <c r="AF87" i="14"/>
  <c r="AD87" i="14"/>
  <c r="AH87" i="14" s="1"/>
  <c r="AC87" i="14"/>
  <c r="K87" i="14"/>
  <c r="AS86" i="14"/>
  <c r="AT86" i="14" s="1"/>
  <c r="AR86" i="14"/>
  <c r="AQ86" i="14"/>
  <c r="AP86" i="14"/>
  <c r="AN86" i="14"/>
  <c r="AL86" i="14"/>
  <c r="AG86" i="14"/>
  <c r="AF86" i="14"/>
  <c r="AD86" i="14"/>
  <c r="AH86" i="14" s="1"/>
  <c r="AC86" i="14"/>
  <c r="K86" i="14"/>
  <c r="AS85" i="14"/>
  <c r="AT85" i="14" s="1"/>
  <c r="AR85" i="14"/>
  <c r="AQ85" i="14"/>
  <c r="AP85" i="14"/>
  <c r="AN85" i="14"/>
  <c r="AL85" i="14"/>
  <c r="AG85" i="14"/>
  <c r="AF85" i="14"/>
  <c r="AD85" i="14"/>
  <c r="AH85" i="14" s="1"/>
  <c r="AC85" i="14"/>
  <c r="K85" i="14"/>
  <c r="AS84" i="14"/>
  <c r="AT84" i="14" s="1"/>
  <c r="AR84" i="14"/>
  <c r="AQ84" i="14"/>
  <c r="AP84" i="14"/>
  <c r="AN84" i="14"/>
  <c r="AL84" i="14"/>
  <c r="AG84" i="14"/>
  <c r="AF84" i="14"/>
  <c r="AD84" i="14"/>
  <c r="AH84" i="14" s="1"/>
  <c r="AC84" i="14"/>
  <c r="S84" i="14"/>
  <c r="K84" i="14"/>
  <c r="AS83" i="14"/>
  <c r="AT83" i="14" s="1"/>
  <c r="AR83" i="14"/>
  <c r="AQ83" i="14"/>
  <c r="AP83" i="14"/>
  <c r="AL83" i="14"/>
  <c r="AD83" i="14"/>
  <c r="AC83" i="14"/>
  <c r="AG83" i="14" s="1"/>
  <c r="K83" i="14"/>
  <c r="AS82" i="14"/>
  <c r="AT82" i="14" s="1"/>
  <c r="AR82" i="14"/>
  <c r="AQ82" i="14"/>
  <c r="AP82" i="14"/>
  <c r="AD82" i="14"/>
  <c r="AF82" i="14" s="1"/>
  <c r="AC82" i="14"/>
  <c r="K82" i="14"/>
  <c r="AT81" i="14"/>
  <c r="AS81" i="14"/>
  <c r="AQ81" i="14"/>
  <c r="AR81" i="14" s="1"/>
  <c r="AP81" i="14"/>
  <c r="AG81" i="14"/>
  <c r="AC81" i="14"/>
  <c r="AD81" i="14" s="1"/>
  <c r="AF81" i="14" s="1"/>
  <c r="T81" i="14"/>
  <c r="K81" i="14"/>
  <c r="AT80" i="14"/>
  <c r="AS80" i="14"/>
  <c r="AQ80" i="14"/>
  <c r="AR80" i="14" s="1"/>
  <c r="AP80" i="14"/>
  <c r="AL80" i="14"/>
  <c r="AG80" i="14"/>
  <c r="AF80" i="14"/>
  <c r="AD80" i="14"/>
  <c r="AH80" i="14" s="1"/>
  <c r="AC80" i="14"/>
  <c r="K80" i="14"/>
  <c r="AT79" i="14"/>
  <c r="AS79" i="14"/>
  <c r="AR79" i="14"/>
  <c r="AQ79" i="14"/>
  <c r="AP79" i="14"/>
  <c r="AN79" i="14"/>
  <c r="AL79" i="14"/>
  <c r="AG79" i="14"/>
  <c r="AF79" i="14"/>
  <c r="AD79" i="14"/>
  <c r="AH79" i="14" s="1"/>
  <c r="AC79" i="14"/>
  <c r="K79" i="14"/>
  <c r="AS78" i="14"/>
  <c r="AT78" i="14" s="1"/>
  <c r="AR78" i="14"/>
  <c r="AQ78" i="14"/>
  <c r="AP78" i="14"/>
  <c r="AN78" i="14"/>
  <c r="AL78" i="14"/>
  <c r="AG78" i="14"/>
  <c r="AF78" i="14"/>
  <c r="AD78" i="14"/>
  <c r="AH78" i="14" s="1"/>
  <c r="AC78" i="14"/>
  <c r="K78" i="14"/>
  <c r="AS77" i="14"/>
  <c r="AT77" i="14" s="1"/>
  <c r="AR77" i="14"/>
  <c r="AQ77" i="14"/>
  <c r="AP77" i="14"/>
  <c r="AN77" i="14"/>
  <c r="AL77" i="14"/>
  <c r="AG77" i="14"/>
  <c r="AF77" i="14"/>
  <c r="AD77" i="14"/>
  <c r="AH77" i="14" s="1"/>
  <c r="AC77" i="14"/>
  <c r="V77" i="14"/>
  <c r="K77" i="14"/>
  <c r="AS76" i="14"/>
  <c r="AT76" i="14" s="1"/>
  <c r="AR76" i="14"/>
  <c r="AQ76" i="14"/>
  <c r="AP76" i="14"/>
  <c r="AL76" i="14"/>
  <c r="AD76" i="14"/>
  <c r="AC76" i="14"/>
  <c r="AG76" i="14" s="1"/>
  <c r="K76" i="14"/>
  <c r="AS75" i="14"/>
  <c r="AT75" i="14" s="1"/>
  <c r="AR75" i="14"/>
  <c r="AQ75" i="14"/>
  <c r="AP75" i="14"/>
  <c r="AC75" i="14"/>
  <c r="K75" i="14"/>
  <c r="AT74" i="14"/>
  <c r="AS74" i="14"/>
  <c r="AQ74" i="14"/>
  <c r="AR74" i="14" s="1"/>
  <c r="AP74" i="14"/>
  <c r="AG74" i="14"/>
  <c r="AC74" i="14"/>
  <c r="AD74" i="14" s="1"/>
  <c r="AF74" i="14" s="1"/>
  <c r="K74" i="14"/>
  <c r="AT73" i="14"/>
  <c r="AS73" i="14"/>
  <c r="AQ73" i="14"/>
  <c r="AR73" i="14" s="1"/>
  <c r="AP73" i="14"/>
  <c r="AL73" i="14"/>
  <c r="AG73" i="14"/>
  <c r="AF73" i="14"/>
  <c r="AD73" i="14"/>
  <c r="AH73" i="14" s="1"/>
  <c r="AC73" i="14"/>
  <c r="K73" i="14"/>
  <c r="AS72" i="14"/>
  <c r="AT72" i="14" s="1"/>
  <c r="AR72" i="14"/>
  <c r="AQ72" i="14"/>
  <c r="AP72" i="14"/>
  <c r="AL72" i="14"/>
  <c r="AD72" i="14"/>
  <c r="AH72" i="14" s="1"/>
  <c r="AC72" i="14"/>
  <c r="AG72" i="14" s="1"/>
  <c r="K72" i="14"/>
  <c r="AS71" i="14"/>
  <c r="AT71" i="14" s="1"/>
  <c r="AR71" i="14"/>
  <c r="AQ71" i="14"/>
  <c r="AP71" i="14"/>
  <c r="AL71" i="14"/>
  <c r="AC71" i="14"/>
  <c r="K71" i="14"/>
  <c r="AT70" i="14"/>
  <c r="AS70" i="14"/>
  <c r="AQ70" i="14"/>
  <c r="AR70" i="14" s="1"/>
  <c r="AP70" i="14"/>
  <c r="AC70" i="14"/>
  <c r="S70" i="14"/>
  <c r="K70" i="14"/>
  <c r="AT69" i="14"/>
  <c r="AS69" i="14"/>
  <c r="AQ69" i="14"/>
  <c r="AR69" i="14" s="1"/>
  <c r="AP69" i="14"/>
  <c r="AL69" i="14"/>
  <c r="AG69" i="14"/>
  <c r="AF69" i="14"/>
  <c r="AD69" i="14"/>
  <c r="AH69" i="14" s="1"/>
  <c r="AC69" i="14"/>
  <c r="K69" i="14"/>
  <c r="AS68" i="14"/>
  <c r="AT68" i="14" s="1"/>
  <c r="AR68" i="14"/>
  <c r="AQ68" i="14"/>
  <c r="AP68" i="14"/>
  <c r="AN68" i="14"/>
  <c r="AL68" i="14"/>
  <c r="AG68" i="14"/>
  <c r="AF68" i="14"/>
  <c r="AD68" i="14"/>
  <c r="AH68" i="14" s="1"/>
  <c r="AC68" i="14"/>
  <c r="K68" i="14"/>
  <c r="AS67" i="14"/>
  <c r="AT67" i="14" s="1"/>
  <c r="AR67" i="14"/>
  <c r="AQ67" i="14"/>
  <c r="AP67" i="14"/>
  <c r="AN67" i="14"/>
  <c r="AL67" i="14"/>
  <c r="AG67" i="14"/>
  <c r="AF67" i="14"/>
  <c r="AD67" i="14"/>
  <c r="AH67" i="14" s="1"/>
  <c r="AC67" i="14"/>
  <c r="V67" i="14"/>
  <c r="K67" i="14"/>
  <c r="AS66" i="14"/>
  <c r="AT66" i="14" s="1"/>
  <c r="AR66" i="14"/>
  <c r="AQ66" i="14"/>
  <c r="AP66" i="14"/>
  <c r="AN66" i="14"/>
  <c r="AL66" i="14"/>
  <c r="AG66" i="14"/>
  <c r="AF66" i="14"/>
  <c r="AD66" i="14"/>
  <c r="AC66" i="14"/>
  <c r="V66" i="14"/>
  <c r="K66" i="14"/>
  <c r="AT65" i="14"/>
  <c r="AS65" i="14"/>
  <c r="AR65" i="14"/>
  <c r="AL65" i="14"/>
  <c r="AK65" i="14"/>
  <c r="AJ65" i="14"/>
  <c r="AH65" i="14"/>
  <c r="AG65" i="14"/>
  <c r="AF65" i="14"/>
  <c r="AE65" i="14"/>
  <c r="AD65" i="14"/>
  <c r="AC65" i="14"/>
  <c r="AB65" i="14"/>
  <c r="AA65" i="14"/>
  <c r="Z65" i="14"/>
  <c r="Y65" i="14"/>
  <c r="O65" i="14"/>
  <c r="N65" i="14"/>
  <c r="M65" i="14"/>
  <c r="L65" i="14"/>
  <c r="K65" i="14"/>
  <c r="J65" i="14"/>
  <c r="I65" i="14"/>
  <c r="H65" i="14"/>
  <c r="F65" i="14"/>
  <c r="E65" i="14"/>
  <c r="D65" i="14"/>
  <c r="B65" i="14"/>
  <c r="AP64" i="14"/>
  <c r="AJ64" i="14"/>
  <c r="Y64" i="14"/>
  <c r="D64" i="14"/>
  <c r="B64" i="14"/>
  <c r="L62" i="14"/>
  <c r="D62" i="14"/>
  <c r="B62" i="14"/>
  <c r="V59" i="14"/>
  <c r="V58" i="14"/>
  <c r="T57" i="14"/>
  <c r="S56" i="14"/>
  <c r="T55" i="14"/>
  <c r="O55" i="14"/>
  <c r="S54" i="14"/>
  <c r="O53" i="14"/>
  <c r="O51" i="14"/>
  <c r="V50" i="14"/>
  <c r="O49" i="14"/>
  <c r="V48" i="14"/>
  <c r="V47" i="14"/>
  <c r="V46" i="14"/>
  <c r="T46" i="14"/>
  <c r="V44" i="14"/>
  <c r="T44" i="14"/>
  <c r="V43" i="14"/>
  <c r="O43" i="14"/>
  <c r="V42" i="14"/>
  <c r="O41" i="14"/>
  <c r="S40" i="14"/>
  <c r="T39" i="14"/>
  <c r="T38" i="14"/>
  <c r="T37" i="14"/>
  <c r="T35" i="14" s="1"/>
  <c r="N35" i="14" s="1"/>
  <c r="O37" i="14"/>
  <c r="O36" i="14"/>
  <c r="N36" i="14"/>
  <c r="K36" i="14"/>
  <c r="J36" i="14"/>
  <c r="H36" i="14"/>
  <c r="G36" i="14"/>
  <c r="E36" i="14"/>
  <c r="B36" i="14"/>
  <c r="D35" i="14"/>
  <c r="B35" i="14"/>
  <c r="U34" i="14"/>
  <c r="O33" i="14"/>
  <c r="T32" i="14"/>
  <c r="S32" i="14"/>
  <c r="S31" i="14"/>
  <c r="T30" i="14"/>
  <c r="S29" i="14"/>
  <c r="O29" i="14"/>
  <c r="V27" i="14"/>
  <c r="O27" i="14"/>
  <c r="O26" i="14"/>
  <c r="V25" i="14"/>
  <c r="S25" i="14"/>
  <c r="S24" i="14"/>
  <c r="V23" i="14"/>
  <c r="V22" i="14"/>
  <c r="S22" i="14"/>
  <c r="O22" i="14"/>
  <c r="S21" i="14"/>
  <c r="T20" i="14"/>
  <c r="V19" i="14"/>
  <c r="O19" i="14"/>
  <c r="S18" i="14"/>
  <c r="O18" i="14"/>
  <c r="T17" i="14"/>
  <c r="T16" i="14"/>
  <c r="O16" i="14"/>
  <c r="S15" i="14"/>
  <c r="V14" i="14"/>
  <c r="O14" i="14"/>
  <c r="O13" i="14"/>
  <c r="N13" i="14"/>
  <c r="L13" i="14"/>
  <c r="K13" i="14"/>
  <c r="J13" i="14"/>
  <c r="I13" i="14"/>
  <c r="H13" i="14"/>
  <c r="G13" i="14"/>
  <c r="E13" i="14"/>
  <c r="B13" i="14"/>
  <c r="D12" i="14"/>
  <c r="B12" i="14"/>
  <c r="U11" i="14"/>
  <c r="W10" i="14"/>
  <c r="V10" i="14"/>
  <c r="L10" i="14"/>
  <c r="L9" i="14"/>
  <c r="A9" i="14"/>
  <c r="W8" i="14"/>
  <c r="M8" i="14"/>
  <c r="I8" i="14"/>
  <c r="W7" i="14"/>
  <c r="M7" i="14"/>
  <c r="I7" i="14"/>
  <c r="A7" i="14"/>
  <c r="L6" i="14"/>
  <c r="I6" i="14"/>
  <c r="A6" i="14"/>
  <c r="U5" i="14"/>
  <c r="K5" i="14"/>
  <c r="I5" i="14"/>
  <c r="A5" i="14"/>
  <c r="U4" i="14"/>
  <c r="I4" i="14"/>
  <c r="A4" i="14"/>
  <c r="U3" i="14"/>
  <c r="S3" i="14"/>
  <c r="V88" i="14" s="1"/>
  <c r="K3" i="14"/>
  <c r="J3" i="14"/>
  <c r="D3" i="14"/>
  <c r="B3" i="14"/>
  <c r="A2" i="14"/>
  <c r="J2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L156" i="13"/>
  <c r="F156" i="13"/>
  <c r="B152" i="13"/>
  <c r="Y151" i="13"/>
  <c r="I151" i="13"/>
  <c r="G151" i="13"/>
  <c r="B151" i="13"/>
  <c r="Y149" i="13"/>
  <c r="I149" i="13"/>
  <c r="B149" i="13"/>
  <c r="I148" i="13"/>
  <c r="B148" i="13"/>
  <c r="I147" i="13"/>
  <c r="B147" i="13"/>
  <c r="S144" i="13"/>
  <c r="E144" i="13"/>
  <c r="S143" i="13"/>
  <c r="E143" i="13"/>
  <c r="S142" i="13"/>
  <c r="G142" i="13"/>
  <c r="G143" i="13" s="1"/>
  <c r="G144" i="13" s="1"/>
  <c r="E142" i="13"/>
  <c r="S141" i="13"/>
  <c r="E141" i="13"/>
  <c r="B141" i="13"/>
  <c r="S140" i="13"/>
  <c r="B140" i="13"/>
  <c r="G139" i="13"/>
  <c r="O138" i="13"/>
  <c r="M138" i="13"/>
  <c r="L138" i="13"/>
  <c r="K138" i="13"/>
  <c r="J138" i="13"/>
  <c r="O137" i="13"/>
  <c r="M137" i="13"/>
  <c r="L137" i="13"/>
  <c r="K137" i="13"/>
  <c r="J137" i="13"/>
  <c r="E137" i="13"/>
  <c r="E136" i="13"/>
  <c r="B136" i="13"/>
  <c r="L135" i="13"/>
  <c r="I135" i="13"/>
  <c r="B135" i="13"/>
  <c r="B134" i="13"/>
  <c r="B133" i="13"/>
  <c r="D132" i="13"/>
  <c r="B132" i="13"/>
  <c r="S130" i="13"/>
  <c r="S129" i="13"/>
  <c r="S128" i="13"/>
  <c r="S127" i="13"/>
  <c r="S126" i="13"/>
  <c r="S125" i="13"/>
  <c r="S124" i="13"/>
  <c r="S123" i="13"/>
  <c r="O122" i="13"/>
  <c r="M122" i="13"/>
  <c r="L122" i="13"/>
  <c r="K122" i="13"/>
  <c r="J122" i="13"/>
  <c r="I122" i="13"/>
  <c r="H122" i="13"/>
  <c r="G122" i="13"/>
  <c r="F122" i="13"/>
  <c r="B122" i="13"/>
  <c r="O121" i="13"/>
  <c r="J148" i="13" s="1"/>
  <c r="M121" i="13"/>
  <c r="D121" i="13"/>
  <c r="B121" i="13"/>
  <c r="O119" i="13"/>
  <c r="O139" i="13" s="1"/>
  <c r="J119" i="13"/>
  <c r="O118" i="13"/>
  <c r="M139" i="13" s="1"/>
  <c r="J118" i="13"/>
  <c r="Y117" i="13"/>
  <c r="J117" i="13"/>
  <c r="F174" i="13" s="1"/>
  <c r="E117" i="13"/>
  <c r="Y116" i="13"/>
  <c r="O116" i="13"/>
  <c r="J116" i="13"/>
  <c r="F116" i="13"/>
  <c r="A116" i="13"/>
  <c r="U114" i="13"/>
  <c r="T114" i="13"/>
  <c r="S114" i="13"/>
  <c r="O114" i="13"/>
  <c r="B114" i="13"/>
  <c r="U113" i="13"/>
  <c r="T113" i="13"/>
  <c r="S113" i="13"/>
  <c r="O113" i="13"/>
  <c r="B113" i="13"/>
  <c r="M135" i="13" s="1"/>
  <c r="Y112" i="13"/>
  <c r="B112" i="13"/>
  <c r="O111" i="13"/>
  <c r="M111" i="13"/>
  <c r="L111" i="13"/>
  <c r="K111" i="13"/>
  <c r="J111" i="13"/>
  <c r="I111" i="13"/>
  <c r="H111" i="13"/>
  <c r="F111" i="13"/>
  <c r="D111" i="13"/>
  <c r="Y110" i="13"/>
  <c r="T110" i="13"/>
  <c r="S110" i="13"/>
  <c r="J110" i="13"/>
  <c r="AC109" i="13"/>
  <c r="AD109" i="13" s="1"/>
  <c r="Z109" i="13"/>
  <c r="AE109" i="13" s="1"/>
  <c r="S109" i="13"/>
  <c r="AC108" i="13"/>
  <c r="AD108" i="13" s="1"/>
  <c r="Z108" i="13"/>
  <c r="AE108" i="13" s="1"/>
  <c r="O108" i="13"/>
  <c r="K108" i="13"/>
  <c r="S108" i="13" s="1"/>
  <c r="AE107" i="13"/>
  <c r="AD107" i="13"/>
  <c r="AC107" i="13"/>
  <c r="AB107" i="13"/>
  <c r="AA107" i="13"/>
  <c r="Z107" i="13"/>
  <c r="Y107" i="13"/>
  <c r="O107" i="13"/>
  <c r="L107" i="13"/>
  <c r="K107" i="13"/>
  <c r="J107" i="13"/>
  <c r="I107" i="13"/>
  <c r="H107" i="13"/>
  <c r="F107" i="13"/>
  <c r="E107" i="13"/>
  <c r="D107" i="13"/>
  <c r="D106" i="13"/>
  <c r="B106" i="13"/>
  <c r="Y104" i="13"/>
  <c r="J104" i="13"/>
  <c r="L103" i="13"/>
  <c r="L102" i="13"/>
  <c r="A102" i="13"/>
  <c r="L101" i="13"/>
  <c r="A101" i="13"/>
  <c r="L100" i="13"/>
  <c r="J100" i="13"/>
  <c r="L99" i="13"/>
  <c r="J99" i="13"/>
  <c r="A98" i="13"/>
  <c r="A97" i="13"/>
  <c r="D96" i="13"/>
  <c r="B96" i="13"/>
  <c r="B94" i="13"/>
  <c r="J92" i="13"/>
  <c r="D92" i="13"/>
  <c r="B92" i="13"/>
  <c r="D91" i="13"/>
  <c r="B91" i="13"/>
  <c r="AS89" i="13"/>
  <c r="AT89" i="13" s="1"/>
  <c r="AR89" i="13"/>
  <c r="AQ89" i="13"/>
  <c r="AP89" i="13"/>
  <c r="AN89" i="13"/>
  <c r="AL89" i="13"/>
  <c r="AG89" i="13"/>
  <c r="AD89" i="13"/>
  <c r="AC89" i="13"/>
  <c r="V89" i="13"/>
  <c r="K89" i="13"/>
  <c r="AS88" i="13"/>
  <c r="AT88" i="13" s="1"/>
  <c r="AR88" i="13"/>
  <c r="AQ88" i="13"/>
  <c r="AP88" i="13"/>
  <c r="AL88" i="13"/>
  <c r="AN88" i="13" s="1"/>
  <c r="AG88" i="13"/>
  <c r="AF88" i="13"/>
  <c r="AD88" i="13"/>
  <c r="AH88" i="13" s="1"/>
  <c r="AC88" i="13"/>
  <c r="K88" i="13"/>
  <c r="AS87" i="13"/>
  <c r="AT87" i="13" s="1"/>
  <c r="AR87" i="13"/>
  <c r="AQ87" i="13"/>
  <c r="AP87" i="13"/>
  <c r="AN87" i="13"/>
  <c r="AL87" i="13"/>
  <c r="AG87" i="13"/>
  <c r="AD87" i="13"/>
  <c r="AC87" i="13"/>
  <c r="K87" i="13"/>
  <c r="AS86" i="13"/>
  <c r="AT86" i="13" s="1"/>
  <c r="AR86" i="13"/>
  <c r="AQ86" i="13"/>
  <c r="AP86" i="13"/>
  <c r="AL86" i="13"/>
  <c r="AN86" i="13" s="1"/>
  <c r="AG86" i="13"/>
  <c r="AF86" i="13"/>
  <c r="AD86" i="13"/>
  <c r="AH86" i="13" s="1"/>
  <c r="AC86" i="13"/>
  <c r="U86" i="13"/>
  <c r="K86" i="13"/>
  <c r="AS85" i="13"/>
  <c r="AT85" i="13" s="1"/>
  <c r="AR85" i="13"/>
  <c r="AQ85" i="13"/>
  <c r="AP85" i="13"/>
  <c r="AN85" i="13"/>
  <c r="AL85" i="13"/>
  <c r="AG85" i="13"/>
  <c r="AD85" i="13"/>
  <c r="AC85" i="13"/>
  <c r="O85" i="13"/>
  <c r="K85" i="13"/>
  <c r="AS84" i="13"/>
  <c r="AT84" i="13" s="1"/>
  <c r="AR84" i="13"/>
  <c r="AQ84" i="13"/>
  <c r="AP84" i="13"/>
  <c r="AL84" i="13"/>
  <c r="AN84" i="13" s="1"/>
  <c r="AG84" i="13"/>
  <c r="AF84" i="13"/>
  <c r="AD84" i="13"/>
  <c r="AH84" i="13" s="1"/>
  <c r="AC84" i="13"/>
  <c r="K84" i="13"/>
  <c r="AS83" i="13"/>
  <c r="AT83" i="13" s="1"/>
  <c r="AR83" i="13"/>
  <c r="AQ83" i="13"/>
  <c r="AP83" i="13"/>
  <c r="AC83" i="13"/>
  <c r="K83" i="13"/>
  <c r="AS82" i="13"/>
  <c r="AT82" i="13" s="1"/>
  <c r="AR82" i="13"/>
  <c r="AQ82" i="13"/>
  <c r="AP82" i="13"/>
  <c r="AC82" i="13"/>
  <c r="AL82" i="13" s="1"/>
  <c r="S82" i="13"/>
  <c r="O82" i="13"/>
  <c r="K82" i="13"/>
  <c r="AT81" i="13"/>
  <c r="AS81" i="13"/>
  <c r="AQ81" i="13"/>
  <c r="AR81" i="13" s="1"/>
  <c r="AP81" i="13"/>
  <c r="AG81" i="13"/>
  <c r="AC81" i="13"/>
  <c r="AD81" i="13" s="1"/>
  <c r="AF81" i="13" s="1"/>
  <c r="K81" i="13"/>
  <c r="AS80" i="13"/>
  <c r="AT80" i="13" s="1"/>
  <c r="AQ80" i="13"/>
  <c r="AR80" i="13" s="1"/>
  <c r="AP80" i="13"/>
  <c r="AL80" i="13"/>
  <c r="AG80" i="13"/>
  <c r="AD80" i="13"/>
  <c r="AC80" i="13"/>
  <c r="K80" i="13"/>
  <c r="AT79" i="13"/>
  <c r="AS79" i="13"/>
  <c r="AR79" i="13"/>
  <c r="AQ79" i="13"/>
  <c r="AP79" i="13"/>
  <c r="AL79" i="13"/>
  <c r="AN79" i="13" s="1"/>
  <c r="AG79" i="13"/>
  <c r="AF79" i="13"/>
  <c r="AD79" i="13"/>
  <c r="AH79" i="13" s="1"/>
  <c r="AC79" i="13"/>
  <c r="K79" i="13"/>
  <c r="AS78" i="13"/>
  <c r="AT78" i="13" s="1"/>
  <c r="AR78" i="13"/>
  <c r="AQ78" i="13"/>
  <c r="AP78" i="13"/>
  <c r="AN78" i="13"/>
  <c r="AL78" i="13"/>
  <c r="AG78" i="13"/>
  <c r="AD78" i="13"/>
  <c r="AC78" i="13"/>
  <c r="V78" i="13"/>
  <c r="K78" i="13"/>
  <c r="AS77" i="13"/>
  <c r="AT77" i="13" s="1"/>
  <c r="AR77" i="13"/>
  <c r="AQ77" i="13"/>
  <c r="AP77" i="13"/>
  <c r="AL77" i="13"/>
  <c r="AN77" i="13" s="1"/>
  <c r="AG77" i="13"/>
  <c r="AF77" i="13"/>
  <c r="AD77" i="13"/>
  <c r="AH77" i="13" s="1"/>
  <c r="AC77" i="13"/>
  <c r="K77" i="13"/>
  <c r="AS76" i="13"/>
  <c r="AT76" i="13" s="1"/>
  <c r="AR76" i="13"/>
  <c r="AQ76" i="13"/>
  <c r="AP76" i="13"/>
  <c r="AL76" i="13"/>
  <c r="AC76" i="13"/>
  <c r="V76" i="13"/>
  <c r="U76" i="13"/>
  <c r="K76" i="13"/>
  <c r="AS75" i="13"/>
  <c r="AT75" i="13" s="1"/>
  <c r="AR75" i="13"/>
  <c r="AQ75" i="13"/>
  <c r="AP75" i="13"/>
  <c r="AC75" i="13"/>
  <c r="AL75" i="13" s="1"/>
  <c r="K75" i="13"/>
  <c r="AT74" i="13"/>
  <c r="AS74" i="13"/>
  <c r="AQ74" i="13"/>
  <c r="AR74" i="13" s="1"/>
  <c r="AP74" i="13"/>
  <c r="AH74" i="13"/>
  <c r="AG74" i="13"/>
  <c r="AC74" i="13"/>
  <c r="AD74" i="13" s="1"/>
  <c r="AF74" i="13" s="1"/>
  <c r="K74" i="13"/>
  <c r="AS73" i="13"/>
  <c r="AT73" i="13" s="1"/>
  <c r="AQ73" i="13"/>
  <c r="AR73" i="13" s="1"/>
  <c r="AP73" i="13"/>
  <c r="AL73" i="13"/>
  <c r="AG73" i="13"/>
  <c r="AD73" i="13"/>
  <c r="AC73" i="13"/>
  <c r="V73" i="13"/>
  <c r="O73" i="13"/>
  <c r="K73" i="13"/>
  <c r="AT72" i="13"/>
  <c r="AS72" i="13"/>
  <c r="AR72" i="13"/>
  <c r="AQ72" i="13"/>
  <c r="AP72" i="13"/>
  <c r="AL72" i="13"/>
  <c r="AH72" i="13"/>
  <c r="AD72" i="13"/>
  <c r="AF72" i="13" s="1"/>
  <c r="AC72" i="13"/>
  <c r="AG72" i="13" s="1"/>
  <c r="K72" i="13"/>
  <c r="AS71" i="13"/>
  <c r="AT71" i="13" s="1"/>
  <c r="AQ71" i="13"/>
  <c r="AR71" i="13" s="1"/>
  <c r="AP71" i="13"/>
  <c r="AL71" i="13"/>
  <c r="AC71" i="13"/>
  <c r="AG71" i="13" s="1"/>
  <c r="U71" i="13"/>
  <c r="T71" i="13"/>
  <c r="K71" i="13"/>
  <c r="AT70" i="13"/>
  <c r="AS70" i="13"/>
  <c r="AQ70" i="13"/>
  <c r="AR70" i="13" s="1"/>
  <c r="AP70" i="13"/>
  <c r="AC70" i="13"/>
  <c r="K70" i="13"/>
  <c r="AT69" i="13"/>
  <c r="AS69" i="13"/>
  <c r="AQ69" i="13"/>
  <c r="AR69" i="13" s="1"/>
  <c r="AP69" i="13"/>
  <c r="AL69" i="13"/>
  <c r="AG69" i="13"/>
  <c r="AF69" i="13"/>
  <c r="AD69" i="13"/>
  <c r="AH69" i="13" s="1"/>
  <c r="AC69" i="13"/>
  <c r="U69" i="13"/>
  <c r="S69" i="13"/>
  <c r="K69" i="13"/>
  <c r="AS68" i="13"/>
  <c r="AT68" i="13" s="1"/>
  <c r="AR68" i="13"/>
  <c r="AQ68" i="13"/>
  <c r="AP68" i="13"/>
  <c r="AN68" i="13"/>
  <c r="AL68" i="13"/>
  <c r="AG68" i="13"/>
  <c r="AF68" i="13"/>
  <c r="AD68" i="13"/>
  <c r="AH68" i="13" s="1"/>
  <c r="AC68" i="13"/>
  <c r="O68" i="13"/>
  <c r="K68" i="13"/>
  <c r="AT67" i="13"/>
  <c r="AS67" i="13"/>
  <c r="AR67" i="13"/>
  <c r="AQ67" i="13"/>
  <c r="AP67" i="13"/>
  <c r="AL67" i="13"/>
  <c r="AN67" i="13" s="1"/>
  <c r="AG67" i="13"/>
  <c r="AF67" i="13"/>
  <c r="AD67" i="13"/>
  <c r="AH67" i="13" s="1"/>
  <c r="AC67" i="13"/>
  <c r="S67" i="13"/>
  <c r="K67" i="13"/>
  <c r="AS66" i="13"/>
  <c r="AT66" i="13" s="1"/>
  <c r="AR66" i="13"/>
  <c r="AQ66" i="13"/>
  <c r="AP66" i="13"/>
  <c r="AN66" i="13"/>
  <c r="AL66" i="13"/>
  <c r="AG66" i="13"/>
  <c r="AD66" i="13"/>
  <c r="AC66" i="13"/>
  <c r="O66" i="13"/>
  <c r="K66" i="13"/>
  <c r="AT65" i="13"/>
  <c r="AS65" i="13"/>
  <c r="AR65" i="13"/>
  <c r="AL65" i="13"/>
  <c r="AK65" i="13"/>
  <c r="AJ65" i="13"/>
  <c r="AH65" i="13"/>
  <c r="AG65" i="13"/>
  <c r="AF65" i="13"/>
  <c r="AE65" i="13"/>
  <c r="AD65" i="13"/>
  <c r="AC65" i="13"/>
  <c r="AB65" i="13"/>
  <c r="AA65" i="13"/>
  <c r="Z65" i="13"/>
  <c r="Y65" i="13"/>
  <c r="O65" i="13"/>
  <c r="N65" i="13"/>
  <c r="M65" i="13"/>
  <c r="L65" i="13"/>
  <c r="K65" i="13"/>
  <c r="J65" i="13"/>
  <c r="I65" i="13"/>
  <c r="H65" i="13"/>
  <c r="F65" i="13"/>
  <c r="E65" i="13"/>
  <c r="D65" i="13"/>
  <c r="B65" i="13"/>
  <c r="AP64" i="13"/>
  <c r="AJ64" i="13"/>
  <c r="Y64" i="13"/>
  <c r="D64" i="13"/>
  <c r="B64" i="13"/>
  <c r="L62" i="13"/>
  <c r="D62" i="13"/>
  <c r="B62" i="13"/>
  <c r="V60" i="13"/>
  <c r="O59" i="13"/>
  <c r="T57" i="13"/>
  <c r="T55" i="13"/>
  <c r="V53" i="13"/>
  <c r="V51" i="13"/>
  <c r="S50" i="13"/>
  <c r="T48" i="13"/>
  <c r="S48" i="13"/>
  <c r="V46" i="13"/>
  <c r="T46" i="13"/>
  <c r="O45" i="13"/>
  <c r="V44" i="13"/>
  <c r="O43" i="13"/>
  <c r="T41" i="13"/>
  <c r="T39" i="13"/>
  <c r="V37" i="13"/>
  <c r="O36" i="13"/>
  <c r="N36" i="13"/>
  <c r="K36" i="13"/>
  <c r="J36" i="13"/>
  <c r="H36" i="13"/>
  <c r="G36" i="13"/>
  <c r="E36" i="13"/>
  <c r="B36" i="13"/>
  <c r="D35" i="13"/>
  <c r="B35" i="13"/>
  <c r="U34" i="13"/>
  <c r="S33" i="13"/>
  <c r="S31" i="13"/>
  <c r="V29" i="13"/>
  <c r="O28" i="13"/>
  <c r="V27" i="13"/>
  <c r="S26" i="13"/>
  <c r="O26" i="13"/>
  <c r="T24" i="13"/>
  <c r="O23" i="13"/>
  <c r="T21" i="13"/>
  <c r="O20" i="13"/>
  <c r="T18" i="13"/>
  <c r="O17" i="13"/>
  <c r="T15" i="13"/>
  <c r="S14" i="13"/>
  <c r="O13" i="13"/>
  <c r="N13" i="13"/>
  <c r="L13" i="13"/>
  <c r="K13" i="13"/>
  <c r="J13" i="13"/>
  <c r="I13" i="13"/>
  <c r="H13" i="13"/>
  <c r="G13" i="13"/>
  <c r="E13" i="13"/>
  <c r="B13" i="13"/>
  <c r="D12" i="13"/>
  <c r="B12" i="13"/>
  <c r="U11" i="13"/>
  <c r="W10" i="13"/>
  <c r="V10" i="13"/>
  <c r="L10" i="13"/>
  <c r="L9" i="13"/>
  <c r="A9" i="13"/>
  <c r="W8" i="13"/>
  <c r="M8" i="13"/>
  <c r="I8" i="13"/>
  <c r="W7" i="13"/>
  <c r="M7" i="13"/>
  <c r="I7" i="13"/>
  <c r="A7" i="13"/>
  <c r="L6" i="13"/>
  <c r="I6" i="13"/>
  <c r="A6" i="13"/>
  <c r="U5" i="13"/>
  <c r="K5" i="13"/>
  <c r="I5" i="13"/>
  <c r="A5" i="13"/>
  <c r="U4" i="13"/>
  <c r="I4" i="13"/>
  <c r="A4" i="13"/>
  <c r="U3" i="13"/>
  <c r="S3" i="13"/>
  <c r="K3" i="13"/>
  <c r="J3" i="13"/>
  <c r="D3" i="13"/>
  <c r="B3" i="13"/>
  <c r="A2" i="13"/>
  <c r="J2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L156" i="12"/>
  <c r="F156" i="12"/>
  <c r="B152" i="12"/>
  <c r="Y151" i="12"/>
  <c r="I151" i="12"/>
  <c r="G151" i="12"/>
  <c r="B151" i="12"/>
  <c r="Y149" i="12"/>
  <c r="I149" i="12"/>
  <c r="B149" i="12"/>
  <c r="I148" i="12"/>
  <c r="B148" i="12"/>
  <c r="I147" i="12"/>
  <c r="B147" i="12"/>
  <c r="S144" i="12"/>
  <c r="E144" i="12"/>
  <c r="S143" i="12"/>
  <c r="E143" i="12"/>
  <c r="S142" i="12"/>
  <c r="G142" i="12"/>
  <c r="G143" i="12" s="1"/>
  <c r="G144" i="12" s="1"/>
  <c r="E142" i="12"/>
  <c r="S141" i="12"/>
  <c r="E141" i="12"/>
  <c r="B141" i="12"/>
  <c r="S140" i="12"/>
  <c r="B140" i="12"/>
  <c r="G139" i="12"/>
  <c r="O138" i="12"/>
  <c r="M138" i="12"/>
  <c r="L138" i="12"/>
  <c r="K138" i="12"/>
  <c r="J138" i="12"/>
  <c r="O137" i="12"/>
  <c r="M137" i="12"/>
  <c r="L137" i="12"/>
  <c r="K137" i="12"/>
  <c r="J137" i="12"/>
  <c r="E137" i="12"/>
  <c r="E136" i="12"/>
  <c r="B136" i="12"/>
  <c r="L135" i="12"/>
  <c r="I135" i="12"/>
  <c r="B135" i="12"/>
  <c r="B134" i="12"/>
  <c r="B133" i="12"/>
  <c r="D132" i="12"/>
  <c r="B132" i="12"/>
  <c r="S130" i="12"/>
  <c r="S129" i="12"/>
  <c r="S128" i="12"/>
  <c r="S127" i="12"/>
  <c r="S126" i="12"/>
  <c r="S125" i="12"/>
  <c r="S124" i="12"/>
  <c r="S123" i="12"/>
  <c r="O122" i="12"/>
  <c r="M122" i="12"/>
  <c r="L122" i="12"/>
  <c r="K122" i="12"/>
  <c r="J122" i="12"/>
  <c r="I122" i="12"/>
  <c r="H122" i="12"/>
  <c r="G122" i="12"/>
  <c r="F122" i="12"/>
  <c r="B122" i="12"/>
  <c r="O121" i="12"/>
  <c r="J148" i="12" s="1"/>
  <c r="M121" i="12"/>
  <c r="D121" i="12"/>
  <c r="B121" i="12"/>
  <c r="O119" i="12"/>
  <c r="O140" i="12" s="1"/>
  <c r="O141" i="12" s="1"/>
  <c r="O142" i="12" s="1"/>
  <c r="O143" i="12" s="1"/>
  <c r="O144" i="12" s="1"/>
  <c r="O145" i="12" s="1"/>
  <c r="J119" i="12"/>
  <c r="O118" i="12"/>
  <c r="M139" i="12" s="1"/>
  <c r="J118" i="12"/>
  <c r="Y117" i="12"/>
  <c r="J117" i="12"/>
  <c r="F174" i="12" s="1"/>
  <c r="E117" i="12"/>
  <c r="Y116" i="12"/>
  <c r="O116" i="12"/>
  <c r="J116" i="12"/>
  <c r="F116" i="12"/>
  <c r="A116" i="12"/>
  <c r="U114" i="12"/>
  <c r="T114" i="12"/>
  <c r="S114" i="12"/>
  <c r="O114" i="12"/>
  <c r="B114" i="12"/>
  <c r="U113" i="12"/>
  <c r="T113" i="12"/>
  <c r="S113" i="12"/>
  <c r="O113" i="12"/>
  <c r="B113" i="12"/>
  <c r="M135" i="12" s="1"/>
  <c r="Y112" i="12"/>
  <c r="B112" i="12"/>
  <c r="O111" i="12"/>
  <c r="M111" i="12"/>
  <c r="L111" i="12"/>
  <c r="K111" i="12"/>
  <c r="J111" i="12"/>
  <c r="I111" i="12"/>
  <c r="H111" i="12"/>
  <c r="F111" i="12"/>
  <c r="D111" i="12"/>
  <c r="Y110" i="12"/>
  <c r="T110" i="12"/>
  <c r="S110" i="12"/>
  <c r="J110" i="12"/>
  <c r="AC109" i="12"/>
  <c r="AD109" i="12" s="1"/>
  <c r="Z109" i="12"/>
  <c r="AE109" i="12" s="1"/>
  <c r="S109" i="12"/>
  <c r="AC108" i="12"/>
  <c r="O108" i="12"/>
  <c r="K108" i="12"/>
  <c r="S108" i="12" s="1"/>
  <c r="AE107" i="12"/>
  <c r="AD107" i="12"/>
  <c r="AC107" i="12"/>
  <c r="AB107" i="12"/>
  <c r="AA107" i="12"/>
  <c r="Z107" i="12"/>
  <c r="Y107" i="12"/>
  <c r="O107" i="12"/>
  <c r="L107" i="12"/>
  <c r="K107" i="12"/>
  <c r="J107" i="12"/>
  <c r="I107" i="12"/>
  <c r="H107" i="12"/>
  <c r="F107" i="12"/>
  <c r="E107" i="12"/>
  <c r="D107" i="12"/>
  <c r="D106" i="12"/>
  <c r="B106" i="12"/>
  <c r="Y104" i="12"/>
  <c r="J104" i="12"/>
  <c r="L103" i="12"/>
  <c r="L102" i="12"/>
  <c r="A102" i="12"/>
  <c r="L101" i="12"/>
  <c r="A101" i="12"/>
  <c r="L100" i="12"/>
  <c r="J100" i="12"/>
  <c r="L99" i="12"/>
  <c r="J99" i="12"/>
  <c r="A98" i="12"/>
  <c r="A97" i="12"/>
  <c r="D96" i="12"/>
  <c r="B96" i="12"/>
  <c r="B94" i="12"/>
  <c r="J92" i="12"/>
  <c r="D92" i="12"/>
  <c r="B92" i="12"/>
  <c r="D91" i="12"/>
  <c r="B91" i="12"/>
  <c r="AS89" i="12"/>
  <c r="AT89" i="12" s="1"/>
  <c r="AQ89" i="12"/>
  <c r="AR89" i="12" s="1"/>
  <c r="AP89" i="12"/>
  <c r="AC89" i="12"/>
  <c r="K89" i="12"/>
  <c r="AS88" i="12"/>
  <c r="AT88" i="12" s="1"/>
  <c r="AR88" i="12"/>
  <c r="AQ88" i="12"/>
  <c r="AP88" i="12"/>
  <c r="AN88" i="12"/>
  <c r="AL88" i="12"/>
  <c r="AH88" i="12"/>
  <c r="AG88" i="12"/>
  <c r="AF88" i="12"/>
  <c r="AD88" i="12"/>
  <c r="AC88" i="12"/>
  <c r="K88" i="12"/>
  <c r="AS87" i="12"/>
  <c r="AT87" i="12" s="1"/>
  <c r="AQ87" i="12"/>
  <c r="AR87" i="12" s="1"/>
  <c r="AP87" i="12"/>
  <c r="AC87" i="12"/>
  <c r="K87" i="12"/>
  <c r="AS86" i="12"/>
  <c r="AT86" i="12" s="1"/>
  <c r="AR86" i="12"/>
  <c r="AQ86" i="12"/>
  <c r="AP86" i="12"/>
  <c r="AN86" i="12"/>
  <c r="AL86" i="12"/>
  <c r="AH86" i="12"/>
  <c r="AG86" i="12"/>
  <c r="AF86" i="12"/>
  <c r="AD86" i="12"/>
  <c r="AC86" i="12"/>
  <c r="K86" i="12"/>
  <c r="AS85" i="12"/>
  <c r="AT85" i="12" s="1"/>
  <c r="AQ85" i="12"/>
  <c r="AR85" i="12" s="1"/>
  <c r="AP85" i="12"/>
  <c r="AC85" i="12"/>
  <c r="K85" i="12"/>
  <c r="AS84" i="12"/>
  <c r="AT84" i="12" s="1"/>
  <c r="AR84" i="12"/>
  <c r="AQ84" i="12"/>
  <c r="AP84" i="12"/>
  <c r="AN84" i="12"/>
  <c r="AL84" i="12"/>
  <c r="AH84" i="12"/>
  <c r="AG84" i="12"/>
  <c r="AF84" i="12"/>
  <c r="AD84" i="12"/>
  <c r="AC84" i="12"/>
  <c r="K84" i="12"/>
  <c r="AS83" i="12"/>
  <c r="AT83" i="12" s="1"/>
  <c r="AQ83" i="12"/>
  <c r="AR83" i="12" s="1"/>
  <c r="AP83" i="12"/>
  <c r="AL83" i="12"/>
  <c r="AD83" i="12"/>
  <c r="AC83" i="12"/>
  <c r="AG83" i="12" s="1"/>
  <c r="K83" i="12"/>
  <c r="AT82" i="12"/>
  <c r="AS82" i="12"/>
  <c r="AR82" i="12"/>
  <c r="AQ82" i="12"/>
  <c r="AP82" i="12"/>
  <c r="AC82" i="12"/>
  <c r="K82" i="12"/>
  <c r="AT81" i="12"/>
  <c r="AS81" i="12"/>
  <c r="AQ81" i="12"/>
  <c r="AR81" i="12" s="1"/>
  <c r="AP81" i="12"/>
  <c r="AL81" i="12"/>
  <c r="AG81" i="12"/>
  <c r="AC81" i="12"/>
  <c r="AD81" i="12" s="1"/>
  <c r="K81" i="12"/>
  <c r="AT80" i="12"/>
  <c r="AS80" i="12"/>
  <c r="AR80" i="12"/>
  <c r="AQ80" i="12"/>
  <c r="AP80" i="12"/>
  <c r="AC80" i="12"/>
  <c r="K80" i="12"/>
  <c r="AS79" i="12"/>
  <c r="AT79" i="12" s="1"/>
  <c r="AR79" i="12"/>
  <c r="AQ79" i="12"/>
  <c r="AP79" i="12"/>
  <c r="AN79" i="12"/>
  <c r="AL79" i="12"/>
  <c r="AH79" i="12"/>
  <c r="AG79" i="12"/>
  <c r="AF79" i="12"/>
  <c r="AD79" i="12"/>
  <c r="AC79" i="12"/>
  <c r="K79" i="12"/>
  <c r="AS78" i="12"/>
  <c r="AT78" i="12" s="1"/>
  <c r="AQ78" i="12"/>
  <c r="AR78" i="12" s="1"/>
  <c r="AP78" i="12"/>
  <c r="AC78" i="12"/>
  <c r="K78" i="12"/>
  <c r="AS77" i="12"/>
  <c r="AT77" i="12" s="1"/>
  <c r="AR77" i="12"/>
  <c r="AQ77" i="12"/>
  <c r="AP77" i="12"/>
  <c r="AN77" i="12"/>
  <c r="AL77" i="12"/>
  <c r="AH77" i="12"/>
  <c r="AG77" i="12"/>
  <c r="AF77" i="12"/>
  <c r="AD77" i="12"/>
  <c r="AC77" i="12"/>
  <c r="K77" i="12"/>
  <c r="AS76" i="12"/>
  <c r="AT76" i="12" s="1"/>
  <c r="AQ76" i="12"/>
  <c r="AR76" i="12" s="1"/>
  <c r="AP76" i="12"/>
  <c r="AL76" i="12"/>
  <c r="AD76" i="12"/>
  <c r="AC76" i="12"/>
  <c r="AG76" i="12" s="1"/>
  <c r="O76" i="12"/>
  <c r="K76" i="12"/>
  <c r="AT75" i="12"/>
  <c r="AS75" i="12"/>
  <c r="AR75" i="12"/>
  <c r="AQ75" i="12"/>
  <c r="AP75" i="12"/>
  <c r="AC75" i="12"/>
  <c r="K75" i="12"/>
  <c r="AT74" i="12"/>
  <c r="AS74" i="12"/>
  <c r="AQ74" i="12"/>
  <c r="AR74" i="12" s="1"/>
  <c r="AP74" i="12"/>
  <c r="AL74" i="12"/>
  <c r="AG74" i="12"/>
  <c r="AC74" i="12"/>
  <c r="AD74" i="12" s="1"/>
  <c r="K74" i="12"/>
  <c r="AT73" i="12"/>
  <c r="AS73" i="12"/>
  <c r="AR73" i="12"/>
  <c r="AQ73" i="12"/>
  <c r="AP73" i="12"/>
  <c r="AC73" i="12"/>
  <c r="K73" i="12"/>
  <c r="AS72" i="12"/>
  <c r="AT72" i="12" s="1"/>
  <c r="AR72" i="12"/>
  <c r="AQ72" i="12"/>
  <c r="AP72" i="12"/>
  <c r="AL72" i="12"/>
  <c r="AG72" i="12"/>
  <c r="AD72" i="12"/>
  <c r="AC72" i="12"/>
  <c r="K72" i="12"/>
  <c r="AS71" i="12"/>
  <c r="AT71" i="12" s="1"/>
  <c r="AR71" i="12"/>
  <c r="AQ71" i="12"/>
  <c r="AP71" i="12"/>
  <c r="AC71" i="12"/>
  <c r="K71" i="12"/>
  <c r="AS70" i="12"/>
  <c r="AT70" i="12" s="1"/>
  <c r="AQ70" i="12"/>
  <c r="AR70" i="12" s="1"/>
  <c r="AP70" i="12"/>
  <c r="AG70" i="12"/>
  <c r="AD70" i="12"/>
  <c r="AC70" i="12"/>
  <c r="AL70" i="12" s="1"/>
  <c r="K70" i="12"/>
  <c r="AT69" i="12"/>
  <c r="AS69" i="12"/>
  <c r="AQ69" i="12"/>
  <c r="AR69" i="12" s="1"/>
  <c r="AP69" i="12"/>
  <c r="AL69" i="12"/>
  <c r="AH69" i="12"/>
  <c r="AG69" i="12"/>
  <c r="AF69" i="12"/>
  <c r="AD69" i="12"/>
  <c r="AC69" i="12"/>
  <c r="K69" i="12"/>
  <c r="AS68" i="12"/>
  <c r="AT68" i="12" s="1"/>
  <c r="AQ68" i="12"/>
  <c r="AR68" i="12" s="1"/>
  <c r="AP68" i="12"/>
  <c r="AC68" i="12"/>
  <c r="K68" i="12"/>
  <c r="AS67" i="12"/>
  <c r="AT67" i="12" s="1"/>
  <c r="AR67" i="12"/>
  <c r="AQ67" i="12"/>
  <c r="AP67" i="12"/>
  <c r="AN67" i="12"/>
  <c r="AL67" i="12"/>
  <c r="AH67" i="12"/>
  <c r="AG67" i="12"/>
  <c r="AF67" i="12"/>
  <c r="AD67" i="12"/>
  <c r="AC67" i="12"/>
  <c r="K67" i="12"/>
  <c r="AS66" i="12"/>
  <c r="AT66" i="12" s="1"/>
  <c r="AQ66" i="12"/>
  <c r="AR66" i="12" s="1"/>
  <c r="AP66" i="12"/>
  <c r="AC66" i="12"/>
  <c r="K66" i="12"/>
  <c r="AT65" i="12"/>
  <c r="AS65" i="12"/>
  <c r="AR65" i="12"/>
  <c r="AL65" i="12"/>
  <c r="AK65" i="12"/>
  <c r="AJ65" i="12"/>
  <c r="AH65" i="12"/>
  <c r="AG65" i="12"/>
  <c r="AF65" i="12"/>
  <c r="AE65" i="12"/>
  <c r="AD65" i="12"/>
  <c r="AC65" i="12"/>
  <c r="AB65" i="12"/>
  <c r="AA65" i="12"/>
  <c r="Z65" i="12"/>
  <c r="Y65" i="12"/>
  <c r="O65" i="12"/>
  <c r="N65" i="12"/>
  <c r="M65" i="12"/>
  <c r="L65" i="12"/>
  <c r="K65" i="12"/>
  <c r="J65" i="12"/>
  <c r="I65" i="12"/>
  <c r="H65" i="12"/>
  <c r="F65" i="12"/>
  <c r="E65" i="12"/>
  <c r="D65" i="12"/>
  <c r="B65" i="12"/>
  <c r="AP64" i="12"/>
  <c r="AJ64" i="12"/>
  <c r="Y64" i="12"/>
  <c r="D64" i="12"/>
  <c r="B64" i="12"/>
  <c r="L62" i="12"/>
  <c r="D62" i="12"/>
  <c r="B62" i="12"/>
  <c r="O56" i="12"/>
  <c r="S52" i="12"/>
  <c r="O51" i="12"/>
  <c r="S49" i="12"/>
  <c r="V48" i="12"/>
  <c r="T48" i="12"/>
  <c r="T47" i="12"/>
  <c r="O47" i="12"/>
  <c r="V46" i="12"/>
  <c r="S45" i="12"/>
  <c r="O45" i="12"/>
  <c r="O44" i="12"/>
  <c r="T43" i="12"/>
  <c r="T41" i="12"/>
  <c r="S40" i="12"/>
  <c r="O40" i="12"/>
  <c r="V37" i="12"/>
  <c r="O36" i="12"/>
  <c r="N36" i="12"/>
  <c r="K36" i="12"/>
  <c r="J36" i="12"/>
  <c r="H36" i="12"/>
  <c r="G36" i="12"/>
  <c r="E36" i="12"/>
  <c r="B36" i="12"/>
  <c r="D35" i="12"/>
  <c r="B35" i="12"/>
  <c r="U34" i="12"/>
  <c r="T33" i="12"/>
  <c r="S32" i="12"/>
  <c r="V31" i="12"/>
  <c r="T30" i="12"/>
  <c r="O30" i="12"/>
  <c r="V29" i="12"/>
  <c r="T28" i="12"/>
  <c r="S28" i="12"/>
  <c r="O27" i="12"/>
  <c r="V26" i="12"/>
  <c r="T26" i="12"/>
  <c r="S26" i="12"/>
  <c r="O25" i="12"/>
  <c r="T24" i="12"/>
  <c r="S23" i="12"/>
  <c r="O23" i="12"/>
  <c r="V22" i="12"/>
  <c r="T21" i="12"/>
  <c r="O21" i="12"/>
  <c r="V19" i="12"/>
  <c r="S19" i="12"/>
  <c r="S18" i="12"/>
  <c r="O18" i="12"/>
  <c r="V17" i="12"/>
  <c r="T16" i="12"/>
  <c r="S16" i="12"/>
  <c r="S15" i="12"/>
  <c r="O15" i="12"/>
  <c r="V14" i="12"/>
  <c r="O14" i="12"/>
  <c r="O13" i="12"/>
  <c r="N13" i="12"/>
  <c r="L13" i="12"/>
  <c r="K13" i="12"/>
  <c r="J13" i="12"/>
  <c r="I13" i="12"/>
  <c r="H13" i="12"/>
  <c r="G13" i="12"/>
  <c r="E13" i="12"/>
  <c r="B13" i="12"/>
  <c r="D12" i="12"/>
  <c r="B12" i="12"/>
  <c r="U11" i="12"/>
  <c r="W10" i="12"/>
  <c r="V10" i="12"/>
  <c r="L10" i="12"/>
  <c r="L9" i="12"/>
  <c r="A9" i="12"/>
  <c r="W8" i="12"/>
  <c r="M8" i="12"/>
  <c r="I8" i="12"/>
  <c r="W7" i="12"/>
  <c r="M7" i="12"/>
  <c r="I7" i="12"/>
  <c r="A7" i="12"/>
  <c r="L6" i="12"/>
  <c r="I6" i="12"/>
  <c r="A6" i="12"/>
  <c r="U5" i="12"/>
  <c r="K5" i="12"/>
  <c r="I5" i="12"/>
  <c r="A5" i="12"/>
  <c r="U4" i="12"/>
  <c r="I4" i="12"/>
  <c r="A4" i="12"/>
  <c r="U3" i="12"/>
  <c r="S3" i="12"/>
  <c r="O100" i="12" s="1"/>
  <c r="K3" i="12"/>
  <c r="J3" i="12"/>
  <c r="D3" i="12"/>
  <c r="B3" i="12"/>
  <c r="A2" i="12"/>
  <c r="AH83" i="14" l="1"/>
  <c r="AF83" i="14"/>
  <c r="AF72" i="14"/>
  <c r="O75" i="14"/>
  <c r="V84" i="14"/>
  <c r="V89" i="14"/>
  <c r="T15" i="14"/>
  <c r="O17" i="14"/>
  <c r="T18" i="14"/>
  <c r="O20" i="14"/>
  <c r="T21" i="14"/>
  <c r="O23" i="14"/>
  <c r="T24" i="14"/>
  <c r="S26" i="14"/>
  <c r="O28" i="14"/>
  <c r="V29" i="14"/>
  <c r="S33" i="14"/>
  <c r="V37" i="14"/>
  <c r="T41" i="14"/>
  <c r="O45" i="14"/>
  <c r="O47" i="14"/>
  <c r="T51" i="14"/>
  <c r="T53" i="14"/>
  <c r="S60" i="14"/>
  <c r="AL70" i="14"/>
  <c r="AD70" i="14"/>
  <c r="T71" i="14"/>
  <c r="V73" i="14"/>
  <c r="T75" i="14"/>
  <c r="O82" i="14"/>
  <c r="S88" i="14"/>
  <c r="S14" i="14"/>
  <c r="T26" i="14"/>
  <c r="S28" i="14"/>
  <c r="O30" i="14"/>
  <c r="V31" i="14"/>
  <c r="U31" i="14" s="1"/>
  <c r="V39" i="14"/>
  <c r="T43" i="14"/>
  <c r="T47" i="14"/>
  <c r="T49" i="14"/>
  <c r="V55" i="14"/>
  <c r="U55" i="14" s="1"/>
  <c r="S58" i="14"/>
  <c r="AG70" i="14"/>
  <c r="U71" i="14"/>
  <c r="AH74" i="14"/>
  <c r="AL75" i="14"/>
  <c r="AG75" i="14"/>
  <c r="O76" i="14"/>
  <c r="V80" i="14"/>
  <c r="T82" i="14"/>
  <c r="V113" i="14"/>
  <c r="V112" i="14"/>
  <c r="U89" i="14"/>
  <c r="O88" i="14"/>
  <c r="U87" i="14"/>
  <c r="O86" i="14"/>
  <c r="U85" i="14"/>
  <c r="O84" i="14"/>
  <c r="T83" i="14"/>
  <c r="U80" i="14"/>
  <c r="O79" i="14"/>
  <c r="U78" i="14"/>
  <c r="O77" i="14"/>
  <c r="T76" i="14"/>
  <c r="U73" i="14"/>
  <c r="S71" i="14"/>
  <c r="W71" i="14" s="1"/>
  <c r="V70" i="14"/>
  <c r="O69" i="14"/>
  <c r="U68" i="14"/>
  <c r="O67" i="14"/>
  <c r="U66" i="14"/>
  <c r="V60" i="14"/>
  <c r="U60" i="14" s="1"/>
  <c r="T59" i="14"/>
  <c r="V114" i="14"/>
  <c r="U112" i="14"/>
  <c r="O99" i="14"/>
  <c r="L169" i="14" s="1"/>
  <c r="T89" i="14"/>
  <c r="T87" i="14"/>
  <c r="T85" i="14"/>
  <c r="S83" i="14"/>
  <c r="W83" i="14" s="1"/>
  <c r="V82" i="14"/>
  <c r="O81" i="14"/>
  <c r="T80" i="14"/>
  <c r="T78" i="14"/>
  <c r="S76" i="14"/>
  <c r="V75" i="14"/>
  <c r="O74" i="14"/>
  <c r="T73" i="14"/>
  <c r="U70" i="14"/>
  <c r="T68" i="14"/>
  <c r="T66" i="14"/>
  <c r="S59" i="14"/>
  <c r="U59" i="14" s="1"/>
  <c r="O58" i="14"/>
  <c r="S55" i="14"/>
  <c r="O54" i="14"/>
  <c r="S51" i="14"/>
  <c r="O50" i="14"/>
  <c r="S47" i="14"/>
  <c r="U47" i="14" s="1"/>
  <c r="O46" i="14"/>
  <c r="S43" i="14"/>
  <c r="U43" i="14" s="1"/>
  <c r="O42" i="14"/>
  <c r="S39" i="14"/>
  <c r="O38" i="14"/>
  <c r="V32" i="14"/>
  <c r="U32" i="14" s="1"/>
  <c r="T31" i="14"/>
  <c r="V28" i="14"/>
  <c r="T27" i="14"/>
  <c r="V24" i="14"/>
  <c r="U24" i="14" s="1"/>
  <c r="T23" i="14"/>
  <c r="V20" i="14"/>
  <c r="T19" i="14"/>
  <c r="V16" i="14"/>
  <c r="S89" i="14"/>
  <c r="W89" i="14" s="1"/>
  <c r="S87" i="14"/>
  <c r="W87" i="14" s="1"/>
  <c r="S85" i="14"/>
  <c r="W85" i="14" s="1"/>
  <c r="U82" i="14"/>
  <c r="S80" i="14"/>
  <c r="S78" i="14"/>
  <c r="U75" i="14"/>
  <c r="S73" i="14"/>
  <c r="W73" i="14" s="1"/>
  <c r="V72" i="14"/>
  <c r="O71" i="14"/>
  <c r="T70" i="14"/>
  <c r="W70" i="14" s="1"/>
  <c r="S68" i="14"/>
  <c r="W68" i="14" s="1"/>
  <c r="S66" i="14"/>
  <c r="T60" i="14"/>
  <c r="V57" i="14"/>
  <c r="T56" i="14"/>
  <c r="V53" i="14"/>
  <c r="T52" i="14"/>
  <c r="V49" i="14"/>
  <c r="U49" i="14" s="1"/>
  <c r="T48" i="14"/>
  <c r="U48" i="14" s="1"/>
  <c r="V45" i="14"/>
  <c r="O109" i="14"/>
  <c r="O89" i="14"/>
  <c r="U88" i="14"/>
  <c r="O87" i="14"/>
  <c r="U86" i="14"/>
  <c r="O85" i="14"/>
  <c r="U84" i="14"/>
  <c r="S82" i="14"/>
  <c r="W82" i="14" s="1"/>
  <c r="V81" i="14"/>
  <c r="O80" i="14"/>
  <c r="U79" i="14"/>
  <c r="O78" i="14"/>
  <c r="U77" i="14"/>
  <c r="S75" i="14"/>
  <c r="W75" i="14" s="1"/>
  <c r="V74" i="14"/>
  <c r="O73" i="14"/>
  <c r="T72" i="14"/>
  <c r="U69" i="14"/>
  <c r="O68" i="14"/>
  <c r="U67" i="14"/>
  <c r="O66" i="14"/>
  <c r="O100" i="14"/>
  <c r="T88" i="14"/>
  <c r="T86" i="14"/>
  <c r="T84" i="14"/>
  <c r="W84" i="14" s="1"/>
  <c r="U81" i="14"/>
  <c r="T79" i="14"/>
  <c r="T77" i="14"/>
  <c r="U74" i="14"/>
  <c r="S72" i="14"/>
  <c r="W72" i="14" s="1"/>
  <c r="V71" i="14"/>
  <c r="O70" i="14"/>
  <c r="T69" i="14"/>
  <c r="T67" i="14"/>
  <c r="O60" i="14"/>
  <c r="S57" i="14"/>
  <c r="O56" i="14"/>
  <c r="S53" i="14"/>
  <c r="O52" i="14"/>
  <c r="S49" i="14"/>
  <c r="O48" i="14"/>
  <c r="S45" i="14"/>
  <c r="O44" i="14"/>
  <c r="S41" i="14"/>
  <c r="O40" i="14"/>
  <c r="S37" i="14"/>
  <c r="S35" i="14" s="1"/>
  <c r="T33" i="14"/>
  <c r="V30" i="14"/>
  <c r="T29" i="14"/>
  <c r="V26" i="14"/>
  <c r="U26" i="14" s="1"/>
  <c r="T25" i="14"/>
  <c r="U25" i="14" s="1"/>
  <c r="T14" i="14"/>
  <c r="T12" i="14" s="1"/>
  <c r="V15" i="14"/>
  <c r="S17" i="14"/>
  <c r="V18" i="14"/>
  <c r="U18" i="14" s="1"/>
  <c r="S20" i="14"/>
  <c r="V21" i="14"/>
  <c r="U21" i="14" s="1"/>
  <c r="S23" i="14"/>
  <c r="U23" i="14" s="1"/>
  <c r="O25" i="14"/>
  <c r="T28" i="14"/>
  <c r="S30" i="14"/>
  <c r="O32" i="14"/>
  <c r="V33" i="14"/>
  <c r="U33" i="14" s="1"/>
  <c r="S38" i="14"/>
  <c r="V41" i="14"/>
  <c r="T45" i="14"/>
  <c r="V51" i="14"/>
  <c r="U51" i="14" s="1"/>
  <c r="T58" i="14"/>
  <c r="U58" i="14" s="1"/>
  <c r="AH66" i="14"/>
  <c r="S69" i="14"/>
  <c r="W69" i="14" s="1"/>
  <c r="AG71" i="14"/>
  <c r="AD71" i="14"/>
  <c r="O72" i="14"/>
  <c r="AD75" i="14"/>
  <c r="U76" i="14"/>
  <c r="S79" i="14"/>
  <c r="W79" i="14" s="1"/>
  <c r="AH81" i="14"/>
  <c r="AL82" i="14"/>
  <c r="AG82" i="14"/>
  <c r="O83" i="14"/>
  <c r="V87" i="14"/>
  <c r="V69" i="14"/>
  <c r="V76" i="14"/>
  <c r="V79" i="14"/>
  <c r="U83" i="14"/>
  <c r="S86" i="14"/>
  <c r="W86" i="14" s="1"/>
  <c r="O151" i="14"/>
  <c r="O141" i="14"/>
  <c r="O142" i="14" s="1"/>
  <c r="O143" i="14" s="1"/>
  <c r="O144" i="14" s="1"/>
  <c r="O145" i="14" s="1"/>
  <c r="AD108" i="12"/>
  <c r="V38" i="14"/>
  <c r="U38" i="14" s="1"/>
  <c r="T40" i="14"/>
  <c r="S42" i="14"/>
  <c r="U42" i="14" s="1"/>
  <c r="S50" i="14"/>
  <c r="U50" i="14" s="1"/>
  <c r="S52" i="14"/>
  <c r="T54" i="14"/>
  <c r="V56" i="14"/>
  <c r="U56" i="14" s="1"/>
  <c r="O59" i="14"/>
  <c r="V68" i="14"/>
  <c r="V64" i="14" s="1"/>
  <c r="U72" i="14"/>
  <c r="S74" i="14"/>
  <c r="W74" i="14" s="1"/>
  <c r="V78" i="14"/>
  <c r="AH82" i="14"/>
  <c r="V83" i="14"/>
  <c r="V86" i="14"/>
  <c r="T112" i="14"/>
  <c r="J147" i="13"/>
  <c r="O15" i="14"/>
  <c r="O12" i="14" s="1"/>
  <c r="S16" i="14"/>
  <c r="V17" i="14"/>
  <c r="U17" i="14" s="1"/>
  <c r="S19" i="14"/>
  <c r="U19" i="14" s="1"/>
  <c r="O21" i="14"/>
  <c r="T22" i="14"/>
  <c r="U22" i="14" s="1"/>
  <c r="O24" i="14"/>
  <c r="S27" i="14"/>
  <c r="U27" i="14" s="1"/>
  <c r="O31" i="14"/>
  <c r="O39" i="14"/>
  <c r="O35" i="14" s="1"/>
  <c r="V40" i="14"/>
  <c r="U40" i="14" s="1"/>
  <c r="T42" i="14"/>
  <c r="S44" i="14"/>
  <c r="U44" i="14" s="1"/>
  <c r="S46" i="14"/>
  <c r="U46" i="14" s="1"/>
  <c r="S48" i="14"/>
  <c r="T50" i="14"/>
  <c r="V52" i="14"/>
  <c r="U52" i="14" s="1"/>
  <c r="V54" i="14"/>
  <c r="U54" i="14" s="1"/>
  <c r="O57" i="14"/>
  <c r="S67" i="14"/>
  <c r="W67" i="14" s="1"/>
  <c r="T74" i="14"/>
  <c r="AH76" i="14"/>
  <c r="AF76" i="14"/>
  <c r="S77" i="14"/>
  <c r="W77" i="14" s="1"/>
  <c r="S81" i="14"/>
  <c r="W81" i="14" s="1"/>
  <c r="V85" i="14"/>
  <c r="M140" i="14"/>
  <c r="AL74" i="14"/>
  <c r="AL81" i="14"/>
  <c r="O112" i="14"/>
  <c r="L173" i="14" s="1"/>
  <c r="AH87" i="13"/>
  <c r="AF87" i="13"/>
  <c r="V113" i="13"/>
  <c r="V112" i="13"/>
  <c r="U89" i="13"/>
  <c r="O88" i="13"/>
  <c r="U87" i="13"/>
  <c r="O86" i="13"/>
  <c r="U85" i="13"/>
  <c r="O84" i="13"/>
  <c r="T83" i="13"/>
  <c r="U80" i="13"/>
  <c r="O79" i="13"/>
  <c r="U78" i="13"/>
  <c r="O77" i="13"/>
  <c r="T76" i="13"/>
  <c r="U73" i="13"/>
  <c r="S71" i="13"/>
  <c r="W71" i="13" s="1"/>
  <c r="V70" i="13"/>
  <c r="O69" i="13"/>
  <c r="U68" i="13"/>
  <c r="O67" i="13"/>
  <c r="U66" i="13"/>
  <c r="V114" i="13"/>
  <c r="U112" i="13"/>
  <c r="O99" i="13"/>
  <c r="T89" i="13"/>
  <c r="T87" i="13"/>
  <c r="T85" i="13"/>
  <c r="S83" i="13"/>
  <c r="V82" i="13"/>
  <c r="O81" i="13"/>
  <c r="T80" i="13"/>
  <c r="T78" i="13"/>
  <c r="S76" i="13"/>
  <c r="W76" i="13" s="1"/>
  <c r="V75" i="13"/>
  <c r="O74" i="13"/>
  <c r="T73" i="13"/>
  <c r="U70" i="13"/>
  <c r="T68" i="13"/>
  <c r="T66" i="13"/>
  <c r="S59" i="13"/>
  <c r="O58" i="13"/>
  <c r="S55" i="13"/>
  <c r="O54" i="13"/>
  <c r="S51" i="13"/>
  <c r="O50" i="13"/>
  <c r="S47" i="13"/>
  <c r="O46" i="13"/>
  <c r="S43" i="13"/>
  <c r="O42" i="13"/>
  <c r="S39" i="13"/>
  <c r="O38" i="13"/>
  <c r="V32" i="13"/>
  <c r="T31" i="13"/>
  <c r="V28" i="13"/>
  <c r="T27" i="13"/>
  <c r="V24" i="13"/>
  <c r="T23" i="13"/>
  <c r="V20" i="13"/>
  <c r="T19" i="13"/>
  <c r="V16" i="13"/>
  <c r="T112" i="13"/>
  <c r="S89" i="13"/>
  <c r="S87" i="13"/>
  <c r="W87" i="13" s="1"/>
  <c r="S85" i="13"/>
  <c r="U82" i="13"/>
  <c r="S80" i="13"/>
  <c r="S78" i="13"/>
  <c r="W78" i="13" s="1"/>
  <c r="U75" i="13"/>
  <c r="S73" i="13"/>
  <c r="W73" i="13" s="1"/>
  <c r="V72" i="13"/>
  <c r="O71" i="13"/>
  <c r="T70" i="13"/>
  <c r="S68" i="13"/>
  <c r="W68" i="13" s="1"/>
  <c r="S66" i="13"/>
  <c r="O109" i="13"/>
  <c r="V88" i="13"/>
  <c r="V86" i="13"/>
  <c r="V84" i="13"/>
  <c r="O83" i="13"/>
  <c r="T82" i="13"/>
  <c r="V79" i="13"/>
  <c r="V77" i="13"/>
  <c r="O76" i="13"/>
  <c r="T75" i="13"/>
  <c r="U72" i="13"/>
  <c r="O100" i="13"/>
  <c r="T88" i="13"/>
  <c r="T86" i="13"/>
  <c r="T84" i="13"/>
  <c r="U81" i="13"/>
  <c r="T79" i="13"/>
  <c r="T77" i="13"/>
  <c r="U74" i="13"/>
  <c r="S72" i="13"/>
  <c r="V71" i="13"/>
  <c r="O70" i="13"/>
  <c r="T69" i="13"/>
  <c r="W69" i="13" s="1"/>
  <c r="T67" i="13"/>
  <c r="O60" i="13"/>
  <c r="S57" i="13"/>
  <c r="O56" i="13"/>
  <c r="S53" i="13"/>
  <c r="O52" i="13"/>
  <c r="S49" i="13"/>
  <c r="O48" i="13"/>
  <c r="S45" i="13"/>
  <c r="O44" i="13"/>
  <c r="S41" i="13"/>
  <c r="O40" i="13"/>
  <c r="S37" i="13"/>
  <c r="T33" i="13"/>
  <c r="V30" i="13"/>
  <c r="T29" i="13"/>
  <c r="V26" i="13"/>
  <c r="T14" i="13"/>
  <c r="V15" i="13"/>
  <c r="S17" i="13"/>
  <c r="V18" i="13"/>
  <c r="S20" i="13"/>
  <c r="V21" i="13"/>
  <c r="S23" i="13"/>
  <c r="O25" i="13"/>
  <c r="T26" i="13"/>
  <c r="S28" i="13"/>
  <c r="O30" i="13"/>
  <c r="V31" i="13"/>
  <c r="U31" i="13" s="1"/>
  <c r="V39" i="13"/>
  <c r="U39" i="13" s="1"/>
  <c r="T43" i="13"/>
  <c r="O47" i="13"/>
  <c r="V48" i="13"/>
  <c r="U48" i="13" s="1"/>
  <c r="T50" i="13"/>
  <c r="S52" i="13"/>
  <c r="V55" i="13"/>
  <c r="U55" i="13" s="1"/>
  <c r="T59" i="13"/>
  <c r="U67" i="13"/>
  <c r="V68" i="13"/>
  <c r="V69" i="13"/>
  <c r="O72" i="13"/>
  <c r="AG75" i="13"/>
  <c r="AG76" i="13"/>
  <c r="AD76" i="13"/>
  <c r="S77" i="13"/>
  <c r="W77" i="13" s="1"/>
  <c r="O80" i="13"/>
  <c r="AH81" i="13"/>
  <c r="U83" i="13"/>
  <c r="V85" i="13"/>
  <c r="S88" i="13"/>
  <c r="W88" i="13" s="1"/>
  <c r="O16" i="13"/>
  <c r="T17" i="13"/>
  <c r="O19" i="13"/>
  <c r="T20" i="13"/>
  <c r="O22" i="13"/>
  <c r="T28" i="13"/>
  <c r="S30" i="13"/>
  <c r="O32" i="13"/>
  <c r="V33" i="13"/>
  <c r="S38" i="13"/>
  <c r="V41" i="13"/>
  <c r="U41" i="13" s="1"/>
  <c r="T45" i="13"/>
  <c r="O49" i="13"/>
  <c r="V50" i="13"/>
  <c r="T52" i="13"/>
  <c r="S54" i="13"/>
  <c r="V57" i="13"/>
  <c r="U57" i="13" s="1"/>
  <c r="V66" i="13"/>
  <c r="V67" i="13"/>
  <c r="S74" i="13"/>
  <c r="W74" i="13" s="1"/>
  <c r="U77" i="13"/>
  <c r="AH78" i="13"/>
  <c r="AF78" i="13"/>
  <c r="V80" i="13"/>
  <c r="AD82" i="13"/>
  <c r="V83" i="13"/>
  <c r="U88" i="13"/>
  <c r="AH89" i="13"/>
  <c r="AF89" i="13"/>
  <c r="O139" i="12"/>
  <c r="V14" i="13"/>
  <c r="S22" i="13"/>
  <c r="V23" i="13"/>
  <c r="S25" i="13"/>
  <c r="O27" i="13"/>
  <c r="T30" i="13"/>
  <c r="S32" i="13"/>
  <c r="T38" i="13"/>
  <c r="S40" i="13"/>
  <c r="V43" i="13"/>
  <c r="U43" i="13" s="1"/>
  <c r="T47" i="13"/>
  <c r="O51" i="13"/>
  <c r="V52" i="13"/>
  <c r="U52" i="13" s="1"/>
  <c r="T54" i="13"/>
  <c r="S56" i="13"/>
  <c r="V59" i="13"/>
  <c r="U59" i="13" s="1"/>
  <c r="T72" i="13"/>
  <c r="AH73" i="13"/>
  <c r="AF73" i="13"/>
  <c r="T74" i="13"/>
  <c r="AG82" i="13"/>
  <c r="AG83" i="13"/>
  <c r="AD83" i="13"/>
  <c r="S84" i="13"/>
  <c r="O87" i="13"/>
  <c r="AL70" i="13"/>
  <c r="AG70" i="13"/>
  <c r="AD70" i="13"/>
  <c r="W67" i="13"/>
  <c r="W82" i="13"/>
  <c r="Z108" i="12"/>
  <c r="AE108" i="12" s="1"/>
  <c r="J147" i="12"/>
  <c r="O15" i="13"/>
  <c r="S16" i="13"/>
  <c r="V17" i="13"/>
  <c r="U17" i="13" s="1"/>
  <c r="S19" i="13"/>
  <c r="O21" i="13"/>
  <c r="T22" i="13"/>
  <c r="O24" i="13"/>
  <c r="T25" i="13"/>
  <c r="O29" i="13"/>
  <c r="T32" i="13"/>
  <c r="O37" i="13"/>
  <c r="V38" i="13"/>
  <c r="T40" i="13"/>
  <c r="S42" i="13"/>
  <c r="V45" i="13"/>
  <c r="U45" i="13" s="1"/>
  <c r="T49" i="13"/>
  <c r="O53" i="13"/>
  <c r="V54" i="13"/>
  <c r="T56" i="13"/>
  <c r="S58" i="13"/>
  <c r="V74" i="13"/>
  <c r="S79" i="13"/>
  <c r="S81" i="13"/>
  <c r="AL83" i="13"/>
  <c r="U84" i="13"/>
  <c r="AH85" i="13"/>
  <c r="AF85" i="13"/>
  <c r="V87" i="13"/>
  <c r="AD75" i="13"/>
  <c r="T16" i="13"/>
  <c r="O18" i="13"/>
  <c r="S27" i="13"/>
  <c r="U27" i="13" s="1"/>
  <c r="O31" i="13"/>
  <c r="O39" i="13"/>
  <c r="V40" i="13"/>
  <c r="T42" i="13"/>
  <c r="S44" i="13"/>
  <c r="V47" i="13"/>
  <c r="T51" i="13"/>
  <c r="O55" i="13"/>
  <c r="V56" i="13"/>
  <c r="T58" i="13"/>
  <c r="S60" i="13"/>
  <c r="S70" i="13"/>
  <c r="W70" i="13" s="1"/>
  <c r="O75" i="13"/>
  <c r="U79" i="13"/>
  <c r="AH80" i="13"/>
  <c r="AF80" i="13"/>
  <c r="T81" i="13"/>
  <c r="O14" i="13"/>
  <c r="S15" i="13"/>
  <c r="S12" i="13" s="1"/>
  <c r="S18" i="13"/>
  <c r="V19" i="13"/>
  <c r="S21" i="13"/>
  <c r="V22" i="13"/>
  <c r="U22" i="13" s="1"/>
  <c r="S24" i="13"/>
  <c r="V25" i="13"/>
  <c r="U25" i="13" s="1"/>
  <c r="S29" i="13"/>
  <c r="O33" i="13"/>
  <c r="T37" i="13"/>
  <c r="T35" i="13" s="1"/>
  <c r="N35" i="13" s="1"/>
  <c r="O41" i="13"/>
  <c r="V42" i="13"/>
  <c r="U42" i="13" s="1"/>
  <c r="T44" i="13"/>
  <c r="S46" i="13"/>
  <c r="U46" i="13" s="1"/>
  <c r="V49" i="13"/>
  <c r="U49" i="13" s="1"/>
  <c r="T53" i="13"/>
  <c r="O57" i="13"/>
  <c r="V58" i="13"/>
  <c r="U58" i="13" s="1"/>
  <c r="T60" i="13"/>
  <c r="AF66" i="13"/>
  <c r="AH66" i="13" s="1"/>
  <c r="S75" i="13"/>
  <c r="W75" i="13" s="1"/>
  <c r="O78" i="13"/>
  <c r="V81" i="13"/>
  <c r="S86" i="13"/>
  <c r="W86" i="13" s="1"/>
  <c r="O89" i="13"/>
  <c r="O112" i="13"/>
  <c r="L173" i="13" s="1"/>
  <c r="M140" i="13"/>
  <c r="AL74" i="13"/>
  <c r="AL81" i="13"/>
  <c r="O140" i="13"/>
  <c r="AD71" i="13"/>
  <c r="AL82" i="12"/>
  <c r="AG82" i="12"/>
  <c r="AD82" i="12"/>
  <c r="U26" i="12"/>
  <c r="S30" i="12"/>
  <c r="V33" i="12"/>
  <c r="S38" i="12"/>
  <c r="V41" i="12"/>
  <c r="T45" i="12"/>
  <c r="O49" i="12"/>
  <c r="V50" i="12"/>
  <c r="T52" i="12"/>
  <c r="S54" i="12"/>
  <c r="S58" i="12"/>
  <c r="S60" i="12"/>
  <c r="O70" i="12"/>
  <c r="V73" i="12"/>
  <c r="U76" i="12"/>
  <c r="O83" i="12"/>
  <c r="V52" i="12"/>
  <c r="U52" i="12" s="1"/>
  <c r="S56" i="12"/>
  <c r="V60" i="12"/>
  <c r="S70" i="12"/>
  <c r="AL73" i="12"/>
  <c r="AG73" i="12"/>
  <c r="AD73" i="12"/>
  <c r="S74" i="12"/>
  <c r="V78" i="12"/>
  <c r="V80" i="12"/>
  <c r="U83" i="12"/>
  <c r="AH72" i="12"/>
  <c r="AF72" i="12"/>
  <c r="O17" i="12"/>
  <c r="V21" i="12"/>
  <c r="T25" i="12"/>
  <c r="O29" i="12"/>
  <c r="V30" i="12"/>
  <c r="U30" i="12" s="1"/>
  <c r="T32" i="12"/>
  <c r="O37" i="12"/>
  <c r="V38" i="12"/>
  <c r="T40" i="12"/>
  <c r="S42" i="12"/>
  <c r="V45" i="12"/>
  <c r="U45" i="12" s="1"/>
  <c r="T49" i="12"/>
  <c r="O53" i="12"/>
  <c r="V54" i="12"/>
  <c r="V56" i="12"/>
  <c r="V58" i="12"/>
  <c r="V66" i="12"/>
  <c r="V68" i="12"/>
  <c r="T71" i="12"/>
  <c r="U74" i="12"/>
  <c r="T77" i="12"/>
  <c r="AL78" i="12"/>
  <c r="AN78" i="12" s="1"/>
  <c r="AG78" i="12"/>
  <c r="AD78" i="12"/>
  <c r="T79" i="12"/>
  <c r="AL80" i="12"/>
  <c r="AG80" i="12"/>
  <c r="AD80" i="12"/>
  <c r="S81" i="12"/>
  <c r="V85" i="12"/>
  <c r="V87" i="12"/>
  <c r="V89" i="12"/>
  <c r="T15" i="12"/>
  <c r="T18" i="12"/>
  <c r="S14" i="12"/>
  <c r="S12" i="12" s="1"/>
  <c r="S20" i="12"/>
  <c r="O22" i="12"/>
  <c r="V23" i="12"/>
  <c r="S27" i="12"/>
  <c r="O31" i="12"/>
  <c r="S37" i="12"/>
  <c r="O39" i="12"/>
  <c r="V40" i="12"/>
  <c r="U40" i="12" s="1"/>
  <c r="S44" i="12"/>
  <c r="O48" i="12"/>
  <c r="T51" i="12"/>
  <c r="S53" i="12"/>
  <c r="O55" i="12"/>
  <c r="O57" i="12"/>
  <c r="O59" i="12"/>
  <c r="AL66" i="12"/>
  <c r="AN66" i="12" s="1"/>
  <c r="AG66" i="12"/>
  <c r="AD66" i="12"/>
  <c r="T67" i="12"/>
  <c r="AL68" i="12"/>
  <c r="AN68" i="12" s="1"/>
  <c r="AG68" i="12"/>
  <c r="AD68" i="12"/>
  <c r="T69" i="12"/>
  <c r="V71" i="12"/>
  <c r="O72" i="12"/>
  <c r="AH76" i="12"/>
  <c r="AF76" i="12"/>
  <c r="V77" i="12"/>
  <c r="V79" i="12"/>
  <c r="U81" i="12"/>
  <c r="T84" i="12"/>
  <c r="AL85" i="12"/>
  <c r="AN85" i="12" s="1"/>
  <c r="AG85" i="12"/>
  <c r="AD85" i="12"/>
  <c r="T86" i="12"/>
  <c r="AL87" i="12"/>
  <c r="AN87" i="12" s="1"/>
  <c r="AG87" i="12"/>
  <c r="AD87" i="12"/>
  <c r="T88" i="12"/>
  <c r="AL89" i="12"/>
  <c r="AN89" i="12" s="1"/>
  <c r="AG89" i="12"/>
  <c r="AD89" i="12"/>
  <c r="V113" i="12"/>
  <c r="V112" i="12"/>
  <c r="U89" i="12"/>
  <c r="O88" i="12"/>
  <c r="U87" i="12"/>
  <c r="O86" i="12"/>
  <c r="U85" i="12"/>
  <c r="O84" i="12"/>
  <c r="T83" i="12"/>
  <c r="U80" i="12"/>
  <c r="O79" i="12"/>
  <c r="U78" i="12"/>
  <c r="O77" i="12"/>
  <c r="T76" i="12"/>
  <c r="U73" i="12"/>
  <c r="S71" i="12"/>
  <c r="W71" i="12" s="1"/>
  <c r="V70" i="12"/>
  <c r="O69" i="12"/>
  <c r="U68" i="12"/>
  <c r="O67" i="12"/>
  <c r="U66" i="12"/>
  <c r="V114" i="12"/>
  <c r="U112" i="12"/>
  <c r="O99" i="12"/>
  <c r="L169" i="12" s="1"/>
  <c r="T89" i="12"/>
  <c r="T87" i="12"/>
  <c r="T85" i="12"/>
  <c r="S83" i="12"/>
  <c r="V82" i="12"/>
  <c r="O81" i="12"/>
  <c r="T80" i="12"/>
  <c r="T78" i="12"/>
  <c r="S76" i="12"/>
  <c r="W76" i="12" s="1"/>
  <c r="V75" i="12"/>
  <c r="O74" i="12"/>
  <c r="T73" i="12"/>
  <c r="U70" i="12"/>
  <c r="T68" i="12"/>
  <c r="T66" i="12"/>
  <c r="S59" i="12"/>
  <c r="O58" i="12"/>
  <c r="S55" i="12"/>
  <c r="O54" i="12"/>
  <c r="S51" i="12"/>
  <c r="O50" i="12"/>
  <c r="S47" i="12"/>
  <c r="O46" i="12"/>
  <c r="S43" i="12"/>
  <c r="O42" i="12"/>
  <c r="S39" i="12"/>
  <c r="O38" i="12"/>
  <c r="V32" i="12"/>
  <c r="U32" i="12" s="1"/>
  <c r="T31" i="12"/>
  <c r="V28" i="12"/>
  <c r="U28" i="12" s="1"/>
  <c r="T27" i="12"/>
  <c r="V24" i="12"/>
  <c r="T23" i="12"/>
  <c r="V20" i="12"/>
  <c r="T19" i="12"/>
  <c r="U19" i="12" s="1"/>
  <c r="V16" i="12"/>
  <c r="U16" i="12" s="1"/>
  <c r="S89" i="12"/>
  <c r="S87" i="12"/>
  <c r="S85" i="12"/>
  <c r="U82" i="12"/>
  <c r="S80" i="12"/>
  <c r="W80" i="12" s="1"/>
  <c r="S78" i="12"/>
  <c r="U75" i="12"/>
  <c r="S73" i="12"/>
  <c r="W73" i="12" s="1"/>
  <c r="V72" i="12"/>
  <c r="O71" i="12"/>
  <c r="T70" i="12"/>
  <c r="S68" i="12"/>
  <c r="W68" i="12" s="1"/>
  <c r="S66" i="12"/>
  <c r="T60" i="12"/>
  <c r="V57" i="12"/>
  <c r="T56" i="12"/>
  <c r="O109" i="12"/>
  <c r="O89" i="12"/>
  <c r="U88" i="12"/>
  <c r="O87" i="12"/>
  <c r="U86" i="12"/>
  <c r="O85" i="12"/>
  <c r="U84" i="12"/>
  <c r="S82" i="12"/>
  <c r="V81" i="12"/>
  <c r="O80" i="12"/>
  <c r="U79" i="12"/>
  <c r="O78" i="12"/>
  <c r="U77" i="12"/>
  <c r="S75" i="12"/>
  <c r="V74" i="12"/>
  <c r="O73" i="12"/>
  <c r="T72" i="12"/>
  <c r="U69" i="12"/>
  <c r="O68" i="12"/>
  <c r="U67" i="12"/>
  <c r="O66" i="12"/>
  <c r="S88" i="12"/>
  <c r="S86" i="12"/>
  <c r="W86" i="12" s="1"/>
  <c r="S84" i="12"/>
  <c r="V83" i="12"/>
  <c r="O82" i="12"/>
  <c r="T81" i="12"/>
  <c r="S79" i="12"/>
  <c r="W79" i="12" s="1"/>
  <c r="S77" i="12"/>
  <c r="W77" i="12" s="1"/>
  <c r="V76" i="12"/>
  <c r="O75" i="12"/>
  <c r="T74" i="12"/>
  <c r="U71" i="12"/>
  <c r="S69" i="12"/>
  <c r="S67" i="12"/>
  <c r="W67" i="12" s="1"/>
  <c r="V59" i="12"/>
  <c r="T58" i="12"/>
  <c r="V55" i="12"/>
  <c r="T54" i="12"/>
  <c r="V51" i="12"/>
  <c r="U51" i="12" s="1"/>
  <c r="T50" i="12"/>
  <c r="V47" i="12"/>
  <c r="U47" i="12" s="1"/>
  <c r="T46" i="12"/>
  <c r="V43" i="12"/>
  <c r="U43" i="12" s="1"/>
  <c r="T42" i="12"/>
  <c r="V39" i="12"/>
  <c r="T38" i="12"/>
  <c r="S33" i="12"/>
  <c r="O32" i="12"/>
  <c r="S29" i="12"/>
  <c r="O28" i="12"/>
  <c r="S25" i="12"/>
  <c r="O24" i="12"/>
  <c r="S21" i="12"/>
  <c r="O20" i="12"/>
  <c r="T14" i="12"/>
  <c r="T12" i="12" s="1"/>
  <c r="V15" i="12"/>
  <c r="S17" i="12"/>
  <c r="V18" i="12"/>
  <c r="T20" i="12"/>
  <c r="S22" i="12"/>
  <c r="V25" i="12"/>
  <c r="T29" i="12"/>
  <c r="O33" i="12"/>
  <c r="T37" i="12"/>
  <c r="O41" i="12"/>
  <c r="V42" i="12"/>
  <c r="T44" i="12"/>
  <c r="S46" i="12"/>
  <c r="U46" i="12" s="1"/>
  <c r="V49" i="12"/>
  <c r="U49" i="12" s="1"/>
  <c r="T53" i="12"/>
  <c r="S57" i="12"/>
  <c r="T59" i="12"/>
  <c r="V67" i="12"/>
  <c r="V69" i="12"/>
  <c r="AH70" i="12"/>
  <c r="AF70" i="12"/>
  <c r="AG71" i="12"/>
  <c r="AD71" i="12"/>
  <c r="AL71" i="12"/>
  <c r="S72" i="12"/>
  <c r="W72" i="12" s="1"/>
  <c r="AF74" i="12"/>
  <c r="AH74" i="12"/>
  <c r="AH83" i="12"/>
  <c r="AF83" i="12"/>
  <c r="V84" i="12"/>
  <c r="V86" i="12"/>
  <c r="V88" i="12"/>
  <c r="T112" i="12"/>
  <c r="O16" i="12"/>
  <c r="O12" i="12" s="1"/>
  <c r="T17" i="12"/>
  <c r="O19" i="12"/>
  <c r="T22" i="12"/>
  <c r="S24" i="12"/>
  <c r="O26" i="12"/>
  <c r="V27" i="12"/>
  <c r="S31" i="12"/>
  <c r="U31" i="12" s="1"/>
  <c r="T39" i="12"/>
  <c r="S41" i="12"/>
  <c r="O43" i="12"/>
  <c r="V44" i="12"/>
  <c r="U44" i="12" s="1"/>
  <c r="S48" i="12"/>
  <c r="U48" i="12" s="1"/>
  <c r="O52" i="12"/>
  <c r="T55" i="12"/>
  <c r="T57" i="12"/>
  <c r="U72" i="12"/>
  <c r="T75" i="12"/>
  <c r="AF81" i="12"/>
  <c r="AH81" i="12"/>
  <c r="O151" i="12"/>
  <c r="S50" i="12"/>
  <c r="V53" i="12"/>
  <c r="O60" i="12"/>
  <c r="AL75" i="12"/>
  <c r="AG75" i="12"/>
  <c r="AD75" i="12"/>
  <c r="T82" i="12"/>
  <c r="O112" i="12"/>
  <c r="L173" i="12" s="1"/>
  <c r="M140" i="12"/>
  <c r="J119" i="3"/>
  <c r="J118" i="3"/>
  <c r="J117" i="3"/>
  <c r="J110" i="3"/>
  <c r="L166" i="14" l="1"/>
  <c r="M64" i="14"/>
  <c r="T64" i="14"/>
  <c r="M151" i="14"/>
  <c r="M141" i="14"/>
  <c r="M142" i="14" s="1"/>
  <c r="M143" i="14" s="1"/>
  <c r="M144" i="14" s="1"/>
  <c r="M145" i="14" s="1"/>
  <c r="O64" i="12"/>
  <c r="W81" i="13"/>
  <c r="U50" i="13"/>
  <c r="O101" i="14"/>
  <c r="O62" i="14"/>
  <c r="L160" i="14" s="1"/>
  <c r="V12" i="14"/>
  <c r="U15" i="14"/>
  <c r="O64" i="14"/>
  <c r="U28" i="14"/>
  <c r="AH70" i="14"/>
  <c r="AF70" i="14"/>
  <c r="V35" i="14"/>
  <c r="U37" i="14"/>
  <c r="W79" i="13"/>
  <c r="W85" i="13"/>
  <c r="N12" i="14"/>
  <c r="U53" i="14"/>
  <c r="U19" i="13"/>
  <c r="U44" i="13"/>
  <c r="U16" i="14"/>
  <c r="U14" i="14"/>
  <c r="S12" i="14"/>
  <c r="U29" i="14"/>
  <c r="U17" i="12"/>
  <c r="U38" i="13"/>
  <c r="AF75" i="14"/>
  <c r="AH75" i="14"/>
  <c r="U57" i="14"/>
  <c r="U64" i="14"/>
  <c r="W88" i="14"/>
  <c r="T35" i="12"/>
  <c r="N35" i="12" s="1"/>
  <c r="U60" i="13"/>
  <c r="U40" i="13"/>
  <c r="O35" i="13"/>
  <c r="U41" i="14"/>
  <c r="S112" i="14"/>
  <c r="L172" i="14"/>
  <c r="W78" i="14"/>
  <c r="U20" i="14"/>
  <c r="O12" i="13"/>
  <c r="U54" i="13"/>
  <c r="U51" i="13"/>
  <c r="O64" i="13"/>
  <c r="AF71" i="14"/>
  <c r="AH71" i="14"/>
  <c r="U30" i="14"/>
  <c r="U45" i="14"/>
  <c r="S64" i="14"/>
  <c r="W66" i="14"/>
  <c r="W64" i="14" s="1"/>
  <c r="N64" i="14" s="1"/>
  <c r="W80" i="14"/>
  <c r="W76" i="14"/>
  <c r="U39" i="14"/>
  <c r="AH75" i="13"/>
  <c r="AF75" i="13"/>
  <c r="W84" i="12"/>
  <c r="U37" i="12"/>
  <c r="U21" i="13"/>
  <c r="U30" i="13"/>
  <c r="U24" i="13"/>
  <c r="L169" i="13"/>
  <c r="U41" i="12"/>
  <c r="U29" i="13"/>
  <c r="O62" i="13"/>
  <c r="L160" i="13" s="1"/>
  <c r="T64" i="13"/>
  <c r="W88" i="12"/>
  <c r="U56" i="12"/>
  <c r="O35" i="12"/>
  <c r="O101" i="12" s="1"/>
  <c r="AF71" i="13"/>
  <c r="AH71" i="13"/>
  <c r="AH70" i="13"/>
  <c r="AF70" i="13"/>
  <c r="U18" i="13"/>
  <c r="S35" i="13"/>
  <c r="U37" i="13"/>
  <c r="U35" i="13" s="1"/>
  <c r="M35" i="13" s="1"/>
  <c r="U53" i="13"/>
  <c r="W72" i="13"/>
  <c r="W89" i="13"/>
  <c r="U28" i="13"/>
  <c r="AH83" i="13"/>
  <c r="AF83" i="13"/>
  <c r="U22" i="12"/>
  <c r="O151" i="13"/>
  <c r="O141" i="13"/>
  <c r="O142" i="13" s="1"/>
  <c r="O143" i="13" s="1"/>
  <c r="O144" i="13" s="1"/>
  <c r="O145" i="13" s="1"/>
  <c r="U56" i="13"/>
  <c r="U23" i="13"/>
  <c r="V64" i="13"/>
  <c r="AH76" i="13"/>
  <c r="AF76" i="13"/>
  <c r="U64" i="13"/>
  <c r="V35" i="13"/>
  <c r="AH82" i="13"/>
  <c r="AF82" i="13"/>
  <c r="U33" i="13"/>
  <c r="U15" i="13"/>
  <c r="U16" i="13"/>
  <c r="U32" i="13"/>
  <c r="W83" i="13"/>
  <c r="U18" i="12"/>
  <c r="W85" i="12"/>
  <c r="V12" i="13"/>
  <c r="U14" i="13"/>
  <c r="T12" i="13"/>
  <c r="S112" i="13"/>
  <c r="L172" i="13"/>
  <c r="U29" i="12"/>
  <c r="W69" i="12"/>
  <c r="W87" i="12"/>
  <c r="M151" i="13"/>
  <c r="M141" i="13"/>
  <c r="M142" i="13" s="1"/>
  <c r="M143" i="13" s="1"/>
  <c r="M144" i="13" s="1"/>
  <c r="M145" i="13" s="1"/>
  <c r="U47" i="13"/>
  <c r="W84" i="13"/>
  <c r="U26" i="13"/>
  <c r="S64" i="13"/>
  <c r="W66" i="13"/>
  <c r="W64" i="13" s="1"/>
  <c r="N64" i="13" s="1"/>
  <c r="W80" i="13"/>
  <c r="U20" i="13"/>
  <c r="O62" i="12"/>
  <c r="L160" i="12" s="1"/>
  <c r="U59" i="12"/>
  <c r="U24" i="12"/>
  <c r="U23" i="12"/>
  <c r="U54" i="12"/>
  <c r="W70" i="12"/>
  <c r="U42" i="12"/>
  <c r="T64" i="12"/>
  <c r="AH89" i="12"/>
  <c r="AF89" i="12"/>
  <c r="AH85" i="12"/>
  <c r="AF85" i="12"/>
  <c r="AH66" i="12"/>
  <c r="AF66" i="12"/>
  <c r="W81" i="12"/>
  <c r="U60" i="12"/>
  <c r="U33" i="12"/>
  <c r="U14" i="12"/>
  <c r="U12" i="12" s="1"/>
  <c r="M12" i="12" s="1"/>
  <c r="AH80" i="12"/>
  <c r="AF80" i="12"/>
  <c r="AF75" i="12"/>
  <c r="AH75" i="12"/>
  <c r="U15" i="12"/>
  <c r="V12" i="12"/>
  <c r="S112" i="12"/>
  <c r="L172" i="12"/>
  <c r="W89" i="12"/>
  <c r="U64" i="12"/>
  <c r="S64" i="12"/>
  <c r="W66" i="12"/>
  <c r="W64" i="12" s="1"/>
  <c r="N64" i="12" s="1"/>
  <c r="U53" i="12"/>
  <c r="U27" i="12"/>
  <c r="N12" i="12"/>
  <c r="W82" i="12"/>
  <c r="W83" i="12"/>
  <c r="U21" i="12"/>
  <c r="W74" i="12"/>
  <c r="U50" i="12"/>
  <c r="AH82" i="12"/>
  <c r="AF82" i="12"/>
  <c r="M151" i="12"/>
  <c r="M141" i="12"/>
  <c r="M142" i="12" s="1"/>
  <c r="M143" i="12" s="1"/>
  <c r="M144" i="12" s="1"/>
  <c r="M145" i="12" s="1"/>
  <c r="AF71" i="12"/>
  <c r="AH71" i="12"/>
  <c r="U57" i="12"/>
  <c r="AH87" i="12"/>
  <c r="AF87" i="12"/>
  <c r="AH68" i="12"/>
  <c r="AF68" i="12"/>
  <c r="S35" i="12"/>
  <c r="V64" i="12"/>
  <c r="AH73" i="12"/>
  <c r="AF73" i="12"/>
  <c r="U25" i="12"/>
  <c r="U39" i="12"/>
  <c r="U55" i="12"/>
  <c r="W75" i="12"/>
  <c r="W78" i="12"/>
  <c r="U20" i="12"/>
  <c r="AH78" i="12"/>
  <c r="AF78" i="12"/>
  <c r="U58" i="12"/>
  <c r="U38" i="12"/>
  <c r="U35" i="12" s="1"/>
  <c r="M35" i="12" s="1"/>
  <c r="V35" i="12"/>
  <c r="E117" i="3"/>
  <c r="O92" i="14" l="1"/>
  <c r="L167" i="14" s="1"/>
  <c r="U12" i="13"/>
  <c r="M12" i="13" s="1"/>
  <c r="L165" i="14"/>
  <c r="L64" i="14"/>
  <c r="U12" i="14"/>
  <c r="M12" i="14" s="1"/>
  <c r="U35" i="14"/>
  <c r="L163" i="14"/>
  <c r="O91" i="14"/>
  <c r="L164" i="14" s="1"/>
  <c r="J64" i="14"/>
  <c r="O97" i="14"/>
  <c r="H64" i="14"/>
  <c r="L162" i="14"/>
  <c r="L161" i="14" s="1"/>
  <c r="O92" i="13"/>
  <c r="L167" i="13" s="1"/>
  <c r="N12" i="13"/>
  <c r="L166" i="13"/>
  <c r="M64" i="13"/>
  <c r="L158" i="13"/>
  <c r="O101" i="13"/>
  <c r="L163" i="13"/>
  <c r="J64" i="13"/>
  <c r="O91" i="13"/>
  <c r="O97" i="13"/>
  <c r="L162" i="13"/>
  <c r="O98" i="13"/>
  <c r="H64" i="13"/>
  <c r="L165" i="13"/>
  <c r="L64" i="13"/>
  <c r="L159" i="13"/>
  <c r="O92" i="12"/>
  <c r="L167" i="12" s="1"/>
  <c r="L165" i="12"/>
  <c r="L64" i="12"/>
  <c r="L163" i="12"/>
  <c r="O91" i="12"/>
  <c r="J64" i="12"/>
  <c r="O97" i="12"/>
  <c r="L162" i="12"/>
  <c r="H64" i="12"/>
  <c r="L166" i="12"/>
  <c r="M64" i="12"/>
  <c r="L159" i="12"/>
  <c r="L158" i="12"/>
  <c r="L157" i="12" s="1"/>
  <c r="B114" i="3"/>
  <c r="B113" i="3"/>
  <c r="M35" i="14" l="1"/>
  <c r="L159" i="14"/>
  <c r="L158" i="14"/>
  <c r="L157" i="14" s="1"/>
  <c r="O98" i="14"/>
  <c r="L168" i="14" s="1"/>
  <c r="O94" i="14"/>
  <c r="L157" i="13"/>
  <c r="L168" i="13"/>
  <c r="L164" i="13"/>
  <c r="L161" i="13" s="1"/>
  <c r="O102" i="13"/>
  <c r="O94" i="13"/>
  <c r="L164" i="12"/>
  <c r="L161" i="12" s="1"/>
  <c r="O94" i="12"/>
  <c r="O98" i="12"/>
  <c r="L168" i="12" s="1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O102" i="14" l="1"/>
  <c r="O96" i="14"/>
  <c r="O104" i="14" s="1"/>
  <c r="O103" i="14"/>
  <c r="O103" i="13"/>
  <c r="L170" i="13" s="1"/>
  <c r="L171" i="13" s="1"/>
  <c r="O103" i="12"/>
  <c r="O102" i="12"/>
  <c r="L170" i="12" s="1"/>
  <c r="L171" i="12" s="1"/>
  <c r="B112" i="3"/>
  <c r="P101" i="14" l="1"/>
  <c r="P99" i="14"/>
  <c r="P81" i="14"/>
  <c r="P74" i="14"/>
  <c r="P58" i="14"/>
  <c r="J140" i="14"/>
  <c r="P108" i="14"/>
  <c r="P103" i="14"/>
  <c r="P92" i="14"/>
  <c r="P71" i="14"/>
  <c r="P30" i="14"/>
  <c r="P26" i="14"/>
  <c r="P22" i="14"/>
  <c r="P18" i="14"/>
  <c r="P109" i="14"/>
  <c r="P96" i="14"/>
  <c r="P83" i="14"/>
  <c r="P76" i="14"/>
  <c r="P64" i="14"/>
  <c r="P59" i="14"/>
  <c r="P55" i="14"/>
  <c r="P51" i="14"/>
  <c r="P47" i="14"/>
  <c r="O110" i="14"/>
  <c r="P113" i="14"/>
  <c r="P112" i="14"/>
  <c r="P102" i="14"/>
  <c r="P100" i="14"/>
  <c r="P98" i="14"/>
  <c r="P70" i="14"/>
  <c r="P114" i="14"/>
  <c r="P82" i="14"/>
  <c r="P75" i="14"/>
  <c r="P32" i="14"/>
  <c r="P28" i="14"/>
  <c r="P84" i="14"/>
  <c r="P62" i="14"/>
  <c r="P37" i="14"/>
  <c r="P29" i="14"/>
  <c r="P94" i="14"/>
  <c r="P85" i="14"/>
  <c r="P77" i="14"/>
  <c r="P67" i="14"/>
  <c r="P48" i="14"/>
  <c r="P46" i="14"/>
  <c r="P44" i="14"/>
  <c r="P27" i="14"/>
  <c r="P19" i="14"/>
  <c r="P16" i="14"/>
  <c r="P78" i="14"/>
  <c r="P72" i="14"/>
  <c r="P68" i="14"/>
  <c r="P52" i="14"/>
  <c r="P50" i="14"/>
  <c r="P42" i="14"/>
  <c r="P25" i="14"/>
  <c r="P86" i="14"/>
  <c r="P56" i="14"/>
  <c r="P54" i="14"/>
  <c r="P40" i="14"/>
  <c r="P87" i="14"/>
  <c r="P79" i="14"/>
  <c r="P69" i="14"/>
  <c r="P45" i="14"/>
  <c r="P38" i="14"/>
  <c r="P23" i="14"/>
  <c r="P20" i="14"/>
  <c r="P17" i="14"/>
  <c r="P97" i="14"/>
  <c r="P80" i="14"/>
  <c r="P49" i="14"/>
  <c r="P43" i="14"/>
  <c r="P35" i="14"/>
  <c r="P14" i="14"/>
  <c r="P12" i="14"/>
  <c r="J139" i="14"/>
  <c r="P88" i="14"/>
  <c r="P73" i="14"/>
  <c r="P60" i="14"/>
  <c r="P53" i="14"/>
  <c r="P41" i="14"/>
  <c r="P33" i="14"/>
  <c r="P91" i="14"/>
  <c r="P89" i="14"/>
  <c r="P66" i="14"/>
  <c r="P57" i="14"/>
  <c r="P39" i="14"/>
  <c r="P31" i="14"/>
  <c r="P24" i="14"/>
  <c r="P21" i="14"/>
  <c r="P15" i="14"/>
  <c r="O117" i="14"/>
  <c r="L170" i="14"/>
  <c r="L171" i="14" s="1"/>
  <c r="L174" i="13"/>
  <c r="Y168" i="13"/>
  <c r="M163" i="13"/>
  <c r="M170" i="13"/>
  <c r="M168" i="13"/>
  <c r="M160" i="13"/>
  <c r="M165" i="13"/>
  <c r="M157" i="13"/>
  <c r="M162" i="13"/>
  <c r="Y169" i="13"/>
  <c r="M167" i="13"/>
  <c r="M159" i="13"/>
  <c r="M169" i="13"/>
  <c r="M164" i="13"/>
  <c r="M171" i="13"/>
  <c r="M161" i="13"/>
  <c r="M166" i="13"/>
  <c r="M158" i="13"/>
  <c r="O96" i="13"/>
  <c r="O104" i="13" s="1"/>
  <c r="L174" i="12"/>
  <c r="Y168" i="12"/>
  <c r="M163" i="12"/>
  <c r="M170" i="12"/>
  <c r="M168" i="12"/>
  <c r="M160" i="12"/>
  <c r="M165" i="12"/>
  <c r="M157" i="12"/>
  <c r="M162" i="12"/>
  <c r="Y169" i="12"/>
  <c r="M167" i="12"/>
  <c r="M159" i="12"/>
  <c r="M169" i="12"/>
  <c r="M164" i="12"/>
  <c r="M171" i="12"/>
  <c r="M161" i="12"/>
  <c r="M166" i="12"/>
  <c r="M158" i="12"/>
  <c r="O96" i="12"/>
  <c r="O104" i="12" s="1"/>
  <c r="AC70" i="3"/>
  <c r="AD70" i="3" s="1"/>
  <c r="AC71" i="3"/>
  <c r="AG71" i="3" s="1"/>
  <c r="AC72" i="3"/>
  <c r="AD72" i="3" s="1"/>
  <c r="AC73" i="3"/>
  <c r="AD73" i="3" s="1"/>
  <c r="AF73" i="3" s="1"/>
  <c r="AC74" i="3"/>
  <c r="AD74" i="3" s="1"/>
  <c r="AH74" i="3" s="1"/>
  <c r="AC75" i="3"/>
  <c r="AL75" i="3" s="1"/>
  <c r="AC76" i="3"/>
  <c r="AG76" i="3" s="1"/>
  <c r="AC77" i="3"/>
  <c r="AD77" i="3" s="1"/>
  <c r="AH77" i="3" s="1"/>
  <c r="AC78" i="3"/>
  <c r="AD78" i="3" s="1"/>
  <c r="AC79" i="3"/>
  <c r="AG79" i="3" s="1"/>
  <c r="AC80" i="3"/>
  <c r="AD80" i="3" s="1"/>
  <c r="AC81" i="3"/>
  <c r="AD81" i="3" s="1"/>
  <c r="AH81" i="3" s="1"/>
  <c r="AC82" i="3"/>
  <c r="AD82" i="3" s="1"/>
  <c r="AC83" i="3"/>
  <c r="AG83" i="3" s="1"/>
  <c r="AC84" i="3"/>
  <c r="AD84" i="3" s="1"/>
  <c r="AC85" i="3"/>
  <c r="AD85" i="3" s="1"/>
  <c r="AH85" i="3" s="1"/>
  <c r="AC86" i="3"/>
  <c r="AD86" i="3" s="1"/>
  <c r="AC87" i="3"/>
  <c r="AC88" i="3"/>
  <c r="AD88" i="3" s="1"/>
  <c r="AC89" i="3"/>
  <c r="AD89" i="3" s="1"/>
  <c r="AF89" i="3" s="1"/>
  <c r="AC66" i="3"/>
  <c r="AD66" i="3" s="1"/>
  <c r="L13" i="3"/>
  <c r="M65" i="3"/>
  <c r="K65" i="3"/>
  <c r="O121" i="3"/>
  <c r="J148" i="3" s="1"/>
  <c r="M135" i="3"/>
  <c r="AS70" i="3"/>
  <c r="AT70" i="3" s="1"/>
  <c r="AS71" i="3"/>
  <c r="AT71" i="3" s="1"/>
  <c r="AS72" i="3"/>
  <c r="AT72" i="3" s="1"/>
  <c r="AS73" i="3"/>
  <c r="AT73" i="3" s="1"/>
  <c r="AS74" i="3"/>
  <c r="AT74" i="3" s="1"/>
  <c r="AS75" i="3"/>
  <c r="AT75" i="3" s="1"/>
  <c r="AS76" i="3"/>
  <c r="AT76" i="3" s="1"/>
  <c r="AS77" i="3"/>
  <c r="AT77" i="3" s="1"/>
  <c r="AS78" i="3"/>
  <c r="AT78" i="3" s="1"/>
  <c r="AS79" i="3"/>
  <c r="AT79" i="3" s="1"/>
  <c r="AS80" i="3"/>
  <c r="AT80" i="3" s="1"/>
  <c r="AS81" i="3"/>
  <c r="AT81" i="3" s="1"/>
  <c r="AS82" i="3"/>
  <c r="AT82" i="3" s="1"/>
  <c r="AS83" i="3"/>
  <c r="AT83" i="3" s="1"/>
  <c r="AS84" i="3"/>
  <c r="AT84" i="3" s="1"/>
  <c r="AS85" i="3"/>
  <c r="AT85" i="3" s="1"/>
  <c r="AS86" i="3"/>
  <c r="AT86" i="3" s="1"/>
  <c r="AS87" i="3"/>
  <c r="AT87" i="3" s="1"/>
  <c r="AS88" i="3"/>
  <c r="AT88" i="3" s="1"/>
  <c r="AS89" i="3"/>
  <c r="AT89" i="3" s="1"/>
  <c r="AQ70" i="3"/>
  <c r="AR70" i="3" s="1"/>
  <c r="AQ71" i="3"/>
  <c r="AR71" i="3" s="1"/>
  <c r="AQ72" i="3"/>
  <c r="AR72" i="3" s="1"/>
  <c r="AQ73" i="3"/>
  <c r="AR73" i="3" s="1"/>
  <c r="AQ74" i="3"/>
  <c r="AR74" i="3" s="1"/>
  <c r="AQ75" i="3"/>
  <c r="AR75" i="3" s="1"/>
  <c r="AQ76" i="3"/>
  <c r="AR76" i="3" s="1"/>
  <c r="AQ77" i="3"/>
  <c r="AR77" i="3" s="1"/>
  <c r="AQ78" i="3"/>
  <c r="AR78" i="3" s="1"/>
  <c r="AQ79" i="3"/>
  <c r="AR79" i="3" s="1"/>
  <c r="AQ80" i="3"/>
  <c r="AR80" i="3" s="1"/>
  <c r="AQ81" i="3"/>
  <c r="AR81" i="3" s="1"/>
  <c r="AQ82" i="3"/>
  <c r="AR82" i="3" s="1"/>
  <c r="AQ83" i="3"/>
  <c r="AR83" i="3" s="1"/>
  <c r="AQ84" i="3"/>
  <c r="AR84" i="3" s="1"/>
  <c r="AQ85" i="3"/>
  <c r="AR85" i="3" s="1"/>
  <c r="AQ86" i="3"/>
  <c r="AR86" i="3" s="1"/>
  <c r="AQ87" i="3"/>
  <c r="AR87" i="3" s="1"/>
  <c r="AQ88" i="3"/>
  <c r="AR88" i="3" s="1"/>
  <c r="AQ89" i="3"/>
  <c r="AR89" i="3" s="1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S3" i="3"/>
  <c r="O17" i="3" s="1"/>
  <c r="AS69" i="3"/>
  <c r="AT69" i="3" s="1"/>
  <c r="AQ69" i="3"/>
  <c r="AR69" i="3" s="1"/>
  <c r="AP69" i="3"/>
  <c r="AC69" i="3"/>
  <c r="AL69" i="3" s="1"/>
  <c r="AS68" i="3"/>
  <c r="AT68" i="3" s="1"/>
  <c r="AQ68" i="3"/>
  <c r="AR68" i="3" s="1"/>
  <c r="AP68" i="3"/>
  <c r="AC68" i="3"/>
  <c r="AD68" i="3" s="1"/>
  <c r="AS67" i="3"/>
  <c r="AT67" i="3" s="1"/>
  <c r="AQ67" i="3"/>
  <c r="AR67" i="3" s="1"/>
  <c r="AP67" i="3"/>
  <c r="AC67" i="3"/>
  <c r="AL67" i="3" s="1"/>
  <c r="AN67" i="3" s="1"/>
  <c r="AS66" i="3"/>
  <c r="AT66" i="3" s="1"/>
  <c r="AQ66" i="3"/>
  <c r="AR66" i="3" s="1"/>
  <c r="AP66" i="3"/>
  <c r="O41" i="3"/>
  <c r="K108" i="3"/>
  <c r="Z108" i="3" s="1"/>
  <c r="AE108" i="3" s="1"/>
  <c r="D111" i="3"/>
  <c r="J104" i="3"/>
  <c r="J111" i="3"/>
  <c r="I111" i="3"/>
  <c r="H111" i="3"/>
  <c r="F111" i="3"/>
  <c r="I65" i="3"/>
  <c r="H65" i="3"/>
  <c r="F65" i="3"/>
  <c r="D3" i="3"/>
  <c r="Y112" i="3"/>
  <c r="Y104" i="3"/>
  <c r="Y110" i="3"/>
  <c r="Y151" i="3"/>
  <c r="Y149" i="3"/>
  <c r="Y117" i="3"/>
  <c r="Y116" i="3"/>
  <c r="Z107" i="3"/>
  <c r="AE107" i="3"/>
  <c r="AD107" i="3"/>
  <c r="AC107" i="3"/>
  <c r="AB107" i="3"/>
  <c r="AA107" i="3"/>
  <c r="Y107" i="3"/>
  <c r="AT65" i="3"/>
  <c r="AS65" i="3"/>
  <c r="AR65" i="3"/>
  <c r="AL65" i="3"/>
  <c r="AK65" i="3"/>
  <c r="AJ65" i="3"/>
  <c r="AH65" i="3"/>
  <c r="AG65" i="3"/>
  <c r="AF65" i="3"/>
  <c r="AE65" i="3"/>
  <c r="AD65" i="3"/>
  <c r="AC65" i="3"/>
  <c r="AB65" i="3"/>
  <c r="AA65" i="3"/>
  <c r="Z65" i="3"/>
  <c r="Y65" i="3"/>
  <c r="AP64" i="3"/>
  <c r="AJ64" i="3"/>
  <c r="Y64" i="3"/>
  <c r="I135" i="3"/>
  <c r="B141" i="3"/>
  <c r="B140" i="3"/>
  <c r="M111" i="3"/>
  <c r="L111" i="3"/>
  <c r="K111" i="3"/>
  <c r="F174" i="3"/>
  <c r="F173" i="3"/>
  <c r="F172" i="3"/>
  <c r="F171" i="3"/>
  <c r="F169" i="3"/>
  <c r="F168" i="3"/>
  <c r="F165" i="3"/>
  <c r="F167" i="3"/>
  <c r="F166" i="3"/>
  <c r="F164" i="3"/>
  <c r="F162" i="3"/>
  <c r="F161" i="3"/>
  <c r="F160" i="3"/>
  <c r="F159" i="3"/>
  <c r="F158" i="3"/>
  <c r="F157" i="3"/>
  <c r="F156" i="3"/>
  <c r="G151" i="3"/>
  <c r="B152" i="3"/>
  <c r="B151" i="3"/>
  <c r="B149" i="3"/>
  <c r="B148" i="3"/>
  <c r="B147" i="3"/>
  <c r="E144" i="3"/>
  <c r="E143" i="3"/>
  <c r="E142" i="3"/>
  <c r="E141" i="3"/>
  <c r="G139" i="3"/>
  <c r="F170" i="3"/>
  <c r="F163" i="3"/>
  <c r="B133" i="3"/>
  <c r="O137" i="3"/>
  <c r="M137" i="3"/>
  <c r="L137" i="3"/>
  <c r="K137" i="3"/>
  <c r="J137" i="3"/>
  <c r="E137" i="3"/>
  <c r="E136" i="3"/>
  <c r="B136" i="3"/>
  <c r="B135" i="3"/>
  <c r="B134" i="3"/>
  <c r="D132" i="3"/>
  <c r="B132" i="3"/>
  <c r="O122" i="3"/>
  <c r="M122" i="3"/>
  <c r="L122" i="3"/>
  <c r="K122" i="3"/>
  <c r="J122" i="3"/>
  <c r="I122" i="3"/>
  <c r="H122" i="3"/>
  <c r="G122" i="3"/>
  <c r="F122" i="3"/>
  <c r="B122" i="3"/>
  <c r="D121" i="3"/>
  <c r="B121" i="3"/>
  <c r="J116" i="3"/>
  <c r="F116" i="3"/>
  <c r="A116" i="3"/>
  <c r="O111" i="3"/>
  <c r="O107" i="3"/>
  <c r="L107" i="3"/>
  <c r="K107" i="3"/>
  <c r="J107" i="3"/>
  <c r="I107" i="3"/>
  <c r="H107" i="3"/>
  <c r="F107" i="3"/>
  <c r="E107" i="3"/>
  <c r="D107" i="3"/>
  <c r="D106" i="3"/>
  <c r="L103" i="3"/>
  <c r="L102" i="3"/>
  <c r="B106" i="3"/>
  <c r="A102" i="3"/>
  <c r="A101" i="3"/>
  <c r="L101" i="3"/>
  <c r="J100" i="3"/>
  <c r="L100" i="3"/>
  <c r="L99" i="3"/>
  <c r="J99" i="3"/>
  <c r="A98" i="3"/>
  <c r="A97" i="3"/>
  <c r="D96" i="3"/>
  <c r="J92" i="3"/>
  <c r="B96" i="3"/>
  <c r="B94" i="3"/>
  <c r="D92" i="3"/>
  <c r="B91" i="3"/>
  <c r="B64" i="3"/>
  <c r="B92" i="3"/>
  <c r="D91" i="3"/>
  <c r="O65" i="3"/>
  <c r="N65" i="3"/>
  <c r="L65" i="3"/>
  <c r="J65" i="3"/>
  <c r="E65" i="3"/>
  <c r="D65" i="3"/>
  <c r="B65" i="3"/>
  <c r="D64" i="3"/>
  <c r="L62" i="3"/>
  <c r="D62" i="3"/>
  <c r="B62" i="3"/>
  <c r="O36" i="3"/>
  <c r="N36" i="3"/>
  <c r="K36" i="3"/>
  <c r="J36" i="3"/>
  <c r="H36" i="3"/>
  <c r="G36" i="3"/>
  <c r="E36" i="3"/>
  <c r="B36" i="3"/>
  <c r="D35" i="3"/>
  <c r="B35" i="3"/>
  <c r="O13" i="3"/>
  <c r="N13" i="3"/>
  <c r="K13" i="3"/>
  <c r="J13" i="3"/>
  <c r="I13" i="3"/>
  <c r="H13" i="3"/>
  <c r="G13" i="3"/>
  <c r="E13" i="3"/>
  <c r="B13" i="3"/>
  <c r="D12" i="3"/>
  <c r="B12" i="3"/>
  <c r="L10" i="3"/>
  <c r="L9" i="3"/>
  <c r="A9" i="3"/>
  <c r="M8" i="3"/>
  <c r="I8" i="3"/>
  <c r="M7" i="3"/>
  <c r="I7" i="3"/>
  <c r="A7" i="3"/>
  <c r="L6" i="3"/>
  <c r="I6" i="3"/>
  <c r="A6" i="3"/>
  <c r="K5" i="3"/>
  <c r="I5" i="3"/>
  <c r="A5" i="3"/>
  <c r="I4" i="3"/>
  <c r="A4" i="3"/>
  <c r="K3" i="3"/>
  <c r="J3" i="3"/>
  <c r="B3" i="3"/>
  <c r="S126" i="3"/>
  <c r="S127" i="3"/>
  <c r="S128" i="3"/>
  <c r="S129" i="3"/>
  <c r="S130" i="3"/>
  <c r="S123" i="3"/>
  <c r="S124" i="3"/>
  <c r="S125" i="3"/>
  <c r="L156" i="3"/>
  <c r="I151" i="3"/>
  <c r="I149" i="3"/>
  <c r="I148" i="3"/>
  <c r="I147" i="3"/>
  <c r="S144" i="3"/>
  <c r="S143" i="3"/>
  <c r="S142" i="3"/>
  <c r="G142" i="3"/>
  <c r="G143" i="3" s="1"/>
  <c r="G144" i="3" s="1"/>
  <c r="S141" i="3"/>
  <c r="S140" i="3"/>
  <c r="O138" i="3"/>
  <c r="M138" i="3"/>
  <c r="L138" i="3"/>
  <c r="K138" i="3"/>
  <c r="J138" i="3"/>
  <c r="M121" i="3"/>
  <c r="O116" i="3"/>
  <c r="U114" i="3"/>
  <c r="T114" i="3"/>
  <c r="S114" i="3"/>
  <c r="O114" i="3"/>
  <c r="L135" i="3"/>
  <c r="T110" i="3"/>
  <c r="AC109" i="3"/>
  <c r="AC108" i="3"/>
  <c r="U34" i="3"/>
  <c r="U11" i="3"/>
  <c r="W10" i="3"/>
  <c r="V10" i="3"/>
  <c r="W8" i="3"/>
  <c r="W7" i="3"/>
  <c r="U5" i="3"/>
  <c r="U4" i="3"/>
  <c r="U3" i="3"/>
  <c r="A2" i="3"/>
  <c r="P51" i="4"/>
  <c r="N51" i="4"/>
  <c r="L51" i="4"/>
  <c r="Q13" i="4"/>
  <c r="O13" i="4"/>
  <c r="M13" i="4"/>
  <c r="P69" i="4"/>
  <c r="P67" i="4"/>
  <c r="Q67" i="4" s="1"/>
  <c r="P66" i="4"/>
  <c r="P65" i="4"/>
  <c r="P63" i="4"/>
  <c r="Q61" i="4"/>
  <c r="P61" i="4"/>
  <c r="P60" i="4"/>
  <c r="P59" i="4"/>
  <c r="P57" i="4"/>
  <c r="P56" i="4"/>
  <c r="P55" i="4"/>
  <c r="P54" i="4"/>
  <c r="P53" i="4"/>
  <c r="P52" i="4"/>
  <c r="Q49" i="4"/>
  <c r="P49" i="4"/>
  <c r="P46" i="4"/>
  <c r="P45" i="4"/>
  <c r="P44" i="4"/>
  <c r="P43" i="4"/>
  <c r="P40" i="4"/>
  <c r="Q39" i="4"/>
  <c r="P38" i="4"/>
  <c r="P37" i="4"/>
  <c r="P36" i="4"/>
  <c r="P35" i="4"/>
  <c r="P50" i="4" s="1"/>
  <c r="P34" i="4"/>
  <c r="Q32" i="4"/>
  <c r="P31" i="4"/>
  <c r="P30" i="4"/>
  <c r="P29" i="4"/>
  <c r="P28" i="4"/>
  <c r="P25" i="4"/>
  <c r="P24" i="4"/>
  <c r="P23" i="4"/>
  <c r="P22" i="4"/>
  <c r="P21" i="4"/>
  <c r="P20" i="4"/>
  <c r="P18" i="4"/>
  <c r="P17" i="4"/>
  <c r="P16" i="4"/>
  <c r="P11" i="4"/>
  <c r="Q10" i="4"/>
  <c r="P10" i="4"/>
  <c r="Q57" i="4" s="1"/>
  <c r="P8" i="4"/>
  <c r="P7" i="4"/>
  <c r="P6" i="4"/>
  <c r="P5" i="4"/>
  <c r="P4" i="4"/>
  <c r="N69" i="4"/>
  <c r="N67" i="4"/>
  <c r="O67" i="4" s="1"/>
  <c r="N66" i="4"/>
  <c r="N65" i="4"/>
  <c r="N63" i="4"/>
  <c r="O61" i="4"/>
  <c r="N61" i="4"/>
  <c r="N60" i="4"/>
  <c r="N59" i="4"/>
  <c r="N57" i="4"/>
  <c r="N56" i="4"/>
  <c r="N55" i="4"/>
  <c r="N54" i="4"/>
  <c r="N53" i="4"/>
  <c r="N52" i="4"/>
  <c r="O49" i="4"/>
  <c r="N49" i="4"/>
  <c r="N46" i="4"/>
  <c r="N45" i="4"/>
  <c r="N44" i="4"/>
  <c r="N43" i="4"/>
  <c r="N40" i="4"/>
  <c r="O39" i="4"/>
  <c r="N38" i="4"/>
  <c r="N37" i="4"/>
  <c r="N36" i="4"/>
  <c r="N35" i="4"/>
  <c r="N50" i="4" s="1"/>
  <c r="N34" i="4"/>
  <c r="O32" i="4"/>
  <c r="N31" i="4"/>
  <c r="N30" i="4"/>
  <c r="N29" i="4"/>
  <c r="N28" i="4"/>
  <c r="N25" i="4"/>
  <c r="N24" i="4"/>
  <c r="N23" i="4"/>
  <c r="N22" i="4"/>
  <c r="N21" i="4"/>
  <c r="N20" i="4"/>
  <c r="N18" i="4"/>
  <c r="N17" i="4"/>
  <c r="N16" i="4"/>
  <c r="N11" i="4"/>
  <c r="O10" i="4"/>
  <c r="N10" i="4"/>
  <c r="O40" i="4" s="1"/>
  <c r="N8" i="4"/>
  <c r="N7" i="4"/>
  <c r="N6" i="4"/>
  <c r="N5" i="4"/>
  <c r="N4" i="4"/>
  <c r="L69" i="4"/>
  <c r="L67" i="4"/>
  <c r="M67" i="4" s="1"/>
  <c r="L66" i="4"/>
  <c r="L65" i="4"/>
  <c r="L63" i="4"/>
  <c r="M61" i="4"/>
  <c r="L61" i="4"/>
  <c r="L60" i="4"/>
  <c r="L59" i="4"/>
  <c r="L57" i="4"/>
  <c r="L56" i="4"/>
  <c r="L55" i="4"/>
  <c r="L54" i="4"/>
  <c r="L53" i="4"/>
  <c r="L52" i="4"/>
  <c r="M49" i="4"/>
  <c r="L49" i="4"/>
  <c r="L46" i="4"/>
  <c r="L45" i="4"/>
  <c r="L44" i="4"/>
  <c r="L43" i="4"/>
  <c r="L40" i="4"/>
  <c r="M39" i="4"/>
  <c r="L38" i="4"/>
  <c r="L37" i="4"/>
  <c r="L36" i="4"/>
  <c r="L35" i="4"/>
  <c r="L50" i="4" s="1"/>
  <c r="L34" i="4"/>
  <c r="M32" i="4"/>
  <c r="L31" i="4"/>
  <c r="L30" i="4"/>
  <c r="L29" i="4"/>
  <c r="L28" i="4"/>
  <c r="L25" i="4"/>
  <c r="L24" i="4"/>
  <c r="L23" i="4"/>
  <c r="L22" i="4"/>
  <c r="L21" i="4"/>
  <c r="L20" i="4"/>
  <c r="L18" i="4"/>
  <c r="L17" i="4"/>
  <c r="L16" i="4"/>
  <c r="L11" i="4"/>
  <c r="M10" i="4"/>
  <c r="L10" i="4"/>
  <c r="M57" i="4" s="1"/>
  <c r="L8" i="4"/>
  <c r="L7" i="4"/>
  <c r="L6" i="4"/>
  <c r="L5" i="4"/>
  <c r="L4" i="4"/>
  <c r="K10" i="4"/>
  <c r="I10" i="4"/>
  <c r="G10" i="4"/>
  <c r="O119" i="3"/>
  <c r="O140" i="3" s="1"/>
  <c r="D2" i="4"/>
  <c r="B3" i="4"/>
  <c r="O113" i="3"/>
  <c r="O118" i="3" s="1"/>
  <c r="M139" i="3" s="1"/>
  <c r="T113" i="3"/>
  <c r="U113" i="3"/>
  <c r="S113" i="3"/>
  <c r="I61" i="4"/>
  <c r="F57" i="4"/>
  <c r="J4" i="4"/>
  <c r="H46" i="4"/>
  <c r="F51" i="4"/>
  <c r="H36" i="4"/>
  <c r="H61" i="4"/>
  <c r="B53" i="4"/>
  <c r="B22" i="4"/>
  <c r="H35" i="4"/>
  <c r="B21" i="4"/>
  <c r="F46" i="4"/>
  <c r="H52" i="4"/>
  <c r="B8" i="4"/>
  <c r="H4" i="4"/>
  <c r="B19" i="4"/>
  <c r="F44" i="4"/>
  <c r="H66" i="4"/>
  <c r="B51" i="4"/>
  <c r="F8" i="4"/>
  <c r="F65" i="4"/>
  <c r="B44" i="4"/>
  <c r="B42" i="4"/>
  <c r="H69" i="4"/>
  <c r="B27" i="4"/>
  <c r="F7" i="4"/>
  <c r="H6" i="4"/>
  <c r="B26" i="4"/>
  <c r="F35" i="4"/>
  <c r="F66" i="4"/>
  <c r="F5" i="4"/>
  <c r="B49" i="4"/>
  <c r="H34" i="4"/>
  <c r="B29" i="4"/>
  <c r="K61" i="4"/>
  <c r="B45" i="4"/>
  <c r="B20" i="4"/>
  <c r="F6" i="4"/>
  <c r="B57" i="4"/>
  <c r="F67" i="4"/>
  <c r="B6" i="4"/>
  <c r="J51" i="4"/>
  <c r="J38" i="4"/>
  <c r="J40" i="4"/>
  <c r="J65" i="4"/>
  <c r="J52" i="4"/>
  <c r="B66" i="4"/>
  <c r="B16" i="4"/>
  <c r="J7" i="4"/>
  <c r="B17" i="4"/>
  <c r="B32" i="4"/>
  <c r="J10" i="4"/>
  <c r="B13" i="4"/>
  <c r="J8" i="4"/>
  <c r="J60" i="4"/>
  <c r="B12" i="4"/>
  <c r="J69" i="4"/>
  <c r="J57" i="4"/>
  <c r="B56" i="4"/>
  <c r="J6" i="4"/>
  <c r="F45" i="4"/>
  <c r="B31" i="4"/>
  <c r="J43" i="4"/>
  <c r="H38" i="4"/>
  <c r="J66" i="4"/>
  <c r="J36" i="4"/>
  <c r="F61" i="4"/>
  <c r="B30" i="4"/>
  <c r="F52" i="4"/>
  <c r="B55" i="4"/>
  <c r="J37" i="4"/>
  <c r="F10" i="4"/>
  <c r="H57" i="4"/>
  <c r="J5" i="4"/>
  <c r="B38" i="4"/>
  <c r="B2" i="4"/>
  <c r="J63" i="4"/>
  <c r="B48" i="4"/>
  <c r="H11" i="4"/>
  <c r="J67" i="4"/>
  <c r="B4" i="4"/>
  <c r="H37" i="4"/>
  <c r="J11" i="4"/>
  <c r="B5" i="4"/>
  <c r="J53" i="4"/>
  <c r="J46" i="4"/>
  <c r="B7" i="4"/>
  <c r="J29" i="4"/>
  <c r="J17" i="4"/>
  <c r="J16" i="4"/>
  <c r="B18" i="4"/>
  <c r="G61" i="4"/>
  <c r="J45" i="4"/>
  <c r="J35" i="4"/>
  <c r="B60" i="4"/>
  <c r="J59" i="4"/>
  <c r="J44" i="4"/>
  <c r="B47" i="4"/>
  <c r="B52" i="4"/>
  <c r="J34" i="4"/>
  <c r="B37" i="4"/>
  <c r="F69" i="4"/>
  <c r="H60" i="4"/>
  <c r="B46" i="4"/>
  <c r="B63" i="4"/>
  <c r="H40" i="4"/>
  <c r="B59" i="4"/>
  <c r="B40" i="4"/>
  <c r="H51" i="4"/>
  <c r="B67" i="4"/>
  <c r="B35" i="4"/>
  <c r="H5" i="4"/>
  <c r="B58" i="4"/>
  <c r="H45" i="4"/>
  <c r="J18" i="4"/>
  <c r="H67" i="4"/>
  <c r="J61" i="4"/>
  <c r="F4" i="4"/>
  <c r="H43" i="4"/>
  <c r="F34" i="4"/>
  <c r="H59" i="4"/>
  <c r="F11" i="4"/>
  <c r="B61" i="4"/>
  <c r="B34" i="4"/>
  <c r="B54" i="4"/>
  <c r="B28" i="4"/>
  <c r="H7" i="4"/>
  <c r="J23" i="4"/>
  <c r="H8" i="4"/>
  <c r="F60" i="4"/>
  <c r="B25" i="4"/>
  <c r="H65" i="4"/>
  <c r="B39" i="4"/>
  <c r="B36" i="4"/>
  <c r="B50" i="4"/>
  <c r="H10" i="4"/>
  <c r="H44" i="4"/>
  <c r="J24" i="4"/>
  <c r="F40" i="4"/>
  <c r="J20" i="4"/>
  <c r="B69" i="4"/>
  <c r="F43" i="4"/>
  <c r="B65" i="4"/>
  <c r="J31" i="4"/>
  <c r="B24" i="4"/>
  <c r="J54" i="4"/>
  <c r="J21" i="4"/>
  <c r="J49" i="4"/>
  <c r="J28" i="4"/>
  <c r="J22" i="4"/>
  <c r="J30" i="4"/>
  <c r="J56" i="4"/>
  <c r="J25" i="4"/>
  <c r="J55" i="4"/>
  <c r="J50" i="4" l="1"/>
  <c r="K67" i="4"/>
  <c r="K59" i="4"/>
  <c r="K39" i="4"/>
  <c r="K49" i="4"/>
  <c r="K13" i="4"/>
  <c r="K32" i="4"/>
  <c r="K140" i="14"/>
  <c r="K139" i="14"/>
  <c r="J141" i="14"/>
  <c r="J142" i="14" s="1"/>
  <c r="J143" i="14" s="1"/>
  <c r="J144" i="14" s="1"/>
  <c r="J151" i="14"/>
  <c r="L174" i="14"/>
  <c r="Y168" i="14"/>
  <c r="M163" i="14"/>
  <c r="M170" i="14"/>
  <c r="M168" i="14"/>
  <c r="M160" i="14"/>
  <c r="M165" i="14"/>
  <c r="M157" i="14"/>
  <c r="M162" i="14"/>
  <c r="Y169" i="14"/>
  <c r="M167" i="14"/>
  <c r="M159" i="14"/>
  <c r="M169" i="14"/>
  <c r="M164" i="14"/>
  <c r="M171" i="14"/>
  <c r="M161" i="14"/>
  <c r="M166" i="14"/>
  <c r="M158" i="14"/>
  <c r="L139" i="14"/>
  <c r="S2" i="14"/>
  <c r="L140" i="14"/>
  <c r="P101" i="13"/>
  <c r="P99" i="13"/>
  <c r="P81" i="13"/>
  <c r="P74" i="13"/>
  <c r="J140" i="13"/>
  <c r="P108" i="13"/>
  <c r="P103" i="13"/>
  <c r="P92" i="13"/>
  <c r="P71" i="13"/>
  <c r="P30" i="13"/>
  <c r="P26" i="13"/>
  <c r="P22" i="13"/>
  <c r="P18" i="13"/>
  <c r="P109" i="13"/>
  <c r="P96" i="13"/>
  <c r="P83" i="13"/>
  <c r="P76" i="13"/>
  <c r="O110" i="13"/>
  <c r="P89" i="13"/>
  <c r="P87" i="13"/>
  <c r="P85" i="13"/>
  <c r="P80" i="13"/>
  <c r="P78" i="13"/>
  <c r="P73" i="13"/>
  <c r="P113" i="13"/>
  <c r="P112" i="13"/>
  <c r="P114" i="13"/>
  <c r="P82" i="13"/>
  <c r="P75" i="13"/>
  <c r="P32" i="13"/>
  <c r="P28" i="13"/>
  <c r="P100" i="13"/>
  <c r="P69" i="13"/>
  <c r="P55" i="13"/>
  <c r="P48" i="13"/>
  <c r="P39" i="13"/>
  <c r="P31" i="13"/>
  <c r="P43" i="13"/>
  <c r="P20" i="13"/>
  <c r="P17" i="13"/>
  <c r="P91" i="13"/>
  <c r="P86" i="13"/>
  <c r="P53" i="13"/>
  <c r="P46" i="13"/>
  <c r="P37" i="13"/>
  <c r="P29" i="13"/>
  <c r="P24" i="13"/>
  <c r="P21" i="13"/>
  <c r="P15" i="13"/>
  <c r="P14" i="13"/>
  <c r="P70" i="13"/>
  <c r="P64" i="13"/>
  <c r="P62" i="13"/>
  <c r="P60" i="13"/>
  <c r="P51" i="13"/>
  <c r="P44" i="13"/>
  <c r="P27" i="13"/>
  <c r="P77" i="13"/>
  <c r="P67" i="13"/>
  <c r="P50" i="13"/>
  <c r="P102" i="13"/>
  <c r="P94" i="13"/>
  <c r="P79" i="13"/>
  <c r="P58" i="13"/>
  <c r="P49" i="13"/>
  <c r="P42" i="13"/>
  <c r="P19" i="13"/>
  <c r="P16" i="13"/>
  <c r="P59" i="13"/>
  <c r="P52" i="13"/>
  <c r="P12" i="13"/>
  <c r="P84" i="13"/>
  <c r="P72" i="13"/>
  <c r="P56" i="13"/>
  <c r="P47" i="13"/>
  <c r="P40" i="13"/>
  <c r="P25" i="13"/>
  <c r="P68" i="13"/>
  <c r="J139" i="13"/>
  <c r="P98" i="13"/>
  <c r="P66" i="13"/>
  <c r="P54" i="13"/>
  <c r="P45" i="13"/>
  <c r="P38" i="13"/>
  <c r="P88" i="13"/>
  <c r="P35" i="13"/>
  <c r="P23" i="13"/>
  <c r="P57" i="13"/>
  <c r="P33" i="13"/>
  <c r="P41" i="13"/>
  <c r="P97" i="13"/>
  <c r="O117" i="13"/>
  <c r="P101" i="12"/>
  <c r="P99" i="12"/>
  <c r="P81" i="12"/>
  <c r="P74" i="12"/>
  <c r="J140" i="12"/>
  <c r="P108" i="12"/>
  <c r="P103" i="12"/>
  <c r="P92" i="12"/>
  <c r="P71" i="12"/>
  <c r="P30" i="12"/>
  <c r="P26" i="12"/>
  <c r="P22" i="12"/>
  <c r="P18" i="12"/>
  <c r="P109" i="12"/>
  <c r="P96" i="12"/>
  <c r="P83" i="12"/>
  <c r="P76" i="12"/>
  <c r="P64" i="12"/>
  <c r="P59" i="12"/>
  <c r="O110" i="12"/>
  <c r="P113" i="12"/>
  <c r="P112" i="12"/>
  <c r="P102" i="12"/>
  <c r="P100" i="12"/>
  <c r="P98" i="12"/>
  <c r="P70" i="12"/>
  <c r="P94" i="12"/>
  <c r="P91" i="12"/>
  <c r="P72" i="12"/>
  <c r="P57" i="12"/>
  <c r="P53" i="12"/>
  <c r="P49" i="12"/>
  <c r="P45" i="12"/>
  <c r="P41" i="12"/>
  <c r="P37" i="12"/>
  <c r="J139" i="12"/>
  <c r="P62" i="12"/>
  <c r="P52" i="12"/>
  <c r="P43" i="12"/>
  <c r="P35" i="12"/>
  <c r="P28" i="12"/>
  <c r="P19" i="12"/>
  <c r="P16" i="12"/>
  <c r="P82" i="12"/>
  <c r="P50" i="12"/>
  <c r="P33" i="12"/>
  <c r="P97" i="12"/>
  <c r="P75" i="12"/>
  <c r="P55" i="12"/>
  <c r="P48" i="12"/>
  <c r="P39" i="12"/>
  <c r="P31" i="12"/>
  <c r="P24" i="12"/>
  <c r="P42" i="12"/>
  <c r="P60" i="12"/>
  <c r="P21" i="12"/>
  <c r="P46" i="12"/>
  <c r="P29" i="12"/>
  <c r="P17" i="12"/>
  <c r="P27" i="12"/>
  <c r="P20" i="12"/>
  <c r="P12" i="12"/>
  <c r="P88" i="12"/>
  <c r="P86" i="12"/>
  <c r="P84" i="12"/>
  <c r="P69" i="12"/>
  <c r="P67" i="12"/>
  <c r="P51" i="12"/>
  <c r="P44" i="12"/>
  <c r="P14" i="12"/>
  <c r="P25" i="12"/>
  <c r="P38" i="12"/>
  <c r="P89" i="12"/>
  <c r="P87" i="12"/>
  <c r="P85" i="12"/>
  <c r="P79" i="12"/>
  <c r="P77" i="12"/>
  <c r="P68" i="12"/>
  <c r="P66" i="12"/>
  <c r="P80" i="12"/>
  <c r="P78" i="12"/>
  <c r="P56" i="12"/>
  <c r="P47" i="12"/>
  <c r="P40" i="12"/>
  <c r="P32" i="12"/>
  <c r="P23" i="12"/>
  <c r="P15" i="12"/>
  <c r="P73" i="12"/>
  <c r="P58" i="12"/>
  <c r="P114" i="12"/>
  <c r="P54" i="12"/>
  <c r="O117" i="12"/>
  <c r="V29" i="3"/>
  <c r="T17" i="3"/>
  <c r="T31" i="3"/>
  <c r="T21" i="3"/>
  <c r="V82" i="3"/>
  <c r="V53" i="3"/>
  <c r="V39" i="3"/>
  <c r="V85" i="3"/>
  <c r="V69" i="3"/>
  <c r="S59" i="3"/>
  <c r="T46" i="3"/>
  <c r="V52" i="3"/>
  <c r="S32" i="3"/>
  <c r="T44" i="3"/>
  <c r="S48" i="3"/>
  <c r="V50" i="3"/>
  <c r="V114" i="3"/>
  <c r="S20" i="3"/>
  <c r="S39" i="3"/>
  <c r="V42" i="3"/>
  <c r="V51" i="3"/>
  <c r="V28" i="3"/>
  <c r="V41" i="3"/>
  <c r="S14" i="3"/>
  <c r="V79" i="3"/>
  <c r="V78" i="3"/>
  <c r="T40" i="3"/>
  <c r="V19" i="3"/>
  <c r="T28" i="3"/>
  <c r="V43" i="3"/>
  <c r="T18" i="3"/>
  <c r="V58" i="3"/>
  <c r="V81" i="3"/>
  <c r="S25" i="3"/>
  <c r="T38" i="3"/>
  <c r="V67" i="3"/>
  <c r="T53" i="3"/>
  <c r="V76" i="3"/>
  <c r="V25" i="3"/>
  <c r="T55" i="3"/>
  <c r="V80" i="3"/>
  <c r="V40" i="3"/>
  <c r="V57" i="3"/>
  <c r="V15" i="3"/>
  <c r="S21" i="3"/>
  <c r="O100" i="3"/>
  <c r="T23" i="3"/>
  <c r="T48" i="3"/>
  <c r="S60" i="3"/>
  <c r="S50" i="3"/>
  <c r="S40" i="3"/>
  <c r="T32" i="3"/>
  <c r="V44" i="3"/>
  <c r="T54" i="3"/>
  <c r="O44" i="3"/>
  <c r="T27" i="3"/>
  <c r="T33" i="3"/>
  <c r="V14" i="3"/>
  <c r="T42" i="3"/>
  <c r="V89" i="3"/>
  <c r="S29" i="3"/>
  <c r="V33" i="3"/>
  <c r="S56" i="3"/>
  <c r="S45" i="3"/>
  <c r="V24" i="3"/>
  <c r="O60" i="3"/>
  <c r="T24" i="3"/>
  <c r="V30" i="3"/>
  <c r="V22" i="3"/>
  <c r="V27" i="3"/>
  <c r="T37" i="3"/>
  <c r="V32" i="3"/>
  <c r="V113" i="3"/>
  <c r="T29" i="3"/>
  <c r="T15" i="3"/>
  <c r="S55" i="3"/>
  <c r="S44" i="3"/>
  <c r="T47" i="3"/>
  <c r="V83" i="3"/>
  <c r="O56" i="3"/>
  <c r="AG88" i="3"/>
  <c r="AG84" i="3"/>
  <c r="AG77" i="3"/>
  <c r="AL86" i="3"/>
  <c r="AN86" i="3" s="1"/>
  <c r="AF81" i="3"/>
  <c r="AG74" i="3"/>
  <c r="AL74" i="3"/>
  <c r="AL73" i="3"/>
  <c r="AG89" i="3"/>
  <c r="AF85" i="3"/>
  <c r="AG85" i="3"/>
  <c r="AL85" i="3"/>
  <c r="AN85" i="3" s="1"/>
  <c r="AF77" i="3"/>
  <c r="AG73" i="3"/>
  <c r="AL66" i="3"/>
  <c r="AN66" i="3" s="1"/>
  <c r="I57" i="4"/>
  <c r="I13" i="4"/>
  <c r="I39" i="4"/>
  <c r="I49" i="4"/>
  <c r="I32" i="4"/>
  <c r="I67" i="4"/>
  <c r="H50" i="4"/>
  <c r="V38" i="3"/>
  <c r="V48" i="3"/>
  <c r="T39" i="3"/>
  <c r="T57" i="3"/>
  <c r="V60" i="3"/>
  <c r="V46" i="3"/>
  <c r="T25" i="3"/>
  <c r="V112" i="3"/>
  <c r="T58" i="3"/>
  <c r="V71" i="3"/>
  <c r="V66" i="3"/>
  <c r="T49" i="3"/>
  <c r="V73" i="3"/>
  <c r="V59" i="3"/>
  <c r="T30" i="3"/>
  <c r="V87" i="3"/>
  <c r="V86" i="3"/>
  <c r="V49" i="3"/>
  <c r="T22" i="3"/>
  <c r="S31" i="3"/>
  <c r="S24" i="3"/>
  <c r="S19" i="3"/>
  <c r="T16" i="3"/>
  <c r="V70" i="3"/>
  <c r="S28" i="3"/>
  <c r="V75" i="3"/>
  <c r="T56" i="3"/>
  <c r="S33" i="3"/>
  <c r="T26" i="3"/>
  <c r="V37" i="3"/>
  <c r="O99" i="3"/>
  <c r="S58" i="3"/>
  <c r="S52" i="3"/>
  <c r="S47" i="3"/>
  <c r="S43" i="3"/>
  <c r="S38" i="3"/>
  <c r="S49" i="3"/>
  <c r="V20" i="3"/>
  <c r="V47" i="3"/>
  <c r="S15" i="3"/>
  <c r="O52" i="3"/>
  <c r="O40" i="3"/>
  <c r="U77" i="3"/>
  <c r="O26" i="3"/>
  <c r="V55" i="3"/>
  <c r="V54" i="3"/>
  <c r="V16" i="3"/>
  <c r="T20" i="3"/>
  <c r="V56" i="3"/>
  <c r="T41" i="3"/>
  <c r="T19" i="3"/>
  <c r="T60" i="3"/>
  <c r="V31" i="3"/>
  <c r="V18" i="3"/>
  <c r="T59" i="3"/>
  <c r="T45" i="3"/>
  <c r="V77" i="3"/>
  <c r="T50" i="3"/>
  <c r="V23" i="3"/>
  <c r="V74" i="3"/>
  <c r="U112" i="3"/>
  <c r="V45" i="3"/>
  <c r="V17" i="3"/>
  <c r="S30" i="3"/>
  <c r="S22" i="3"/>
  <c r="S18" i="3"/>
  <c r="T43" i="3"/>
  <c r="V26" i="3"/>
  <c r="V84" i="3"/>
  <c r="T52" i="3"/>
  <c r="S23" i="3"/>
  <c r="V21" i="3"/>
  <c r="S17" i="3"/>
  <c r="V68" i="3"/>
  <c r="S57" i="3"/>
  <c r="S51" i="3"/>
  <c r="S46" i="3"/>
  <c r="S42" i="3"/>
  <c r="T51" i="3"/>
  <c r="S41" i="3"/>
  <c r="V72" i="3"/>
  <c r="S54" i="3"/>
  <c r="T14" i="3"/>
  <c r="O49" i="3"/>
  <c r="S69" i="3"/>
  <c r="S70" i="3"/>
  <c r="S53" i="3"/>
  <c r="S26" i="3"/>
  <c r="V88" i="3"/>
  <c r="S27" i="3"/>
  <c r="S16" i="3"/>
  <c r="O57" i="3"/>
  <c r="O48" i="3"/>
  <c r="S68" i="3"/>
  <c r="U81" i="3"/>
  <c r="O74" i="3"/>
  <c r="S86" i="3"/>
  <c r="T82" i="3"/>
  <c r="T68" i="3"/>
  <c r="U69" i="3"/>
  <c r="S82" i="3"/>
  <c r="O67" i="3"/>
  <c r="AL70" i="3"/>
  <c r="AG78" i="3"/>
  <c r="AL88" i="3"/>
  <c r="AN88" i="3" s="1"/>
  <c r="AH89" i="3"/>
  <c r="AL84" i="3"/>
  <c r="AN84" i="3" s="1"/>
  <c r="AL81" i="3"/>
  <c r="AL77" i="3"/>
  <c r="AN77" i="3" s="1"/>
  <c r="J147" i="3"/>
  <c r="AD108" i="3"/>
  <c r="S108" i="3"/>
  <c r="AG86" i="3"/>
  <c r="U89" i="3"/>
  <c r="U73" i="3"/>
  <c r="S78" i="3"/>
  <c r="T78" i="3"/>
  <c r="O86" i="3"/>
  <c r="O70" i="3"/>
  <c r="O22" i="3"/>
  <c r="AG70" i="3"/>
  <c r="AF74" i="3"/>
  <c r="S37" i="3"/>
  <c r="AD109" i="3"/>
  <c r="O53" i="3"/>
  <c r="O45" i="3"/>
  <c r="O37" i="3"/>
  <c r="T69" i="3"/>
  <c r="AL89" i="3"/>
  <c r="AN89" i="3" s="1"/>
  <c r="AL78" i="3"/>
  <c r="AN78" i="3" s="1"/>
  <c r="U85" i="3"/>
  <c r="S66" i="3"/>
  <c r="S74" i="3"/>
  <c r="T66" i="3"/>
  <c r="T74" i="3"/>
  <c r="O82" i="3"/>
  <c r="O15" i="3"/>
  <c r="O18" i="3"/>
  <c r="T86" i="3"/>
  <c r="T70" i="3"/>
  <c r="O78" i="3"/>
  <c r="O30" i="3"/>
  <c r="AG69" i="3"/>
  <c r="AD69" i="3"/>
  <c r="AG68" i="3"/>
  <c r="AH78" i="3"/>
  <c r="AF78" i="3"/>
  <c r="AG80" i="3"/>
  <c r="AL80" i="3"/>
  <c r="AL82" i="3"/>
  <c r="AG82" i="3"/>
  <c r="AH88" i="3"/>
  <c r="AF88" i="3"/>
  <c r="AH86" i="3"/>
  <c r="AF86" i="3"/>
  <c r="AH82" i="3"/>
  <c r="AF82" i="3"/>
  <c r="AG81" i="3"/>
  <c r="AH80" i="3"/>
  <c r="AF80" i="3"/>
  <c r="AD76" i="3"/>
  <c r="AF76" i="3" s="1"/>
  <c r="AL76" i="3"/>
  <c r="AG72" i="3"/>
  <c r="AL72" i="3"/>
  <c r="Z109" i="3"/>
  <c r="AE109" i="3" s="1"/>
  <c r="S109" i="3"/>
  <c r="O109" i="3" s="1"/>
  <c r="AD79" i="3"/>
  <c r="AL79" i="3"/>
  <c r="AN79" i="3" s="1"/>
  <c r="AL83" i="3"/>
  <c r="AD83" i="3"/>
  <c r="AH73" i="3"/>
  <c r="AD71" i="3"/>
  <c r="AL71" i="3"/>
  <c r="AL87" i="3"/>
  <c r="AN87" i="3" s="1"/>
  <c r="AD87" i="3"/>
  <c r="AH70" i="3"/>
  <c r="AF70" i="3"/>
  <c r="AG87" i="3"/>
  <c r="AH68" i="3"/>
  <c r="AF68" i="3"/>
  <c r="AF84" i="3"/>
  <c r="AH84" i="3"/>
  <c r="AG75" i="3"/>
  <c r="AD75" i="3"/>
  <c r="AF72" i="3"/>
  <c r="AH72" i="3"/>
  <c r="O58" i="3"/>
  <c r="O54" i="3"/>
  <c r="O50" i="3"/>
  <c r="O46" i="3"/>
  <c r="O42" i="3"/>
  <c r="O38" i="3"/>
  <c r="T67" i="3"/>
  <c r="AL68" i="3"/>
  <c r="AN68" i="3" s="1"/>
  <c r="U67" i="3"/>
  <c r="U87" i="3"/>
  <c r="U83" i="3"/>
  <c r="U79" i="3"/>
  <c r="U75" i="3"/>
  <c r="U71" i="3"/>
  <c r="S88" i="3"/>
  <c r="S84" i="3"/>
  <c r="S80" i="3"/>
  <c r="S76" i="3"/>
  <c r="S72" i="3"/>
  <c r="T88" i="3"/>
  <c r="T84" i="3"/>
  <c r="T80" i="3"/>
  <c r="T76" i="3"/>
  <c r="T72" i="3"/>
  <c r="O68" i="3"/>
  <c r="O88" i="3"/>
  <c r="O84" i="3"/>
  <c r="O80" i="3"/>
  <c r="O76" i="3"/>
  <c r="O72" i="3"/>
  <c r="O32" i="3"/>
  <c r="O28" i="3"/>
  <c r="O24" i="3"/>
  <c r="O20" i="3"/>
  <c r="O14" i="3"/>
  <c r="U66" i="3"/>
  <c r="U86" i="3"/>
  <c r="U82" i="3"/>
  <c r="U78" i="3"/>
  <c r="U74" i="3"/>
  <c r="U70" i="3"/>
  <c r="S87" i="3"/>
  <c r="S83" i="3"/>
  <c r="S79" i="3"/>
  <c r="S75" i="3"/>
  <c r="S71" i="3"/>
  <c r="T87" i="3"/>
  <c r="T83" i="3"/>
  <c r="T79" i="3"/>
  <c r="T75" i="3"/>
  <c r="T71" i="3"/>
  <c r="O66" i="3"/>
  <c r="O87" i="3"/>
  <c r="O83" i="3"/>
  <c r="O79" i="3"/>
  <c r="O75" i="3"/>
  <c r="O71" i="3"/>
  <c r="O16" i="3"/>
  <c r="O31" i="3"/>
  <c r="O27" i="3"/>
  <c r="O23" i="3"/>
  <c r="O19" i="3"/>
  <c r="O59" i="3"/>
  <c r="O55" i="3"/>
  <c r="O51" i="3"/>
  <c r="O47" i="3"/>
  <c r="O43" i="3"/>
  <c r="O39" i="3"/>
  <c r="S67" i="3"/>
  <c r="U68" i="3"/>
  <c r="U88" i="3"/>
  <c r="U84" i="3"/>
  <c r="U80" i="3"/>
  <c r="U76" i="3"/>
  <c r="U72" i="3"/>
  <c r="S89" i="3"/>
  <c r="S85" i="3"/>
  <c r="S81" i="3"/>
  <c r="S77" i="3"/>
  <c r="S73" i="3"/>
  <c r="T89" i="3"/>
  <c r="T85" i="3"/>
  <c r="T81" i="3"/>
  <c r="T77" i="3"/>
  <c r="T73" i="3"/>
  <c r="O69" i="3"/>
  <c r="O89" i="3"/>
  <c r="O85" i="3"/>
  <c r="O81" i="3"/>
  <c r="O77" i="3"/>
  <c r="O73" i="3"/>
  <c r="O33" i="3"/>
  <c r="O29" i="3"/>
  <c r="O25" i="3"/>
  <c r="O21" i="3"/>
  <c r="M63" i="4"/>
  <c r="AD67" i="3"/>
  <c r="AH67" i="3" s="1"/>
  <c r="AG67" i="3"/>
  <c r="Q40" i="4"/>
  <c r="Q63" i="4"/>
  <c r="K55" i="4"/>
  <c r="M59" i="4"/>
  <c r="M40" i="4"/>
  <c r="M54" i="4"/>
  <c r="Q54" i="4"/>
  <c r="AG66" i="3"/>
  <c r="O139" i="3"/>
  <c r="O54" i="4"/>
  <c r="Q56" i="4"/>
  <c r="O151" i="3"/>
  <c r="O141" i="3"/>
  <c r="O142" i="3" s="1"/>
  <c r="O143" i="3" s="1"/>
  <c r="O144" i="3" s="1"/>
  <c r="O145" i="3" s="1"/>
  <c r="K40" i="4"/>
  <c r="AF66" i="3"/>
  <c r="AH66" i="3" s="1"/>
  <c r="M140" i="3"/>
  <c r="O59" i="4"/>
  <c r="M56" i="4"/>
  <c r="K57" i="4"/>
  <c r="K63" i="4"/>
  <c r="J15" i="4"/>
  <c r="J27" i="4"/>
  <c r="L15" i="4"/>
  <c r="L19" i="4"/>
  <c r="O53" i="4"/>
  <c r="M53" i="4"/>
  <c r="O56" i="4"/>
  <c r="K53" i="4"/>
  <c r="L27" i="4"/>
  <c r="O55" i="4"/>
  <c r="P19" i="4"/>
  <c r="J19" i="4"/>
  <c r="Q59" i="4"/>
  <c r="K54" i="4"/>
  <c r="M55" i="4"/>
  <c r="P15" i="4"/>
  <c r="P27" i="4"/>
  <c r="Q53" i="4"/>
  <c r="Q55" i="4"/>
  <c r="O63" i="4"/>
  <c r="O57" i="4"/>
  <c r="K56" i="4"/>
  <c r="N15" i="4"/>
  <c r="N19" i="4"/>
  <c r="N27" i="4"/>
  <c r="G39" i="4"/>
  <c r="G57" i="4"/>
  <c r="G59" i="4"/>
  <c r="G32" i="4"/>
  <c r="G63" i="4"/>
  <c r="G13" i="4"/>
  <c r="G40" i="4"/>
  <c r="G49" i="4"/>
  <c r="G67" i="4"/>
  <c r="C6" i="4"/>
  <c r="F50" i="4"/>
  <c r="I63" i="4"/>
  <c r="I59" i="4"/>
  <c r="I40" i="4"/>
  <c r="F30" i="4"/>
  <c r="H30" i="4"/>
  <c r="H20" i="4"/>
  <c r="H24" i="4"/>
  <c r="H21" i="4"/>
  <c r="H23" i="4"/>
  <c r="F59" i="4"/>
  <c r="U21" i="3" l="1"/>
  <c r="L141" i="14"/>
  <c r="L142" i="14" s="1"/>
  <c r="L143" i="14" s="1"/>
  <c r="L144" i="14" s="1"/>
  <c r="K141" i="14"/>
  <c r="K142" i="14" s="1"/>
  <c r="K143" i="14" s="1"/>
  <c r="K144" i="14" s="1"/>
  <c r="K151" i="14"/>
  <c r="J141" i="13"/>
  <c r="J142" i="13" s="1"/>
  <c r="J143" i="13" s="1"/>
  <c r="J144" i="13" s="1"/>
  <c r="J151" i="13"/>
  <c r="L139" i="13"/>
  <c r="S2" i="13"/>
  <c r="L140" i="13"/>
  <c r="K140" i="13"/>
  <c r="K139" i="13"/>
  <c r="J141" i="12"/>
  <c r="J142" i="12" s="1"/>
  <c r="J143" i="12" s="1"/>
  <c r="J144" i="12" s="1"/>
  <c r="L140" i="12"/>
  <c r="L139" i="12"/>
  <c r="S2" i="12"/>
  <c r="K140" i="12"/>
  <c r="K139" i="12"/>
  <c r="U33" i="3"/>
  <c r="U29" i="3"/>
  <c r="O112" i="3"/>
  <c r="L173" i="3" s="1"/>
  <c r="U32" i="3"/>
  <c r="U53" i="3"/>
  <c r="U48" i="3"/>
  <c r="U44" i="3"/>
  <c r="U55" i="3"/>
  <c r="U39" i="3"/>
  <c r="U28" i="3"/>
  <c r="U24" i="3"/>
  <c r="U40" i="3"/>
  <c r="U27" i="3"/>
  <c r="L169" i="3"/>
  <c r="U25" i="3"/>
  <c r="U15" i="3"/>
  <c r="U54" i="3"/>
  <c r="U42" i="3"/>
  <c r="U50" i="3"/>
  <c r="U52" i="3"/>
  <c r="V35" i="3"/>
  <c r="U60" i="3"/>
  <c r="U38" i="3"/>
  <c r="U17" i="3"/>
  <c r="U47" i="3"/>
  <c r="AH76" i="3"/>
  <c r="W82" i="3"/>
  <c r="U57" i="3"/>
  <c r="S12" i="3"/>
  <c r="U45" i="3"/>
  <c r="P26" i="4"/>
  <c r="P32" i="4" s="1"/>
  <c r="U16" i="3"/>
  <c r="U43" i="3"/>
  <c r="U56" i="3"/>
  <c r="U22" i="3"/>
  <c r="O108" i="3"/>
  <c r="L172" i="3" s="1"/>
  <c r="S110" i="3"/>
  <c r="T112" i="3"/>
  <c r="U18" i="3"/>
  <c r="U41" i="3"/>
  <c r="U19" i="3"/>
  <c r="U59" i="3"/>
  <c r="U46" i="3"/>
  <c r="U26" i="3"/>
  <c r="U58" i="3"/>
  <c r="V12" i="3"/>
  <c r="S35" i="3"/>
  <c r="T12" i="3"/>
  <c r="N12" i="3" s="1"/>
  <c r="U51" i="3"/>
  <c r="U23" i="3"/>
  <c r="U30" i="3"/>
  <c r="U20" i="3"/>
  <c r="V64" i="3"/>
  <c r="U31" i="3"/>
  <c r="W69" i="3"/>
  <c r="W78" i="3"/>
  <c r="T35" i="3"/>
  <c r="N35" i="3" s="1"/>
  <c r="U14" i="3"/>
  <c r="W70" i="3"/>
  <c r="U49" i="3"/>
  <c r="W68" i="3"/>
  <c r="U37" i="3"/>
  <c r="W86" i="3"/>
  <c r="W74" i="3"/>
  <c r="W66" i="3"/>
  <c r="W67" i="3"/>
  <c r="AH69" i="3"/>
  <c r="AF69" i="3"/>
  <c r="AF67" i="3"/>
  <c r="T64" i="3"/>
  <c r="O91" i="3" s="1"/>
  <c r="W73" i="3"/>
  <c r="O64" i="3"/>
  <c r="W79" i="3"/>
  <c r="U64" i="3"/>
  <c r="L64" i="3" s="1"/>
  <c r="W84" i="3"/>
  <c r="W89" i="3"/>
  <c r="S64" i="3"/>
  <c r="W76" i="3"/>
  <c r="W77" i="3"/>
  <c r="W83" i="3"/>
  <c r="O12" i="3"/>
  <c r="W72" i="3"/>
  <c r="W88" i="3"/>
  <c r="W81" i="3"/>
  <c r="W71" i="3"/>
  <c r="W87" i="3"/>
  <c r="O35" i="3"/>
  <c r="AH75" i="3"/>
  <c r="AF75" i="3"/>
  <c r="W85" i="3"/>
  <c r="W75" i="3"/>
  <c r="W80" i="3"/>
  <c r="AF87" i="3"/>
  <c r="AH87" i="3"/>
  <c r="AH71" i="3"/>
  <c r="AF71" i="3"/>
  <c r="AH83" i="3"/>
  <c r="AF83" i="3"/>
  <c r="AH79" i="3"/>
  <c r="AF79" i="3"/>
  <c r="J26" i="4"/>
  <c r="J32" i="4" s="1"/>
  <c r="J39" i="4" s="1"/>
  <c r="C40" i="4"/>
  <c r="M141" i="3"/>
  <c r="M142" i="3" s="1"/>
  <c r="M143" i="3" s="1"/>
  <c r="M144" i="3" s="1"/>
  <c r="M145" i="3" s="1"/>
  <c r="M151" i="3"/>
  <c r="L26" i="4"/>
  <c r="L32" i="4" s="1"/>
  <c r="N26" i="4"/>
  <c r="N32" i="4" s="1"/>
  <c r="F23" i="4"/>
  <c r="H25" i="4"/>
  <c r="F38" i="4"/>
  <c r="H17" i="4"/>
  <c r="H16" i="4"/>
  <c r="F21" i="4"/>
  <c r="H18" i="4"/>
  <c r="F36" i="4"/>
  <c r="H22" i="4"/>
  <c r="F37" i="4"/>
  <c r="F24" i="4"/>
  <c r="F20" i="4"/>
  <c r="L151" i="14" l="1"/>
  <c r="K141" i="13"/>
  <c r="K142" i="13" s="1"/>
  <c r="K143" i="13" s="1"/>
  <c r="K144" i="13" s="1"/>
  <c r="K151" i="13"/>
  <c r="L141" i="13"/>
  <c r="L142" i="13" s="1"/>
  <c r="L143" i="13" s="1"/>
  <c r="L144" i="13" s="1"/>
  <c r="J151" i="12"/>
  <c r="K141" i="12"/>
  <c r="K142" i="12" s="1"/>
  <c r="K143" i="12" s="1"/>
  <c r="K144" i="12" s="1"/>
  <c r="K151" i="12"/>
  <c r="L141" i="12"/>
  <c r="L142" i="12" s="1"/>
  <c r="L143" i="12" s="1"/>
  <c r="L144" i="12" s="1"/>
  <c r="L151" i="12" s="1"/>
  <c r="O97" i="3"/>
  <c r="C38" i="4"/>
  <c r="U35" i="3"/>
  <c r="M35" i="3" s="1"/>
  <c r="O98" i="3"/>
  <c r="H15" i="4"/>
  <c r="H19" i="4"/>
  <c r="S112" i="3"/>
  <c r="U12" i="3"/>
  <c r="M12" i="3" s="1"/>
  <c r="L166" i="3"/>
  <c r="M64" i="3"/>
  <c r="C37" i="4"/>
  <c r="J64" i="3"/>
  <c r="W64" i="3"/>
  <c r="N64" i="3" s="1"/>
  <c r="L165" i="3"/>
  <c r="L163" i="3"/>
  <c r="L162" i="3"/>
  <c r="H64" i="3"/>
  <c r="O62" i="3"/>
  <c r="O101" i="3"/>
  <c r="K21" i="4"/>
  <c r="K23" i="4"/>
  <c r="K19" i="4"/>
  <c r="K31" i="4"/>
  <c r="K22" i="4"/>
  <c r="K20" i="4"/>
  <c r="K16" i="4"/>
  <c r="K26" i="4"/>
  <c r="K24" i="4"/>
  <c r="K30" i="4"/>
  <c r="K15" i="4"/>
  <c r="K18" i="4"/>
  <c r="K17" i="4"/>
  <c r="K28" i="4"/>
  <c r="K27" i="4"/>
  <c r="K25" i="4"/>
  <c r="K29" i="4"/>
  <c r="M15" i="4"/>
  <c r="M29" i="4"/>
  <c r="L39" i="4"/>
  <c r="M27" i="4"/>
  <c r="M26" i="4"/>
  <c r="M31" i="4"/>
  <c r="M28" i="4"/>
  <c r="M30" i="4"/>
  <c r="M16" i="4"/>
  <c r="M21" i="4"/>
  <c r="M17" i="4"/>
  <c r="M25" i="4"/>
  <c r="M20" i="4"/>
  <c r="M18" i="4"/>
  <c r="M19" i="4"/>
  <c r="M24" i="4"/>
  <c r="M23" i="4"/>
  <c r="M22" i="4"/>
  <c r="Q19" i="4"/>
  <c r="Q21" i="4"/>
  <c r="Q20" i="4"/>
  <c r="Q25" i="4"/>
  <c r="Q27" i="4"/>
  <c r="Q29" i="4"/>
  <c r="Q17" i="4"/>
  <c r="Q28" i="4"/>
  <c r="Q22" i="4"/>
  <c r="Q15" i="4"/>
  <c r="Q30" i="4"/>
  <c r="Q31" i="4"/>
  <c r="Q26" i="4"/>
  <c r="Q18" i="4"/>
  <c r="Q24" i="4"/>
  <c r="P39" i="4"/>
  <c r="Q23" i="4"/>
  <c r="Q16" i="4"/>
  <c r="O23" i="4"/>
  <c r="O22" i="4"/>
  <c r="O26" i="4"/>
  <c r="O15" i="4"/>
  <c r="O25" i="4"/>
  <c r="O21" i="4"/>
  <c r="O19" i="4"/>
  <c r="O20" i="4"/>
  <c r="O29" i="4"/>
  <c r="O17" i="4"/>
  <c r="N39" i="4"/>
  <c r="O30" i="4"/>
  <c r="O24" i="4"/>
  <c r="O16" i="4"/>
  <c r="O27" i="4"/>
  <c r="O31" i="4"/>
  <c r="O28" i="4"/>
  <c r="O18" i="4"/>
  <c r="F22" i="4"/>
  <c r="H28" i="4"/>
  <c r="F16" i="4"/>
  <c r="F17" i="4"/>
  <c r="H29" i="4"/>
  <c r="F18" i="4"/>
  <c r="L151" i="13" l="1"/>
  <c r="L159" i="3"/>
  <c r="H26" i="4"/>
  <c r="H27" i="4"/>
  <c r="L158" i="3"/>
  <c r="O92" i="3"/>
  <c r="F19" i="4"/>
  <c r="L164" i="3"/>
  <c r="L161" i="3" s="1"/>
  <c r="F15" i="4"/>
  <c r="L160" i="3"/>
  <c r="O94" i="3"/>
  <c r="H31" i="4"/>
  <c r="F25" i="4"/>
  <c r="L157" i="3" l="1"/>
  <c r="H32" i="4"/>
  <c r="F26" i="4"/>
  <c r="L167" i="3"/>
  <c r="F28" i="4"/>
  <c r="F29" i="4"/>
  <c r="I31" i="4" l="1"/>
  <c r="I15" i="4"/>
  <c r="H39" i="4"/>
  <c r="I25" i="4"/>
  <c r="I29" i="4"/>
  <c r="I26" i="4"/>
  <c r="I24" i="4"/>
  <c r="I18" i="4"/>
  <c r="I17" i="4"/>
  <c r="I23" i="4"/>
  <c r="I27" i="4"/>
  <c r="I22" i="4"/>
  <c r="I19" i="4"/>
  <c r="I16" i="4"/>
  <c r="I28" i="4"/>
  <c r="I20" i="4"/>
  <c r="I30" i="4"/>
  <c r="I21" i="4"/>
  <c r="L168" i="3"/>
  <c r="F27" i="4"/>
  <c r="O102" i="3"/>
  <c r="O103" i="3"/>
  <c r="F31" i="4"/>
  <c r="O96" i="3" l="1"/>
  <c r="O104" i="3" s="1"/>
  <c r="P97" i="3" s="1"/>
  <c r="F32" i="4"/>
  <c r="G16" i="4" s="1"/>
  <c r="C16" i="4" s="1"/>
  <c r="L170" i="3"/>
  <c r="L171" i="3" s="1"/>
  <c r="H49" i="4"/>
  <c r="Y168" i="3" l="1"/>
  <c r="Y169" i="3"/>
  <c r="M171" i="3"/>
  <c r="M167" i="3"/>
  <c r="M163" i="3"/>
  <c r="M159" i="3"/>
  <c r="M169" i="3"/>
  <c r="M161" i="3"/>
  <c r="M168" i="3"/>
  <c r="M164" i="3"/>
  <c r="M160" i="3"/>
  <c r="M170" i="3"/>
  <c r="M166" i="3"/>
  <c r="M162" i="3"/>
  <c r="M158" i="3"/>
  <c r="M165" i="3"/>
  <c r="M157" i="3"/>
  <c r="P89" i="3"/>
  <c r="P14" i="3"/>
  <c r="P25" i="3"/>
  <c r="P62" i="3"/>
  <c r="P59" i="3"/>
  <c r="P38" i="3"/>
  <c r="P29" i="3"/>
  <c r="P50" i="3"/>
  <c r="P112" i="3"/>
  <c r="P113" i="3"/>
  <c r="P78" i="3"/>
  <c r="P102" i="3"/>
  <c r="P58" i="3"/>
  <c r="P60" i="3"/>
  <c r="O117" i="3"/>
  <c r="L140" i="3" s="1"/>
  <c r="L141" i="3" s="1"/>
  <c r="L142" i="3" s="1"/>
  <c r="L143" i="3" s="1"/>
  <c r="L144" i="3" s="1"/>
  <c r="P103" i="3"/>
  <c r="P75" i="3"/>
  <c r="P32" i="3"/>
  <c r="P85" i="3"/>
  <c r="P12" i="3"/>
  <c r="P37" i="3"/>
  <c r="P48" i="3"/>
  <c r="P39" i="3"/>
  <c r="P43" i="3"/>
  <c r="P72" i="3"/>
  <c r="P41" i="3"/>
  <c r="P51" i="3"/>
  <c r="P17" i="3"/>
  <c r="P92" i="3"/>
  <c r="P96" i="3"/>
  <c r="P94" i="3"/>
  <c r="P56" i="3"/>
  <c r="P101" i="3"/>
  <c r="P68" i="3"/>
  <c r="P87" i="3"/>
  <c r="P27" i="3"/>
  <c r="P46" i="3"/>
  <c r="P83" i="3"/>
  <c r="P67" i="3"/>
  <c r="P23" i="3"/>
  <c r="P86" i="3"/>
  <c r="P80" i="3"/>
  <c r="P45" i="3"/>
  <c r="P24" i="3"/>
  <c r="P66" i="3"/>
  <c r="P55" i="3"/>
  <c r="P40" i="3"/>
  <c r="P74" i="3"/>
  <c r="P84" i="3"/>
  <c r="P49" i="3"/>
  <c r="P73" i="3"/>
  <c r="P26" i="3"/>
  <c r="P18" i="3"/>
  <c r="P100" i="3"/>
  <c r="P88" i="3"/>
  <c r="P30" i="3"/>
  <c r="P15" i="3"/>
  <c r="P70" i="3"/>
  <c r="P31" i="3"/>
  <c r="P52" i="3"/>
  <c r="P64" i="3"/>
  <c r="P71" i="3"/>
  <c r="P98" i="3"/>
  <c r="P16" i="3"/>
  <c r="P22" i="3"/>
  <c r="P91" i="3"/>
  <c r="P81" i="3"/>
  <c r="P20" i="3"/>
  <c r="P47" i="3"/>
  <c r="P35" i="3"/>
  <c r="J139" i="3"/>
  <c r="P99" i="3"/>
  <c r="P69" i="3"/>
  <c r="P54" i="3"/>
  <c r="P42" i="3"/>
  <c r="P114" i="3"/>
  <c r="P21" i="3"/>
  <c r="P82" i="3"/>
  <c r="P79" i="3"/>
  <c r="P109" i="3"/>
  <c r="O110" i="3"/>
  <c r="K140" i="3" s="1"/>
  <c r="K141" i="3" s="1"/>
  <c r="K142" i="3" s="1"/>
  <c r="P53" i="3"/>
  <c r="P28" i="3"/>
  <c r="J140" i="3"/>
  <c r="J141" i="3" s="1"/>
  <c r="J142" i="3" s="1"/>
  <c r="J143" i="3" s="1"/>
  <c r="J144" i="3" s="1"/>
  <c r="P108" i="3"/>
  <c r="P77" i="3"/>
  <c r="P57" i="3"/>
  <c r="P33" i="3"/>
  <c r="P76" i="3"/>
  <c r="P19" i="3"/>
  <c r="P44" i="3"/>
  <c r="G15" i="4"/>
  <c r="C15" i="4" s="1"/>
  <c r="G31" i="4"/>
  <c r="C31" i="4" s="1"/>
  <c r="G30" i="4"/>
  <c r="C30" i="4" s="1"/>
  <c r="G28" i="4"/>
  <c r="C28" i="4" s="1"/>
  <c r="G23" i="4"/>
  <c r="C23" i="4" s="1"/>
  <c r="G18" i="4"/>
  <c r="C18" i="4" s="1"/>
  <c r="G20" i="4"/>
  <c r="C20" i="4" s="1"/>
  <c r="G26" i="4"/>
  <c r="C26" i="4" s="1"/>
  <c r="G22" i="4"/>
  <c r="C22" i="4" s="1"/>
  <c r="G29" i="4"/>
  <c r="C29" i="4" s="1"/>
  <c r="G24" i="4"/>
  <c r="C24" i="4" s="1"/>
  <c r="G27" i="4"/>
  <c r="C27" i="4" s="1"/>
  <c r="F39" i="4"/>
  <c r="C39" i="4" s="1"/>
  <c r="G21" i="4"/>
  <c r="C21" i="4" s="1"/>
  <c r="G19" i="4"/>
  <c r="C19" i="4" s="1"/>
  <c r="G17" i="4"/>
  <c r="C17" i="4" s="1"/>
  <c r="G25" i="4"/>
  <c r="C25" i="4" s="1"/>
  <c r="C32" i="4"/>
  <c r="D32" i="4" s="1"/>
  <c r="L174" i="3"/>
  <c r="F49" i="4"/>
  <c r="F53" i="4"/>
  <c r="F54" i="4"/>
  <c r="H63" i="4"/>
  <c r="H53" i="4"/>
  <c r="I53" i="4" l="1"/>
  <c r="S2" i="3"/>
  <c r="L139" i="3"/>
  <c r="L151" i="3"/>
  <c r="K139" i="3"/>
  <c r="D31" i="4"/>
  <c r="D24" i="4"/>
  <c r="D19" i="4"/>
  <c r="D29" i="4"/>
  <c r="D15" i="4"/>
  <c r="D26" i="4"/>
  <c r="D22" i="4"/>
  <c r="D18" i="4"/>
  <c r="D17" i="4"/>
  <c r="D27" i="4"/>
  <c r="D30" i="4"/>
  <c r="D16" i="4"/>
  <c r="D20" i="4"/>
  <c r="D28" i="4"/>
  <c r="D23" i="4"/>
  <c r="D21" i="4"/>
  <c r="D25" i="4"/>
  <c r="J151" i="3"/>
  <c r="G53" i="4"/>
  <c r="G54" i="4"/>
  <c r="K143" i="3"/>
  <c r="H54" i="4"/>
  <c r="F55" i="4"/>
  <c r="I54" i="4" l="1"/>
  <c r="G55" i="4"/>
  <c r="K144" i="3"/>
  <c r="K151" i="3" s="1"/>
  <c r="F63" i="4"/>
  <c r="H55" i="4"/>
  <c r="F56" i="4"/>
  <c r="I55" i="4" l="1"/>
  <c r="G56" i="4"/>
  <c r="H56" i="4"/>
  <c r="I5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Andy</author>
  </authors>
  <commentList>
    <comment ref="J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Estimated average annual volume
FPV (Financial Planning Volume)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geschätztes Durchschnittsvolumen pro Jahr</t>
        </r>
      </text>
    </comment>
    <comment ref="K3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Peak annual volume for capacity calculations 
CPV (Capacity Planning Volume)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Max. Jahresvolumen für Kapazitätsberechnungen</t>
        </r>
      </text>
    </comment>
    <comment ref="D6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Primary Option for quote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Haupt-Standort für Angebot</t>
        </r>
      </text>
    </comment>
    <comment ref="F6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Secondary Option for quote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Alternativer Standort für Angebot</t>
        </r>
      </text>
    </comment>
    <comment ref="G6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Third Option for quote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Zweiter alternativer Standort für Angebot</t>
        </r>
      </text>
    </comment>
    <comment ref="G13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Unit of Measure (UoM) eg. kg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Maßeinheit z.B. kg</t>
        </r>
      </text>
    </comment>
    <comment ref="H13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Amount/quantity  of material that ends up in the product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Materialmenge im Produkt</t>
        </r>
      </text>
    </comment>
    <comment ref="I13" authorId="0" shapeId="0" xr:uid="{00000000-0006-0000-0000-00000800000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incl. Process waste,   excl. Scrap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inkl. Prozessabfall,
exkl. Ausschuss</t>
        </r>
      </text>
    </comment>
    <comment ref="J13" authorId="0" shapeId="0" xr:uid="{00000000-0006-0000-0000-00000900000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Quantity in the final assembly.
If left empty, then 1 is assumed.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Anzahl im Endprodukt. Bei freilassen wird 1 angenommen.</t>
        </r>
      </text>
    </comment>
    <comment ref="K13" authorId="0" shapeId="0" xr:uid="{00000000-0006-0000-0000-00000A00000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Cost per Unit of Measure (UoM) eg. "per kg"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Preis pro Einheit zB. "pro kg"</t>
        </r>
      </text>
    </comment>
    <comment ref="L13" authorId="0" shapeId="0" xr:uid="{00000000-0006-0000-0000-00000B00000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Net value at which waste &amp; scrap can be resold. Enter positive values in same Unit of Measure (UoM)!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Nettoverkaufspreis für Abfall. Positive Zahl für gleiche Einheit eingeben!</t>
        </r>
      </text>
    </comment>
    <comment ref="M13" authorId="0" shapeId="0" xr:uid="{00000000-0006-0000-0000-00000C00000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Inbound freight
      [%]:     Freight as % of Unit Cost
      [/UoM]: Freight as value per unit of measure (eg kg)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 xml:space="preserve">Inbound Fracht
      [%]:   Fracht als % auf Preis/Einheit
      [/Einheit] Fracht als Wert/Preis pro Einheit  </t>
        </r>
      </text>
    </comment>
    <comment ref="M36" authorId="0" shapeId="0" xr:uid="{00000000-0006-0000-0000-00000D000000}">
      <text>
        <r>
          <rPr>
            <b/>
            <sz val="10"/>
            <color indexed="81"/>
            <rFont val="Tahoma"/>
            <family val="2"/>
          </rPr>
          <t>EN:</t>
        </r>
        <r>
          <rPr>
            <sz val="10"/>
            <color indexed="81"/>
            <rFont val="Tahoma"/>
            <family val="2"/>
          </rPr>
          <t xml:space="preserve"> Inbound freight
      [%]:     Freight as % of Unit Cost
      [/UoM]: Freight as value per unit of measure (eg kg)
</t>
        </r>
        <r>
          <rPr>
            <b/>
            <sz val="10"/>
            <color indexed="81"/>
            <rFont val="Tahoma"/>
            <family val="2"/>
          </rPr>
          <t>DE:</t>
        </r>
        <r>
          <rPr>
            <sz val="10"/>
            <color indexed="81"/>
            <rFont val="Tahoma"/>
            <family val="2"/>
          </rPr>
          <t xml:space="preserve"> Inbound Fracht
      [%]:   Fracht als % auf Preis/Einheit
      [/Einheit] Fracht als Wert/Preis pro Einheit  </t>
        </r>
      </text>
    </comment>
    <comment ref="G64" authorId="0" shapeId="0" xr:uid="{00000000-0006-0000-0000-00000E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Machine Cost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Maschinenkosten</t>
        </r>
      </text>
    </comment>
    <comment ref="I64" authorId="0" shapeId="0" xr:uid="{00000000-0006-0000-0000-00000F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Direct Labour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Direkte Lohnkosten</t>
        </r>
      </text>
    </comment>
    <comment ref="E65" authorId="0" shapeId="0" xr:uid="{00000000-0006-0000-0000-000010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Nominal cylce time, 
excl. Overall Equipment Effectiveness (OEE)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Nenn-Zykluszeit ohne Gesamtanlageneffektivität (GAE)</t>
        </r>
      </text>
    </comment>
    <comment ref="H65" authorId="0" shapeId="0" xr:uid="{00000000-0006-0000-0000-000011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Machine rate per hour, incl. Overall Equipment Effectiveness (OEE)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Maschinen-Stundensatz inkl. Gesamtanlageneffektivität (GAE)</t>
        </r>
      </text>
    </comment>
    <comment ref="K65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EN: </t>
        </r>
        <r>
          <rPr>
            <sz val="9"/>
            <color indexed="81"/>
            <rFont val="Tahoma"/>
            <family val="2"/>
          </rPr>
          <t>Setup-Cost (Cost per Production Batch Size)</t>
        </r>
        <r>
          <rPr>
            <b/>
            <sz val="9"/>
            <color indexed="81"/>
            <rFont val="Tahoma"/>
            <family val="2"/>
          </rPr>
          <t xml:space="preserve">
DE: </t>
        </r>
        <r>
          <rPr>
            <sz val="9"/>
            <color indexed="81"/>
            <rFont val="Tahoma"/>
            <family val="2"/>
          </rPr>
          <t>Rüstkosten (Kosten je Fertigungslos)</t>
        </r>
      </text>
    </comment>
    <comment ref="M65" authorId="0" shapeId="0" xr:uid="{00000000-0006-0000-0000-000013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Cost for maintenance of the tooling, excluding initial investment (cost per part)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Wartungskosten ohne Anfangs-Investment (Kosten pro Bauteil)</t>
        </r>
      </text>
    </comment>
    <comment ref="N65" authorId="0" shapeId="0" xr:uid="{00000000-0006-0000-0000-000014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Production scrap
(total for each process)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Ausschuss (gesamt je Prozess)</t>
        </r>
      </text>
    </comment>
    <comment ref="AA65" authorId="0" shapeId="0" xr:uid="{00000000-0006-0000-0000-000015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Equipment performance during production 
(excl. scrap and setup); in (%)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Nutzungsgrad während der Produktion (ohne Ausschuss und Rüsten); in (%)</t>
        </r>
      </text>
    </comment>
    <comment ref="AG65" authorId="1" shapeId="0" xr:uid="{00000000-0006-0000-0000-000016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Overall Equipment Effectiveness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Gesamtanlagen-Effektivität (GAE)</t>
        </r>
      </text>
    </comment>
    <comment ref="J91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EN:</t>
        </r>
        <r>
          <rPr>
            <sz val="9"/>
            <color indexed="81"/>
            <rFont val="Tahoma"/>
            <family val="2"/>
          </rPr>
          <t xml:space="preserve"> Choose base of overhead factor -&gt; direct labour (% of labour costs) or value added (% of labour and machine and setup costs);
HINT: The CALC4XL database value relates to direct labour!
</t>
        </r>
        <r>
          <rPr>
            <b/>
            <sz val="9"/>
            <color indexed="81"/>
            <rFont val="Tahoma"/>
            <family val="2"/>
          </rPr>
          <t>DE:</t>
        </r>
        <r>
          <rPr>
            <sz val="9"/>
            <color indexed="81"/>
            <rFont val="Tahoma"/>
            <family val="2"/>
          </rPr>
          <t xml:space="preserve"> Wähle Basis der Gemeinkosten -&gt; direkte Lohnkosten (% auf Lohnkosten) oder auf Wertschöpfung (% auf Lohn-, Maschinen- und Setupkosten)
Hinweis: Die CALC4XL Datenbankwerte beziehen sich auf direkte Lohnkosten!</t>
        </r>
      </text>
    </comment>
    <comment ref="M91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direct labour!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direkte Lohnkosten! Daher bedeutet ORANGE, dass Sie den Gemeinkostenfaktor manuell ändern müssen.</t>
        </r>
      </text>
    </comment>
    <comment ref="K97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Choose base of overhead factor -&gt; value added (% of machine and labour and setup costs + surcharge production) or manufactured cost (% of total production costs, i.e. sum of 2.1 till 2.6);
HINT: The CALC4XL database value relates to value added!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Wähle Basis der Gemeinkosten -&gt; Wertschöpfung (% auf Maschinen-, Lohn- und Setupkosten + Zuschlag Produktion) oder Produktionskosten (% auf Gesamtproduktionskosten, also auf die Summe von 2.1-2.6);
Hinweis: Die CALC4XL Datenbankwerte beziehen sich auf Wertschöpfung!</t>
        </r>
      </text>
    </comment>
    <comment ref="M97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N97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K98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Choose base of overhead factor -&gt; value added (% of machine and labour and setup costs + surcharge production) or manufactured cost (% of total production costs, i.e. sum of 2.1 till 2.6);
HINT: The CALC4XL database value relates to value added!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Wähle Basis der Gemeinkosten -&gt; Wertschöpfung (% auf Maschinen-, Lohn- und Setupkosten + Zuschlag Produktion) oder Produktionskosten (% auf Gesamtproduktionskosten, also auf die Summe von 2.1-2.6);
Hinweis: Die CALC4XL Datenbankwerte beziehen sich auf Wertschöpfung!</t>
        </r>
      </text>
    </comment>
    <comment ref="M98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M103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EN: </t>
        </r>
        <r>
          <rPr>
            <sz val="9"/>
            <color indexed="81"/>
            <rFont val="Tahoma"/>
            <family val="2"/>
          </rPr>
          <t xml:space="preserve">Profit on complete value chain and pruchase parts and overheads (Fill this OR two upper cells!)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Gewinn auf die komplette Wertschöpfung und Einkaufsteile und Gemeinkosten (Fülle diese ODER die zwei oberen Zellen!)</t>
        </r>
      </text>
    </comment>
    <comment ref="J107" authorId="0" shapeId="0" xr:uid="{00000000-0006-0000-0000-00001F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Inserts for the box. 
Eg. plastic bag, separation layers, etc.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Einsätze wie Plastiktüte, Trennebene usw.</t>
        </r>
      </text>
    </comment>
    <comment ref="Y107" authorId="0" shapeId="0" xr:uid="{00000000-0006-0000-0000-000020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How many cycles does the box complete (on average) before being replaced. Default is 50.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Wie viele Zyklen wird die Box (durchschnittlich) verwendet, bevor sie ersetzt wird? Default: 50.</t>
        </r>
      </text>
    </comment>
    <comment ref="AD107" authorId="0" shapeId="0" xr:uid="{00000000-0006-0000-0000-000021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Incl. base pallet weight of 15kg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Inklusive Palettengewicht von 15kg</t>
        </r>
      </text>
    </comment>
    <comment ref="I109" authorId="0" shapeId="0" xr:uid="{00000000-0006-0000-0000-000022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Only if supplier owned packaging is amortised in the piece price. 
Calculation based on 50 cycle box lifetime (~2% loss), or value in Column Y.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Nur wenn die Zulieferer-Verpackung im Stückpreis amortisiert ist.
Kalkulationsbasis: 50 Zyklen, bevor Box ersetzt wird (2% Verlust), oder Wert von Spalte Y.</t>
        </r>
      </text>
    </comment>
    <comment ref="A112" authorId="0" shapeId="0" xr:uid="{00000000-0006-0000-0000-000023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Primary Option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Haupt-Option</t>
        </r>
      </text>
    </comment>
    <comment ref="C116" authorId="0" shapeId="0" xr:uid="{00000000-0006-0000-0000-000024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Supplier reference number for quotation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Zulieferer-Referenzenummer für Angebot</t>
        </r>
      </text>
    </comment>
    <comment ref="F122" authorId="0" shapeId="0" xr:uid="{00000000-0006-0000-0000-000025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Number of tools required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Anzahl der bnötigten Werkzeuge</t>
        </r>
      </text>
    </comment>
    <comment ref="H122" authorId="0" shapeId="0" xr:uid="{00000000-0006-0000-0000-000026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Overall timing of the tool, incl. production part approval process (PPAP) preparation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gesamte Zeitplanung für das Werkzeug inklusive Vorbereitung für Produktionsteil-Abnahmeverfahren</t>
        </r>
      </text>
    </comment>
    <comment ref="I122" authorId="0" shapeId="0" xr:uid="{00000000-0006-0000-0000-000027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First-Off-Tool timing in weeks.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Erstbemusterungs-Werkzeug Zeit in Wochen</t>
        </r>
      </text>
    </comment>
    <comment ref="J122" authorId="0" shapeId="0" xr:uid="{00000000-0006-0000-0000-000028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Guaranteed minimun tool lifetime [parts]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Garantierte minimale Lebenszeit</t>
        </r>
      </text>
    </comment>
    <comment ref="K122" authorId="0" shapeId="0" xr:uid="{00000000-0006-0000-0000-000029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Maximum number of parts that can be produced from the tool (per week)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Maximal mögliche Anzahl produzierter Bauteile vom Werkzeug (je Woche)</t>
        </r>
      </text>
    </comment>
    <comment ref="L122" authorId="0" shapeId="0" xr:uid="{00000000-0006-0000-0000-00002A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Maximum number of parts that can be produced by the machine/equipment (per week)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Maximal mögliche Anzahl produzierter Bauteile von der Maschine/Gerät (pro Woche)</t>
        </r>
      </text>
    </comment>
    <comment ref="M122" authorId="0" shapeId="0" xr:uid="{00000000-0006-0000-0000-00002B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Total number of parts the supplier is capable of supplying in 1 year. It is the maximum the supplier </t>
        </r>
        <r>
          <rPr>
            <u/>
            <sz val="10"/>
            <color indexed="81"/>
            <rFont val="Tahoma"/>
            <family val="2"/>
          </rPr>
          <t>could</t>
        </r>
        <r>
          <rPr>
            <sz val="10"/>
            <color indexed="81"/>
            <rFont val="Tahoma"/>
            <family val="2"/>
          </rPr>
          <t xml:space="preserve"> supply, if required.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Gesamtanzahl der Teile, welche der Zulieferer liefern könnte, pro Jahr.</t>
        </r>
      </text>
    </comment>
    <comment ref="G135" authorId="1" shapeId="0" xr:uid="{00000000-0006-0000-0000-00002C000000}">
      <text>
        <r>
          <rPr>
            <b/>
            <sz val="9"/>
            <color indexed="81"/>
            <rFont val="Tahoma"/>
            <family val="2"/>
          </rPr>
          <t>EN:</t>
        </r>
        <r>
          <rPr>
            <sz val="9"/>
            <color indexed="81"/>
            <rFont val="Tahoma"/>
            <family val="2"/>
          </rPr>
          <t xml:space="preserve"> How long the actual price will be guaranteed after end of production.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Wie lange der derzeitige Preis nach Produktionsende noch garantiert wird.</t>
        </r>
      </text>
    </comment>
    <comment ref="I139" authorId="0" shapeId="0" xr:uid="{00000000-0006-0000-0000-00002D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Annual price reduction committment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Jährliche Preisreduktions-Vereinbarung</t>
        </r>
      </text>
    </comment>
    <comment ref="G141" authorId="0" shapeId="0" xr:uid="{00000000-0006-0000-0000-00002E00000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Starting date of 
productivity price reductions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Startpunkt der Preisreduktion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Andy</author>
  </authors>
  <commentList>
    <comment ref="J3" authorId="0" shapeId="0" xr:uid="{87F0C8B5-945F-4ADC-AC1C-04A8461848F8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Estimated average annual volume
FPV (Financial Planning Volume)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geschätztes Durchschnittsvolumen pro Jahr</t>
        </r>
      </text>
    </comment>
    <comment ref="K3" authorId="0" shapeId="0" xr:uid="{0260BE91-606F-41A3-8C52-F3DCFCF50B0B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Peak annual volume for capacity calculations 
CPV (Capacity Planning Volume)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Max. Jahresvolumen für Kapazitätsberechnungen</t>
        </r>
      </text>
    </comment>
    <comment ref="D6" authorId="0" shapeId="0" xr:uid="{F8756050-9601-4609-B104-67512EE90E4B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Primary Option for quote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Haupt-Standort für Angebot</t>
        </r>
      </text>
    </comment>
    <comment ref="F6" authorId="1" shapeId="0" xr:uid="{C7A7F66B-0D61-4E80-8B41-3F81CFF5591B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Secondary Option for quote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Alternativer Standort für Angebot</t>
        </r>
      </text>
    </comment>
    <comment ref="G6" authorId="1" shapeId="0" xr:uid="{C9AE1834-128C-463E-BF1A-9A2B4FC49207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Third Option for quote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Zweiter alternativer Standort für Angebot</t>
        </r>
      </text>
    </comment>
    <comment ref="G13" authorId="0" shapeId="0" xr:uid="{75BFFEF5-FC1C-498B-B0D7-4ACB1535B247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Unit of Measure (UoM) eg. kg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Maßeinheit z.B. kg</t>
        </r>
      </text>
    </comment>
    <comment ref="H13" authorId="0" shapeId="0" xr:uid="{3AD020B4-97C5-4D13-A6C6-28E756E6A81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Amount/quantity  of material that ends up in the product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Materialmenge im Produkt</t>
        </r>
      </text>
    </comment>
    <comment ref="I13" authorId="0" shapeId="0" xr:uid="{8710E586-842B-4094-A4D4-0899094E5D81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incl. Process waste,   excl. Scrap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inkl. Prozessabfall,
exkl. Ausschuss</t>
        </r>
      </text>
    </comment>
    <comment ref="J13" authorId="0" shapeId="0" xr:uid="{1A46EA77-DEFF-42E9-8EDC-8FCDAE5DDA09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Quantity in the final assembly.
If left empty, then 1 is assumed.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Anzahl im Endprodukt. Bei freilassen wird 1 angenommen.</t>
        </r>
      </text>
    </comment>
    <comment ref="K13" authorId="0" shapeId="0" xr:uid="{90CBA124-9FE8-45E7-BB96-2158D389DC7A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Cost per Unit of Measure (UoM) eg. "per kg"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Preis pro Einheit zB. "pro kg"</t>
        </r>
      </text>
    </comment>
    <comment ref="L13" authorId="0" shapeId="0" xr:uid="{FBB82E82-742D-43F6-AE14-C76DFDCB495B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Net value at which waste &amp; scrap can be resold. Enter positive values in same Unit of Measure (UoM)!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Nettoverkaufspreis für Abfall. Positive Zahl für gleiche Einheit eingeben!</t>
        </r>
      </text>
    </comment>
    <comment ref="M13" authorId="0" shapeId="0" xr:uid="{F1372CFA-E0F6-493A-AE8C-34E4D8E616A7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Inbound freight
      [%]:     Freight as % of Unit Cost
      [/UoM]: Freight as value per unit of measure (eg kg)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 xml:space="preserve">Inbound Fracht
      [%]:   Fracht als % auf Preis/Einheit
      [/Einheit] Fracht als Wert/Preis pro Einheit  </t>
        </r>
      </text>
    </comment>
    <comment ref="M36" authorId="0" shapeId="0" xr:uid="{0FED169D-C42A-43E0-B9B2-5BCE4659CC40}">
      <text>
        <r>
          <rPr>
            <b/>
            <sz val="10"/>
            <color indexed="81"/>
            <rFont val="Tahoma"/>
            <family val="2"/>
          </rPr>
          <t>EN:</t>
        </r>
        <r>
          <rPr>
            <sz val="10"/>
            <color indexed="81"/>
            <rFont val="Tahoma"/>
            <family val="2"/>
          </rPr>
          <t xml:space="preserve"> Inbound freight
      [%]:     Freight as % of Unit Cost
      [/UoM]: Freight as value per unit of measure (eg kg)
</t>
        </r>
        <r>
          <rPr>
            <b/>
            <sz val="10"/>
            <color indexed="81"/>
            <rFont val="Tahoma"/>
            <family val="2"/>
          </rPr>
          <t>DE:</t>
        </r>
        <r>
          <rPr>
            <sz val="10"/>
            <color indexed="81"/>
            <rFont val="Tahoma"/>
            <family val="2"/>
          </rPr>
          <t xml:space="preserve"> Inbound Fracht
      [%]:   Fracht als % auf Preis/Einheit
      [/Einheit] Fracht als Wert/Preis pro Einheit  </t>
        </r>
      </text>
    </comment>
    <comment ref="G64" authorId="0" shapeId="0" xr:uid="{BC18C1A5-5F19-4F37-A922-F0388740D9D7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Machine Cost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Maschinenkosten</t>
        </r>
      </text>
    </comment>
    <comment ref="I64" authorId="0" shapeId="0" xr:uid="{502235A0-29F0-4551-94E1-15E00FD2D272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Direct Labour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Direkte Lohnkosten</t>
        </r>
      </text>
    </comment>
    <comment ref="E65" authorId="0" shapeId="0" xr:uid="{A48762E0-6F5C-4881-9786-DF74C75C2BA2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Nominal cylce time, 
excl. Overall Equipment Effectiveness (OEE)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Nenn-Zykluszeit ohne Gesamtanlageneffektivität (GAE)</t>
        </r>
      </text>
    </comment>
    <comment ref="H65" authorId="0" shapeId="0" xr:uid="{7B140E94-0887-49E2-B9FD-848CC8E54CD5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Machine rate per hour, incl. Overall Equipment Effectiveness (OEE)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Maschinen-Stundensatz inkl. Gesamtanlageneffektivität (GAE)</t>
        </r>
      </text>
    </comment>
    <comment ref="K65" authorId="1" shapeId="0" xr:uid="{700BCCF9-E0CF-4C5A-9034-DEF25A8B29DE}">
      <text>
        <r>
          <rPr>
            <b/>
            <sz val="9"/>
            <color indexed="81"/>
            <rFont val="Tahoma"/>
            <family val="2"/>
          </rPr>
          <t xml:space="preserve">EN: </t>
        </r>
        <r>
          <rPr>
            <sz val="9"/>
            <color indexed="81"/>
            <rFont val="Tahoma"/>
            <family val="2"/>
          </rPr>
          <t>Setup-Cost (Cost per Production Batch Size)</t>
        </r>
        <r>
          <rPr>
            <b/>
            <sz val="9"/>
            <color indexed="81"/>
            <rFont val="Tahoma"/>
            <family val="2"/>
          </rPr>
          <t xml:space="preserve">
DE: </t>
        </r>
        <r>
          <rPr>
            <sz val="9"/>
            <color indexed="81"/>
            <rFont val="Tahoma"/>
            <family val="2"/>
          </rPr>
          <t>Rüstkosten (Kosten je Fertigungslos)</t>
        </r>
      </text>
    </comment>
    <comment ref="M65" authorId="0" shapeId="0" xr:uid="{B9EF85C3-3E55-478B-9233-505670B0C57E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Cost for maintenance of the tooling, excluding initial investment (cost per part)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Wartungskosten ohne Anfangs-Investment (Kosten pro Bauteil)</t>
        </r>
      </text>
    </comment>
    <comment ref="N65" authorId="0" shapeId="0" xr:uid="{DFABC140-146B-4ECF-9C2F-61E26B602896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Production scrap
(total for each process)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Ausschuss (gesamt je Prozess)</t>
        </r>
      </text>
    </comment>
    <comment ref="AA65" authorId="0" shapeId="0" xr:uid="{B1BF839C-8BD7-4812-8821-4208E6FDE94E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Equipment performance during production 
(excl. scrap and setup); in (%)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Nutzungsgrad während der Produktion (ohne Ausschuss und Rüsten); in (%)</t>
        </r>
      </text>
    </comment>
    <comment ref="AG65" authorId="1" shapeId="0" xr:uid="{DC97D432-EF2A-4B59-8213-03702C020189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Overall Equipment Effectiveness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Gesamtanlagen-Effektivität (GAE)</t>
        </r>
      </text>
    </comment>
    <comment ref="J91" authorId="1" shapeId="0" xr:uid="{95E61EB5-78E9-444A-9156-F7CED24BAFC4}">
      <text>
        <r>
          <rPr>
            <b/>
            <sz val="9"/>
            <color indexed="81"/>
            <rFont val="Tahoma"/>
            <family val="2"/>
          </rPr>
          <t>EN:</t>
        </r>
        <r>
          <rPr>
            <sz val="9"/>
            <color indexed="81"/>
            <rFont val="Tahoma"/>
            <family val="2"/>
          </rPr>
          <t xml:space="preserve"> Choose base of overhead factor -&gt; direct labour (% of labour costs) or value added (% of labour and machine and setup costs);
HINT: The CALC4XL database value relates to direct labour!
</t>
        </r>
        <r>
          <rPr>
            <b/>
            <sz val="9"/>
            <color indexed="81"/>
            <rFont val="Tahoma"/>
            <family val="2"/>
          </rPr>
          <t>DE:</t>
        </r>
        <r>
          <rPr>
            <sz val="9"/>
            <color indexed="81"/>
            <rFont val="Tahoma"/>
            <family val="2"/>
          </rPr>
          <t xml:space="preserve"> Wähle Basis der Gemeinkosten -&gt; direkte Lohnkosten (% auf Lohnkosten) oder auf Wertschöpfung (% auf Lohn-, Maschinen- und Setupkosten)
Hinweis: Die CALC4XL Datenbankwerte beziehen sich auf direkte Lohnkosten!</t>
        </r>
      </text>
    </comment>
    <comment ref="M91" authorId="1" shapeId="0" xr:uid="{AFD8CE46-4160-4A9C-99E5-BA91D54F5F1E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direct labour!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direkte Lohnkosten! Daher bedeutet ORANGE, dass Sie den Gemeinkostenfaktor manuell ändern müssen.</t>
        </r>
      </text>
    </comment>
    <comment ref="K97" authorId="1" shapeId="0" xr:uid="{054E4B52-F51A-4BBD-83E0-E6B28093609D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Choose base of overhead factor -&gt; value added (% of machine and labour and setup costs + surcharge production) or manufactured cost (% of total production costs, i.e. sum of 2.1 till 2.6);
HINT: The CALC4XL database value relates to value added!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Wähle Basis der Gemeinkosten -&gt; Wertschöpfung (% auf Maschinen-, Lohn- und Setupkosten + Zuschlag Produktion) oder Produktionskosten (% auf Gesamtproduktionskosten, also auf die Summe von 2.1-2.6);
Hinweis: Die CALC4XL Datenbankwerte beziehen sich auf Wertschöpfung!</t>
        </r>
      </text>
    </comment>
    <comment ref="M97" authorId="1" shapeId="0" xr:uid="{E00FD492-2352-4859-B7B0-B296B7067CF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N97" authorId="1" shapeId="0" xr:uid="{2BB77C37-51B4-44FD-BBC5-16F6D3867603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K98" authorId="1" shapeId="0" xr:uid="{4EB38776-B582-484B-B123-60D75E37970D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Choose base of overhead factor -&gt; value added (% of machine and labour and setup costs + surcharge production) or manufactured cost (% of total production costs, i.e. sum of 2.1 till 2.6);
HINT: The CALC4XL database value relates to value added!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Wähle Basis der Gemeinkosten -&gt; Wertschöpfung (% auf Maschinen-, Lohn- und Setupkosten + Zuschlag Produktion) oder Produktionskosten (% auf Gesamtproduktionskosten, also auf die Summe von 2.1-2.6);
Hinweis: Die CALC4XL Datenbankwerte beziehen sich auf Wertschöpfung!</t>
        </r>
      </text>
    </comment>
    <comment ref="M98" authorId="1" shapeId="0" xr:uid="{B64CB2DD-6016-4343-AD21-A80B474EBAA4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M103" authorId="1" shapeId="0" xr:uid="{ADCFACF7-D114-43B0-A1A6-36C16587D9F9}">
      <text>
        <r>
          <rPr>
            <b/>
            <sz val="9"/>
            <color indexed="81"/>
            <rFont val="Tahoma"/>
            <family val="2"/>
          </rPr>
          <t xml:space="preserve">EN: </t>
        </r>
        <r>
          <rPr>
            <sz val="9"/>
            <color indexed="81"/>
            <rFont val="Tahoma"/>
            <family val="2"/>
          </rPr>
          <t xml:space="preserve">Profit on complete value chain and pruchase parts and overheads (Fill this OR two upper cells!)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Gewinn auf die komplette Wertschöpfung und Einkaufsteile und Gemeinkosten (Fülle diese ODER die zwei oberen Zellen!)</t>
        </r>
      </text>
    </comment>
    <comment ref="J107" authorId="0" shapeId="0" xr:uid="{50C8C2E5-E6BE-4BFD-9933-40227035BFA1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Inserts for the box. 
Eg. plastic bag, separation layers, etc.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Einsätze wie Plastiktüte, Trennebene usw.</t>
        </r>
      </text>
    </comment>
    <comment ref="Y107" authorId="0" shapeId="0" xr:uid="{45561835-1D4F-4C28-BFE1-D8C920F3C9A5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How many cycles does the box complete (on average) before being replaced. Default is 50.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Wie viele Zyklen wird die Box (durchschnittlich) verwendet, bevor sie ersetzt wird? Default: 50.</t>
        </r>
      </text>
    </comment>
    <comment ref="AD107" authorId="0" shapeId="0" xr:uid="{2C746EBD-C0B8-4EE8-9E86-4BFE098D0D2B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Incl. base pallet weight of 15kg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Inklusive Palettengewicht von 15kg</t>
        </r>
      </text>
    </comment>
    <comment ref="I109" authorId="0" shapeId="0" xr:uid="{5AB4296F-7844-45CB-A670-9C6FF075F152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Only if supplier owned packaging is amortised in the piece price. 
Calculation based on 50 cycle box lifetime (~2% loss), or value in Column Y.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Nur wenn die Zulieferer-Verpackung im Stückpreis amortisiert ist.
Kalkulationsbasis: 50 Zyklen, bevor Box ersetzt wird (2% Verlust), oder Wert von Spalte Y.</t>
        </r>
      </text>
    </comment>
    <comment ref="A112" authorId="0" shapeId="0" xr:uid="{A8F8DC28-1529-4A45-981C-27C1F83EE916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Primary Option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Haupt-Option</t>
        </r>
      </text>
    </comment>
    <comment ref="C116" authorId="0" shapeId="0" xr:uid="{8DC987A3-66E9-4EE9-B692-07C803032CF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Supplier reference number for quotation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Zulieferer-Referenzenummer für Angebot</t>
        </r>
      </text>
    </comment>
    <comment ref="F122" authorId="0" shapeId="0" xr:uid="{2088C644-117C-4738-A110-EF1960367A51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Number of tools required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Anzahl der bnötigten Werkzeuge</t>
        </r>
      </text>
    </comment>
    <comment ref="H122" authorId="0" shapeId="0" xr:uid="{064D4A88-B1F3-4BC6-AC6F-B93B340A038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Overall timing of the tool, incl. production part approval process (PPAP) preparation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gesamte Zeitplanung für das Werkzeug inklusive Vorbereitung für Produktionsteil-Abnahmeverfahren</t>
        </r>
      </text>
    </comment>
    <comment ref="I122" authorId="0" shapeId="0" xr:uid="{D07FBC06-B2A7-4B2F-B41D-EB3208F533B6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First-Off-Tool timing in weeks.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Erstbemusterungs-Werkzeug Zeit in Wochen</t>
        </r>
      </text>
    </comment>
    <comment ref="J122" authorId="0" shapeId="0" xr:uid="{919BED9A-66BD-4DA5-B084-520EEA866F1D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Guaranteed minimun tool lifetime [parts]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Garantierte minimale Lebenszeit</t>
        </r>
      </text>
    </comment>
    <comment ref="K122" authorId="0" shapeId="0" xr:uid="{9C964F39-3319-4DD2-9897-B7FF2423FCC9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Maximum number of parts that can be produced from the tool (per week)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Maximal mögliche Anzahl produzierter Bauteile vom Werkzeug (je Woche)</t>
        </r>
      </text>
    </comment>
    <comment ref="L122" authorId="0" shapeId="0" xr:uid="{37ED9C0C-D7D1-4561-86B5-FF83D12A5274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Maximum number of parts that can be produced by the machine/equipment (per week)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Maximal mögliche Anzahl produzierter Bauteile von der Maschine/Gerät (pro Woche)</t>
        </r>
      </text>
    </comment>
    <comment ref="M122" authorId="0" shapeId="0" xr:uid="{88CDB2D8-661F-4745-8AF9-2208BC1CD114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Total number of parts the supplier is capable of supplying in 1 year. It is the maximum the supplier </t>
        </r>
        <r>
          <rPr>
            <u/>
            <sz val="10"/>
            <color indexed="81"/>
            <rFont val="Tahoma"/>
            <family val="2"/>
          </rPr>
          <t>could</t>
        </r>
        <r>
          <rPr>
            <sz val="10"/>
            <color indexed="81"/>
            <rFont val="Tahoma"/>
            <family val="2"/>
          </rPr>
          <t xml:space="preserve"> supply, if required.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Gesamtanzahl der Teile, welche der Zulieferer liefern könnte, pro Jahr.</t>
        </r>
      </text>
    </comment>
    <comment ref="G135" authorId="1" shapeId="0" xr:uid="{914E2D8F-4E6A-4A6F-BA84-CE5B4617FB9E}">
      <text>
        <r>
          <rPr>
            <b/>
            <sz val="9"/>
            <color indexed="81"/>
            <rFont val="Tahoma"/>
            <family val="2"/>
          </rPr>
          <t>EN:</t>
        </r>
        <r>
          <rPr>
            <sz val="9"/>
            <color indexed="81"/>
            <rFont val="Tahoma"/>
            <family val="2"/>
          </rPr>
          <t xml:space="preserve"> How long the actual price will be guaranteed after end of production.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Wie lange der derzeitige Preis nach Produktionsende noch garantiert wird.</t>
        </r>
      </text>
    </comment>
    <comment ref="I139" authorId="0" shapeId="0" xr:uid="{3D2841BD-6B85-4C55-B5EC-D744E38E666F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Annual price reduction committment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Jährliche Preisreduktions-Vereinbarung</t>
        </r>
      </text>
    </comment>
    <comment ref="G141" authorId="0" shapeId="0" xr:uid="{0CAF88B6-A661-4DD0-9064-5B0A504A1905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Starting date of 
productivity price reductions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Startpunkt der Preisreduktion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Andy</author>
  </authors>
  <commentList>
    <comment ref="J3" authorId="0" shapeId="0" xr:uid="{124F183E-6F6C-476E-99F8-CE0DD3C0E6FA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Estimated average annual volume
FPV (Financial Planning Volume)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geschätztes Durchschnittsvolumen pro Jahr</t>
        </r>
      </text>
    </comment>
    <comment ref="K3" authorId="0" shapeId="0" xr:uid="{B2F43828-E7CE-4775-97FB-09ED87502179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Peak annual volume for capacity calculations 
CPV (Capacity Planning Volume)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Max. Jahresvolumen für Kapazitätsberechnungen</t>
        </r>
      </text>
    </comment>
    <comment ref="D6" authorId="0" shapeId="0" xr:uid="{B09A16F3-7CC8-4E0F-BA3D-07E36827845E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Primary Option for quote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Haupt-Standort für Angebot</t>
        </r>
      </text>
    </comment>
    <comment ref="F6" authorId="1" shapeId="0" xr:uid="{F1130DC1-72F9-4F54-B79D-E0702CE735EF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Secondary Option for quote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Alternativer Standort für Angebot</t>
        </r>
      </text>
    </comment>
    <comment ref="G6" authorId="1" shapeId="0" xr:uid="{A012BCDC-14D7-4ED3-A378-D0125DBD0BEA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Third Option for quote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Zweiter alternativer Standort für Angebot</t>
        </r>
      </text>
    </comment>
    <comment ref="G13" authorId="0" shapeId="0" xr:uid="{942C380A-1A29-44C2-B4BF-13786A4D8E77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Unit of Measure (UoM) eg. kg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Maßeinheit z.B. kg</t>
        </r>
      </text>
    </comment>
    <comment ref="H13" authorId="0" shapeId="0" xr:uid="{B54F1AA2-1536-4DB8-957A-4063FC8BB444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Amount/quantity  of material that ends up in the product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Materialmenge im Produkt</t>
        </r>
      </text>
    </comment>
    <comment ref="I13" authorId="0" shapeId="0" xr:uid="{42AC06F2-7F10-43A0-862C-9E833B3B0701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incl. Process waste,   excl. Scrap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inkl. Prozessabfall,
exkl. Ausschuss</t>
        </r>
      </text>
    </comment>
    <comment ref="J13" authorId="0" shapeId="0" xr:uid="{6F6919AA-0952-4F21-9D99-1418C66D3276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Quantity in the final assembly.
If left empty, then 1 is assumed.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Anzahl im Endprodukt. Bei freilassen wird 1 angenommen.</t>
        </r>
      </text>
    </comment>
    <comment ref="K13" authorId="0" shapeId="0" xr:uid="{D7CD542A-A5F5-4C82-B962-671772A1B67F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Cost per Unit of Measure (UoM) eg. "per kg"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Preis pro Einheit zB. "pro kg"</t>
        </r>
      </text>
    </comment>
    <comment ref="L13" authorId="0" shapeId="0" xr:uid="{7E038BFD-B939-4C4F-8443-FE4D7680B512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Net value at which waste &amp; scrap can be resold. Enter positive values in same Unit of Measure (UoM)!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Nettoverkaufspreis für Abfall. Positive Zahl für gleiche Einheit eingeben!</t>
        </r>
      </text>
    </comment>
    <comment ref="M13" authorId="0" shapeId="0" xr:uid="{A061FA64-8C44-4D47-B268-9111832D45AB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Inbound freight
      [%]:     Freight as % of Unit Cost
      [/UoM]: Freight as value per unit of measure (eg kg)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 xml:space="preserve">Inbound Fracht
      [%]:   Fracht als % auf Preis/Einheit
      [/Einheit] Fracht als Wert/Preis pro Einheit  </t>
        </r>
      </text>
    </comment>
    <comment ref="M36" authorId="0" shapeId="0" xr:uid="{A31E3F57-4E43-4871-B973-99EA2147F30C}">
      <text>
        <r>
          <rPr>
            <b/>
            <sz val="10"/>
            <color indexed="81"/>
            <rFont val="Tahoma"/>
            <family val="2"/>
          </rPr>
          <t>EN:</t>
        </r>
        <r>
          <rPr>
            <sz val="10"/>
            <color indexed="81"/>
            <rFont val="Tahoma"/>
            <family val="2"/>
          </rPr>
          <t xml:space="preserve"> Inbound freight
      [%]:     Freight as % of Unit Cost
      [/UoM]: Freight as value per unit of measure (eg kg)
</t>
        </r>
        <r>
          <rPr>
            <b/>
            <sz val="10"/>
            <color indexed="81"/>
            <rFont val="Tahoma"/>
            <family val="2"/>
          </rPr>
          <t>DE:</t>
        </r>
        <r>
          <rPr>
            <sz val="10"/>
            <color indexed="81"/>
            <rFont val="Tahoma"/>
            <family val="2"/>
          </rPr>
          <t xml:space="preserve"> Inbound Fracht
      [%]:   Fracht als % auf Preis/Einheit
      [/Einheit] Fracht als Wert/Preis pro Einheit  </t>
        </r>
      </text>
    </comment>
    <comment ref="G64" authorId="0" shapeId="0" xr:uid="{95EE3507-4065-443C-A781-8B87DE17B659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Machine Cost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Maschinenkosten</t>
        </r>
      </text>
    </comment>
    <comment ref="I64" authorId="0" shapeId="0" xr:uid="{10A77E3A-8A21-47B9-A09F-6AAB77885DDE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Direct Labour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Direkte Lohnkosten</t>
        </r>
      </text>
    </comment>
    <comment ref="E65" authorId="0" shapeId="0" xr:uid="{3BE9C5F7-25AC-4172-A306-070A7DA3E22A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Nominal cylce time, 
excl. Overall Equipment Effectiveness (OEE)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Nenn-Zykluszeit ohne Gesamtanlageneffektivität (GAE)</t>
        </r>
      </text>
    </comment>
    <comment ref="H65" authorId="0" shapeId="0" xr:uid="{FC3288B4-DE4F-4A96-875B-3F2E9D6A0595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Machine rate per hour, incl. Overall Equipment Effectiveness (OEE)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Maschinen-Stundensatz inkl. Gesamtanlageneffektivität (GAE)</t>
        </r>
      </text>
    </comment>
    <comment ref="K65" authorId="1" shapeId="0" xr:uid="{42B5024A-EB5C-4E81-AA0F-45029764FD83}">
      <text>
        <r>
          <rPr>
            <b/>
            <sz val="9"/>
            <color indexed="81"/>
            <rFont val="Tahoma"/>
            <family val="2"/>
          </rPr>
          <t xml:space="preserve">EN: </t>
        </r>
        <r>
          <rPr>
            <sz val="9"/>
            <color indexed="81"/>
            <rFont val="Tahoma"/>
            <family val="2"/>
          </rPr>
          <t>Setup-Cost (Cost per Production Batch Size)</t>
        </r>
        <r>
          <rPr>
            <b/>
            <sz val="9"/>
            <color indexed="81"/>
            <rFont val="Tahoma"/>
            <family val="2"/>
          </rPr>
          <t xml:space="preserve">
DE: </t>
        </r>
        <r>
          <rPr>
            <sz val="9"/>
            <color indexed="81"/>
            <rFont val="Tahoma"/>
            <family val="2"/>
          </rPr>
          <t>Rüstkosten (Kosten je Fertigungslos)</t>
        </r>
      </text>
    </comment>
    <comment ref="M65" authorId="0" shapeId="0" xr:uid="{F099BE85-AC2A-4438-AC1E-E59226273216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Cost for maintenance of the tooling, excluding initial investment (cost per part)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Wartungskosten ohne Anfangs-Investment (Kosten pro Bauteil)</t>
        </r>
      </text>
    </comment>
    <comment ref="N65" authorId="0" shapeId="0" xr:uid="{B7E2E288-6A22-46E0-86B7-FEA53DB31E86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Production scrap
(total for each process)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Ausschuss (gesamt je Prozess)</t>
        </r>
      </text>
    </comment>
    <comment ref="AA65" authorId="0" shapeId="0" xr:uid="{4FD65E0A-DAB7-48F1-9758-F57D25D1814A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Equipment performance during production 
(excl. scrap and setup); in (%)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Nutzungsgrad während der Produktion (ohne Ausschuss und Rüsten); in (%)</t>
        </r>
      </text>
    </comment>
    <comment ref="AG65" authorId="1" shapeId="0" xr:uid="{FB69FF1F-EB8E-437A-9D2E-2AFAD6896F03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Overall Equipment Effectiveness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Gesamtanlagen-Effektivität (GAE)</t>
        </r>
      </text>
    </comment>
    <comment ref="J91" authorId="1" shapeId="0" xr:uid="{65AECC80-0A78-4FF7-9011-DDE3F7BDC90C}">
      <text>
        <r>
          <rPr>
            <b/>
            <sz val="9"/>
            <color indexed="81"/>
            <rFont val="Tahoma"/>
            <family val="2"/>
          </rPr>
          <t>EN:</t>
        </r>
        <r>
          <rPr>
            <sz val="9"/>
            <color indexed="81"/>
            <rFont val="Tahoma"/>
            <family val="2"/>
          </rPr>
          <t xml:space="preserve"> Choose base of overhead factor -&gt; direct labour (% of labour costs) or value added (% of labour and machine and setup costs);
HINT: The CALC4XL database value relates to direct labour!
</t>
        </r>
        <r>
          <rPr>
            <b/>
            <sz val="9"/>
            <color indexed="81"/>
            <rFont val="Tahoma"/>
            <family val="2"/>
          </rPr>
          <t>DE:</t>
        </r>
        <r>
          <rPr>
            <sz val="9"/>
            <color indexed="81"/>
            <rFont val="Tahoma"/>
            <family val="2"/>
          </rPr>
          <t xml:space="preserve"> Wähle Basis der Gemeinkosten -&gt; direkte Lohnkosten (% auf Lohnkosten) oder auf Wertschöpfung (% auf Lohn-, Maschinen- und Setupkosten)
Hinweis: Die CALC4XL Datenbankwerte beziehen sich auf direkte Lohnkosten!</t>
        </r>
      </text>
    </comment>
    <comment ref="M91" authorId="1" shapeId="0" xr:uid="{F3D36D1E-B471-4006-86EB-608B721689B1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direct labour!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direkte Lohnkosten! Daher bedeutet ORANGE, dass Sie den Gemeinkostenfaktor manuell ändern müssen.</t>
        </r>
      </text>
    </comment>
    <comment ref="K97" authorId="1" shapeId="0" xr:uid="{4D371701-C6D2-44A1-AD14-67A3FCA5FBC3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Choose base of overhead factor -&gt; value added (% of machine and labour and setup costs + surcharge production) or manufactured cost (% of total production costs, i.e. sum of 2.1 till 2.6);
HINT: The CALC4XL database value relates to value added!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Wähle Basis der Gemeinkosten -&gt; Wertschöpfung (% auf Maschinen-, Lohn- und Setupkosten + Zuschlag Produktion) oder Produktionskosten (% auf Gesamtproduktionskosten, also auf die Summe von 2.1-2.6);
Hinweis: Die CALC4XL Datenbankwerte beziehen sich auf Wertschöpfung!</t>
        </r>
      </text>
    </comment>
    <comment ref="M97" authorId="1" shapeId="0" xr:uid="{951417AF-8339-44F6-9E81-D496BB22B70D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N97" authorId="1" shapeId="0" xr:uid="{2BC4B9DD-5FBD-4859-A0BA-E556D3EC8F09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K98" authorId="1" shapeId="0" xr:uid="{66A3E4C7-A075-45A9-AF3B-1DA68C54C77E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Choose base of overhead factor -&gt; value added (% of machine and labour and setup costs + surcharge production) or manufactured cost (% of total production costs, i.e. sum of 2.1 till 2.6);
HINT: The CALC4XL database value relates to value added!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Wähle Basis der Gemeinkosten -&gt; Wertschöpfung (% auf Maschinen-, Lohn- und Setupkosten + Zuschlag Produktion) oder Produktionskosten (% auf Gesamtproduktionskosten, also auf die Summe von 2.1-2.6);
Hinweis: Die CALC4XL Datenbankwerte beziehen sich auf Wertschöpfung!</t>
        </r>
      </text>
    </comment>
    <comment ref="M98" authorId="1" shapeId="0" xr:uid="{DAF9D20F-CCCE-425B-B154-D9887F6932C8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M103" authorId="1" shapeId="0" xr:uid="{AE1612FC-A24E-4D44-BA2E-84CB51FE23EF}">
      <text>
        <r>
          <rPr>
            <b/>
            <sz val="9"/>
            <color indexed="81"/>
            <rFont val="Tahoma"/>
            <family val="2"/>
          </rPr>
          <t xml:space="preserve">EN: </t>
        </r>
        <r>
          <rPr>
            <sz val="9"/>
            <color indexed="81"/>
            <rFont val="Tahoma"/>
            <family val="2"/>
          </rPr>
          <t xml:space="preserve">Profit on complete value chain and pruchase parts and overheads (Fill this OR two upper cells!)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Gewinn auf die komplette Wertschöpfung und Einkaufsteile und Gemeinkosten (Fülle diese ODER die zwei oberen Zellen!)</t>
        </r>
      </text>
    </comment>
    <comment ref="J107" authorId="0" shapeId="0" xr:uid="{A64A9832-F74E-49A0-BE0A-D5C5611C5B95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Inserts for the box. 
Eg. plastic bag, separation layers, etc.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Einsätze wie Plastiktüte, Trennebene usw.</t>
        </r>
      </text>
    </comment>
    <comment ref="Y107" authorId="0" shapeId="0" xr:uid="{98D12263-5A8C-46AD-9323-F4AC7B2F1C13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How many cycles does the box complete (on average) before being replaced. Default is 50.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Wie viele Zyklen wird die Box (durchschnittlich) verwendet, bevor sie ersetzt wird? Default: 50.</t>
        </r>
      </text>
    </comment>
    <comment ref="AD107" authorId="0" shapeId="0" xr:uid="{CE70F51E-97CB-4F10-8495-7956D03B853D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Incl. base pallet weight of 15kg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Inklusive Palettengewicht von 15kg</t>
        </r>
      </text>
    </comment>
    <comment ref="I109" authorId="0" shapeId="0" xr:uid="{3527933A-2FD8-4170-B859-EAB3A2C0EE8D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Only if supplier owned packaging is amortised in the piece price. 
Calculation based on 50 cycle box lifetime (~2% loss), or value in Column Y.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Nur wenn die Zulieferer-Verpackung im Stückpreis amortisiert ist.
Kalkulationsbasis: 50 Zyklen, bevor Box ersetzt wird (2% Verlust), oder Wert von Spalte Y.</t>
        </r>
      </text>
    </comment>
    <comment ref="A112" authorId="0" shapeId="0" xr:uid="{78F7E282-A4EB-4EB5-B59D-DA17086F2BCE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Primary Option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Haupt-Option</t>
        </r>
      </text>
    </comment>
    <comment ref="C116" authorId="0" shapeId="0" xr:uid="{71DB12D8-3C65-46A8-BE95-5EA58DDC7A99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Supplier reference number for quotation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Zulieferer-Referenzenummer für Angebot</t>
        </r>
      </text>
    </comment>
    <comment ref="F122" authorId="0" shapeId="0" xr:uid="{D131EE1F-F35C-43A2-AD26-9AFC42B802BB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Number of tools required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Anzahl der bnötigten Werkzeuge</t>
        </r>
      </text>
    </comment>
    <comment ref="H122" authorId="0" shapeId="0" xr:uid="{8D7ECC07-4B1F-42C7-A1EC-4145533C4A6F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Overall timing of the tool, incl. production part approval process (PPAP) preparation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gesamte Zeitplanung für das Werkzeug inklusive Vorbereitung für Produktionsteil-Abnahmeverfahren</t>
        </r>
      </text>
    </comment>
    <comment ref="I122" authorId="0" shapeId="0" xr:uid="{2F27E46B-0B63-4A58-BED7-1398DCFF79C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First-Off-Tool timing in weeks.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Erstbemusterungs-Werkzeug Zeit in Wochen</t>
        </r>
      </text>
    </comment>
    <comment ref="J122" authorId="0" shapeId="0" xr:uid="{226DB529-1E72-4B30-8E45-E21013D25992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Guaranteed minimun tool lifetime [parts]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Garantierte minimale Lebenszeit</t>
        </r>
      </text>
    </comment>
    <comment ref="K122" authorId="0" shapeId="0" xr:uid="{12746C48-169C-4FED-9898-B0D5B28DB87A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Maximum number of parts that can be produced from the tool (per week)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Maximal mögliche Anzahl produzierter Bauteile vom Werkzeug (je Woche)</t>
        </r>
      </text>
    </comment>
    <comment ref="L122" authorId="0" shapeId="0" xr:uid="{4997E93B-E6E4-4920-A45F-5EF483DCE1DE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Maximum number of parts that can be produced by the machine/equipment (per week)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Maximal mögliche Anzahl produzierter Bauteile von der Maschine/Gerät (pro Woche)</t>
        </r>
      </text>
    </comment>
    <comment ref="M122" authorId="0" shapeId="0" xr:uid="{0B71B979-3A9D-4BD6-B41B-E9B1A698B822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Total number of parts the supplier is capable of supplying in 1 year. It is the maximum the supplier </t>
        </r>
        <r>
          <rPr>
            <u/>
            <sz val="10"/>
            <color indexed="81"/>
            <rFont val="Tahoma"/>
            <family val="2"/>
          </rPr>
          <t>could</t>
        </r>
        <r>
          <rPr>
            <sz val="10"/>
            <color indexed="81"/>
            <rFont val="Tahoma"/>
            <family val="2"/>
          </rPr>
          <t xml:space="preserve"> supply, if required.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Gesamtanzahl der Teile, welche der Zulieferer liefern könnte, pro Jahr.</t>
        </r>
      </text>
    </comment>
    <comment ref="G135" authorId="1" shapeId="0" xr:uid="{12C303C1-F2A7-4BA6-92AD-77E53CD6CC90}">
      <text>
        <r>
          <rPr>
            <b/>
            <sz val="9"/>
            <color indexed="81"/>
            <rFont val="Tahoma"/>
            <family val="2"/>
          </rPr>
          <t>EN:</t>
        </r>
        <r>
          <rPr>
            <sz val="9"/>
            <color indexed="81"/>
            <rFont val="Tahoma"/>
            <family val="2"/>
          </rPr>
          <t xml:space="preserve"> How long the actual price will be guaranteed after end of production.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Wie lange der derzeitige Preis nach Produktionsende noch garantiert wird.</t>
        </r>
      </text>
    </comment>
    <comment ref="I139" authorId="0" shapeId="0" xr:uid="{559471F8-9457-407B-AC10-AD1BD0A5EAD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Annual price reduction committment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Jährliche Preisreduktions-Vereinbarung</t>
        </r>
      </text>
    </comment>
    <comment ref="G141" authorId="0" shapeId="0" xr:uid="{562F79CC-5FEE-4E74-98FE-5D7197DB15DB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Starting date of 
productivity price reductions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Startpunkt der Preisreduktion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Andy</author>
  </authors>
  <commentList>
    <comment ref="J3" authorId="0" shapeId="0" xr:uid="{C45AA9CC-7015-4DD7-A9F0-6D2FE3501B04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Estimated average annual volume
FPV (Financial Planning Volume)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geschätztes Durchschnittsvolumen pro Jahr</t>
        </r>
      </text>
    </comment>
    <comment ref="K3" authorId="0" shapeId="0" xr:uid="{16E2AB50-DD8B-4F36-9D87-2CA6F015C5D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Peak annual volume for capacity calculations 
CPV (Capacity Planning Volume)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Max. Jahresvolumen für Kapazitätsberechnungen</t>
        </r>
      </text>
    </comment>
    <comment ref="D6" authorId="0" shapeId="0" xr:uid="{BC9065A8-156B-4210-8B6A-14245499E0A7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Primary Option for quote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Haupt-Standort für Angebot</t>
        </r>
      </text>
    </comment>
    <comment ref="F6" authorId="1" shapeId="0" xr:uid="{A4AD3607-D611-4A82-9A30-E890945B38D0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Secondary Option for quote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Alternativer Standort für Angebot</t>
        </r>
      </text>
    </comment>
    <comment ref="G6" authorId="1" shapeId="0" xr:uid="{CB2D1224-B90D-44CD-B255-B05BFBA57668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Third Option for quote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Zweiter alternativer Standort für Angebot</t>
        </r>
      </text>
    </comment>
    <comment ref="G13" authorId="0" shapeId="0" xr:uid="{EBE78FD7-60B3-4D37-9AC4-B8774186C0C4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Unit of Measure (UoM) eg. kg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Maßeinheit z.B. kg</t>
        </r>
      </text>
    </comment>
    <comment ref="H13" authorId="0" shapeId="0" xr:uid="{39BFDE30-C9A9-4A49-8ED8-7D50B1A98C66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Amount/quantity  of material that ends up in the product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Materialmenge im Produkt</t>
        </r>
      </text>
    </comment>
    <comment ref="I13" authorId="0" shapeId="0" xr:uid="{3EC1AE7B-B334-4546-BCDB-8158E7ED5817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incl. Process waste,   excl. Scrap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inkl. Prozessabfall,
exkl. Ausschuss</t>
        </r>
      </text>
    </comment>
    <comment ref="J13" authorId="0" shapeId="0" xr:uid="{C172664E-E7F5-4F16-8D7E-A3C43FD47C0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Quantity in the final assembly.
If left empty, then 1 is assumed.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Anzahl im Endprodukt. Bei freilassen wird 1 angenommen.</t>
        </r>
      </text>
    </comment>
    <comment ref="K13" authorId="0" shapeId="0" xr:uid="{8EFCA2E8-8046-43E9-9C9F-CF6C223FE23D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Cost per Unit of Measure (UoM) eg. "per kg"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Preis pro Einheit zB. "pro kg"</t>
        </r>
      </text>
    </comment>
    <comment ref="L13" authorId="0" shapeId="0" xr:uid="{6C8FBC16-71F3-4554-B273-918E3CDF2990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Net value at which waste &amp; scrap can be resold. Enter positive values in same Unit of Measure (UoM)!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>Nettoverkaufspreis für Abfall. Positive Zahl für gleiche Einheit eingeben!</t>
        </r>
      </text>
    </comment>
    <comment ref="M13" authorId="0" shapeId="0" xr:uid="{9E10DC90-DB77-4405-98FB-95EFFBFC2834}">
      <text>
        <r>
          <rPr>
            <b/>
            <sz val="10"/>
            <color indexed="81"/>
            <rFont val="Tahoma"/>
            <family val="2"/>
          </rPr>
          <t xml:space="preserve">EN: </t>
        </r>
        <r>
          <rPr>
            <sz val="10"/>
            <color indexed="81"/>
            <rFont val="Tahoma"/>
            <family val="2"/>
          </rPr>
          <t xml:space="preserve">Inbound freight
      [%]:     Freight as % of Unit Cost
      [/UoM]: Freight as value per unit of measure (eg kg)
</t>
        </r>
        <r>
          <rPr>
            <b/>
            <sz val="10"/>
            <color indexed="81"/>
            <rFont val="Tahoma"/>
            <family val="2"/>
          </rPr>
          <t xml:space="preserve">DE: </t>
        </r>
        <r>
          <rPr>
            <sz val="10"/>
            <color indexed="81"/>
            <rFont val="Tahoma"/>
            <family val="2"/>
          </rPr>
          <t xml:space="preserve">Inbound Fracht
      [%]:   Fracht als % auf Preis/Einheit
      [/Einheit] Fracht als Wert/Preis pro Einheit  </t>
        </r>
      </text>
    </comment>
    <comment ref="M36" authorId="0" shapeId="0" xr:uid="{C02232E6-54DA-4B15-A0DE-DB24E3D6EC34}">
      <text>
        <r>
          <rPr>
            <b/>
            <sz val="10"/>
            <color indexed="81"/>
            <rFont val="Tahoma"/>
            <family val="2"/>
          </rPr>
          <t>EN:</t>
        </r>
        <r>
          <rPr>
            <sz val="10"/>
            <color indexed="81"/>
            <rFont val="Tahoma"/>
            <family val="2"/>
          </rPr>
          <t xml:space="preserve"> Inbound freight
      [%]:     Freight as % of Unit Cost
      [/UoM]: Freight as value per unit of measure (eg kg)
</t>
        </r>
        <r>
          <rPr>
            <b/>
            <sz val="10"/>
            <color indexed="81"/>
            <rFont val="Tahoma"/>
            <family val="2"/>
          </rPr>
          <t>DE:</t>
        </r>
        <r>
          <rPr>
            <sz val="10"/>
            <color indexed="81"/>
            <rFont val="Tahoma"/>
            <family val="2"/>
          </rPr>
          <t xml:space="preserve"> Inbound Fracht
      [%]:   Fracht als % auf Preis/Einheit
      [/Einheit] Fracht als Wert/Preis pro Einheit  </t>
        </r>
      </text>
    </comment>
    <comment ref="G64" authorId="0" shapeId="0" xr:uid="{FF010BE7-0670-4170-9364-A17EAEB1186A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Machine Cost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Maschinenkosten</t>
        </r>
      </text>
    </comment>
    <comment ref="I64" authorId="0" shapeId="0" xr:uid="{C637097C-2049-4FB4-89B3-781D6B149F76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Direct Labour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Direkte Lohnkosten</t>
        </r>
      </text>
    </comment>
    <comment ref="E65" authorId="0" shapeId="0" xr:uid="{387838F8-7DBA-49FE-9E2A-FE5597CEB9AE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Nominal cylce time, 
excl. Overall Equipment Effectiveness (OEE)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Nenn-Zykluszeit ohne Gesamtanlageneffektivität (GAE)</t>
        </r>
      </text>
    </comment>
    <comment ref="H65" authorId="0" shapeId="0" xr:uid="{6F6311F1-E9E6-4B85-A679-AC50EFBEED83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Machine rate per hour, incl. Overall Equipment Effectiveness (OEE)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Maschinen-Stundensatz inkl. Gesamtanlageneffektivität (GAE)</t>
        </r>
      </text>
    </comment>
    <comment ref="K65" authorId="1" shapeId="0" xr:uid="{0F002BC3-4DC2-44E4-B61C-F0A40DEBF3D5}">
      <text>
        <r>
          <rPr>
            <b/>
            <sz val="9"/>
            <color indexed="81"/>
            <rFont val="Tahoma"/>
            <family val="2"/>
          </rPr>
          <t xml:space="preserve">EN: </t>
        </r>
        <r>
          <rPr>
            <sz val="9"/>
            <color indexed="81"/>
            <rFont val="Tahoma"/>
            <family val="2"/>
          </rPr>
          <t>Setup-Cost (Cost per Production Batch Size)</t>
        </r>
        <r>
          <rPr>
            <b/>
            <sz val="9"/>
            <color indexed="81"/>
            <rFont val="Tahoma"/>
            <family val="2"/>
          </rPr>
          <t xml:space="preserve">
DE: </t>
        </r>
        <r>
          <rPr>
            <sz val="9"/>
            <color indexed="81"/>
            <rFont val="Tahoma"/>
            <family val="2"/>
          </rPr>
          <t>Rüstkosten (Kosten je Fertigungslos)</t>
        </r>
      </text>
    </comment>
    <comment ref="M65" authorId="0" shapeId="0" xr:uid="{0252E38D-D62D-481C-BA1C-FBCD1470DC66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Cost for maintenance of the tooling, excluding initial investment (cost per part)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Wartungskosten ohne Anfangs-Investment (Kosten pro Bauteil)</t>
        </r>
      </text>
    </comment>
    <comment ref="N65" authorId="0" shapeId="0" xr:uid="{1DCD9C98-F284-4C20-B688-49F6CF27D831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Production scrap
(total for each process)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Ausschuss (gesamt je Prozess)</t>
        </r>
      </text>
    </comment>
    <comment ref="AA65" authorId="0" shapeId="0" xr:uid="{229F183C-625A-4656-9860-ABEDBD19F50F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Equipment performance during production 
(excl. scrap and setup); in (%)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Nutzungsgrad während der Produktion (ohne Ausschuss und Rüsten); in (%)</t>
        </r>
      </text>
    </comment>
    <comment ref="AG65" authorId="1" shapeId="0" xr:uid="{AB56501E-A0C5-4E80-AAD9-7A8684CBA0BA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Overall Equipment Effectiveness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Gesamtanlagen-Effektivität (GAE)</t>
        </r>
      </text>
    </comment>
    <comment ref="J91" authorId="1" shapeId="0" xr:uid="{568112A7-A827-4853-99E9-EFF3CBDEB90C}">
      <text>
        <r>
          <rPr>
            <b/>
            <sz val="9"/>
            <color indexed="81"/>
            <rFont val="Tahoma"/>
            <family val="2"/>
          </rPr>
          <t>EN:</t>
        </r>
        <r>
          <rPr>
            <sz val="9"/>
            <color indexed="81"/>
            <rFont val="Tahoma"/>
            <family val="2"/>
          </rPr>
          <t xml:space="preserve"> Choose base of overhead factor -&gt; direct labour (% of labour costs) or value added (% of labour and machine and setup costs);
HINT: The CALC4XL database value relates to direct labour!
</t>
        </r>
        <r>
          <rPr>
            <b/>
            <sz val="9"/>
            <color indexed="81"/>
            <rFont val="Tahoma"/>
            <family val="2"/>
          </rPr>
          <t>DE:</t>
        </r>
        <r>
          <rPr>
            <sz val="9"/>
            <color indexed="81"/>
            <rFont val="Tahoma"/>
            <family val="2"/>
          </rPr>
          <t xml:space="preserve"> Wähle Basis der Gemeinkosten -&gt; direkte Lohnkosten (% auf Lohnkosten) oder auf Wertschöpfung (% auf Lohn-, Maschinen- und Setupkosten)
Hinweis: Die CALC4XL Datenbankwerte beziehen sich auf direkte Lohnkosten!</t>
        </r>
      </text>
    </comment>
    <comment ref="M91" authorId="1" shapeId="0" xr:uid="{8209D020-2B7D-4A0C-AF29-2419B5738A91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direct labour!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direkte Lohnkosten! Daher bedeutet ORANGE, dass Sie den Gemeinkostenfaktor manuell ändern müssen.</t>
        </r>
      </text>
    </comment>
    <comment ref="K97" authorId="1" shapeId="0" xr:uid="{828CDC80-3FB2-4CA8-85EF-3376EA3E83C6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Choose base of overhead factor -&gt; value added (% of machine and labour and setup costs + surcharge production) or manufactured cost (% of total production costs, i.e. sum of 2.1 till 2.6);
HINT: The CALC4XL database value relates to value added!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Wähle Basis der Gemeinkosten -&gt; Wertschöpfung (% auf Maschinen-, Lohn- und Setupkosten + Zuschlag Produktion) oder Produktionskosten (% auf Gesamtproduktionskosten, also auf die Summe von 2.1-2.6);
Hinweis: Die CALC4XL Datenbankwerte beziehen sich auf Wertschöpfung!</t>
        </r>
      </text>
    </comment>
    <comment ref="M97" authorId="1" shapeId="0" xr:uid="{E503C975-3188-4DCA-B27A-F9E35E2ED462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N97" authorId="1" shapeId="0" xr:uid="{197B73A4-390C-4172-9E96-2D28A4BDD512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K98" authorId="1" shapeId="0" xr:uid="{FDB812B8-E934-47B1-AF92-76022BA805C8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Choose base of overhead factor -&gt; value added (% of machine and labour and setup costs + surcharge production) or manufactured cost (% of total production costs, i.e. sum of 2.1 till 2.6);
HINT: The CALC4XL database value relates to value added!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Wähle Basis der Gemeinkosten -&gt; Wertschöpfung (% auf Maschinen-, Lohn- und Setupkosten + Zuschlag Produktion) oder Produktionskosten (% auf Gesamtproduktionskosten, also auf die Summe von 2.1-2.6);
Hinweis: Die CALC4XL Datenbankwerte beziehen sich auf Wertschöpfung!</t>
        </r>
      </text>
    </comment>
    <comment ref="M98" authorId="1" shapeId="0" xr:uid="{AC2FD2C9-DC25-4F38-AA58-306E1A372769}">
      <text>
        <r>
          <rPr>
            <b/>
            <sz val="9"/>
            <color indexed="81"/>
            <rFont val="Tahoma"/>
            <family val="2"/>
          </rPr>
          <t>EN</t>
        </r>
        <r>
          <rPr>
            <sz val="9"/>
            <color indexed="81"/>
            <rFont val="Tahoma"/>
            <family val="2"/>
          </rPr>
          <t xml:space="preserve">: Base of overhead factor is chosen to the left.
HINT: The CALC4XL database value relates to value added! Therefore ORANGE means you have to change the overhead factor manually!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Basis der Gemeinkosten links gewählt.
Hinweis: Die CALC4XL Datenbankwerte beziehen sich auf Wertschöpfung! Daher bedeutet ORANGE, dass Sie den Gemeinkostenfaktor manuell ändern müssen.</t>
        </r>
      </text>
    </comment>
    <comment ref="M103" authorId="1" shapeId="0" xr:uid="{E04402F7-91FB-404C-933A-A3E61C5B389C}">
      <text>
        <r>
          <rPr>
            <b/>
            <sz val="9"/>
            <color indexed="81"/>
            <rFont val="Tahoma"/>
            <family val="2"/>
          </rPr>
          <t xml:space="preserve">EN: </t>
        </r>
        <r>
          <rPr>
            <sz val="9"/>
            <color indexed="81"/>
            <rFont val="Tahoma"/>
            <family val="2"/>
          </rPr>
          <t xml:space="preserve">Profit on complete value chain and pruchase parts and overheads (Fill this OR two upper cells!)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Gewinn auf die komplette Wertschöpfung und Einkaufsteile und Gemeinkosten (Fülle diese ODER die zwei oberen Zellen!)</t>
        </r>
      </text>
    </comment>
    <comment ref="J107" authorId="0" shapeId="0" xr:uid="{DF7E2CCB-DEAE-49DB-B3D4-0253CCF675D4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Inserts for the box. 
Eg. plastic bag, separation layers, etc.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Einsätze wie Plastiktüte, Trennebene usw.</t>
        </r>
      </text>
    </comment>
    <comment ref="Y107" authorId="0" shapeId="0" xr:uid="{BEA6C28C-7D83-4932-922C-BFD162E696FF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How many cycles does the box complete (on average) before being replaced. Default is 50.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Wie viele Zyklen wird die Box (durchschnittlich) verwendet, bevor sie ersetzt wird? Default: 50.</t>
        </r>
      </text>
    </comment>
    <comment ref="AD107" authorId="0" shapeId="0" xr:uid="{013D62BA-8F16-40A1-BB95-AC0F4F7C8038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Incl. base pallet weight of 15kg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Inklusive Palettengewicht von 15kg</t>
        </r>
      </text>
    </comment>
    <comment ref="I109" authorId="0" shapeId="0" xr:uid="{582455BE-7003-4D8D-A579-B90629A776C1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Only if supplier owned packaging is amortised in the piece price. 
Calculation based on 50 cycle box lifetime (~2% loss), or value in Column Y.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Nur wenn die Zulieferer-Verpackung im Stückpreis amortisiert ist.
Kalkulationsbasis: 50 Zyklen, bevor Box ersetzt wird (2% Verlust), oder Wert von Spalte Y.</t>
        </r>
      </text>
    </comment>
    <comment ref="A112" authorId="0" shapeId="0" xr:uid="{ACBA5CC3-928A-4B11-AB11-878D3689B16E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Primary Option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Haupt-Option</t>
        </r>
      </text>
    </comment>
    <comment ref="C116" authorId="0" shapeId="0" xr:uid="{DBFEC03C-EA30-4D98-916B-084F66533F5E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Supplier reference number for quotation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Zulieferer-Referenzenummer für Angebot</t>
        </r>
      </text>
    </comment>
    <comment ref="F122" authorId="0" shapeId="0" xr:uid="{66389D3E-F2E8-4056-825E-2CF6630CCBB6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Number of tools required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Anzahl der bnötigten Werkzeuge</t>
        </r>
      </text>
    </comment>
    <comment ref="H122" authorId="0" shapeId="0" xr:uid="{2AEFBFE9-7A2B-4B18-96BE-E91D1F2755D7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Overall timing of the tool, incl. production part approval process (PPAP) preparation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gesamte Zeitplanung für das Werkzeug inklusive Vorbereitung für Produktionsteil-Abnahmeverfahren</t>
        </r>
      </text>
    </comment>
    <comment ref="I122" authorId="0" shapeId="0" xr:uid="{CF391088-FC22-4D2C-A101-7E2CE7036AB6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First-Off-Tool timing in weeks.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Erstbemusterungs-Werkzeug Zeit in Wochen</t>
        </r>
      </text>
    </comment>
    <comment ref="J122" authorId="0" shapeId="0" xr:uid="{C2AAA19A-FC9C-4C90-89AE-1401CB6CDF92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Guaranteed minimun tool lifetime [parts]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Garantierte minimale Lebenszeit</t>
        </r>
      </text>
    </comment>
    <comment ref="K122" authorId="0" shapeId="0" xr:uid="{D09BCE6F-1162-40BD-AE77-7ED02CB1A74C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Maximum number of parts that can be produced from the tool (per week)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Maximal mögliche Anzahl produzierter Bauteile vom Werkzeug (je Woche)</t>
        </r>
      </text>
    </comment>
    <comment ref="L122" authorId="0" shapeId="0" xr:uid="{CF0B5E54-181A-4F53-9C30-ED3266CB44CF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Maximum number of parts that can be produced by the machine/equipment (per week)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Maximal mögliche Anzahl produzierter Bauteile von der Maschine/Gerät (pro Woche)</t>
        </r>
      </text>
    </comment>
    <comment ref="M122" authorId="0" shapeId="0" xr:uid="{98DC6887-5069-4F79-B3FF-78AAC1C473F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Total number of parts the supplier is capable of supplying in 1 year. It is the maximum the supplier </t>
        </r>
        <r>
          <rPr>
            <u/>
            <sz val="10"/>
            <color indexed="81"/>
            <rFont val="Tahoma"/>
            <family val="2"/>
          </rPr>
          <t>could</t>
        </r>
        <r>
          <rPr>
            <sz val="10"/>
            <color indexed="81"/>
            <rFont val="Tahoma"/>
            <family val="2"/>
          </rPr>
          <t xml:space="preserve"> supply, if required.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Gesamtanzahl der Teile, welche der Zulieferer liefern könnte, pro Jahr.</t>
        </r>
      </text>
    </comment>
    <comment ref="G135" authorId="1" shapeId="0" xr:uid="{1B5D3D57-E4CF-4E9E-AFBE-CC5C9048A28B}">
      <text>
        <r>
          <rPr>
            <b/>
            <sz val="9"/>
            <color indexed="81"/>
            <rFont val="Tahoma"/>
            <family val="2"/>
          </rPr>
          <t>EN:</t>
        </r>
        <r>
          <rPr>
            <sz val="9"/>
            <color indexed="81"/>
            <rFont val="Tahoma"/>
            <family val="2"/>
          </rPr>
          <t xml:space="preserve"> How long the actual price will be guaranteed after end of production.
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>: Wie lange der derzeitige Preis nach Produktionsende noch garantiert wird.</t>
        </r>
      </text>
    </comment>
    <comment ref="I139" authorId="0" shapeId="0" xr:uid="{F8745BAC-AD0E-495E-99B4-A5A9B83D6610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Annual price reduction committment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Jährliche Preisreduktions-Vereinbarung</t>
        </r>
      </text>
    </comment>
    <comment ref="G141" authorId="0" shapeId="0" xr:uid="{53CF34AC-E1C4-4FE9-AACC-F3DAF31D8A41}">
      <text>
        <r>
          <rPr>
            <b/>
            <sz val="10"/>
            <color indexed="81"/>
            <rFont val="Tahoma"/>
            <family val="2"/>
          </rPr>
          <t>EN</t>
        </r>
        <r>
          <rPr>
            <sz val="10"/>
            <color indexed="81"/>
            <rFont val="Tahoma"/>
            <family val="2"/>
          </rPr>
          <t xml:space="preserve">: Starting date of 
productivity price reductions
</t>
        </r>
        <r>
          <rPr>
            <b/>
            <sz val="10"/>
            <color indexed="81"/>
            <rFont val="Tahoma"/>
            <family val="2"/>
          </rPr>
          <t>DE</t>
        </r>
        <r>
          <rPr>
            <sz val="10"/>
            <color indexed="81"/>
            <rFont val="Tahoma"/>
            <family val="2"/>
          </rPr>
          <t>: Startpunkt der Preisreduktion</t>
        </r>
      </text>
    </comment>
  </commentList>
</comments>
</file>

<file path=xl/sharedStrings.xml><?xml version="1.0" encoding="utf-8"?>
<sst xmlns="http://schemas.openxmlformats.org/spreadsheetml/2006/main" count="1274" uniqueCount="881">
  <si>
    <t>Section 1</t>
  </si>
  <si>
    <t>Description</t>
  </si>
  <si>
    <t>Quotation No. /Rev</t>
  </si>
  <si>
    <t>Part No.</t>
  </si>
  <si>
    <t>Peak</t>
  </si>
  <si>
    <t>Average</t>
  </si>
  <si>
    <t>Currency</t>
  </si>
  <si>
    <t>Start of Production</t>
  </si>
  <si>
    <t>PPAP Date</t>
  </si>
  <si>
    <t>Additional Information</t>
  </si>
  <si>
    <t>Raw Material</t>
  </si>
  <si>
    <t>Quantity</t>
  </si>
  <si>
    <t>UoM</t>
  </si>
  <si>
    <t>Material</t>
  </si>
  <si>
    <t>Scrap</t>
  </si>
  <si>
    <t>Frt in</t>
  </si>
  <si>
    <t>Total</t>
  </si>
  <si>
    <t>Section 3</t>
  </si>
  <si>
    <t>Purchased Components (&amp; Outsourced Processes)</t>
  </si>
  <si>
    <t>Supplier</t>
  </si>
  <si>
    <t>Section 4</t>
  </si>
  <si>
    <t>Machine</t>
  </si>
  <si>
    <t>Operator</t>
  </si>
  <si>
    <t>Setup</t>
  </si>
  <si>
    <t>Tool Maint.</t>
  </si>
  <si>
    <t>Weeks/
year</t>
  </si>
  <si>
    <t>min</t>
  </si>
  <si>
    <t>SPM</t>
  </si>
  <si>
    <t>Direct Labour</t>
  </si>
  <si>
    <t>Section 5</t>
  </si>
  <si>
    <t>General Overhead / SG&amp;A</t>
  </si>
  <si>
    <t>Profit</t>
  </si>
  <si>
    <t>Packaging &amp; Logistics</t>
  </si>
  <si>
    <t>Pcs/box</t>
  </si>
  <si>
    <t>No. of Loops</t>
  </si>
  <si>
    <t>Part Wgt [g]</t>
  </si>
  <si>
    <t>Location</t>
  </si>
  <si>
    <t>Lead Time [weeks]</t>
  </si>
  <si>
    <t>Additional (one time payment)</t>
  </si>
  <si>
    <t>Direct Material</t>
  </si>
  <si>
    <t>Base Price</t>
  </si>
  <si>
    <t>Qty</t>
  </si>
  <si>
    <t>Advanced  Mode</t>
  </si>
  <si>
    <t>FOT Date</t>
  </si>
  <si>
    <t>Section 2.1</t>
  </si>
  <si>
    <t>Section 2.2</t>
  </si>
  <si>
    <t>Section 2.3</t>
  </si>
  <si>
    <t>Section 2.4</t>
  </si>
  <si>
    <t>Section 2.5</t>
  </si>
  <si>
    <t>Section 2.6</t>
  </si>
  <si>
    <t>Section 2.7</t>
  </si>
  <si>
    <t>Date</t>
  </si>
  <si>
    <t>Prepared by</t>
  </si>
  <si>
    <t>Delete when hiding</t>
  </si>
  <si>
    <t>Size</t>
  </si>
  <si>
    <t>Machine Cost</t>
  </si>
  <si>
    <t>Locked Currency</t>
  </si>
  <si>
    <t>Packaging</t>
  </si>
  <si>
    <t>Freight</t>
  </si>
  <si>
    <t>Handling</t>
  </si>
  <si>
    <t>Tax&amp;Duty</t>
  </si>
  <si>
    <t>Setup Cost</t>
  </si>
  <si>
    <t>Annual Capacity</t>
  </si>
  <si>
    <t>Insurance</t>
  </si>
  <si>
    <t>Maintenance</t>
  </si>
  <si>
    <t>Floor Space</t>
  </si>
  <si>
    <t>Interest</t>
  </si>
  <si>
    <t>Depreciation</t>
  </si>
  <si>
    <t>Hourly rate:</t>
  </si>
  <si>
    <t>Average operating level of the Machine</t>
  </si>
  <si>
    <t>Shifts/week</t>
  </si>
  <si>
    <t>Real production weeks</t>
  </si>
  <si>
    <t>Weeks/year</t>
  </si>
  <si>
    <t>Normally 5-7% -&gt; RoC equivalent</t>
  </si>
  <si>
    <t>~10% for std machinery, 0 for special machines</t>
  </si>
  <si>
    <t>Example</t>
  </si>
  <si>
    <t>Warranty [parts]</t>
  </si>
  <si>
    <t>Cav</t>
  </si>
  <si>
    <t>years</t>
  </si>
  <si>
    <t>Est. Annual Qty</t>
  </si>
  <si>
    <t>Estimated Lifetime</t>
  </si>
  <si>
    <t>NZD: New Zealand Dollar</t>
  </si>
  <si>
    <t>PHP: Philippine Peso</t>
  </si>
  <si>
    <t>PLN: Polish Zloty</t>
  </si>
  <si>
    <t>RON: Romanian New Lei</t>
  </si>
  <si>
    <t>RUB: Russian Rubel</t>
  </si>
  <si>
    <t>SEK: Swedish Kronor</t>
  </si>
  <si>
    <t>SGD: Singapore Dollar</t>
  </si>
  <si>
    <t>THB: Thai Baht</t>
  </si>
  <si>
    <t>TND: Tunisian Dinar</t>
  </si>
  <si>
    <t>TRY: Turkish New Lira</t>
  </si>
  <si>
    <t>ZAR: South African Rand</t>
  </si>
  <si>
    <t>EUR: Euro</t>
  </si>
  <si>
    <t>Prod. Red</t>
  </si>
  <si>
    <t>SoP</t>
  </si>
  <si>
    <t>Sub-Supplier Name</t>
  </si>
  <si>
    <t>Negotiated offer pricing</t>
  </si>
  <si>
    <t>Year</t>
  </si>
  <si>
    <t>Empty Box [g]</t>
  </si>
  <si>
    <t>TWD: Taiwanese New Dollar</t>
  </si>
  <si>
    <t>Production</t>
  </si>
  <si>
    <t>Production Overhead</t>
  </si>
  <si>
    <t>Utilisation</t>
  </si>
  <si>
    <t>Cost Breakdown Pricing Summary</t>
  </si>
  <si>
    <t>% of Section 2.1, 2.2</t>
  </si>
  <si>
    <t>Basis</t>
  </si>
  <si>
    <t>Scrap [%]</t>
  </si>
  <si>
    <t>Purchased Parts</t>
  </si>
  <si>
    <t>Scrap Costs</t>
  </si>
  <si>
    <t>Production OH</t>
  </si>
  <si>
    <t>Material OH</t>
  </si>
  <si>
    <t>Setup Costs</t>
  </si>
  <si>
    <t>Tooling Costs</t>
  </si>
  <si>
    <t>Unit Conversion Factor</t>
  </si>
  <si>
    <t>Purchased Components</t>
  </si>
  <si>
    <t>Material Overhead</t>
  </si>
  <si>
    <t>Total Manufactured Cost</t>
  </si>
  <si>
    <t>Packaging Type</t>
  </si>
  <si>
    <t>Packaging Cost</t>
  </si>
  <si>
    <t>Freight Cost</t>
  </si>
  <si>
    <t>Final Price</t>
  </si>
  <si>
    <t>FOT [weeks]</t>
  </si>
  <si>
    <t>Useful Lifetime, not Depreciation time</t>
  </si>
  <si>
    <t>Energy rating of Machine</t>
  </si>
  <si>
    <t xml:space="preserve">Actual consumption as % of Rated Value </t>
  </si>
  <si>
    <t>Consumables/Other</t>
  </si>
  <si>
    <t>% of Investment Value</t>
  </si>
  <si>
    <t>Other operating costs</t>
  </si>
  <si>
    <t>MC:</t>
  </si>
  <si>
    <t>DL:</t>
  </si>
  <si>
    <t>Setup:</t>
  </si>
  <si>
    <t>TOTAL p.A.</t>
  </si>
  <si>
    <t>Production Cost</t>
  </si>
  <si>
    <t>Total Manufactured Cost (Sections 2.1 - 2.6)</t>
  </si>
  <si>
    <t>Specification</t>
  </si>
  <si>
    <t>Qty (optional)</t>
  </si>
  <si>
    <t>SoP +5</t>
  </si>
  <si>
    <t>CBDnew</t>
  </si>
  <si>
    <t>Gross Amount</t>
  </si>
  <si>
    <t>Special Costs</t>
  </si>
  <si>
    <t>Lifetime [yrs]</t>
  </si>
  <si>
    <t>Floor Space [m²]</t>
  </si>
  <si>
    <t>Energy Rating [kW]</t>
  </si>
  <si>
    <t>% of Material &amp; Purchased Components</t>
  </si>
  <si>
    <t>Profit (on Material &amp; Components)</t>
  </si>
  <si>
    <t>Profit (on Manufacturing)</t>
  </si>
  <si>
    <t>Additional comments/benefits if sourced</t>
  </si>
  <si>
    <t>% of Value Added + Overheads</t>
  </si>
  <si>
    <t>Setup Loss</t>
  </si>
  <si>
    <t>Cycle time conversions</t>
  </si>
  <si>
    <t>Overall committed capacity</t>
  </si>
  <si>
    <t>[/week]</t>
  </si>
  <si>
    <t>[/year]</t>
  </si>
  <si>
    <t>Max Capacity</t>
  </si>
  <si>
    <t>Std Capacity Calculation (for Contract review)</t>
  </si>
  <si>
    <t>Manufactured Cost</t>
  </si>
  <si>
    <t>Part Description</t>
  </si>
  <si>
    <t>Part Number</t>
  </si>
  <si>
    <t>Tooling</t>
  </si>
  <si>
    <t>Pricing Summary (Primary Option)</t>
  </si>
  <si>
    <t>one-way</t>
  </si>
  <si>
    <t>Lifetime Cost</t>
  </si>
  <si>
    <t>Additional benefit</t>
  </si>
  <si>
    <t>Payment terms</t>
  </si>
  <si>
    <t>Spare Part Pricing after EoP</t>
  </si>
  <si>
    <t>NA</t>
  </si>
  <si>
    <t>Supplier Quote Ref.</t>
  </si>
  <si>
    <t>Overheads</t>
  </si>
  <si>
    <t>Annual Quantity (avg)</t>
  </si>
  <si>
    <t>Annual Quantity (peak)</t>
  </si>
  <si>
    <t>COST BREAKDOWN</t>
  </si>
  <si>
    <t>COMMERCIAL INFORMATION</t>
  </si>
  <si>
    <t>Annual Reductions</t>
  </si>
  <si>
    <t>Year 2</t>
  </si>
  <si>
    <t>Year 3</t>
  </si>
  <si>
    <t>Year 4</t>
  </si>
  <si>
    <t>Year 5</t>
  </si>
  <si>
    <t>Effective Date of first productivity</t>
  </si>
  <si>
    <t>/pc</t>
  </si>
  <si>
    <t>25% added for access.</t>
  </si>
  <si>
    <t>Air/Water/Gas</t>
  </si>
  <si>
    <t>"Lifetime" exceeded?</t>
  </si>
  <si>
    <t>Air [m³/hr]</t>
  </si>
  <si>
    <t>Water [m³/hr]</t>
  </si>
  <si>
    <t>Gas [m³/hr]</t>
  </si>
  <si>
    <t>Maintenance Cost [%]</t>
  </si>
  <si>
    <t>Insurance Cost [%]</t>
  </si>
  <si>
    <t>Interest rate [% /yr]</t>
  </si>
  <si>
    <t>Residual Value [%]</t>
  </si>
  <si>
    <t>Total Hourly rate [/hr]</t>
  </si>
  <si>
    <t>Tooling acc. to breakdown (Section 4)</t>
  </si>
  <si>
    <t>Negotiated tooling amount</t>
  </si>
  <si>
    <t>Pricing acc. to breakdown</t>
  </si>
  <si>
    <t>Frt in [%]</t>
  </si>
  <si>
    <t>First price indication before full feasibility investigation</t>
  </si>
  <si>
    <t>Negotiated Price</t>
  </si>
  <si>
    <t>Tooling description</t>
  </si>
  <si>
    <t>Tool Warranty (pcs) / Cavities</t>
  </si>
  <si>
    <t>Summary Sheet</t>
  </si>
  <si>
    <t>SUPPLIER INFORMATION</t>
  </si>
  <si>
    <t>Energy (Electricity)</t>
  </si>
  <si>
    <t>Working hours of the machine</t>
  </si>
  <si>
    <t>nominal cycle time, excl. Efficiencies</t>
  </si>
  <si>
    <t>Annual Productive Hours</t>
  </si>
  <si>
    <t>TOTAL /Year</t>
  </si>
  <si>
    <t>Total Machine Investment</t>
  </si>
  <si>
    <t>~10-15% for std machinery, 0 if incl. in Invest</t>
  </si>
  <si>
    <t>Duty Cycle [%]</t>
  </si>
  <si>
    <t>Other (Consumables)  [/hr]</t>
  </si>
  <si>
    <t>Investment Cost</t>
  </si>
  <si>
    <t>Installation Cost</t>
  </si>
  <si>
    <t>none</t>
  </si>
  <si>
    <t>Supplier Reference</t>
  </si>
  <si>
    <t>Alternate Currency</t>
  </si>
  <si>
    <t>Currency Conversion Rate</t>
  </si>
  <si>
    <t>Info only: already included in Material &amp; Production Totals</t>
  </si>
  <si>
    <t>Scrap (Material &amp; Production)</t>
  </si>
  <si>
    <t>Overhead Calculation
Cost Breakdown</t>
  </si>
  <si>
    <t>Details Buyer Section</t>
  </si>
  <si>
    <t>Version 1.01</t>
  </si>
  <si>
    <t>% of DL</t>
  </si>
  <si>
    <t>Direktes Material</t>
  </si>
  <si>
    <t>Zuschlag Material</t>
  </si>
  <si>
    <t>Produktion</t>
  </si>
  <si>
    <t>Kavitäten</t>
  </si>
  <si>
    <t>Lohnkosten</t>
  </si>
  <si>
    <t>Maschinenkosten</t>
  </si>
  <si>
    <t>Rüstkosten</t>
  </si>
  <si>
    <t>Zuschlag Produktion</t>
  </si>
  <si>
    <t>Gesamtproduktionskosten</t>
  </si>
  <si>
    <t>Gewinn</t>
  </si>
  <si>
    <t>Grundpreis</t>
  </si>
  <si>
    <t>Verpackung</t>
  </si>
  <si>
    <t>Endpreis</t>
  </si>
  <si>
    <t>Transport</t>
  </si>
  <si>
    <t>Bodenfläche</t>
  </si>
  <si>
    <t>Wartung</t>
  </si>
  <si>
    <t>Versicherung</t>
  </si>
  <si>
    <t>Deutsch</t>
  </si>
  <si>
    <t>Sektion 1</t>
  </si>
  <si>
    <t>Details Verkäufer</t>
  </si>
  <si>
    <t>Max.</t>
  </si>
  <si>
    <t>Angebots Nr.</t>
  </si>
  <si>
    <t>Jahr/e</t>
  </si>
  <si>
    <t>Produktionsstart</t>
  </si>
  <si>
    <t>Lieferant</t>
  </si>
  <si>
    <t>Währung</t>
  </si>
  <si>
    <t>Teile Nr.</t>
  </si>
  <si>
    <t>zusätzl. Information</t>
  </si>
  <si>
    <t>Drawing</t>
  </si>
  <si>
    <t>Zeichnung</t>
  </si>
  <si>
    <t>Project/Customer</t>
  </si>
  <si>
    <t>Projekt/Kunde</t>
  </si>
  <si>
    <t>Sektion 2.1</t>
  </si>
  <si>
    <t>Rohmaterial</t>
  </si>
  <si>
    <t>Beschreibung</t>
  </si>
  <si>
    <t>Netto Gewicht</t>
  </si>
  <si>
    <t>Brutto Gewicht</t>
  </si>
  <si>
    <t>Anzahl</t>
  </si>
  <si>
    <t>Frt In [%]</t>
  </si>
  <si>
    <t>Frt In [/UoM]</t>
  </si>
  <si>
    <t>Sektion 2.2</t>
  </si>
  <si>
    <t>Zulieferer</t>
  </si>
  <si>
    <t>Sektion 2.3</t>
  </si>
  <si>
    <t>Material &amp; Purchased Components Overhead</t>
  </si>
  <si>
    <t>% auf Sektion 2.1,2.2</t>
  </si>
  <si>
    <t>Sektion 2.4</t>
  </si>
  <si>
    <t>Process Desciption</t>
  </si>
  <si>
    <t>Maschine Type</t>
  </si>
  <si>
    <t>Maschine</t>
  </si>
  <si>
    <t>No. Of Operators</t>
  </si>
  <si>
    <t>Anz. Bediener</t>
  </si>
  <si>
    <t>Werkzeugwartung</t>
  </si>
  <si>
    <t>Sektion 2.5</t>
  </si>
  <si>
    <t>Value Added</t>
  </si>
  <si>
    <t>wertschöpfend</t>
  </si>
  <si>
    <t>Sektion 2.6</t>
  </si>
  <si>
    <t>Abfall (Material &amp; Produktion)</t>
  </si>
  <si>
    <t>zusätzl. Anzeige der Beträge von oben</t>
  </si>
  <si>
    <t>Gesamtproduktionskosten (Sektionen 2.1 - 2.6)</t>
  </si>
  <si>
    <t>Sektion 2.7</t>
  </si>
  <si>
    <t>Other Costs / Overheads &amp; Profits</t>
  </si>
  <si>
    <t>Produktionskosten</t>
  </si>
  <si>
    <t>Engineering / Design &amp; Developement</t>
  </si>
  <si>
    <t>Entwicklung &amp; Design</t>
  </si>
  <si>
    <t>Gewinn (auf Material &amp; Teile)</t>
  </si>
  <si>
    <t>% auf Material &amp; zugekaufte Teile</t>
  </si>
  <si>
    <t>Gewinn (auf Produktion)</t>
  </si>
  <si>
    <t>% of Manufacturing Cost + Overheads</t>
  </si>
  <si>
    <t>Sektion 3</t>
  </si>
  <si>
    <t>Verpackung &amp; Transport</t>
  </si>
  <si>
    <t>Length [mm]</t>
  </si>
  <si>
    <t>Länge [mm]</t>
  </si>
  <si>
    <t>Width [mm]</t>
  </si>
  <si>
    <t>Breit [mm]</t>
  </si>
  <si>
    <t>Height [mm]</t>
  </si>
  <si>
    <t>Höhe [mm]</t>
  </si>
  <si>
    <t>nur Hinweg</t>
  </si>
  <si>
    <t>returnable</t>
  </si>
  <si>
    <t>Hin- und Rückweg</t>
  </si>
  <si>
    <t>Lieferantennummer</t>
  </si>
  <si>
    <t>Datum</t>
  </si>
  <si>
    <t>Cost Breakdown Preisübersicht</t>
  </si>
  <si>
    <t xml:space="preserve">Preisindikation vor vollst. Durchführbarkeitsuntersuchung </t>
  </si>
  <si>
    <t>Sektion 4</t>
  </si>
  <si>
    <t>Investment / Tooling</t>
  </si>
  <si>
    <t>Vorlaufzeit [Wochen]</t>
  </si>
  <si>
    <t>Tool Cap.</t>
  </si>
  <si>
    <t>Maschine Cap. [/week]</t>
  </si>
  <si>
    <t>Max. Capacity [p.A.]</t>
  </si>
  <si>
    <t>Max. Kapazität [p.A.]</t>
  </si>
  <si>
    <t>Sektion 5</t>
  </si>
  <si>
    <t>Productivity &amp; Commercial Terms</t>
  </si>
  <si>
    <t>Zahlungsbedingungen</t>
  </si>
  <si>
    <t>Tool payment terms</t>
  </si>
  <si>
    <t>Zahlungsbedingungen (Werkzeug)</t>
  </si>
  <si>
    <t>Spare part pricing at serial price after EoP</t>
  </si>
  <si>
    <t>Ersatzteillistenpreis nach Produktionsende</t>
  </si>
  <si>
    <t>zugestimmte Gesamtkapazität</t>
  </si>
  <si>
    <t>[/Woche]</t>
  </si>
  <si>
    <t>[/Jahr]</t>
  </si>
  <si>
    <t>Preis laut Breakdown</t>
  </si>
  <si>
    <t>Jahr</t>
  </si>
  <si>
    <t>Prod. Red.</t>
  </si>
  <si>
    <t>Preisnachlass [%/Jahr]</t>
  </si>
  <si>
    <t>Preis nach Verhandlung</t>
  </si>
  <si>
    <t>Prod. Start</t>
  </si>
  <si>
    <t>Jahr 2</t>
  </si>
  <si>
    <t>Jahr 3</t>
  </si>
  <si>
    <t>Jahr 4</t>
  </si>
  <si>
    <t>Jahr 5</t>
  </si>
  <si>
    <t>Werkzeugkosten laut Breakdown (Section 4)</t>
  </si>
  <si>
    <t>Werkzeugkosten nach Verhandlung</t>
  </si>
  <si>
    <t>Zusatzzahlungen</t>
  </si>
  <si>
    <t>Lifetime</t>
  </si>
  <si>
    <t>Lebensdauer</t>
  </si>
  <si>
    <t>Zusätzliche Kommentare/Vergünstigungen</t>
  </si>
  <si>
    <t>Pricing Overview</t>
  </si>
  <si>
    <t>Preisübersicht</t>
  </si>
  <si>
    <t>zugekaufte Teile</t>
  </si>
  <si>
    <t>Setup Kosten</t>
  </si>
  <si>
    <t>Werkzeugkosten</t>
  </si>
  <si>
    <t>Overheads (SG&amp;A;Eng)</t>
  </si>
  <si>
    <t>Zuschläge Administration &amp; Entwicklung</t>
  </si>
  <si>
    <t>Sonderkosten</t>
  </si>
  <si>
    <t>Base price (without packaging/logistics)</t>
  </si>
  <si>
    <t>Grundpreis (exkl. Verpackung &amp; Transport)</t>
  </si>
  <si>
    <t>Logistics</t>
  </si>
  <si>
    <t>% auf Wertschöpfend + Zuschläge</t>
  </si>
  <si>
    <t>% auf Produktionskosten + Zuschläge</t>
  </si>
  <si>
    <t>FOT [Wochen]</t>
  </si>
  <si>
    <t>Zusammenfassung</t>
  </si>
  <si>
    <t>mittlere jährliche Stückzahl</t>
  </si>
  <si>
    <t>max. jährliche Stückzahl</t>
  </si>
  <si>
    <t>Estimated Lifetime (years)</t>
  </si>
  <si>
    <t>erwartete Lebensdauer (Jahren)</t>
  </si>
  <si>
    <t>Sekundärwährung</t>
  </si>
  <si>
    <t>Wechselkurs</t>
  </si>
  <si>
    <t>English</t>
  </si>
  <si>
    <t>ID</t>
  </si>
  <si>
    <t>Sprache</t>
  </si>
  <si>
    <t>Spalte</t>
  </si>
  <si>
    <t>en</t>
  </si>
  <si>
    <t>de</t>
  </si>
  <si>
    <t>sec1</t>
  </si>
  <si>
    <t>buyer</t>
  </si>
  <si>
    <t>avrg</t>
  </si>
  <si>
    <t>pk</t>
  </si>
  <si>
    <t>quot</t>
  </si>
  <si>
    <t>an_qty</t>
  </si>
  <si>
    <t>jh_buyer</t>
  </si>
  <si>
    <t>lifetime</t>
  </si>
  <si>
    <t>yr</t>
  </si>
  <si>
    <t>jh_loc</t>
  </si>
  <si>
    <t>sop</t>
  </si>
  <si>
    <t>supplier</t>
  </si>
  <si>
    <t>currency</t>
  </si>
  <si>
    <t>ppap</t>
  </si>
  <si>
    <t>descr</t>
  </si>
  <si>
    <t>fot</t>
  </si>
  <si>
    <t>partno</t>
  </si>
  <si>
    <t>info</t>
  </si>
  <si>
    <t>drawing</t>
  </si>
  <si>
    <t>project</t>
  </si>
  <si>
    <t>sec2.1</t>
  </si>
  <si>
    <t>material</t>
  </si>
  <si>
    <t>descr2</t>
  </si>
  <si>
    <t>spec</t>
  </si>
  <si>
    <t>uom</t>
  </si>
  <si>
    <t>nweight</t>
  </si>
  <si>
    <t>bweight</t>
  </si>
  <si>
    <t>qty1</t>
  </si>
  <si>
    <t>ucost</t>
  </si>
  <si>
    <t>resale</t>
  </si>
  <si>
    <t>frt_%</t>
  </si>
  <si>
    <t>frt_uom</t>
  </si>
  <si>
    <t>scrap</t>
  </si>
  <si>
    <t>total</t>
  </si>
  <si>
    <t>sec2.2</t>
  </si>
  <si>
    <t>purch_comp</t>
  </si>
  <si>
    <t>part_numb</t>
  </si>
  <si>
    <t>sub_supplier</t>
  </si>
  <si>
    <t>qty2</t>
  </si>
  <si>
    <t>sec2.3</t>
  </si>
  <si>
    <t>moh</t>
  </si>
  <si>
    <t>sec2_%</t>
  </si>
  <si>
    <t>sec2.4</t>
  </si>
  <si>
    <t>prod</t>
  </si>
  <si>
    <t>process</t>
  </si>
  <si>
    <t>mach_type</t>
  </si>
  <si>
    <t>ct</t>
  </si>
  <si>
    <t>cav</t>
  </si>
  <si>
    <t>mach_hr</t>
  </si>
  <si>
    <t>op_hr</t>
  </si>
  <si>
    <t>#op</t>
  </si>
  <si>
    <t>setup_cost</t>
  </si>
  <si>
    <t>batch</t>
  </si>
  <si>
    <t>tool_maint</t>
  </si>
  <si>
    <t>sec2.5</t>
  </si>
  <si>
    <t>poh</t>
  </si>
  <si>
    <t>dl</t>
  </si>
  <si>
    <t>va</t>
  </si>
  <si>
    <t>sec2.6</t>
  </si>
  <si>
    <t>scrap2</t>
  </si>
  <si>
    <t>total_mc</t>
  </si>
  <si>
    <t>sec2.7</t>
  </si>
  <si>
    <t>info2</t>
  </si>
  <si>
    <t>cost_other</t>
  </si>
  <si>
    <t>mc</t>
  </si>
  <si>
    <t>d&amp;d</t>
  </si>
  <si>
    <t>amount</t>
  </si>
  <si>
    <t>qty3</t>
  </si>
  <si>
    <t>profit</t>
  </si>
  <si>
    <t>material_%</t>
  </si>
  <si>
    <t>profit2</t>
  </si>
  <si>
    <t>price</t>
  </si>
  <si>
    <t>sec3</t>
  </si>
  <si>
    <t>goh</t>
  </si>
  <si>
    <t>va_%</t>
  </si>
  <si>
    <t>mc_%</t>
  </si>
  <si>
    <t>logistics</t>
  </si>
  <si>
    <t>width</t>
  </si>
  <si>
    <t>length</t>
  </si>
  <si>
    <t>height</t>
  </si>
  <si>
    <t>pcs_box</t>
  </si>
  <si>
    <t>box_cost</t>
  </si>
  <si>
    <t>box_cost_other</t>
  </si>
  <si>
    <t>box_pallet</t>
  </si>
  <si>
    <t>pallet_cost</t>
  </si>
  <si>
    <t>1way</t>
  </si>
  <si>
    <t>2way</t>
  </si>
  <si>
    <t>supplier_ref</t>
  </si>
  <si>
    <t>date</t>
  </si>
  <si>
    <t>cbd_pricesummary</t>
  </si>
  <si>
    <t>price_ind</t>
  </si>
  <si>
    <t>sec4</t>
  </si>
  <si>
    <t>invest</t>
  </si>
  <si>
    <t>cav2</t>
  </si>
  <si>
    <t>lt</t>
  </si>
  <si>
    <t>fot2</t>
  </si>
  <si>
    <t>warranty</t>
  </si>
  <si>
    <t>tool_cap</t>
  </si>
  <si>
    <t>mach_cap</t>
  </si>
  <si>
    <t>max_cap</t>
  </si>
  <si>
    <t>tool_cost</t>
  </si>
  <si>
    <t>sec5</t>
  </si>
  <si>
    <t>pc_terms</t>
  </si>
  <si>
    <t>pay_terms</t>
  </si>
  <si>
    <t>tool_terms</t>
  </si>
  <si>
    <t>sparepart_price</t>
  </si>
  <si>
    <t>tot_cap</t>
  </si>
  <si>
    <t>w</t>
  </si>
  <si>
    <t>y</t>
  </si>
  <si>
    <t>package</t>
  </si>
  <si>
    <t>trans</t>
  </si>
  <si>
    <t>price2</t>
  </si>
  <si>
    <t>y2</t>
  </si>
  <si>
    <t>profit3</t>
  </si>
  <si>
    <t>y1</t>
  </si>
  <si>
    <t>y3</t>
  </si>
  <si>
    <t>y4</t>
  </si>
  <si>
    <t>y5</t>
  </si>
  <si>
    <t>tool_cbd</t>
  </si>
  <si>
    <t>tool_neg</t>
  </si>
  <si>
    <t>pay_add</t>
  </si>
  <si>
    <t>lifetime2</t>
  </si>
  <si>
    <t>comments</t>
  </si>
  <si>
    <t>price_view</t>
  </si>
  <si>
    <t>dmat</t>
  </si>
  <si>
    <t>mat</t>
  </si>
  <si>
    <t>purch_parts</t>
  </si>
  <si>
    <t>moh2</t>
  </si>
  <si>
    <t>mc2</t>
  </si>
  <si>
    <t>mach_cost2</t>
  </si>
  <si>
    <t>poh2</t>
  </si>
  <si>
    <t>tool_cost2</t>
  </si>
  <si>
    <t>scrap_cost2</t>
  </si>
  <si>
    <t>ohs</t>
  </si>
  <si>
    <t>special_cost</t>
  </si>
  <si>
    <t>pack</t>
  </si>
  <si>
    <t>logi</t>
  </si>
  <si>
    <t>final</t>
  </si>
  <si>
    <t>sum_sheet</t>
  </si>
  <si>
    <t>part_descr</t>
  </si>
  <si>
    <t>setup_cost2</t>
  </si>
  <si>
    <t>Bediener</t>
  </si>
  <si>
    <t>Unit Cost</t>
  </si>
  <si>
    <t>Amount</t>
  </si>
  <si>
    <t>Betrag</t>
  </si>
  <si>
    <t>Box Cost</t>
  </si>
  <si>
    <t>Other Box Cost</t>
  </si>
  <si>
    <t>Pallet Cost</t>
  </si>
  <si>
    <t>Palettenpreis</t>
  </si>
  <si>
    <t>Tool Cost</t>
  </si>
  <si>
    <t>w/ Packaging</t>
  </si>
  <si>
    <t>w/ Logistics</t>
  </si>
  <si>
    <t>mit Verpackung</t>
  </si>
  <si>
    <t>mit Transport</t>
  </si>
  <si>
    <t>Boxes /Pallet</t>
  </si>
  <si>
    <t>Taxes</t>
  </si>
  <si>
    <t>Steuern</t>
  </si>
  <si>
    <t>tax</t>
  </si>
  <si>
    <t>duties</t>
  </si>
  <si>
    <t>Duties</t>
  </si>
  <si>
    <t>Zoll</t>
  </si>
  <si>
    <t>Verpackungsart</t>
  </si>
  <si>
    <t>pack_type</t>
  </si>
  <si>
    <t>stack</t>
  </si>
  <si>
    <t>Pallet Stackability</t>
  </si>
  <si>
    <t>Stapelfähigkeit</t>
  </si>
  <si>
    <t>Return Freight</t>
  </si>
  <si>
    <t>frt_return</t>
  </si>
  <si>
    <t>price_cbd</t>
  </si>
  <si>
    <t>price_neg</t>
  </si>
  <si>
    <t>avg_qty</t>
  </si>
  <si>
    <t>peak_qty</t>
  </si>
  <si>
    <t>est_lft</t>
  </si>
  <si>
    <t>alt_cur</t>
  </si>
  <si>
    <t>cur_conv</t>
  </si>
  <si>
    <t>Std Kapazitätsberechnung (für Vertragsreview)</t>
  </si>
  <si>
    <t>std_cap</t>
  </si>
  <si>
    <t>m_cap</t>
  </si>
  <si>
    <t>Max Kapazität</t>
  </si>
  <si>
    <t>ct_conv</t>
  </si>
  <si>
    <t>Zykluszeit Umrechung</t>
  </si>
  <si>
    <t>h/s</t>
  </si>
  <si>
    <t>Hrs/shift</t>
  </si>
  <si>
    <t>Std/Schicht</t>
  </si>
  <si>
    <t>s/w</t>
  </si>
  <si>
    <t>Schichten/Woche</t>
  </si>
  <si>
    <t>oper_eff</t>
  </si>
  <si>
    <t>setup_time</t>
  </si>
  <si>
    <t>Setup [hrs]</t>
  </si>
  <si>
    <t>Setup [Std]</t>
  </si>
  <si>
    <t>setup_loss</t>
  </si>
  <si>
    <t>Setup Verlust</t>
  </si>
  <si>
    <t>week_cap</t>
  </si>
  <si>
    <t>Wochen/Jahr</t>
  </si>
  <si>
    <t>an_cap</t>
  </si>
  <si>
    <t>oee</t>
  </si>
  <si>
    <t>Calc O.E.E.</t>
  </si>
  <si>
    <t>O.E.E.</t>
  </si>
  <si>
    <t>cap_margin</t>
  </si>
  <si>
    <t>pcs/min</t>
  </si>
  <si>
    <t>Pcs/min</t>
  </si>
  <si>
    <t>Stück/Min</t>
  </si>
  <si>
    <t>pcs/hr</t>
  </si>
  <si>
    <t>Pcs/hr</t>
  </si>
  <si>
    <t>Stück/Std</t>
  </si>
  <si>
    <t>pcs/hr_eff</t>
  </si>
  <si>
    <t>Pcs/hr (incl Eff.)</t>
  </si>
  <si>
    <t>Stück/Std (inkl. Eff.)</t>
  </si>
  <si>
    <t>#loops</t>
  </si>
  <si>
    <t>Anzahl Verwendungen Kiste</t>
  </si>
  <si>
    <t>parts/pallet</t>
  </si>
  <si>
    <t>Parts/Pallet</t>
  </si>
  <si>
    <t>part_wgt</t>
  </si>
  <si>
    <t>Gewicht [g]</t>
  </si>
  <si>
    <t>full_box</t>
  </si>
  <si>
    <t>Full Box [kg]</t>
  </si>
  <si>
    <t>pallet</t>
  </si>
  <si>
    <t>Pallet [kg]</t>
  </si>
  <si>
    <t>Palette [kg]</t>
  </si>
  <si>
    <t>pallet/w</t>
  </si>
  <si>
    <t>Pallet/week</t>
  </si>
  <si>
    <t>Paletten/Woche</t>
  </si>
  <si>
    <t>Gross Margin</t>
  </si>
  <si>
    <t>Bruttogewinn</t>
  </si>
  <si>
    <t>Ausschuss</t>
  </si>
  <si>
    <t>Zuschläge</t>
  </si>
  <si>
    <t>Delivery Terms</t>
  </si>
  <si>
    <t>Lieferbedinungen</t>
  </si>
  <si>
    <t>Parts per Box/Pallet</t>
  </si>
  <si>
    <t>Verpackungskosten</t>
  </si>
  <si>
    <t>Transportkosten</t>
  </si>
  <si>
    <t>LIEFERANTEN INFO</t>
  </si>
  <si>
    <t>Lieferanten ???</t>
  </si>
  <si>
    <t>Supplier Comments:</t>
  </si>
  <si>
    <t>Kommentare:</t>
  </si>
  <si>
    <t>HANDELSANGABEN</t>
  </si>
  <si>
    <t>jährl. Preisnachlass</t>
  </si>
  <si>
    <t>Datum Ersterzeugnis</t>
  </si>
  <si>
    <t>Zusatzleistungen</t>
  </si>
  <si>
    <t>Werkzeuge</t>
  </si>
  <si>
    <t>verhandelter Preis</t>
  </si>
  <si>
    <t>Werkzeugbezeichnung</t>
  </si>
  <si>
    <t>Werkzeughaltbarkeit [Stück/Kavität]</t>
  </si>
  <si>
    <t>Kosten für gesamte Lebensdauer</t>
  </si>
  <si>
    <t>Additional Supplier Comments/Benefits</t>
  </si>
  <si>
    <t>Kommentare/Zusatzleistungen</t>
  </si>
  <si>
    <t>Hourly Rate Calculation (incl. OEE)</t>
  </si>
  <si>
    <t>Beispiel</t>
  </si>
  <si>
    <t>Kaufpreis</t>
  </si>
  <si>
    <t>Installationskosten</t>
  </si>
  <si>
    <t>Lebensdauer [Jahren]</t>
  </si>
  <si>
    <t>Lebensdauer überschritten?</t>
  </si>
  <si>
    <t>Zinssatz [%/yr]</t>
  </si>
  <si>
    <t>Energieverbrauch [kW]</t>
  </si>
  <si>
    <t>Wartungskosten [%]</t>
  </si>
  <si>
    <t>Versicherungskosten [%]</t>
  </si>
  <si>
    <t>jährl. Produktionsstunden</t>
  </si>
  <si>
    <t>Abschreibungen</t>
  </si>
  <si>
    <t>Zinsen</t>
  </si>
  <si>
    <t>Energie (Strom)</t>
  </si>
  <si>
    <t>Luft/Wasser/Gas</t>
  </si>
  <si>
    <t>Maschinengesamtinvestition</t>
  </si>
  <si>
    <t>25% zusätzlich für Zugang</t>
  </si>
  <si>
    <t>Energierating der Maschine</t>
  </si>
  <si>
    <t>andere Bedienkosten</t>
  </si>
  <si>
    <t>% auf Kaufpreis</t>
  </si>
  <si>
    <t>tatsächliche Produktionswochen</t>
  </si>
  <si>
    <t>Maschinenarbeitstunden</t>
  </si>
  <si>
    <t>durchschnittliche Nutzung der Maschine</t>
  </si>
  <si>
    <t>TOTAL /Jahr</t>
  </si>
  <si>
    <t>nominal Zykluszeit exkl. Effizienzen</t>
  </si>
  <si>
    <t>Jahreskapazität</t>
  </si>
  <si>
    <t>empty_box</t>
  </si>
  <si>
    <t>leere Kiste [g]</t>
  </si>
  <si>
    <t>gefüllte Kiste [kg]</t>
  </si>
  <si>
    <t>part_price1</t>
  </si>
  <si>
    <t>part_price2</t>
  </si>
  <si>
    <t>part_price3</t>
  </si>
  <si>
    <t>quot_opt</t>
  </si>
  <si>
    <t>pos_numb</t>
  </si>
  <si>
    <t>max_lft</t>
  </si>
  <si>
    <t>contr</t>
  </si>
  <si>
    <t>gross_margin</t>
  </si>
  <si>
    <t>purch_comp2</t>
  </si>
  <si>
    <t>moh3</t>
  </si>
  <si>
    <t>tot_man_cost</t>
  </si>
  <si>
    <t>overhs</t>
  </si>
  <si>
    <t>scrap3</t>
  </si>
  <si>
    <t>deliv_terms</t>
  </si>
  <si>
    <t>part_box/pallet</t>
  </si>
  <si>
    <t>Stück pro Kiste/Palette</t>
  </si>
  <si>
    <t>pack_cost</t>
  </si>
  <si>
    <t>frt_cost</t>
  </si>
  <si>
    <t>suppl_info</t>
  </si>
  <si>
    <t>prep_by</t>
  </si>
  <si>
    <t>suppl_com</t>
  </si>
  <si>
    <t>comm_info</t>
  </si>
  <si>
    <t>price_summary</t>
  </si>
  <si>
    <t>an_red</t>
  </si>
  <si>
    <t>eff_dofp</t>
  </si>
  <si>
    <t>add_benefit</t>
  </si>
  <si>
    <t>tooling</t>
  </si>
  <si>
    <t>neg_price</t>
  </si>
  <si>
    <t>tooling_descr</t>
  </si>
  <si>
    <t>pcs/cav</t>
  </si>
  <si>
    <t>lft_cost</t>
  </si>
  <si>
    <t>sparepart_price2</t>
  </si>
  <si>
    <t>add_suppl_com</t>
  </si>
  <si>
    <t>w/y</t>
  </si>
  <si>
    <t>hr_rate_calc</t>
  </si>
  <si>
    <t>ex</t>
  </si>
  <si>
    <t>invest_cost</t>
  </si>
  <si>
    <t>install_cost</t>
  </si>
  <si>
    <t>lft_yr</t>
  </si>
  <si>
    <t>lft_exceed</t>
  </si>
  <si>
    <t>res_value</t>
  </si>
  <si>
    <t>int_rate</t>
  </si>
  <si>
    <t>space</t>
  </si>
  <si>
    <t>energy_rating</t>
  </si>
  <si>
    <t>duty_cycle</t>
  </si>
  <si>
    <t>air</t>
  </si>
  <si>
    <t>water</t>
  </si>
  <si>
    <t>gas</t>
  </si>
  <si>
    <t>oth</t>
  </si>
  <si>
    <t>maint_cost</t>
  </si>
  <si>
    <t>insurance_cost</t>
  </si>
  <si>
    <t>utilisation</t>
  </si>
  <si>
    <t>an_prod_hr</t>
  </si>
  <si>
    <t>hr_rate</t>
  </si>
  <si>
    <t>depreciation</t>
  </si>
  <si>
    <t>int</t>
  </si>
  <si>
    <t>energy</t>
  </si>
  <si>
    <t>a/w/g</t>
  </si>
  <si>
    <t>space2</t>
  </si>
  <si>
    <t>maint</t>
  </si>
  <si>
    <t>insurance</t>
  </si>
  <si>
    <t>oth2</t>
  </si>
  <si>
    <t>tot_hr_rate</t>
  </si>
  <si>
    <t>tot_mach_invest</t>
  </si>
  <si>
    <t>explain1</t>
  </si>
  <si>
    <t>explain2</t>
  </si>
  <si>
    <t>explain3</t>
  </si>
  <si>
    <t>explain4</t>
  </si>
  <si>
    <t>explain5</t>
  </si>
  <si>
    <t>explain6</t>
  </si>
  <si>
    <t>explain7</t>
  </si>
  <si>
    <t>explain8</t>
  </si>
  <si>
    <t>explain9</t>
  </si>
  <si>
    <t>explain10</t>
  </si>
  <si>
    <t>explain11</t>
  </si>
  <si>
    <t>explain12</t>
  </si>
  <si>
    <t>tot/y</t>
  </si>
  <si>
    <t>nom_ct</t>
  </si>
  <si>
    <t>an_cap2</t>
  </si>
  <si>
    <t>Gesamtstundenrate [/Std]</t>
  </si>
  <si>
    <t>Stundenrate:</t>
  </si>
  <si>
    <t>andere Betriebsstoffe</t>
  </si>
  <si>
    <t>Stundenraten Berechnung (ink. OEE)</t>
  </si>
  <si>
    <t>Spalte1</t>
  </si>
  <si>
    <t>/m2/yr</t>
  </si>
  <si>
    <t>andere Betriebsstoffe [/Std]</t>
  </si>
  <si>
    <t>/Stück</t>
  </si>
  <si>
    <t>/hr</t>
  </si>
  <si>
    <t>/Std</t>
  </si>
  <si>
    <t>/pallet</t>
  </si>
  <si>
    <t>/box</t>
  </si>
  <si>
    <t>/Palette</t>
  </si>
  <si>
    <t>/Kiste</t>
  </si>
  <si>
    <t>% of MC+DL</t>
  </si>
  <si>
    <t>%DL</t>
  </si>
  <si>
    <t>% auf DL</t>
  </si>
  <si>
    <t>%MCDL</t>
  </si>
  <si>
    <t>% auf MC+DL</t>
  </si>
  <si>
    <t>Sachnummer</t>
  </si>
  <si>
    <t>Ausschuss [%]</t>
  </si>
  <si>
    <t>Overheads &amp; Gewinne</t>
  </si>
  <si>
    <t>Stückzahl/Jahr</t>
  </si>
  <si>
    <t>Preis/Einheit</t>
  </si>
  <si>
    <t>Inbound Fracht [%]</t>
  </si>
  <si>
    <t>Inbound Fracht [/St.]</t>
  </si>
  <si>
    <t>Dschn.</t>
  </si>
  <si>
    <t>Einkaufsteile (&amp; Externe Prozesse)</t>
  </si>
  <si>
    <t>Grundpreis mit</t>
  </si>
  <si>
    <t>price_w</t>
  </si>
  <si>
    <t>Base Price with</t>
  </si>
  <si>
    <t>Incoterm</t>
  </si>
  <si>
    <t>Standort</t>
  </si>
  <si>
    <t>loc</t>
  </si>
  <si>
    <t>Garantie [/Teil]</t>
  </si>
  <si>
    <t>Maschinenkapa- zität [/Woche]</t>
  </si>
  <si>
    <t>Werkzeug- kapazität</t>
  </si>
  <si>
    <t>Einkaufsteile</t>
  </si>
  <si>
    <t>sg&amp;a</t>
  </si>
  <si>
    <t>ed&amp;t</t>
  </si>
  <si>
    <t>Base Price (incl. Packaging)</t>
  </si>
  <si>
    <t>Grundpreis (inkl. Verpackung)</t>
  </si>
  <si>
    <t>base_price_pack</t>
  </si>
  <si>
    <t>Restwert [%]</t>
  </si>
  <si>
    <t>Auslastungsgrad [%]</t>
  </si>
  <si>
    <t>Einheit</t>
  </si>
  <si>
    <t>&lt;-- Part Price without packaging/logistics</t>
  </si>
  <si>
    <t>&lt;-- Part Price with specified packaging</t>
  </si>
  <si>
    <t>&lt;-- Part Price including packaging/logistics</t>
  </si>
  <si>
    <t>&lt;-- Primary option for quotations</t>
  </si>
  <si>
    <t>&lt;-- Enter as positive number</t>
  </si>
  <si>
    <t>&lt;-- Max lifetime limited to 5 years</t>
  </si>
  <si>
    <t>&lt;-- Max Lebensdauer auf 5 Jahre begrenzt</t>
  </si>
  <si>
    <t>&lt;-- positive Zahl eingeben</t>
  </si>
  <si>
    <t>&lt;-- Erstoption für Angebote</t>
  </si>
  <si>
    <t>&lt;-- Stückpreis inkl. Verpackung/Transport</t>
  </si>
  <si>
    <t>&lt;-- Stückpreis mit ausgewählter Verpackungsart</t>
  </si>
  <si>
    <t>&lt;-- Stückpreis ohne Verpackung/Transport</t>
  </si>
  <si>
    <t>Produktionszeitraum, nicht Abschreibungszeitraum</t>
  </si>
  <si>
    <t>Annahme in % vom Nennwert</t>
  </si>
  <si>
    <t>ca. 5-7% (wie Kapitalertrag)</t>
  </si>
  <si>
    <t>Bodenfläche [m²]</t>
  </si>
  <si>
    <t>Luftverbrauch [m³/Std]</t>
  </si>
  <si>
    <t>Wasserverbrauch [m³/Std]</t>
  </si>
  <si>
    <t>Gasverbrauch [m³/Std]</t>
  </si>
  <si>
    <t>Wirkungsgrad</t>
  </si>
  <si>
    <t>Stück/ Palette</t>
  </si>
  <si>
    <t>Verhandelter Angebotspreis</t>
  </si>
  <si>
    <t>Return Fracht</t>
  </si>
  <si>
    <t>~10 % für Standardmaschinen, 0 für Spezialmaschinen</t>
  </si>
  <si>
    <t>~10-15% für Standardmaschinen falls nicht im Kaufpreis</t>
  </si>
  <si>
    <t>pack2</t>
  </si>
  <si>
    <t>packaging</t>
  </si>
  <si>
    <t>old values:</t>
  </si>
  <si>
    <t>new values:</t>
  </si>
  <si>
    <t>EUR (Euro)</t>
  </si>
  <si>
    <t>USD (US Dollar)</t>
  </si>
  <si>
    <t>CZK (Czech Crowns)</t>
  </si>
  <si>
    <t>UAK (Ukrainian Hrywnja)</t>
  </si>
  <si>
    <t>CNY (Chinese Renminbi Yuan)</t>
  </si>
  <si>
    <t>CHF (Swiss Franc)</t>
  </si>
  <si>
    <t>BRL (Brazilian Real)</t>
  </si>
  <si>
    <t>PLN (Polisch Zloty)</t>
  </si>
  <si>
    <t>RON (Romanian New Leu)</t>
  </si>
  <si>
    <t>RUB (Russian Rubel)</t>
  </si>
  <si>
    <t>Ausschußkosten</t>
  </si>
  <si>
    <t>Erstbemusterung</t>
  </si>
  <si>
    <t>x</t>
  </si>
  <si>
    <t>Gemeinkosten Material &amp; Einkaufsteile</t>
  </si>
  <si>
    <t>Prozess Beschreibung</t>
  </si>
  <si>
    <t>Fertigungsgemeinkosten</t>
  </si>
  <si>
    <t>Vetriebs- und Verwaltung</t>
  </si>
  <si>
    <t>Werkzeugfallende Teile</t>
  </si>
  <si>
    <t>Rückvergütung</t>
  </si>
  <si>
    <t>Langzeitvereinbarungen</t>
  </si>
  <si>
    <t>/(m²/yr)</t>
  </si>
  <si>
    <t>/(m²/Jahr)</t>
  </si>
  <si>
    <t>LT Kosten</t>
  </si>
  <si>
    <t>zusätzl. LT Kosten</t>
  </si>
  <si>
    <t>Stück/ Ladungs-träger(LT)</t>
  </si>
  <si>
    <t>LT / Palette</t>
  </si>
  <si>
    <t>Werkstoff</t>
  </si>
  <si>
    <t>%</t>
  </si>
  <si>
    <t>Buyer</t>
  </si>
  <si>
    <t>Einkäufer</t>
  </si>
  <si>
    <t>Cycle Time [min]</t>
  </si>
  <si>
    <t>Zyklus-zeit [min]</t>
  </si>
  <si>
    <t>Fertigungs-Losgröße</t>
  </si>
  <si>
    <t>Production Batch Size</t>
  </si>
  <si>
    <t>Vertrieb und Verwaltung</t>
  </si>
  <si>
    <t>Development &amp; Design</t>
  </si>
  <si>
    <t>Sales &amp; Administration</t>
  </si>
  <si>
    <t>/part</t>
  </si>
  <si>
    <t>/Bauteil</t>
  </si>
  <si>
    <t>/Los</t>
  </si>
  <si>
    <t>/batch</t>
  </si>
  <si>
    <t>/UoM</t>
  </si>
  <si>
    <t>/Einheit</t>
  </si>
  <si>
    <t>Deckungsbeitrag</t>
  </si>
  <si>
    <t>Contribution Margin</t>
  </si>
  <si>
    <t>Nutzungsgrad</t>
  </si>
  <si>
    <t>Utilization ratio</t>
  </si>
  <si>
    <t>Weekly Capacity (pc)</t>
  </si>
  <si>
    <t>Kapazität/Woche (Stck)</t>
  </si>
  <si>
    <t>Annual Capacity (pc)</t>
  </si>
  <si>
    <t>Kapazität/Jahr (Stck)</t>
  </si>
  <si>
    <t>Necessary Capacity (%)</t>
  </si>
  <si>
    <t>benötigte Kapazität (%)</t>
  </si>
  <si>
    <t>No</t>
  </si>
  <si>
    <t>W6: Delete row content if hidden (SpinButton-bool):</t>
  </si>
  <si>
    <t>Net Amount</t>
  </si>
  <si>
    <t xml:space="preserve"> &lt;- actProcessOfVBCode</t>
  </si>
  <si>
    <t>proc_none</t>
  </si>
  <si>
    <t>Standard</t>
  </si>
  <si>
    <t>Bauteile/Zyklus (Kavitäten)</t>
  </si>
  <si>
    <t>Pcs/cycle (cavities)</t>
  </si>
  <si>
    <t>not used</t>
  </si>
  <si>
    <t>Spalte2</t>
  </si>
  <si>
    <t>Refund</t>
  </si>
  <si>
    <t>Erstellt von</t>
  </si>
  <si>
    <t>without</t>
  </si>
  <si>
    <t>ohne</t>
  </si>
  <si>
    <t>with</t>
  </si>
  <si>
    <t>mit</t>
  </si>
  <si>
    <t>Housing</t>
  </si>
  <si>
    <t>CALC4XL</t>
  </si>
  <si>
    <t>Munich</t>
  </si>
  <si>
    <t>AlMgSi</t>
  </si>
  <si>
    <t>kg</t>
  </si>
  <si>
    <t>Aluminium</t>
  </si>
  <si>
    <t>Die Casting</t>
  </si>
  <si>
    <t>Deburring</t>
  </si>
  <si>
    <t>Shotblasting</t>
  </si>
  <si>
    <t>Machining</t>
  </si>
  <si>
    <t>Quality Check and packaging</t>
  </si>
  <si>
    <t>DDP</t>
  </si>
  <si>
    <t>Hamburg</t>
  </si>
  <si>
    <t>2-high</t>
  </si>
  <si>
    <t>Injection molding tool 1 Cavity</t>
  </si>
  <si>
    <t>EUR</t>
  </si>
  <si>
    <t>Germany</t>
  </si>
  <si>
    <t>China</t>
  </si>
  <si>
    <t>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</si>
</sst>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00"/>
    <numFmt numFmtId="165" formatCode="d/m/yyyy;@"/>
    <numFmt numFmtId="166" formatCode="0.0000%"/>
    <numFmt numFmtId="167" formatCode="#,##0.0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_-* #,##0.00\ &quot;DM&quot;_-;\-* #,##0.00\ &quot;DM&quot;_-;_-* &quot;-&quot;??\ &quot;DM&quot;_-;_-@_-"/>
    <numFmt numFmtId="171" formatCode="_-* #,##0.00\ _D_M_-;\-* #,##0.00\ _D_M_-;_-* &quot;-&quot;??\ _D_M_-;_-@_-"/>
    <numFmt numFmtId="172" formatCode="#\ ##0.000"/>
    <numFmt numFmtId="173" formatCode="0.0%"/>
    <numFmt numFmtId="174" formatCode="mmm\ yyyy"/>
    <numFmt numFmtId="175" formatCode="0.00\ &quot;%&quot;"/>
  </numFmts>
  <fonts count="70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6"/>
      <color indexed="18"/>
      <name val="Helvetica"/>
      <family val="2"/>
    </font>
    <font>
      <sz val="10"/>
      <name val="Arial"/>
      <family val="2"/>
    </font>
    <font>
      <b/>
      <sz val="16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color indexed="18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43"/>
      <name val="Arial"/>
      <family val="2"/>
    </font>
    <font>
      <sz val="10"/>
      <color indexed="14"/>
      <name val="Arial"/>
      <family val="2"/>
    </font>
    <font>
      <b/>
      <u/>
      <sz val="10"/>
      <name val="Arial"/>
      <family val="2"/>
    </font>
    <font>
      <sz val="10"/>
      <color indexed="81"/>
      <name val="Tahoma"/>
      <family val="2"/>
    </font>
    <font>
      <b/>
      <sz val="12"/>
      <name val="Arial"/>
      <family val="2"/>
    </font>
    <font>
      <sz val="10"/>
      <color indexed="22"/>
      <name val="Arial"/>
      <family val="2"/>
    </font>
    <font>
      <u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FF"/>
      <name val="Arial"/>
      <family val="2"/>
    </font>
    <font>
      <i/>
      <sz val="10"/>
      <color theme="0" tint="-0.499984740745262"/>
      <name val="Arial"/>
      <family val="2"/>
    </font>
    <font>
      <sz val="10"/>
      <color rgb="FFCCFFCC"/>
      <name val="Arial"/>
      <family val="2"/>
    </font>
    <font>
      <sz val="8"/>
      <color rgb="FF0000CC"/>
      <name val="Arial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sz val="9"/>
      <color rgb="FF0000CC"/>
      <name val="Arial"/>
      <family val="2"/>
    </font>
    <font>
      <sz val="6"/>
      <color theme="0" tint="-0.499984740745262"/>
      <name val="Arial"/>
      <family val="2"/>
    </font>
    <font>
      <b/>
      <sz val="10"/>
      <color rgb="FF000000"/>
      <name val="Arial"/>
      <family val="2"/>
    </font>
    <font>
      <sz val="10"/>
      <color theme="0" tint="-0.499984740745262"/>
      <name val="Arial"/>
      <family val="2"/>
    </font>
    <font>
      <b/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0"/>
      <name val="Arial"/>
      <family val="2"/>
    </font>
    <font>
      <b/>
      <sz val="8"/>
      <color rgb="FFFFFFF0"/>
      <name val="Arial"/>
      <family val="2"/>
    </font>
    <font>
      <sz val="10"/>
      <color theme="0"/>
      <name val="Arial"/>
      <family val="2"/>
    </font>
    <font>
      <b/>
      <sz val="11"/>
      <color rgb="FF0000CC"/>
      <name val="Arial"/>
      <family val="2"/>
    </font>
    <font>
      <b/>
      <sz val="12"/>
      <color rgb="FF0000CC"/>
      <name val="Arial"/>
      <family val="2"/>
    </font>
    <font>
      <sz val="8"/>
      <color theme="3" tint="0.3999755851924192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0"/>
      <color theme="1"/>
      <name val="Arial"/>
      <family val="2"/>
    </font>
    <font>
      <b/>
      <sz val="10"/>
      <color indexed="81"/>
      <name val="Tahoma"/>
      <family val="2"/>
    </font>
    <font>
      <sz val="8"/>
      <color theme="0" tint="-0.34998626667073579"/>
      <name val="Arial"/>
      <family val="2"/>
    </font>
    <font>
      <sz val="8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0FEA2"/>
        <bgColor indexed="64"/>
      </patternFill>
    </fill>
  </fills>
  <borders count="14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0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0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1" applyNumberFormat="0" applyAlignment="0" applyProtection="0"/>
    <xf numFmtId="0" fontId="22" fillId="16" borderId="2" applyNumberFormat="0" applyAlignment="0" applyProtection="0"/>
    <xf numFmtId="0" fontId="23" fillId="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26" fillId="17" borderId="0" applyNumberFormat="0" applyBorder="0" applyAlignment="0" applyProtection="0"/>
    <xf numFmtId="0" fontId="8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40" fillId="0" borderId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7" fillId="0" borderId="0" applyNumberFormat="0" applyFill="0" applyBorder="0" applyAlignment="0" applyProtection="0"/>
    <xf numFmtId="0" fontId="5" fillId="0" borderId="0"/>
    <xf numFmtId="0" fontId="61" fillId="0" borderId="0"/>
    <xf numFmtId="0" fontId="21" fillId="16" borderId="1" applyNumberFormat="0" applyAlignment="0" applyProtection="0"/>
    <xf numFmtId="0" fontId="22" fillId="16" borderId="2" applyNumberFormat="0" applyAlignment="0" applyProtection="0"/>
    <xf numFmtId="0" fontId="23" fillId="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17" borderId="0" applyNumberFormat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</cellStyleXfs>
  <cellXfs count="937">
    <xf numFmtId="0" fontId="0" fillId="0" borderId="0" xfId="0"/>
    <xf numFmtId="0" fontId="8" fillId="0" borderId="0" xfId="29"/>
    <xf numFmtId="0" fontId="13" fillId="0" borderId="0" xfId="29" applyFont="1"/>
    <xf numFmtId="0" fontId="8" fillId="0" borderId="0" xfId="29" applyFill="1"/>
    <xf numFmtId="0" fontId="13" fillId="0" borderId="0" xfId="29" applyFont="1" applyFill="1"/>
    <xf numFmtId="0" fontId="31" fillId="0" borderId="0" xfId="29" applyFont="1" applyFill="1"/>
    <xf numFmtId="0" fontId="31" fillId="0" borderId="0" xfId="29" applyFont="1"/>
    <xf numFmtId="0" fontId="8" fillId="0" borderId="0" xfId="29" applyAlignment="1">
      <alignment horizontal="center"/>
    </xf>
    <xf numFmtId="0" fontId="8" fillId="0" borderId="9" xfId="29" applyFill="1" applyBorder="1"/>
    <xf numFmtId="0" fontId="8" fillId="0" borderId="9" xfId="29" applyFill="1" applyBorder="1" applyAlignment="1">
      <alignment horizontal="center"/>
    </xf>
    <xf numFmtId="0" fontId="8" fillId="0" borderId="8" xfId="29" applyFill="1" applyBorder="1"/>
    <xf numFmtId="0" fontId="8" fillId="0" borderId="15" xfId="29" applyFill="1" applyBorder="1"/>
    <xf numFmtId="164" fontId="8" fillId="0" borderId="10" xfId="29" applyNumberFormat="1" applyFill="1" applyBorder="1"/>
    <xf numFmtId="0" fontId="15" fillId="0" borderId="0" xfId="29" applyFont="1"/>
    <xf numFmtId="0" fontId="13" fillId="0" borderId="0" xfId="29" applyFont="1" applyFill="1" applyBorder="1" applyAlignment="1">
      <alignment horizontal="right" vertical="center" wrapText="1"/>
    </xf>
    <xf numFmtId="0" fontId="13" fillId="0" borderId="0" xfId="29" applyFont="1" applyBorder="1"/>
    <xf numFmtId="3" fontId="13" fillId="0" borderId="0" xfId="29" applyNumberFormat="1" applyFont="1" applyBorder="1"/>
    <xf numFmtId="0" fontId="8" fillId="0" borderId="0" xfId="29" applyBorder="1"/>
    <xf numFmtId="0" fontId="8" fillId="0" borderId="15" xfId="29" applyBorder="1"/>
    <xf numFmtId="0" fontId="8" fillId="0" borderId="0" xfId="29" applyProtection="1"/>
    <xf numFmtId="0" fontId="8" fillId="0" borderId="0" xfId="29" applyFill="1" applyBorder="1"/>
    <xf numFmtId="9" fontId="13" fillId="0" borderId="0" xfId="39" applyFont="1"/>
    <xf numFmtId="0" fontId="8" fillId="0" borderId="29" xfId="29" applyFill="1" applyBorder="1"/>
    <xf numFmtId="0" fontId="13" fillId="0" borderId="0" xfId="29" applyFont="1" applyAlignment="1">
      <alignment horizontal="right" vertical="center"/>
    </xf>
    <xf numFmtId="0" fontId="13" fillId="0" borderId="0" xfId="29" applyFont="1" applyFill="1" applyAlignment="1">
      <alignment horizontal="right" vertical="center"/>
    </xf>
    <xf numFmtId="0" fontId="8" fillId="0" borderId="31" xfId="29" applyFill="1" applyBorder="1"/>
    <xf numFmtId="0" fontId="11" fillId="0" borderId="31" xfId="29" applyFont="1" applyFill="1" applyBorder="1"/>
    <xf numFmtId="0" fontId="11" fillId="0" borderId="29" xfId="29" applyFont="1" applyFill="1" applyBorder="1"/>
    <xf numFmtId="9" fontId="8" fillId="0" borderId="0" xfId="39"/>
    <xf numFmtId="0" fontId="12" fillId="0" borderId="0" xfId="29" applyFont="1"/>
    <xf numFmtId="9" fontId="8" fillId="0" borderId="0" xfId="29" applyNumberFormat="1" applyAlignment="1">
      <alignment horizontal="center"/>
    </xf>
    <xf numFmtId="0" fontId="31" fillId="0" borderId="0" xfId="29" applyFont="1" applyFill="1" applyBorder="1"/>
    <xf numFmtId="164" fontId="6" fillId="19" borderId="0" xfId="29" applyNumberFormat="1" applyFont="1" applyFill="1" applyBorder="1" applyAlignment="1">
      <alignment horizontal="center" vertical="center"/>
    </xf>
    <xf numFmtId="0" fontId="8" fillId="0" borderId="46" xfId="29" applyFill="1" applyBorder="1"/>
    <xf numFmtId="0" fontId="8" fillId="0" borderId="47" xfId="29" applyFill="1" applyBorder="1"/>
    <xf numFmtId="0" fontId="8" fillId="0" borderId="0" xfId="29" applyProtection="1">
      <protection locked="0"/>
    </xf>
    <xf numFmtId="0" fontId="8" fillId="0" borderId="0" xfId="29" applyBorder="1" applyProtection="1">
      <protection locked="0"/>
    </xf>
    <xf numFmtId="0" fontId="13" fillId="0" borderId="0" xfId="29" applyFont="1" applyFill="1" applyBorder="1" applyProtection="1">
      <protection locked="0"/>
    </xf>
    <xf numFmtId="0" fontId="31" fillId="0" borderId="0" xfId="29" applyFont="1" applyBorder="1" applyProtection="1">
      <protection locked="0"/>
    </xf>
    <xf numFmtId="0" fontId="31" fillId="0" borderId="0" xfId="29" applyFont="1" applyProtection="1">
      <protection locked="0"/>
    </xf>
    <xf numFmtId="0" fontId="4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8" fillId="0" borderId="0" xfId="29" applyAlignment="1" applyProtection="1">
      <protection locked="0"/>
    </xf>
    <xf numFmtId="9" fontId="8" fillId="0" borderId="0" xfId="29" applyNumberFormat="1" applyProtection="1">
      <protection locked="0"/>
    </xf>
    <xf numFmtId="2" fontId="8" fillId="0" borderId="0" xfId="29" applyNumberFormat="1" applyProtection="1">
      <protection locked="0"/>
    </xf>
    <xf numFmtId="166" fontId="8" fillId="0" borderId="0" xfId="39" applyNumberFormat="1" applyProtection="1">
      <protection locked="0"/>
    </xf>
    <xf numFmtId="166" fontId="8" fillId="0" borderId="0" xfId="39" applyNumberFormat="1" applyBorder="1" applyProtection="1">
      <protection locked="0"/>
    </xf>
    <xf numFmtId="0" fontId="13" fillId="0" borderId="0" xfId="29" applyFont="1" applyProtection="1">
      <protection locked="0"/>
    </xf>
    <xf numFmtId="164" fontId="8" fillId="0" borderId="9" xfId="29" applyNumberFormat="1" applyFill="1" applyBorder="1" applyAlignment="1">
      <alignment horizontal="center"/>
    </xf>
    <xf numFmtId="2" fontId="8" fillId="0" borderId="9" xfId="29" applyNumberFormat="1" applyFill="1" applyBorder="1" applyAlignment="1">
      <alignment horizontal="center"/>
    </xf>
    <xf numFmtId="0" fontId="8" fillId="0" borderId="31" xfId="29" applyFill="1" applyBorder="1" applyAlignment="1">
      <alignment horizontal="center"/>
    </xf>
    <xf numFmtId="0" fontId="42" fillId="0" borderId="0" xfId="29" applyFont="1" applyProtection="1">
      <protection locked="0"/>
    </xf>
    <xf numFmtId="0" fontId="41" fillId="0" borderId="0" xfId="29" applyFont="1" applyFill="1" applyBorder="1" applyAlignment="1" applyProtection="1">
      <alignment horizontal="center"/>
      <protection locked="0"/>
    </xf>
    <xf numFmtId="0" fontId="6" fillId="0" borderId="0" xfId="29" applyFont="1"/>
    <xf numFmtId="0" fontId="6" fillId="0" borderId="0" xfId="29" applyFont="1" applyBorder="1" applyProtection="1">
      <protection locked="0"/>
    </xf>
    <xf numFmtId="0" fontId="6" fillId="0" borderId="0" xfId="35"/>
    <xf numFmtId="0" fontId="36" fillId="0" borderId="0" xfId="35" applyFont="1"/>
    <xf numFmtId="164" fontId="6" fillId="0" borderId="59" xfId="35" applyNumberFormat="1" applyBorder="1" applyAlignment="1">
      <alignment horizontal="center"/>
    </xf>
    <xf numFmtId="164" fontId="6" fillId="0" borderId="65" xfId="35" applyNumberFormat="1" applyBorder="1" applyAlignment="1">
      <alignment horizontal="center"/>
    </xf>
    <xf numFmtId="0" fontId="12" fillId="0" borderId="0" xfId="35" applyFont="1"/>
    <xf numFmtId="9" fontId="28" fillId="0" borderId="0" xfId="41" applyNumberFormat="1" applyFont="1"/>
    <xf numFmtId="0" fontId="29" fillId="0" borderId="0" xfId="35" applyFont="1"/>
    <xf numFmtId="0" fontId="34" fillId="0" borderId="0" xfId="35" applyFont="1"/>
    <xf numFmtId="0" fontId="6" fillId="0" borderId="0" xfId="35" applyFont="1"/>
    <xf numFmtId="0" fontId="6" fillId="0" borderId="0" xfId="29" applyFont="1" applyAlignment="1"/>
    <xf numFmtId="0" fontId="6" fillId="0" borderId="0" xfId="29" applyFont="1" applyProtection="1">
      <protection locked="0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29" applyFont="1" applyBorder="1" applyProtection="1"/>
    <xf numFmtId="0" fontId="8" fillId="0" borderId="0" xfId="29" applyNumberFormat="1" applyFill="1"/>
    <xf numFmtId="0" fontId="48" fillId="0" borderId="8" xfId="29" applyFont="1" applyFill="1" applyBorder="1" applyAlignment="1">
      <alignment vertical="center"/>
    </xf>
    <xf numFmtId="0" fontId="31" fillId="0" borderId="9" xfId="29" applyFont="1" applyFill="1" applyBorder="1"/>
    <xf numFmtId="0" fontId="15" fillId="0" borderId="0" xfId="29" applyFont="1" applyProtection="1"/>
    <xf numFmtId="0" fontId="31" fillId="0" borderId="0" xfId="30" applyFont="1" applyFill="1" applyBorder="1"/>
    <xf numFmtId="164" fontId="49" fillId="27" borderId="43" xfId="31" applyNumberFormat="1" applyFont="1" applyFill="1" applyBorder="1" applyAlignment="1" applyProtection="1">
      <alignment horizontal="center"/>
    </xf>
    <xf numFmtId="0" fontId="8" fillId="0" borderId="0" xfId="29" applyFill="1" applyProtection="1">
      <protection locked="0"/>
    </xf>
    <xf numFmtId="10" fontId="8" fillId="0" borderId="0" xfId="41" applyNumberFormat="1" applyFont="1" applyFill="1" applyProtection="1">
      <protection locked="0"/>
    </xf>
    <xf numFmtId="9" fontId="8" fillId="0" borderId="0" xfId="41" applyFont="1" applyProtection="1">
      <protection locked="0"/>
    </xf>
    <xf numFmtId="0" fontId="13" fillId="0" borderId="0" xfId="29" applyFont="1" applyProtection="1"/>
    <xf numFmtId="0" fontId="8" fillId="0" borderId="0" xfId="29" applyFill="1" applyProtection="1"/>
    <xf numFmtId="0" fontId="8" fillId="0" borderId="0" xfId="29" applyBorder="1" applyProtection="1"/>
    <xf numFmtId="0" fontId="31" fillId="0" borderId="0" xfId="29" applyFont="1" applyProtection="1"/>
    <xf numFmtId="0" fontId="31" fillId="0" borderId="0" xfId="29" applyFont="1" applyBorder="1" applyProtection="1"/>
    <xf numFmtId="0" fontId="6" fillId="0" borderId="0" xfId="29" applyFont="1" applyAlignment="1" applyProtection="1">
      <alignment horizontal="right"/>
    </xf>
    <xf numFmtId="0" fontId="13" fillId="0" borderId="0" xfId="29" applyFont="1" applyAlignment="1" applyProtection="1">
      <alignment horizontal="right"/>
    </xf>
    <xf numFmtId="0" fontId="45" fillId="0" borderId="74" xfId="30" applyFont="1" applyFill="1" applyBorder="1" applyAlignment="1" applyProtection="1">
      <protection locked="0"/>
    </xf>
    <xf numFmtId="0" fontId="45" fillId="0" borderId="75" xfId="30" applyFont="1" applyBorder="1" applyAlignment="1" applyProtection="1">
      <protection locked="0"/>
    </xf>
    <xf numFmtId="0" fontId="45" fillId="0" borderId="23" xfId="30" applyFont="1" applyFill="1" applyBorder="1" applyAlignment="1" applyProtection="1">
      <protection locked="0"/>
    </xf>
    <xf numFmtId="0" fontId="45" fillId="0" borderId="76" xfId="30" applyFont="1" applyFill="1" applyBorder="1" applyAlignment="1" applyProtection="1">
      <alignment horizontal="center"/>
      <protection locked="0"/>
    </xf>
    <xf numFmtId="2" fontId="45" fillId="0" borderId="76" xfId="30" applyNumberFormat="1" applyFont="1" applyFill="1" applyBorder="1" applyAlignment="1" applyProtection="1">
      <alignment horizontal="center"/>
      <protection locked="0"/>
    </xf>
    <xf numFmtId="0" fontId="45" fillId="0" borderId="76" xfId="30" applyNumberFormat="1" applyFont="1" applyFill="1" applyBorder="1" applyAlignment="1" applyProtection="1">
      <alignment horizontal="center"/>
      <protection locked="0"/>
    </xf>
    <xf numFmtId="0" fontId="45" fillId="0" borderId="77" xfId="30" applyFont="1" applyFill="1" applyBorder="1" applyAlignment="1" applyProtection="1">
      <protection locked="0"/>
    </xf>
    <xf numFmtId="0" fontId="45" fillId="0" borderId="79" xfId="30" applyFont="1" applyBorder="1" applyAlignment="1" applyProtection="1">
      <protection locked="0"/>
    </xf>
    <xf numFmtId="0" fontId="45" fillId="0" borderId="79" xfId="30" applyFont="1" applyFill="1" applyBorder="1" applyAlignment="1" applyProtection="1">
      <alignment horizontal="center"/>
      <protection locked="0"/>
    </xf>
    <xf numFmtId="9" fontId="50" fillId="0" borderId="0" xfId="41" applyFont="1" applyFill="1" applyBorder="1" applyAlignment="1" applyProtection="1">
      <alignment horizontal="right" shrinkToFit="1"/>
      <protection locked="0"/>
    </xf>
    <xf numFmtId="3" fontId="6" fillId="0" borderId="18" xfId="35" quotePrefix="1" applyNumberFormat="1" applyBorder="1" applyAlignment="1">
      <alignment horizontal="center"/>
    </xf>
    <xf numFmtId="9" fontId="6" fillId="0" borderId="49" xfId="41" applyFont="1" applyBorder="1" applyAlignment="1"/>
    <xf numFmtId="9" fontId="12" fillId="0" borderId="67" xfId="41" applyFont="1" applyBorder="1" applyAlignment="1"/>
    <xf numFmtId="3" fontId="12" fillId="0" borderId="18" xfId="35" quotePrefix="1" applyNumberFormat="1" applyFont="1" applyBorder="1" applyAlignment="1">
      <alignment horizontal="center"/>
    </xf>
    <xf numFmtId="9" fontId="6" fillId="0" borderId="67" xfId="41" applyFont="1" applyBorder="1" applyAlignment="1"/>
    <xf numFmtId="9" fontId="6" fillId="0" borderId="67" xfId="41" quotePrefix="1" applyBorder="1" applyAlignment="1">
      <alignment horizontal="center"/>
    </xf>
    <xf numFmtId="0" fontId="6" fillId="0" borderId="58" xfId="35" quotePrefix="1" applyNumberFormat="1" applyBorder="1" applyAlignment="1"/>
    <xf numFmtId="0" fontId="6" fillId="0" borderId="0" xfId="35" applyAlignment="1">
      <alignment vertical="top"/>
    </xf>
    <xf numFmtId="164" fontId="6" fillId="0" borderId="59" xfId="35" quotePrefix="1" applyNumberFormat="1" applyBorder="1" applyAlignment="1"/>
    <xf numFmtId="164" fontId="12" fillId="0" borderId="59" xfId="35" applyNumberFormat="1" applyFont="1" applyBorder="1" applyAlignment="1"/>
    <xf numFmtId="0" fontId="6" fillId="0" borderId="0" xfId="35" applyFont="1" applyBorder="1"/>
    <xf numFmtId="3" fontId="12" fillId="0" borderId="58" xfId="35" quotePrefix="1" applyNumberFormat="1" applyFont="1" applyBorder="1" applyAlignment="1"/>
    <xf numFmtId="164" fontId="49" fillId="30" borderId="43" xfId="31" applyNumberFormat="1" applyFont="1" applyFill="1" applyBorder="1" applyAlignment="1" applyProtection="1">
      <alignment horizontal="center"/>
    </xf>
    <xf numFmtId="0" fontId="6" fillId="0" borderId="0" xfId="35" applyFill="1"/>
    <xf numFmtId="0" fontId="6" fillId="0" borderId="0" xfId="35" applyFont="1" applyFill="1" applyBorder="1"/>
    <xf numFmtId="0" fontId="12" fillId="0" borderId="0" xfId="35" applyFont="1" applyFill="1" applyBorder="1"/>
    <xf numFmtId="0" fontId="37" fillId="0" borderId="0" xfId="35" applyFont="1" applyFill="1"/>
    <xf numFmtId="0" fontId="0" fillId="0" borderId="59" xfId="0" applyFill="1" applyBorder="1"/>
    <xf numFmtId="0" fontId="12" fillId="0" borderId="0" xfId="35" applyFont="1" applyFill="1"/>
    <xf numFmtId="0" fontId="34" fillId="0" borderId="0" xfId="35" applyFont="1" applyFill="1" applyAlignment="1">
      <alignment horizontal="centerContinuous"/>
    </xf>
    <xf numFmtId="0" fontId="6" fillId="0" borderId="0" xfId="35" applyFill="1" applyAlignment="1">
      <alignment horizontal="centerContinuous"/>
    </xf>
    <xf numFmtId="164" fontId="6" fillId="0" borderId="59" xfId="35" quotePrefix="1" applyNumberFormat="1" applyFill="1" applyBorder="1" applyAlignment="1">
      <alignment horizontal="right"/>
    </xf>
    <xf numFmtId="0" fontId="37" fillId="0" borderId="59" xfId="35" quotePrefix="1" applyFont="1" applyFill="1" applyBorder="1" applyAlignment="1">
      <alignment horizontal="center"/>
    </xf>
    <xf numFmtId="0" fontId="37" fillId="0" borderId="65" xfId="35" applyFont="1" applyFill="1" applyBorder="1" applyAlignment="1">
      <alignment horizontal="center"/>
    </xf>
    <xf numFmtId="9" fontId="28" fillId="0" borderId="0" xfId="41" applyFont="1" applyFill="1"/>
    <xf numFmtId="9" fontId="28" fillId="0" borderId="9" xfId="41" applyNumberFormat="1" applyFont="1" applyFill="1" applyBorder="1"/>
    <xf numFmtId="164" fontId="12" fillId="0" borderId="18" xfId="35" applyNumberFormat="1" applyFont="1" applyFill="1" applyBorder="1" applyAlignment="1">
      <alignment horizontal="right"/>
    </xf>
    <xf numFmtId="9" fontId="28" fillId="0" borderId="95" xfId="41" applyNumberFormat="1" applyFont="1" applyFill="1" applyBorder="1"/>
    <xf numFmtId="164" fontId="12" fillId="0" borderId="96" xfId="35" applyNumberFormat="1" applyFont="1" applyFill="1" applyBorder="1" applyAlignment="1">
      <alignment horizontal="right"/>
    </xf>
    <xf numFmtId="0" fontId="49" fillId="27" borderId="89" xfId="31" applyFont="1" applyFill="1" applyBorder="1" applyAlignment="1">
      <alignment horizontal="left"/>
    </xf>
    <xf numFmtId="0" fontId="12" fillId="0" borderId="43" xfId="35" applyFont="1" applyBorder="1" applyAlignment="1">
      <alignment horizontal="left"/>
    </xf>
    <xf numFmtId="173" fontId="51" fillId="30" borderId="43" xfId="31" applyNumberFormat="1" applyFont="1" applyFill="1" applyBorder="1" applyAlignment="1" applyProtection="1"/>
    <xf numFmtId="173" fontId="51" fillId="27" borderId="43" xfId="31" applyNumberFormat="1" applyFont="1" applyFill="1" applyBorder="1" applyAlignment="1" applyProtection="1"/>
    <xf numFmtId="9" fontId="0" fillId="0" borderId="0" xfId="41" applyNumberFormat="1" applyFont="1"/>
    <xf numFmtId="0" fontId="42" fillId="0" borderId="0" xfId="29" applyFont="1" applyProtection="1"/>
    <xf numFmtId="9" fontId="42" fillId="0" borderId="0" xfId="41" applyFont="1" applyAlignment="1" applyProtection="1">
      <alignment horizontal="center"/>
    </xf>
    <xf numFmtId="0" fontId="0" fillId="0" borderId="0" xfId="0" applyProtection="1">
      <protection locked="0"/>
    </xf>
    <xf numFmtId="0" fontId="52" fillId="0" borderId="0" xfId="29" applyFont="1" applyBorder="1" applyProtection="1">
      <protection locked="0"/>
    </xf>
    <xf numFmtId="0" fontId="10" fillId="0" borderId="0" xfId="0" applyFont="1" applyProtection="1">
      <protection locked="0"/>
    </xf>
    <xf numFmtId="0" fontId="50" fillId="0" borderId="0" xfId="30" applyFont="1" applyProtection="1">
      <protection locked="0"/>
    </xf>
    <xf numFmtId="173" fontId="6" fillId="0" borderId="65" xfId="41" quotePrefix="1" applyNumberFormat="1" applyBorder="1" applyAlignment="1">
      <alignment horizontal="left"/>
    </xf>
    <xf numFmtId="164" fontId="53" fillId="31" borderId="43" xfId="31" applyNumberFormat="1" applyFont="1" applyFill="1" applyBorder="1" applyAlignment="1" applyProtection="1">
      <alignment horizontal="center"/>
    </xf>
    <xf numFmtId="9" fontId="54" fillId="31" borderId="43" xfId="31" applyNumberFormat="1" applyFont="1" applyFill="1" applyBorder="1" applyAlignment="1" applyProtection="1"/>
    <xf numFmtId="164" fontId="49" fillId="32" borderId="43" xfId="31" applyNumberFormat="1" applyFont="1" applyFill="1" applyBorder="1" applyAlignment="1" applyProtection="1">
      <alignment horizontal="center"/>
    </xf>
    <xf numFmtId="173" fontId="51" fillId="32" borderId="43" xfId="31" applyNumberFormat="1" applyFont="1" applyFill="1" applyBorder="1" applyAlignment="1" applyProtection="1"/>
    <xf numFmtId="164" fontId="49" fillId="34" borderId="43" xfId="31" applyNumberFormat="1" applyFont="1" applyFill="1" applyBorder="1" applyAlignment="1" applyProtection="1">
      <alignment horizontal="center"/>
    </xf>
    <xf numFmtId="173" fontId="51" fillId="34" borderId="43" xfId="31" applyNumberFormat="1" applyFont="1" applyFill="1" applyBorder="1" applyAlignment="1" applyProtection="1"/>
    <xf numFmtId="164" fontId="49" fillId="35" borderId="43" xfId="31" applyNumberFormat="1" applyFont="1" applyFill="1" applyBorder="1" applyAlignment="1" applyProtection="1">
      <alignment horizontal="center"/>
    </xf>
    <xf numFmtId="173" fontId="51" fillId="35" borderId="43" xfId="31" applyNumberFormat="1" applyFont="1" applyFill="1" applyBorder="1" applyAlignment="1" applyProtection="1"/>
    <xf numFmtId="164" fontId="6" fillId="0" borderId="0" xfId="35" applyNumberFormat="1" applyFill="1" applyBorder="1" applyAlignment="1">
      <alignment horizontal="right"/>
    </xf>
    <xf numFmtId="0" fontId="12" fillId="36" borderId="0" xfId="35" applyFont="1" applyFill="1"/>
    <xf numFmtId="14" fontId="6" fillId="0" borderId="66" xfId="35" quotePrefix="1" applyNumberFormat="1" applyBorder="1" applyAlignment="1">
      <alignment horizontal="center"/>
    </xf>
    <xf numFmtId="0" fontId="49" fillId="32" borderId="21" xfId="31" applyFont="1" applyFill="1" applyBorder="1" applyAlignment="1">
      <alignment horizontal="left"/>
    </xf>
    <xf numFmtId="9" fontId="28" fillId="0" borderId="102" xfId="41" applyNumberFormat="1" applyFont="1" applyFill="1" applyBorder="1"/>
    <xf numFmtId="164" fontId="6" fillId="0" borderId="93" xfId="35" quotePrefix="1" applyNumberFormat="1" applyFont="1" applyFill="1" applyBorder="1" applyAlignment="1">
      <alignment horizontal="right"/>
    </xf>
    <xf numFmtId="164" fontId="6" fillId="0" borderId="0" xfId="35" quotePrefix="1" applyNumberFormat="1" applyFill="1" applyBorder="1" applyAlignment="1">
      <alignment horizontal="right"/>
    </xf>
    <xf numFmtId="0" fontId="49" fillId="30" borderId="21" xfId="31" applyFont="1" applyFill="1" applyBorder="1" applyAlignment="1">
      <alignment horizontal="left"/>
    </xf>
    <xf numFmtId="164" fontId="6" fillId="0" borderId="102" xfId="35" quotePrefix="1" applyNumberFormat="1" applyFont="1" applyFill="1" applyBorder="1" applyAlignment="1">
      <alignment horizontal="right"/>
    </xf>
    <xf numFmtId="0" fontId="49" fillId="35" borderId="60" xfId="31" applyFont="1" applyFill="1" applyBorder="1" applyAlignment="1">
      <alignment horizontal="left"/>
    </xf>
    <xf numFmtId="164" fontId="6" fillId="0" borderId="66" xfId="35" applyNumberFormat="1" applyFill="1" applyBorder="1" applyAlignment="1">
      <alignment horizontal="right"/>
    </xf>
    <xf numFmtId="164" fontId="6" fillId="0" borderId="66" xfId="35" quotePrefix="1" applyNumberFormat="1" applyFill="1" applyBorder="1" applyAlignment="1">
      <alignment horizontal="right"/>
    </xf>
    <xf numFmtId="0" fontId="49" fillId="34" borderId="43" xfId="31" applyFont="1" applyFill="1" applyBorder="1" applyAlignment="1">
      <alignment horizontal="left"/>
    </xf>
    <xf numFmtId="164" fontId="6" fillId="0" borderId="18" xfId="35" quotePrefix="1" applyNumberFormat="1" applyFill="1" applyBorder="1" applyAlignment="1">
      <alignment horizontal="right"/>
    </xf>
    <xf numFmtId="164" fontId="12" fillId="0" borderId="93" xfId="35" applyNumberFormat="1" applyFont="1" applyFill="1" applyBorder="1" applyAlignment="1">
      <alignment horizontal="right"/>
    </xf>
    <xf numFmtId="0" fontId="49" fillId="25" borderId="21" xfId="31" applyFont="1" applyFill="1" applyBorder="1" applyAlignment="1">
      <alignment horizontal="left"/>
    </xf>
    <xf numFmtId="173" fontId="28" fillId="0" borderId="0" xfId="41" applyNumberFormat="1" applyFont="1" applyFill="1"/>
    <xf numFmtId="173" fontId="28" fillId="0" borderId="102" xfId="41" applyNumberFormat="1" applyFont="1" applyFill="1" applyBorder="1"/>
    <xf numFmtId="173" fontId="28" fillId="0" borderId="15" xfId="41" applyNumberFormat="1" applyFont="1" applyFill="1" applyBorder="1"/>
    <xf numFmtId="173" fontId="28" fillId="0" borderId="9" xfId="41" applyNumberFormat="1" applyFont="1" applyFill="1" applyBorder="1"/>
    <xf numFmtId="173" fontId="28" fillId="0" borderId="0" xfId="41" applyNumberFormat="1" applyFont="1" applyFill="1" applyBorder="1"/>
    <xf numFmtId="173" fontId="17" fillId="0" borderId="103" xfId="41" applyNumberFormat="1" applyFont="1" applyFill="1" applyBorder="1" applyAlignment="1">
      <alignment horizontal="center"/>
    </xf>
    <xf numFmtId="173" fontId="17" fillId="0" borderId="65" xfId="41" applyNumberFormat="1" applyFont="1" applyFill="1" applyBorder="1" applyAlignment="1">
      <alignment horizontal="center"/>
    </xf>
    <xf numFmtId="173" fontId="17" fillId="0" borderId="68" xfId="41" applyNumberFormat="1" applyFont="1" applyFill="1" applyBorder="1" applyAlignment="1">
      <alignment horizontal="center"/>
    </xf>
    <xf numFmtId="173" fontId="17" fillId="0" borderId="49" xfId="41" applyNumberFormat="1" applyFont="1" applyFill="1" applyBorder="1" applyAlignment="1">
      <alignment horizontal="center"/>
    </xf>
    <xf numFmtId="9" fontId="28" fillId="0" borderId="49" xfId="41" applyNumberFormat="1" applyFont="1" applyFill="1" applyBorder="1" applyAlignment="1">
      <alignment horizontal="center"/>
    </xf>
    <xf numFmtId="164" fontId="12" fillId="0" borderId="65" xfId="35" applyNumberFormat="1" applyFont="1" applyBorder="1" applyAlignment="1">
      <alignment shrinkToFit="1"/>
    </xf>
    <xf numFmtId="3" fontId="12" fillId="0" borderId="67" xfId="35" applyNumberFormat="1" applyFont="1" applyBorder="1" applyAlignment="1"/>
    <xf numFmtId="11" fontId="6" fillId="0" borderId="65" xfId="35" applyNumberFormat="1" applyFill="1" applyBorder="1" applyAlignment="1"/>
    <xf numFmtId="11" fontId="28" fillId="0" borderId="104" xfId="41" applyNumberFormat="1" applyFont="1" applyFill="1" applyBorder="1" applyAlignment="1"/>
    <xf numFmtId="0" fontId="52" fillId="31" borderId="105" xfId="31" applyFont="1" applyFill="1" applyBorder="1" applyAlignment="1">
      <alignment horizontal="left"/>
    </xf>
    <xf numFmtId="14" fontId="0" fillId="0" borderId="68" xfId="0" applyNumberFormat="1" applyBorder="1" applyAlignment="1">
      <alignment horizontal="left"/>
    </xf>
    <xf numFmtId="164" fontId="6" fillId="0" borderId="68" xfId="35" quotePrefix="1" applyNumberFormat="1" applyBorder="1" applyAlignment="1">
      <alignment shrinkToFit="1"/>
    </xf>
    <xf numFmtId="0" fontId="55" fillId="26" borderId="0" xfId="29" applyFont="1" applyFill="1" applyBorder="1" applyProtection="1">
      <protection locked="0"/>
    </xf>
    <xf numFmtId="0" fontId="48" fillId="0" borderId="49" xfId="29" applyFont="1" applyFill="1" applyBorder="1" applyAlignment="1">
      <alignment horizontal="right" vertical="center"/>
    </xf>
    <xf numFmtId="0" fontId="49" fillId="0" borderId="89" xfId="31" applyFont="1" applyFill="1" applyBorder="1" applyAlignment="1">
      <alignment horizontal="left"/>
    </xf>
    <xf numFmtId="0" fontId="6" fillId="0" borderId="89" xfId="35" applyFill="1" applyBorder="1" applyAlignment="1">
      <alignment horizontal="center"/>
    </xf>
    <xf numFmtId="0" fontId="53" fillId="0" borderId="89" xfId="31" applyFont="1" applyFill="1" applyBorder="1" applyAlignment="1">
      <alignment horizontal="left"/>
    </xf>
    <xf numFmtId="0" fontId="49" fillId="32" borderId="18" xfId="31" applyFont="1" applyFill="1" applyBorder="1" applyAlignment="1" applyProtection="1">
      <alignment horizontal="left"/>
    </xf>
    <xf numFmtId="0" fontId="49" fillId="32" borderId="9" xfId="31" applyFont="1" applyFill="1" applyBorder="1" applyAlignment="1" applyProtection="1">
      <alignment horizontal="left"/>
    </xf>
    <xf numFmtId="0" fontId="49" fillId="30" borderId="43" xfId="31" applyFont="1" applyFill="1" applyBorder="1" applyAlignment="1" applyProtection="1">
      <alignment horizontal="left"/>
    </xf>
    <xf numFmtId="0" fontId="49" fillId="30" borderId="18" xfId="31" applyFont="1" applyFill="1" applyBorder="1" applyAlignment="1" applyProtection="1">
      <alignment horizontal="left"/>
    </xf>
    <xf numFmtId="0" fontId="49" fillId="30" borderId="9" xfId="31" applyFont="1" applyFill="1" applyBorder="1" applyAlignment="1" applyProtection="1">
      <alignment horizontal="left"/>
    </xf>
    <xf numFmtId="0" fontId="49" fillId="35" borderId="18" xfId="31" applyFont="1" applyFill="1" applyBorder="1" applyAlignment="1" applyProtection="1">
      <alignment horizontal="left"/>
    </xf>
    <xf numFmtId="0" fontId="49" fillId="35" borderId="9" xfId="31" applyFont="1" applyFill="1" applyBorder="1" applyAlignment="1" applyProtection="1">
      <alignment horizontal="left"/>
    </xf>
    <xf numFmtId="0" fontId="49" fillId="27" borderId="18" xfId="31" applyFont="1" applyFill="1" applyBorder="1" applyAlignment="1" applyProtection="1">
      <alignment horizontal="left"/>
    </xf>
    <xf numFmtId="0" fontId="49" fillId="27" borderId="9" xfId="31" applyFont="1" applyFill="1" applyBorder="1" applyAlignment="1" applyProtection="1">
      <alignment horizontal="left"/>
    </xf>
    <xf numFmtId="0" fontId="49" fillId="34" borderId="18" xfId="31" applyFont="1" applyFill="1" applyBorder="1" applyAlignment="1" applyProtection="1">
      <alignment horizontal="left"/>
    </xf>
    <xf numFmtId="0" fontId="49" fillId="34" borderId="9" xfId="31" applyFont="1" applyFill="1" applyBorder="1" applyAlignment="1" applyProtection="1">
      <alignment horizontal="left"/>
    </xf>
    <xf numFmtId="0" fontId="53" fillId="31" borderId="18" xfId="31" applyFont="1" applyFill="1" applyBorder="1" applyAlignment="1" applyProtection="1">
      <alignment horizontal="left"/>
    </xf>
    <xf numFmtId="0" fontId="53" fillId="31" borderId="9" xfId="31" applyFont="1" applyFill="1" applyBorder="1" applyAlignment="1" applyProtection="1">
      <alignment horizontal="left"/>
    </xf>
    <xf numFmtId="164" fontId="6" fillId="0" borderId="58" xfId="35" quotePrefix="1" applyNumberFormat="1" applyBorder="1" applyAlignment="1">
      <alignment horizontal="center" wrapText="1"/>
    </xf>
    <xf numFmtId="0" fontId="0" fillId="0" borderId="67" xfId="0" applyBorder="1" applyAlignment="1">
      <alignment horizontal="center" wrapText="1"/>
    </xf>
    <xf numFmtId="0" fontId="0" fillId="0" borderId="65" xfId="0" applyFill="1" applyBorder="1" applyAlignment="1">
      <alignment horizontal="center"/>
    </xf>
    <xf numFmtId="3" fontId="6" fillId="0" borderId="59" xfId="35" applyNumberFormat="1" applyFill="1" applyBorder="1" applyAlignment="1">
      <alignment horizontal="center"/>
    </xf>
    <xf numFmtId="164" fontId="6" fillId="0" borderId="59" xfId="35" quotePrefix="1" applyNumberFormat="1" applyBorder="1" applyAlignment="1">
      <alignment horizontal="center"/>
    </xf>
    <xf numFmtId="3" fontId="12" fillId="0" borderId="0" xfId="35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56" fillId="0" borderId="43" xfId="30" applyFont="1" applyFill="1" applyBorder="1" applyAlignment="1" applyProtection="1">
      <alignment horizontal="center" vertical="center" shrinkToFit="1"/>
      <protection locked="0"/>
    </xf>
    <xf numFmtId="11" fontId="57" fillId="22" borderId="43" xfId="30" applyNumberFormat="1" applyFont="1" applyFill="1" applyBorder="1" applyAlignment="1" applyProtection="1">
      <alignment horizontal="center"/>
      <protection locked="0"/>
    </xf>
    <xf numFmtId="0" fontId="6" fillId="33" borderId="65" xfId="30" applyFont="1" applyFill="1" applyBorder="1" applyAlignment="1" applyProtection="1">
      <alignment horizontal="left" indent="1"/>
      <protection locked="0"/>
    </xf>
    <xf numFmtId="0" fontId="6" fillId="0" borderId="89" xfId="30" applyFont="1" applyFill="1" applyBorder="1" applyAlignment="1" applyProtection="1">
      <alignment horizontal="left" indent="1"/>
      <protection locked="0"/>
    </xf>
    <xf numFmtId="0" fontId="6" fillId="29" borderId="89" xfId="30" applyFont="1" applyFill="1" applyBorder="1" applyAlignment="1" applyProtection="1">
      <alignment horizontal="left" indent="1"/>
      <protection locked="0"/>
    </xf>
    <xf numFmtId="0" fontId="12" fillId="28" borderId="60" xfId="30" applyFont="1" applyFill="1" applyBorder="1" applyAlignment="1" applyProtection="1">
      <alignment horizontal="left"/>
      <protection locked="0"/>
    </xf>
    <xf numFmtId="0" fontId="12" fillId="0" borderId="89" xfId="30" applyFont="1" applyFill="1" applyBorder="1" applyAlignment="1" applyProtection="1">
      <alignment horizontal="left"/>
      <protection locked="0"/>
    </xf>
    <xf numFmtId="173" fontId="6" fillId="0" borderId="67" xfId="41" quotePrefix="1" applyNumberFormat="1" applyBorder="1" applyAlignment="1">
      <alignment horizontal="left"/>
    </xf>
    <xf numFmtId="0" fontId="6" fillId="0" borderId="0" xfId="35" applyBorder="1"/>
    <xf numFmtId="3" fontId="12" fillId="0" borderId="9" xfId="35" quotePrefix="1" applyNumberFormat="1" applyFont="1" applyBorder="1" applyAlignment="1">
      <alignment horizontal="center"/>
    </xf>
    <xf numFmtId="9" fontId="12" fillId="0" borderId="14" xfId="41" applyFont="1" applyBorder="1" applyAlignment="1"/>
    <xf numFmtId="0" fontId="6" fillId="0" borderId="0" xfId="35" applyAlignment="1">
      <alignment horizontal="left" indent="1"/>
    </xf>
    <xf numFmtId="3" fontId="6" fillId="0" borderId="9" xfId="35" quotePrefix="1" applyNumberFormat="1" applyBorder="1" applyAlignment="1">
      <alignment horizontal="center"/>
    </xf>
    <xf numFmtId="0" fontId="0" fillId="0" borderId="14" xfId="0" applyBorder="1" applyAlignment="1"/>
    <xf numFmtId="0" fontId="0" fillId="0" borderId="67" xfId="0" applyBorder="1" applyAlignment="1">
      <alignment horizontal="center"/>
    </xf>
    <xf numFmtId="0" fontId="8" fillId="0" borderId="0" xfId="29" applyProtection="1">
      <protection hidden="1"/>
    </xf>
    <xf numFmtId="9" fontId="45" fillId="0" borderId="76" xfId="41" applyNumberFormat="1" applyFont="1" applyFill="1" applyBorder="1" applyAlignment="1" applyProtection="1">
      <alignment horizontal="center"/>
      <protection locked="0"/>
    </xf>
    <xf numFmtId="164" fontId="6" fillId="0" borderId="66" xfId="35" quotePrefix="1" applyNumberFormat="1" applyBorder="1" applyAlignment="1">
      <alignment horizontal="center"/>
    </xf>
    <xf numFmtId="0" fontId="55" fillId="0" borderId="0" xfId="35" applyFont="1" applyProtection="1">
      <protection hidden="1"/>
    </xf>
    <xf numFmtId="3" fontId="12" fillId="0" borderId="102" xfId="35" applyNumberFormat="1" applyFont="1" applyFill="1" applyBorder="1" applyAlignment="1">
      <alignment shrinkToFit="1"/>
    </xf>
    <xf numFmtId="3" fontId="12" fillId="0" borderId="0" xfId="35" applyNumberFormat="1" applyFont="1" applyFill="1" applyAlignment="1">
      <alignment shrinkToFit="1"/>
    </xf>
    <xf numFmtId="3" fontId="12" fillId="0" borderId="0" xfId="35" applyNumberFormat="1" applyFont="1" applyFill="1" applyBorder="1" applyAlignment="1">
      <alignment shrinkToFit="1"/>
    </xf>
    <xf numFmtId="3" fontId="12" fillId="0" borderId="15" xfId="35" applyNumberFormat="1" applyFont="1" applyFill="1" applyBorder="1" applyAlignment="1">
      <alignment shrinkToFit="1"/>
    </xf>
    <xf numFmtId="3" fontId="12" fillId="0" borderId="9" xfId="35" applyNumberFormat="1" applyFont="1" applyFill="1" applyBorder="1" applyAlignment="1">
      <alignment shrinkToFit="1"/>
    </xf>
    <xf numFmtId="3" fontId="12" fillId="0" borderId="95" xfId="35" applyNumberFormat="1" applyFont="1" applyFill="1" applyBorder="1" applyAlignment="1">
      <alignment shrinkToFit="1"/>
    </xf>
    <xf numFmtId="0" fontId="6" fillId="0" borderId="0" xfId="35" applyAlignment="1">
      <alignment shrinkToFit="1"/>
    </xf>
    <xf numFmtId="0" fontId="34" fillId="0" borderId="0" xfId="35" applyFont="1" applyAlignment="1">
      <alignment shrinkToFit="1"/>
    </xf>
    <xf numFmtId="0" fontId="12" fillId="0" borderId="0" xfId="35" applyFont="1" applyAlignment="1">
      <alignment shrinkToFit="1"/>
    </xf>
    <xf numFmtId="3" fontId="12" fillId="0" borderId="0" xfId="35" applyNumberFormat="1" applyFont="1" applyAlignment="1">
      <alignment shrinkToFit="1"/>
    </xf>
    <xf numFmtId="0" fontId="55" fillId="26" borderId="0" xfId="29" applyFont="1" applyFill="1" applyBorder="1" applyAlignment="1" applyProtection="1">
      <alignment horizontal="center" vertical="center"/>
      <protection locked="0"/>
    </xf>
    <xf numFmtId="0" fontId="55" fillId="26" borderId="0" xfId="29" applyFont="1" applyFill="1" applyBorder="1" applyAlignment="1" applyProtection="1">
      <alignment horizontal="right" vertical="center"/>
      <protection locked="0"/>
    </xf>
    <xf numFmtId="0" fontId="55" fillId="26" borderId="0" xfId="29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29" applyFont="1" applyProtection="1"/>
    <xf numFmtId="164" fontId="6" fillId="19" borderId="0" xfId="30" applyNumberFormat="1" applyFont="1" applyFill="1" applyBorder="1" applyAlignment="1">
      <alignment horizontal="center" vertical="center"/>
    </xf>
    <xf numFmtId="0" fontId="8" fillId="0" borderId="0" xfId="29" applyFill="1" applyProtection="1">
      <protection hidden="1"/>
    </xf>
    <xf numFmtId="0" fontId="6" fillId="0" borderId="0" xfId="29" applyFont="1" applyFill="1" applyProtection="1">
      <protection hidden="1"/>
    </xf>
    <xf numFmtId="0" fontId="31" fillId="0" borderId="0" xfId="29" applyFont="1" applyBorder="1" applyProtection="1">
      <protection hidden="1"/>
    </xf>
    <xf numFmtId="0" fontId="31" fillId="0" borderId="0" xfId="29" applyFont="1" applyFill="1" applyAlignment="1" applyProtection="1">
      <alignment horizontal="center"/>
      <protection hidden="1"/>
    </xf>
    <xf numFmtId="0" fontId="31" fillId="0" borderId="0" xfId="29" applyFont="1" applyFill="1" applyProtection="1">
      <protection hidden="1"/>
    </xf>
    <xf numFmtId="0" fontId="31" fillId="0" borderId="0" xfId="29" applyFont="1" applyProtection="1">
      <protection hidden="1"/>
    </xf>
    <xf numFmtId="0" fontId="6" fillId="24" borderId="0" xfId="29" applyFont="1" applyFill="1" applyAlignment="1" applyProtection="1">
      <alignment horizontal="center"/>
      <protection hidden="1"/>
    </xf>
    <xf numFmtId="0" fontId="58" fillId="0" borderId="0" xfId="29" applyFont="1" applyFill="1" applyProtection="1">
      <protection hidden="1"/>
    </xf>
    <xf numFmtId="0" fontId="6" fillId="0" borderId="0" xfId="29" applyFont="1" applyBorder="1" applyProtection="1">
      <protection hidden="1"/>
    </xf>
    <xf numFmtId="0" fontId="8" fillId="24" borderId="0" xfId="29" applyFont="1" applyFill="1" applyAlignment="1" applyProtection="1">
      <alignment horizontal="center"/>
      <protection hidden="1"/>
    </xf>
    <xf numFmtId="0" fontId="8" fillId="0" borderId="0" xfId="29" applyBorder="1" applyProtection="1">
      <protection hidden="1"/>
    </xf>
    <xf numFmtId="164" fontId="8" fillId="23" borderId="0" xfId="29" applyNumberFormat="1" applyFill="1" applyAlignment="1" applyProtection="1">
      <alignment horizontal="center"/>
      <protection hidden="1"/>
    </xf>
    <xf numFmtId="0" fontId="8" fillId="0" borderId="0" xfId="29" applyBorder="1" applyProtection="1">
      <protection locked="0" hidden="1"/>
    </xf>
    <xf numFmtId="0" fontId="8" fillId="0" borderId="0" xfId="29" applyFill="1" applyProtection="1">
      <protection locked="0" hidden="1"/>
    </xf>
    <xf numFmtId="0" fontId="6" fillId="0" borderId="0" xfId="29" applyFont="1" applyAlignment="1" applyProtection="1">
      <alignment horizontal="center"/>
      <protection hidden="1"/>
    </xf>
    <xf numFmtId="0" fontId="8" fillId="0" borderId="0" xfId="29" applyAlignment="1" applyProtection="1">
      <alignment horizontal="center"/>
      <protection hidden="1"/>
    </xf>
    <xf numFmtId="0" fontId="8" fillId="38" borderId="0" xfId="29" applyFill="1" applyProtection="1">
      <protection hidden="1"/>
    </xf>
    <xf numFmtId="164" fontId="8" fillId="0" borderId="0" xfId="29" applyNumberFormat="1" applyFill="1" applyAlignment="1" applyProtection="1">
      <alignment horizontal="center"/>
      <protection hidden="1"/>
    </xf>
    <xf numFmtId="0" fontId="13" fillId="0" borderId="0" xfId="29" applyFont="1" applyFill="1" applyBorder="1" applyAlignment="1" applyProtection="1">
      <alignment horizontal="center" vertical="center" wrapText="1"/>
      <protection hidden="1"/>
    </xf>
    <xf numFmtId="0" fontId="32" fillId="19" borderId="10" xfId="29" applyFont="1" applyFill="1" applyBorder="1" applyAlignment="1" applyProtection="1">
      <alignment horizontal="right" vertical="center" wrapText="1"/>
      <protection hidden="1"/>
    </xf>
    <xf numFmtId="0" fontId="8" fillId="0" borderId="22" xfId="29" applyNumberFormat="1" applyFill="1" applyBorder="1" applyAlignment="1" applyProtection="1">
      <alignment horizontal="center"/>
      <protection hidden="1"/>
    </xf>
    <xf numFmtId="9" fontId="41" fillId="19" borderId="116" xfId="29" applyNumberFormat="1" applyFont="1" applyFill="1" applyBorder="1" applyAlignment="1" applyProtection="1">
      <alignment horizontal="center"/>
      <protection hidden="1"/>
    </xf>
    <xf numFmtId="0" fontId="8" fillId="0" borderId="0" xfId="29" applyFill="1" applyAlignment="1" applyProtection="1">
      <protection hidden="1"/>
    </xf>
    <xf numFmtId="0" fontId="10" fillId="18" borderId="9" xfId="29" applyFont="1" applyFill="1" applyBorder="1" applyAlignment="1" applyProtection="1">
      <alignment horizontal="right"/>
      <protection hidden="1"/>
    </xf>
    <xf numFmtId="0" fontId="13" fillId="18" borderId="9" xfId="29" applyFont="1" applyFill="1" applyBorder="1" applyAlignment="1" applyProtection="1">
      <alignment horizontal="right"/>
      <protection hidden="1"/>
    </xf>
    <xf numFmtId="0" fontId="13" fillId="18" borderId="9" xfId="29" applyFont="1" applyFill="1" applyBorder="1" applyAlignment="1" applyProtection="1">
      <alignment horizontal="center"/>
      <protection hidden="1"/>
    </xf>
    <xf numFmtId="164" fontId="6" fillId="37" borderId="43" xfId="35" quotePrefix="1" applyNumberFormat="1" applyFill="1" applyBorder="1" applyAlignment="1" applyProtection="1">
      <alignment horizontal="right"/>
      <protection locked="0"/>
    </xf>
    <xf numFmtId="0" fontId="59" fillId="0" borderId="0" xfId="29" applyFont="1" applyBorder="1" applyProtection="1">
      <protection locked="0"/>
    </xf>
    <xf numFmtId="0" fontId="59" fillId="0" borderId="0" xfId="29" applyFont="1" applyBorder="1" applyProtection="1"/>
    <xf numFmtId="0" fontId="59" fillId="0" borderId="0" xfId="29" applyFont="1" applyProtection="1">
      <protection locked="0"/>
    </xf>
    <xf numFmtId="0" fontId="59" fillId="0" borderId="0" xfId="29" applyFont="1" applyBorder="1" applyProtection="1">
      <protection hidden="1"/>
    </xf>
    <xf numFmtId="0" fontId="60" fillId="0" borderId="0" xfId="0" applyFont="1" applyAlignment="1">
      <alignment horizontal="center"/>
    </xf>
    <xf numFmtId="0" fontId="60" fillId="0" borderId="0" xfId="0" applyFont="1"/>
    <xf numFmtId="0" fontId="6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0" fillId="0" borderId="0" xfId="0" applyNumberFormat="1"/>
    <xf numFmtId="173" fontId="0" fillId="0" borderId="0" xfId="0" applyNumberFormat="1"/>
    <xf numFmtId="0" fontId="62" fillId="0" borderId="0" xfId="35" applyFont="1"/>
    <xf numFmtId="0" fontId="5" fillId="0" borderId="0" xfId="44"/>
    <xf numFmtId="0" fontId="5" fillId="0" borderId="0" xfId="44" applyAlignment="1">
      <alignment horizontal="center"/>
    </xf>
    <xf numFmtId="0" fontId="6" fillId="0" borderId="0" xfId="30" applyFont="1" applyBorder="1" applyAlignment="1"/>
    <xf numFmtId="0" fontId="6" fillId="0" borderId="0" xfId="30" applyAlignment="1"/>
    <xf numFmtId="0" fontId="6" fillId="0" borderId="0" xfId="30" applyFont="1" applyAlignment="1"/>
    <xf numFmtId="0" fontId="5" fillId="0" borderId="0" xfId="44"/>
    <xf numFmtId="0" fontId="5" fillId="0" borderId="0" xfId="44" applyAlignment="1">
      <alignment horizontal="center"/>
    </xf>
    <xf numFmtId="0" fontId="5" fillId="0" borderId="0" xfId="44"/>
    <xf numFmtId="0" fontId="5" fillId="0" borderId="0" xfId="44" applyAlignment="1">
      <alignment horizontal="center"/>
    </xf>
    <xf numFmtId="0" fontId="4" fillId="0" borderId="0" xfId="44" applyFont="1" applyAlignment="1">
      <alignment horizontal="center"/>
    </xf>
    <xf numFmtId="0" fontId="4" fillId="0" borderId="0" xfId="44" applyFont="1"/>
    <xf numFmtId="0" fontId="63" fillId="0" borderId="0" xfId="0" applyFont="1"/>
    <xf numFmtId="0" fontId="3" fillId="0" borderId="0" xfId="44" applyFont="1"/>
    <xf numFmtId="0" fontId="2" fillId="0" borderId="0" xfId="44" applyFont="1"/>
    <xf numFmtId="0" fontId="1" fillId="0" borderId="0" xfId="44" applyFont="1" applyAlignment="1">
      <alignment horizontal="center"/>
    </xf>
    <xf numFmtId="0" fontId="1" fillId="0" borderId="0" xfId="44" applyFont="1"/>
    <xf numFmtId="0" fontId="12" fillId="0" borderId="143" xfId="0" applyFont="1" applyBorder="1"/>
    <xf numFmtId="0" fontId="10" fillId="0" borderId="144" xfId="0" applyFont="1" applyBorder="1" applyProtection="1"/>
    <xf numFmtId="0" fontId="10" fillId="0" borderId="145" xfId="0" applyFont="1" applyBorder="1" applyProtection="1"/>
    <xf numFmtId="0" fontId="10" fillId="0" borderId="146" xfId="0" applyFont="1" applyBorder="1" applyProtection="1"/>
    <xf numFmtId="0" fontId="12" fillId="0" borderId="147" xfId="30" applyFont="1" applyFill="1" applyBorder="1"/>
    <xf numFmtId="0" fontId="6" fillId="0" borderId="144" xfId="30" applyFont="1" applyFill="1" applyBorder="1"/>
    <xf numFmtId="0" fontId="6" fillId="0" borderId="145" xfId="30" applyFont="1" applyFill="1" applyBorder="1"/>
    <xf numFmtId="0" fontId="6" fillId="0" borderId="145" xfId="0" applyFont="1" applyBorder="1"/>
    <xf numFmtId="0" fontId="6" fillId="0" borderId="146" xfId="0" applyFont="1" applyBorder="1"/>
    <xf numFmtId="0" fontId="0" fillId="0" borderId="0" xfId="0" applyAlignment="1">
      <alignment wrapText="1"/>
    </xf>
    <xf numFmtId="0" fontId="45" fillId="0" borderId="69" xfId="0" applyFont="1" applyFill="1" applyBorder="1" applyAlignment="1" applyProtection="1">
      <protection locked="0"/>
    </xf>
    <xf numFmtId="0" fontId="45" fillId="0" borderId="134" xfId="40" applyNumberFormat="1" applyFont="1" applyFill="1" applyBorder="1" applyAlignment="1" applyProtection="1">
      <protection locked="0"/>
    </xf>
    <xf numFmtId="0" fontId="45" fillId="0" borderId="69" xfId="0" applyNumberFormat="1" applyFont="1" applyFill="1" applyBorder="1" applyAlignment="1" applyProtection="1">
      <protection locked="0"/>
    </xf>
    <xf numFmtId="0" fontId="45" fillId="0" borderId="87" xfId="0" applyFont="1" applyFill="1" applyBorder="1" applyAlignment="1" applyProtection="1">
      <protection locked="0"/>
    </xf>
    <xf numFmtId="0" fontId="45" fillId="0" borderId="126" xfId="30" applyNumberFormat="1" applyFont="1" applyFill="1" applyBorder="1" applyAlignment="1" applyProtection="1">
      <protection locked="0"/>
    </xf>
    <xf numFmtId="0" fontId="45" fillId="0" borderId="121" xfId="0" applyNumberFormat="1" applyFont="1" applyFill="1" applyBorder="1" applyAlignment="1" applyProtection="1">
      <protection locked="0"/>
    </xf>
    <xf numFmtId="0" fontId="66" fillId="26" borderId="0" xfId="29" applyFont="1" applyFill="1" applyBorder="1"/>
    <xf numFmtId="0" fontId="45" fillId="0" borderId="74" xfId="30" applyFont="1" applyFill="1" applyBorder="1" applyAlignment="1" applyProtection="1">
      <alignment horizontal="center"/>
      <protection locked="0"/>
    </xf>
    <xf numFmtId="0" fontId="11" fillId="40" borderId="13" xfId="30" applyFont="1" applyFill="1" applyBorder="1"/>
    <xf numFmtId="0" fontId="11" fillId="40" borderId="14" xfId="30" applyFont="1" applyFill="1" applyBorder="1" applyAlignment="1"/>
    <xf numFmtId="0" fontId="12" fillId="40" borderId="14" xfId="30" applyFont="1" applyFill="1" applyBorder="1" applyAlignment="1"/>
    <xf numFmtId="0" fontId="6" fillId="40" borderId="14" xfId="30" applyFont="1" applyFill="1" applyBorder="1" applyAlignment="1"/>
    <xf numFmtId="0" fontId="6" fillId="41" borderId="6" xfId="30" applyFill="1" applyBorder="1" applyProtection="1"/>
    <xf numFmtId="0" fontId="6" fillId="41" borderId="0" xfId="30" applyFill="1" applyBorder="1" applyAlignment="1" applyProtection="1"/>
    <xf numFmtId="0" fontId="6" fillId="41" borderId="6" xfId="30" applyFont="1" applyFill="1" applyBorder="1" applyProtection="1"/>
    <xf numFmtId="0" fontId="6" fillId="41" borderId="0" xfId="30" applyFill="1" applyBorder="1" applyAlignment="1" applyProtection="1">
      <alignment horizontal="right"/>
    </xf>
    <xf numFmtId="0" fontId="6" fillId="41" borderId="0" xfId="30" applyFont="1" applyFill="1" applyBorder="1" applyAlignment="1" applyProtection="1"/>
    <xf numFmtId="0" fontId="6" fillId="41" borderId="6" xfId="30" applyFont="1" applyFill="1" applyBorder="1" applyAlignment="1" applyProtection="1">
      <alignment vertical="top"/>
    </xf>
    <xf numFmtId="0" fontId="6" fillId="41" borderId="65" xfId="30" applyFill="1" applyBorder="1" applyAlignment="1" applyProtection="1">
      <alignment horizontal="right"/>
    </xf>
    <xf numFmtId="0" fontId="45" fillId="26" borderId="22" xfId="30" applyFont="1" applyFill="1" applyBorder="1" applyAlignment="1" applyProtection="1">
      <alignment horizontal="left"/>
    </xf>
    <xf numFmtId="0" fontId="45" fillId="26" borderId="35" xfId="0" applyFont="1" applyFill="1" applyBorder="1" applyAlignment="1" applyProtection="1">
      <alignment horizontal="left"/>
    </xf>
    <xf numFmtId="0" fontId="6" fillId="41" borderId="66" xfId="30" applyFont="1" applyFill="1" applyBorder="1" applyAlignment="1" applyProtection="1">
      <alignment horizontal="right"/>
    </xf>
    <xf numFmtId="0" fontId="6" fillId="41" borderId="15" xfId="30" applyFont="1" applyFill="1" applyBorder="1" applyAlignment="1" applyProtection="1">
      <alignment horizontal="right"/>
    </xf>
    <xf numFmtId="0" fontId="6" fillId="41" borderId="15" xfId="30" applyFont="1" applyFill="1" applyBorder="1" applyAlignment="1" applyProtection="1">
      <alignment horizontal="center"/>
    </xf>
    <xf numFmtId="0" fontId="6" fillId="41" borderId="68" xfId="30" applyFont="1" applyFill="1" applyBorder="1" applyAlignment="1" applyProtection="1">
      <alignment horizontal="center"/>
    </xf>
    <xf numFmtId="0" fontId="6" fillId="41" borderId="0" xfId="30" applyFont="1" applyFill="1" applyBorder="1" applyAlignment="1" applyProtection="1">
      <alignment horizontal="right"/>
    </xf>
    <xf numFmtId="0" fontId="6" fillId="41" borderId="0" xfId="30" applyFill="1" applyBorder="1" applyAlignment="1" applyProtection="1">
      <alignment horizontal="center"/>
    </xf>
    <xf numFmtId="0" fontId="6" fillId="41" borderId="6" xfId="30" applyFont="1" applyFill="1" applyBorder="1" applyAlignment="1" applyProtection="1">
      <alignment horizontal="right"/>
    </xf>
    <xf numFmtId="0" fontId="6" fillId="41" borderId="14" xfId="30" applyFill="1" applyBorder="1" applyAlignment="1" applyProtection="1">
      <alignment horizontal="right"/>
    </xf>
    <xf numFmtId="0" fontId="6" fillId="41" borderId="67" xfId="30" applyFill="1" applyBorder="1" applyAlignment="1" applyProtection="1">
      <alignment horizontal="right"/>
    </xf>
    <xf numFmtId="3" fontId="45" fillId="26" borderId="50" xfId="30" applyNumberFormat="1" applyFont="1" applyFill="1" applyBorder="1" applyAlignment="1" applyProtection="1">
      <alignment horizontal="center" shrinkToFit="1"/>
    </xf>
    <xf numFmtId="3" fontId="45" fillId="26" borderId="90" xfId="30" applyNumberFormat="1" applyFont="1" applyFill="1" applyBorder="1" applyAlignment="1" applyProtection="1">
      <alignment horizontal="center" shrinkToFit="1"/>
    </xf>
    <xf numFmtId="0" fontId="45" fillId="26" borderId="70" xfId="30" applyNumberFormat="1" applyFont="1" applyFill="1" applyBorder="1" applyAlignment="1" applyProtection="1">
      <alignment horizontal="center"/>
    </xf>
    <xf numFmtId="0" fontId="6" fillId="41" borderId="68" xfId="30" applyFont="1" applyFill="1" applyBorder="1" applyAlignment="1">
      <alignment horizontal="right"/>
    </xf>
    <xf numFmtId="0" fontId="6" fillId="41" borderId="65" xfId="30" applyFill="1" applyBorder="1" applyAlignment="1">
      <alignment horizontal="right"/>
    </xf>
    <xf numFmtId="0" fontId="6" fillId="41" borderId="68" xfId="30" applyFill="1" applyBorder="1" applyAlignment="1" applyProtection="1">
      <alignment horizontal="right"/>
    </xf>
    <xf numFmtId="0" fontId="10" fillId="41" borderId="0" xfId="30" applyFont="1" applyFill="1" applyBorder="1" applyAlignment="1"/>
    <xf numFmtId="0" fontId="6" fillId="41" borderId="65" xfId="30" applyFont="1" applyFill="1" applyBorder="1" applyAlignment="1" applyProtection="1">
      <alignment horizontal="right"/>
    </xf>
    <xf numFmtId="0" fontId="11" fillId="40" borderId="4" xfId="30" applyFont="1" applyFill="1" applyBorder="1"/>
    <xf numFmtId="0" fontId="11" fillId="40" borderId="5" xfId="30" applyFont="1" applyFill="1" applyBorder="1" applyAlignment="1"/>
    <xf numFmtId="0" fontId="11" fillId="40" borderId="5" xfId="30" applyFont="1" applyFill="1" applyBorder="1"/>
    <xf numFmtId="0" fontId="12" fillId="40" borderId="5" xfId="30" applyFont="1" applyFill="1" applyBorder="1"/>
    <xf numFmtId="0" fontId="6" fillId="40" borderId="5" xfId="30" applyFill="1" applyBorder="1"/>
    <xf numFmtId="164" fontId="43" fillId="40" borderId="5" xfId="30" applyNumberFormat="1" applyFont="1" applyFill="1" applyBorder="1"/>
    <xf numFmtId="164" fontId="14" fillId="40" borderId="73" xfId="30" applyNumberFormat="1" applyFont="1" applyFill="1" applyBorder="1" applyAlignment="1">
      <alignment horizontal="centerContinuous" shrinkToFit="1"/>
    </xf>
    <xf numFmtId="173" fontId="18" fillId="20" borderId="7" xfId="40" applyNumberFormat="1" applyFont="1" applyFill="1" applyBorder="1"/>
    <xf numFmtId="0" fontId="10" fillId="41" borderId="8" xfId="30" applyFont="1" applyFill="1" applyBorder="1" applyAlignment="1">
      <alignment vertical="center" wrapText="1"/>
    </xf>
    <xf numFmtId="0" fontId="10" fillId="41" borderId="9" xfId="30" applyFont="1" applyFill="1" applyBorder="1" applyAlignment="1">
      <alignment vertical="center" wrapText="1"/>
    </xf>
    <xf numFmtId="0" fontId="10" fillId="41" borderId="9" xfId="30" applyFont="1" applyFill="1" applyBorder="1" applyAlignment="1">
      <alignment horizontal="center" vertical="center" wrapText="1" shrinkToFit="1"/>
    </xf>
    <xf numFmtId="0" fontId="10" fillId="41" borderId="9" xfId="30" applyFont="1" applyFill="1" applyBorder="1" applyAlignment="1">
      <alignment horizontal="center" vertical="center" wrapText="1"/>
    </xf>
    <xf numFmtId="0" fontId="44" fillId="41" borderId="9" xfId="30" applyFont="1" applyFill="1" applyBorder="1" applyAlignment="1" applyProtection="1">
      <alignment horizontal="center" vertical="center" wrapText="1"/>
      <protection locked="0"/>
    </xf>
    <xf numFmtId="0" fontId="32" fillId="41" borderId="10" xfId="30" applyFont="1" applyFill="1" applyBorder="1" applyAlignment="1" applyProtection="1">
      <alignment horizontal="right" vertical="center" wrapText="1"/>
    </xf>
    <xf numFmtId="0" fontId="10" fillId="41" borderId="11" xfId="30" applyFont="1" applyFill="1" applyBorder="1" applyAlignment="1">
      <alignment horizontal="center" vertical="center" wrapText="1"/>
    </xf>
    <xf numFmtId="173" fontId="45" fillId="0" borderId="78" xfId="30" applyNumberFormat="1" applyFont="1" applyFill="1" applyBorder="1" applyAlignment="1" applyProtection="1">
      <alignment horizontal="center"/>
      <protection locked="0"/>
    </xf>
    <xf numFmtId="172" fontId="6" fillId="41" borderId="75" xfId="30" applyNumberFormat="1" applyFill="1" applyBorder="1" applyAlignment="1" applyProtection="1">
      <alignment horizontal="center"/>
    </xf>
    <xf numFmtId="173" fontId="10" fillId="41" borderId="100" xfId="40" applyNumberFormat="1" applyFont="1" applyFill="1" applyBorder="1"/>
    <xf numFmtId="0" fontId="10" fillId="41" borderId="12" xfId="30" applyFont="1" applyFill="1" applyBorder="1" applyAlignment="1">
      <alignment horizontal="center" vertical="center" wrapText="1"/>
    </xf>
    <xf numFmtId="9" fontId="45" fillId="0" borderId="78" xfId="30" applyNumberFormat="1" applyFont="1" applyFill="1" applyBorder="1" applyAlignment="1" applyProtection="1">
      <alignment horizontal="center"/>
      <protection locked="0"/>
    </xf>
    <xf numFmtId="0" fontId="11" fillId="40" borderId="14" xfId="30" applyFont="1" applyFill="1" applyBorder="1"/>
    <xf numFmtId="0" fontId="12" fillId="40" borderId="14" xfId="30" applyFont="1" applyFill="1" applyBorder="1"/>
    <xf numFmtId="0" fontId="6" fillId="40" borderId="14" xfId="30" applyFill="1" applyBorder="1"/>
    <xf numFmtId="0" fontId="6" fillId="40" borderId="14" xfId="30" applyFill="1" applyBorder="1" applyAlignment="1">
      <alignment horizontal="center"/>
    </xf>
    <xf numFmtId="173" fontId="18" fillId="20" borderId="38" xfId="40" applyNumberFormat="1" applyFont="1" applyFill="1" applyBorder="1"/>
    <xf numFmtId="0" fontId="10" fillId="41" borderId="9" xfId="30" applyFont="1" applyFill="1" applyBorder="1" applyAlignment="1">
      <alignment horizontal="center" vertical="center" shrinkToFit="1"/>
    </xf>
    <xf numFmtId="2" fontId="10" fillId="41" borderId="9" xfId="30" applyNumberFormat="1" applyFont="1" applyFill="1" applyBorder="1" applyAlignment="1">
      <alignment horizontal="center" vertical="center" wrapText="1"/>
    </xf>
    <xf numFmtId="0" fontId="45" fillId="0" borderId="75" xfId="30" applyFont="1" applyFill="1" applyBorder="1" applyAlignment="1" applyProtection="1">
      <alignment horizontal="center"/>
      <protection locked="0"/>
    </xf>
    <xf numFmtId="9" fontId="45" fillId="0" borderId="76" xfId="30" applyNumberFormat="1" applyFont="1" applyFill="1" applyBorder="1" applyAlignment="1" applyProtection="1">
      <alignment horizontal="center"/>
      <protection locked="0"/>
    </xf>
    <xf numFmtId="10" fontId="45" fillId="0" borderId="78" xfId="30" applyNumberFormat="1" applyFont="1" applyFill="1" applyBorder="1" applyAlignment="1" applyProtection="1">
      <alignment horizontal="center"/>
      <protection locked="0"/>
    </xf>
    <xf numFmtId="172" fontId="6" fillId="41" borderId="75" xfId="30" applyNumberFormat="1" applyFill="1" applyBorder="1" applyAlignment="1">
      <alignment horizontal="center"/>
    </xf>
    <xf numFmtId="0" fontId="11" fillId="40" borderId="8" xfId="30" applyFont="1" applyFill="1" applyBorder="1"/>
    <xf numFmtId="0" fontId="11" fillId="40" borderId="9" xfId="30" applyFont="1" applyFill="1" applyBorder="1"/>
    <xf numFmtId="0" fontId="12" fillId="40" borderId="9" xfId="30" applyFont="1" applyFill="1" applyBorder="1"/>
    <xf numFmtId="0" fontId="6" fillId="40" borderId="9" xfId="30" applyFill="1" applyBorder="1"/>
    <xf numFmtId="0" fontId="10" fillId="40" borderId="9" xfId="30" applyFont="1" applyFill="1" applyBorder="1" applyAlignment="1">
      <alignment horizontal="right"/>
    </xf>
    <xf numFmtId="173" fontId="18" fillId="20" borderId="97" xfId="40" applyNumberFormat="1" applyFont="1" applyFill="1" applyBorder="1" applyProtection="1"/>
    <xf numFmtId="0" fontId="6" fillId="0" borderId="6" xfId="30" applyFill="1" applyBorder="1"/>
    <xf numFmtId="0" fontId="6" fillId="0" borderId="0" xfId="30" applyFill="1"/>
    <xf numFmtId="0" fontId="6" fillId="0" borderId="0" xfId="30" applyFill="1" applyBorder="1"/>
    <xf numFmtId="2" fontId="6" fillId="0" borderId="0" xfId="30" applyNumberFormat="1" applyFill="1" applyBorder="1" applyAlignment="1">
      <alignment horizontal="center"/>
    </xf>
    <xf numFmtId="164" fontId="6" fillId="0" borderId="16" xfId="30" applyNumberFormat="1" applyFill="1" applyBorder="1"/>
    <xf numFmtId="0" fontId="6" fillId="40" borderId="9" xfId="30" applyFill="1" applyBorder="1" applyAlignment="1"/>
    <xf numFmtId="164" fontId="14" fillId="40" borderId="9" xfId="30" applyNumberFormat="1" applyFont="1" applyFill="1" applyBorder="1" applyAlignment="1" applyProtection="1">
      <alignment horizontal="right"/>
    </xf>
    <xf numFmtId="164" fontId="14" fillId="40" borderId="69" xfId="30" applyNumberFormat="1" applyFont="1" applyFill="1" applyBorder="1" applyAlignment="1">
      <alignment horizontal="left"/>
    </xf>
    <xf numFmtId="0" fontId="14" fillId="40" borderId="9" xfId="30" applyFont="1" applyFill="1" applyBorder="1" applyAlignment="1">
      <alignment horizontal="right"/>
    </xf>
    <xf numFmtId="164" fontId="14" fillId="40" borderId="9" xfId="30" applyNumberFormat="1" applyFont="1" applyFill="1" applyBorder="1" applyAlignment="1">
      <alignment horizontal="left"/>
    </xf>
    <xf numFmtId="0" fontId="14" fillId="40" borderId="18" xfId="30" applyFont="1" applyFill="1" applyBorder="1" applyAlignment="1">
      <alignment horizontal="right"/>
    </xf>
    <xf numFmtId="0" fontId="14" fillId="40" borderId="73" xfId="30" applyFont="1" applyFill="1" applyBorder="1" applyAlignment="1">
      <alignment horizontal="centerContinuous" shrinkToFit="1"/>
    </xf>
    <xf numFmtId="173" fontId="18" fillId="20" borderId="97" xfId="40" applyNumberFormat="1" applyFont="1" applyFill="1" applyBorder="1"/>
    <xf numFmtId="0" fontId="10" fillId="41" borderId="18" xfId="30" applyFont="1" applyFill="1" applyBorder="1" applyAlignment="1">
      <alignment horizontal="center" vertical="center" wrapText="1"/>
    </xf>
    <xf numFmtId="2" fontId="10" fillId="41" borderId="14" xfId="30" applyNumberFormat="1" applyFont="1" applyFill="1" applyBorder="1" applyAlignment="1">
      <alignment horizontal="center" vertical="center" wrapText="1"/>
    </xf>
    <xf numFmtId="0" fontId="32" fillId="41" borderId="17" xfId="30" applyFont="1" applyFill="1" applyBorder="1" applyAlignment="1" applyProtection="1">
      <alignment horizontal="right" vertical="center" wrapText="1"/>
    </xf>
    <xf numFmtId="3" fontId="45" fillId="0" borderId="76" xfId="30" applyNumberFormat="1" applyFont="1" applyFill="1" applyBorder="1" applyAlignment="1" applyProtection="1">
      <alignment horizontal="center"/>
      <protection locked="0"/>
    </xf>
    <xf numFmtId="172" fontId="6" fillId="41" borderId="87" xfId="30" applyNumberFormat="1" applyFill="1" applyBorder="1" applyAlignment="1">
      <alignment horizontal="center"/>
    </xf>
    <xf numFmtId="173" fontId="10" fillId="41" borderId="98" xfId="40" applyNumberFormat="1" applyFont="1" applyFill="1" applyBorder="1"/>
    <xf numFmtId="173" fontId="10" fillId="41" borderId="40" xfId="40" applyNumberFormat="1" applyFont="1" applyFill="1" applyBorder="1"/>
    <xf numFmtId="0" fontId="45" fillId="0" borderId="86" xfId="30" applyFont="1" applyFill="1" applyBorder="1" applyAlignment="1" applyProtection="1">
      <alignment horizontal="center"/>
      <protection locked="0"/>
    </xf>
    <xf numFmtId="0" fontId="16" fillId="40" borderId="8" xfId="30" applyFont="1" applyFill="1" applyBorder="1" applyAlignment="1">
      <alignment horizontal="left" indent="1"/>
    </xf>
    <xf numFmtId="0" fontId="11" fillId="40" borderId="9" xfId="30" applyFont="1" applyFill="1" applyBorder="1" applyAlignment="1"/>
    <xf numFmtId="0" fontId="16" fillId="40" borderId="9" xfId="30" applyFont="1" applyFill="1" applyBorder="1" applyAlignment="1"/>
    <xf numFmtId="0" fontId="6" fillId="40" borderId="9" xfId="30" applyFill="1" applyBorder="1" applyAlignment="1">
      <alignment horizontal="right"/>
    </xf>
    <xf numFmtId="0" fontId="10" fillId="40" borderId="9" xfId="30" applyFont="1" applyFill="1" applyBorder="1" applyAlignment="1" applyProtection="1">
      <alignment horizontal="right"/>
    </xf>
    <xf numFmtId="0" fontId="10" fillId="40" borderId="9" xfId="30" applyFont="1" applyFill="1" applyBorder="1" applyAlignment="1" applyProtection="1">
      <alignment horizontal="center"/>
    </xf>
    <xf numFmtId="0" fontId="45" fillId="0" borderId="134" xfId="30" applyNumberFormat="1" applyFont="1" applyFill="1" applyBorder="1" applyAlignment="1" applyProtection="1">
      <protection locked="0"/>
    </xf>
    <xf numFmtId="0" fontId="16" fillId="40" borderId="26" xfId="30" applyFont="1" applyFill="1" applyBorder="1" applyAlignment="1">
      <alignment horizontal="left" indent="1"/>
    </xf>
    <xf numFmtId="0" fontId="11" fillId="40" borderId="15" xfId="30" applyFont="1" applyFill="1" applyBorder="1" applyAlignment="1"/>
    <xf numFmtId="0" fontId="16" fillId="40" borderId="15" xfId="30" applyFont="1" applyFill="1" applyBorder="1" applyAlignment="1"/>
    <xf numFmtId="0" fontId="12" fillId="40" borderId="15" xfId="30" applyFont="1" applyFill="1" applyBorder="1" applyAlignment="1">
      <alignment horizontal="left"/>
    </xf>
    <xf numFmtId="0" fontId="6" fillId="40" borderId="15" xfId="30" applyFill="1" applyBorder="1"/>
    <xf numFmtId="0" fontId="10" fillId="40" borderId="15" xfId="30" applyFont="1" applyFill="1" applyBorder="1" applyAlignment="1" applyProtection="1">
      <alignment horizontal="left"/>
    </xf>
    <xf numFmtId="0" fontId="10" fillId="40" borderId="69" xfId="30" applyFont="1" applyFill="1" applyBorder="1" applyAlignment="1" applyProtection="1">
      <alignment horizontal="right"/>
    </xf>
    <xf numFmtId="0" fontId="6" fillId="0" borderId="8" xfId="30" applyFill="1" applyBorder="1"/>
    <xf numFmtId="0" fontId="6" fillId="0" borderId="9" xfId="30" applyFill="1" applyBorder="1"/>
    <xf numFmtId="164" fontId="6" fillId="0" borderId="10" xfId="30" applyNumberFormat="1" applyFill="1" applyBorder="1"/>
    <xf numFmtId="0" fontId="11" fillId="40" borderId="27" xfId="30" applyFont="1" applyFill="1" applyBorder="1"/>
    <xf numFmtId="0" fontId="11" fillId="40" borderId="28" xfId="30" applyFont="1" applyFill="1" applyBorder="1"/>
    <xf numFmtId="0" fontId="6" fillId="40" borderId="28" xfId="30" applyFill="1" applyBorder="1"/>
    <xf numFmtId="0" fontId="6" fillId="40" borderId="28" xfId="30" applyFill="1" applyBorder="1" applyAlignment="1">
      <alignment horizontal="right"/>
    </xf>
    <xf numFmtId="0" fontId="10" fillId="40" borderId="28" xfId="30" applyFont="1" applyFill="1" applyBorder="1" applyAlignment="1">
      <alignment horizontal="right"/>
    </xf>
    <xf numFmtId="0" fontId="10" fillId="40" borderId="94" xfId="30" applyFont="1" applyFill="1" applyBorder="1" applyAlignment="1">
      <alignment horizontal="right"/>
    </xf>
    <xf numFmtId="9" fontId="18" fillId="20" borderId="55" xfId="30" applyNumberFormat="1" applyFont="1" applyFill="1" applyBorder="1"/>
    <xf numFmtId="0" fontId="6" fillId="0" borderId="16" xfId="30" applyFill="1" applyBorder="1"/>
    <xf numFmtId="9" fontId="18" fillId="20" borderId="7" xfId="40" applyFont="1" applyFill="1" applyBorder="1"/>
    <xf numFmtId="0" fontId="6" fillId="41" borderId="6" xfId="30" applyFill="1" applyBorder="1"/>
    <xf numFmtId="0" fontId="6" fillId="41" borderId="0" xfId="30" applyFill="1" applyBorder="1"/>
    <xf numFmtId="0" fontId="6" fillId="41" borderId="0" xfId="30" applyFill="1" applyBorder="1" applyAlignment="1">
      <alignment horizontal="right"/>
    </xf>
    <xf numFmtId="0" fontId="6" fillId="41" borderId="15" xfId="30" applyFill="1" applyBorder="1" applyAlignment="1">
      <alignment horizontal="right"/>
    </xf>
    <xf numFmtId="0" fontId="6" fillId="41" borderId="15" xfId="30" applyFont="1" applyFill="1" applyBorder="1" applyAlignment="1">
      <alignment horizontal="right"/>
    </xf>
    <xf numFmtId="172" fontId="6" fillId="41" borderId="19" xfId="40" applyNumberFormat="1" applyFont="1" applyFill="1" applyBorder="1" applyAlignment="1" applyProtection="1">
      <alignment horizontal="center"/>
    </xf>
    <xf numFmtId="0" fontId="6" fillId="41" borderId="0" xfId="30" applyFont="1" applyFill="1" applyBorder="1" applyAlignment="1">
      <alignment horizontal="right"/>
    </xf>
    <xf numFmtId="172" fontId="6" fillId="41" borderId="22" xfId="40" applyNumberFormat="1" applyFont="1" applyFill="1" applyBorder="1" applyAlignment="1" applyProtection="1">
      <alignment horizontal="center"/>
    </xf>
    <xf numFmtId="0" fontId="6" fillId="41" borderId="44" xfId="30" applyFont="1" applyFill="1" applyBorder="1" applyAlignment="1">
      <alignment horizontal="right"/>
    </xf>
    <xf numFmtId="3" fontId="45" fillId="0" borderId="22" xfId="30" applyNumberFormat="1" applyFont="1" applyFill="1" applyBorder="1" applyAlignment="1" applyProtection="1">
      <alignment horizontal="center" shrinkToFit="1"/>
      <protection locked="0"/>
    </xf>
    <xf numFmtId="0" fontId="6" fillId="41" borderId="22" xfId="30" applyFill="1" applyBorder="1" applyAlignment="1">
      <alignment horizontal="right"/>
    </xf>
    <xf numFmtId="172" fontId="6" fillId="41" borderId="22" xfId="30" applyNumberFormat="1" applyFill="1" applyBorder="1" applyAlignment="1">
      <alignment horizontal="center"/>
    </xf>
    <xf numFmtId="173" fontId="10" fillId="41" borderId="40" xfId="30" applyNumberFormat="1" applyFont="1" applyFill="1" applyBorder="1"/>
    <xf numFmtId="0" fontId="6" fillId="41" borderId="6" xfId="30" applyFont="1" applyFill="1" applyBorder="1"/>
    <xf numFmtId="0" fontId="10" fillId="41" borderId="88" xfId="30" applyFont="1" applyFill="1" applyBorder="1" applyAlignment="1">
      <alignment horizontal="right"/>
    </xf>
    <xf numFmtId="0" fontId="10" fillId="41" borderId="0" xfId="30" applyFont="1" applyFill="1" applyBorder="1" applyAlignment="1">
      <alignment horizontal="right"/>
    </xf>
    <xf numFmtId="0" fontId="6" fillId="41" borderId="27" xfId="30" applyFont="1" applyFill="1" applyBorder="1"/>
    <xf numFmtId="0" fontId="6" fillId="41" borderId="14" xfId="30" applyFill="1" applyBorder="1"/>
    <xf numFmtId="0" fontId="10" fillId="41" borderId="14" xfId="30" applyFont="1" applyFill="1" applyBorder="1" applyAlignment="1">
      <alignment horizontal="right"/>
    </xf>
    <xf numFmtId="172" fontId="6" fillId="41" borderId="81" xfId="30" applyNumberFormat="1" applyFont="1" applyFill="1" applyBorder="1" applyAlignment="1" applyProtection="1">
      <alignment horizontal="center"/>
    </xf>
    <xf numFmtId="173" fontId="10" fillId="41" borderId="38" xfId="40" applyNumberFormat="1" applyFont="1" applyFill="1" applyBorder="1"/>
    <xf numFmtId="0" fontId="6" fillId="0" borderId="29" xfId="30" applyFill="1" applyBorder="1"/>
    <xf numFmtId="0" fontId="6" fillId="0" borderId="29" xfId="30" applyFill="1" applyBorder="1" applyProtection="1">
      <protection locked="0"/>
    </xf>
    <xf numFmtId="0" fontId="6" fillId="0" borderId="30" xfId="30" applyFill="1" applyBorder="1" applyProtection="1">
      <protection locked="0"/>
    </xf>
    <xf numFmtId="0" fontId="12" fillId="40" borderId="46" xfId="30" applyFont="1" applyFill="1" applyBorder="1"/>
    <xf numFmtId="0" fontId="6" fillId="40" borderId="31" xfId="30" applyFill="1" applyBorder="1"/>
    <xf numFmtId="9" fontId="18" fillId="20" borderId="33" xfId="40" applyFont="1" applyFill="1" applyBorder="1"/>
    <xf numFmtId="164" fontId="6" fillId="0" borderId="0" xfId="30" applyNumberFormat="1" applyFill="1" applyAlignment="1">
      <alignment horizontal="center"/>
    </xf>
    <xf numFmtId="2" fontId="6" fillId="40" borderId="5" xfId="30" applyNumberFormat="1" applyFill="1" applyBorder="1" applyAlignment="1">
      <alignment horizontal="center"/>
    </xf>
    <xf numFmtId="0" fontId="6" fillId="40" borderId="34" xfId="30" applyFill="1" applyBorder="1"/>
    <xf numFmtId="0" fontId="12" fillId="41" borderId="6" xfId="30" applyFont="1" applyFill="1" applyBorder="1" applyAlignment="1">
      <alignment vertical="center"/>
    </xf>
    <xf numFmtId="0" fontId="14" fillId="41" borderId="0" xfId="30" applyFont="1" applyFill="1" applyBorder="1" applyAlignment="1">
      <alignment horizontal="center" vertical="center" wrapText="1"/>
    </xf>
    <xf numFmtId="164" fontId="10" fillId="41" borderId="14" xfId="30" applyNumberFormat="1" applyFont="1" applyFill="1" applyBorder="1" applyAlignment="1">
      <alignment horizontal="center" vertical="center" wrapText="1"/>
    </xf>
    <xf numFmtId="0" fontId="10" fillId="41" borderId="16" xfId="30" applyFont="1" applyFill="1" applyBorder="1" applyAlignment="1">
      <alignment horizontal="right" vertical="center" wrapText="1"/>
    </xf>
    <xf numFmtId="0" fontId="6" fillId="41" borderId="51" xfId="30" applyFill="1" applyBorder="1" applyAlignment="1" applyProtection="1">
      <alignment horizontal="center"/>
    </xf>
    <xf numFmtId="0" fontId="6" fillId="41" borderId="52" xfId="30" applyFill="1" applyBorder="1" applyAlignment="1" applyProtection="1">
      <alignment horizontal="center"/>
    </xf>
    <xf numFmtId="0" fontId="45" fillId="0" borderId="80" xfId="30" applyFont="1" applyFill="1" applyBorder="1" applyAlignment="1" applyProtection="1">
      <alignment horizontal="center"/>
      <protection locked="0"/>
    </xf>
    <xf numFmtId="173" fontId="10" fillId="41" borderId="99" xfId="40" applyNumberFormat="1" applyFont="1" applyFill="1" applyBorder="1"/>
    <xf numFmtId="0" fontId="6" fillId="0" borderId="8" xfId="30" applyBorder="1"/>
    <xf numFmtId="0" fontId="6" fillId="0" borderId="0" xfId="30"/>
    <xf numFmtId="0" fontId="6" fillId="0" borderId="9" xfId="30" applyBorder="1"/>
    <xf numFmtId="0" fontId="12" fillId="40" borderId="32" xfId="30" applyFont="1" applyFill="1" applyBorder="1" applyAlignment="1">
      <alignment horizontal="right"/>
    </xf>
    <xf numFmtId="9" fontId="18" fillId="41" borderId="33" xfId="40" applyFont="1" applyFill="1" applyBorder="1"/>
    <xf numFmtId="0" fontId="12" fillId="41" borderId="8" xfId="30" applyFont="1" applyFill="1" applyBorder="1" applyAlignment="1">
      <alignment vertical="center"/>
    </xf>
    <xf numFmtId="0" fontId="14" fillId="41" borderId="9" xfId="30" applyFont="1" applyFill="1" applyBorder="1" applyAlignment="1">
      <alignment vertical="center"/>
    </xf>
    <xf numFmtId="0" fontId="10" fillId="41" borderId="9" xfId="30" applyFont="1" applyFill="1" applyBorder="1" applyAlignment="1">
      <alignment horizontal="center" vertical="center"/>
    </xf>
    <xf numFmtId="0" fontId="10" fillId="41" borderId="9" xfId="30" applyFont="1" applyFill="1" applyBorder="1" applyAlignment="1">
      <alignment vertical="center"/>
    </xf>
    <xf numFmtId="0" fontId="10" fillId="41" borderId="9" xfId="30" applyFont="1" applyFill="1" applyBorder="1"/>
    <xf numFmtId="0" fontId="10" fillId="41" borderId="9" xfId="30" applyFont="1" applyFill="1" applyBorder="1" applyAlignment="1">
      <alignment horizontal="center" wrapText="1"/>
    </xf>
    <xf numFmtId="0" fontId="10" fillId="41" borderId="10" xfId="30" applyFont="1" applyFill="1" applyBorder="1" applyAlignment="1">
      <alignment horizontal="right"/>
    </xf>
    <xf numFmtId="0" fontId="12" fillId="41" borderId="37" xfId="30" applyFont="1" applyFill="1" applyBorder="1" applyAlignment="1">
      <alignment horizontal="center"/>
    </xf>
    <xf numFmtId="0" fontId="45" fillId="0" borderId="70" xfId="30" applyFont="1" applyFill="1" applyBorder="1" applyAlignment="1" applyProtection="1">
      <alignment horizontal="left"/>
      <protection locked="0"/>
    </xf>
    <xf numFmtId="0" fontId="46" fillId="0" borderId="76" xfId="30" applyFont="1" applyFill="1" applyBorder="1" applyAlignment="1" applyProtection="1">
      <alignment horizontal="center"/>
      <protection locked="0"/>
    </xf>
    <xf numFmtId="0" fontId="46" fillId="0" borderId="76" xfId="30" applyNumberFormat="1" applyFont="1" applyFill="1" applyBorder="1" applyAlignment="1" applyProtection="1">
      <alignment horizontal="center"/>
      <protection locked="0"/>
    </xf>
    <xf numFmtId="0" fontId="46" fillId="0" borderId="76" xfId="30" applyFont="1" applyFill="1" applyBorder="1" applyAlignment="1" applyProtection="1">
      <alignment horizontal="center" shrinkToFit="1"/>
      <protection locked="0"/>
    </xf>
    <xf numFmtId="0" fontId="6" fillId="41" borderId="63" xfId="30" applyFont="1" applyFill="1" applyBorder="1" applyAlignment="1">
      <alignment horizontal="center"/>
    </xf>
    <xf numFmtId="0" fontId="45" fillId="0" borderId="22" xfId="30" applyFont="1" applyFill="1" applyBorder="1" applyAlignment="1" applyProtection="1">
      <alignment horizontal="center"/>
      <protection locked="0"/>
    </xf>
    <xf numFmtId="0" fontId="6" fillId="41" borderId="64" xfId="30" applyFont="1" applyFill="1" applyBorder="1" applyAlignment="1">
      <alignment horizontal="center"/>
    </xf>
    <xf numFmtId="0" fontId="45" fillId="0" borderId="81" xfId="30" applyFont="1" applyFill="1" applyBorder="1" applyAlignment="1" applyProtection="1">
      <alignment horizontal="center"/>
      <protection locked="0"/>
    </xf>
    <xf numFmtId="173" fontId="10" fillId="41" borderId="101" xfId="30" applyNumberFormat="1" applyFont="1" applyFill="1" applyBorder="1"/>
    <xf numFmtId="0" fontId="12" fillId="40" borderId="58" xfId="30" applyFont="1" applyFill="1" applyBorder="1" applyAlignment="1">
      <alignment vertical="center"/>
    </xf>
    <xf numFmtId="0" fontId="12" fillId="40" borderId="14" xfId="30" applyFont="1" applyFill="1" applyBorder="1" applyAlignment="1">
      <alignment vertical="center"/>
    </xf>
    <xf numFmtId="0" fontId="6" fillId="40" borderId="14" xfId="30" applyFill="1" applyBorder="1" applyAlignment="1">
      <alignment horizontal="right" vertical="center"/>
    </xf>
    <xf numFmtId="164" fontId="12" fillId="40" borderId="62" xfId="30" applyNumberFormat="1" applyFont="1" applyFill="1" applyBorder="1" applyAlignment="1">
      <alignment horizontal="center" vertical="center"/>
    </xf>
    <xf numFmtId="0" fontId="6" fillId="40" borderId="38" xfId="30" applyFill="1" applyBorder="1" applyAlignment="1">
      <alignment horizontal="right" vertical="center"/>
    </xf>
    <xf numFmtId="0" fontId="6" fillId="41" borderId="6" xfId="30" applyFill="1" applyBorder="1" applyAlignment="1">
      <alignment vertical="top"/>
    </xf>
    <xf numFmtId="0" fontId="6" fillId="41" borderId="39" xfId="30" applyFill="1" applyBorder="1" applyAlignment="1">
      <alignment horizontal="centerContinuous"/>
    </xf>
    <xf numFmtId="164" fontId="10" fillId="40" borderId="40" xfId="30" applyNumberFormat="1" applyFont="1" applyFill="1" applyBorder="1" applyAlignment="1">
      <alignment horizontal="center"/>
    </xf>
    <xf numFmtId="164" fontId="6" fillId="40" borderId="40" xfId="30" applyNumberFormat="1" applyFont="1" applyFill="1" applyBorder="1"/>
    <xf numFmtId="164" fontId="6" fillId="40" borderId="41" xfId="30" applyNumberFormat="1" applyFont="1" applyFill="1" applyBorder="1"/>
    <xf numFmtId="0" fontId="6" fillId="0" borderId="31" xfId="30" applyBorder="1"/>
    <xf numFmtId="0" fontId="6" fillId="0" borderId="31" xfId="30" applyBorder="1" applyAlignment="1"/>
    <xf numFmtId="2" fontId="6" fillId="0" borderId="31" xfId="30" applyNumberFormat="1" applyBorder="1" applyAlignment="1">
      <alignment horizontal="center"/>
    </xf>
    <xf numFmtId="0" fontId="6" fillId="40" borderId="5" xfId="30" applyFill="1" applyBorder="1" applyAlignment="1"/>
    <xf numFmtId="0" fontId="12" fillId="40" borderId="5" xfId="30" applyFont="1" applyFill="1" applyBorder="1" applyAlignment="1">
      <alignment horizontal="right"/>
    </xf>
    <xf numFmtId="3" fontId="12" fillId="40" borderId="5" xfId="30" applyNumberFormat="1" applyFont="1" applyFill="1" applyBorder="1" applyAlignment="1">
      <alignment horizontal="center" shrinkToFit="1"/>
    </xf>
    <xf numFmtId="0" fontId="14" fillId="41" borderId="8" xfId="30" applyFont="1" applyFill="1" applyBorder="1" applyAlignment="1">
      <alignment horizontal="center" vertical="center" wrapText="1"/>
    </xf>
    <xf numFmtId="0" fontId="45" fillId="0" borderId="76" xfId="30" applyFont="1" applyBorder="1" applyAlignment="1" applyProtection="1">
      <alignment horizontal="center"/>
      <protection locked="0"/>
    </xf>
    <xf numFmtId="3" fontId="45" fillId="0" borderId="76" xfId="30" applyNumberFormat="1" applyFont="1" applyFill="1" applyBorder="1" applyAlignment="1" applyProtection="1">
      <alignment horizontal="center" shrinkToFit="1"/>
      <protection locked="0"/>
    </xf>
    <xf numFmtId="0" fontId="6" fillId="41" borderId="53" xfId="30" applyFill="1" applyBorder="1" applyAlignment="1" applyProtection="1"/>
    <xf numFmtId="3" fontId="47" fillId="0" borderId="76" xfId="30" applyNumberFormat="1" applyFont="1" applyFill="1" applyBorder="1" applyAlignment="1" applyProtection="1">
      <alignment horizontal="center"/>
      <protection locked="0"/>
    </xf>
    <xf numFmtId="0" fontId="6" fillId="41" borderId="54" xfId="30" applyFill="1" applyBorder="1" applyAlignment="1" applyProtection="1"/>
    <xf numFmtId="0" fontId="6" fillId="0" borderId="31" xfId="30" applyFill="1" applyBorder="1"/>
    <xf numFmtId="3" fontId="12" fillId="40" borderId="5" xfId="30" applyNumberFormat="1" applyFont="1" applyFill="1" applyBorder="1"/>
    <xf numFmtId="0" fontId="6" fillId="41" borderId="6" xfId="30" applyFont="1" applyFill="1" applyBorder="1" applyAlignment="1">
      <alignment vertical="center"/>
    </xf>
    <xf numFmtId="0" fontId="6" fillId="41" borderId="0" xfId="30" applyFont="1" applyFill="1" applyBorder="1" applyAlignment="1">
      <alignment vertical="center"/>
    </xf>
    <xf numFmtId="0" fontId="6" fillId="41" borderId="0" xfId="30" applyFont="1" applyFill="1" applyBorder="1" applyAlignment="1">
      <alignment horizontal="center" vertical="center"/>
    </xf>
    <xf numFmtId="0" fontId="6" fillId="41" borderId="0" xfId="30" applyFont="1" applyFill="1" applyBorder="1" applyAlignment="1">
      <alignment horizontal="center" vertical="center" wrapText="1"/>
    </xf>
    <xf numFmtId="0" fontId="6" fillId="41" borderId="16" xfId="30" applyFont="1" applyFill="1" applyBorder="1" applyAlignment="1">
      <alignment horizontal="center" vertical="center" wrapText="1"/>
    </xf>
    <xf numFmtId="0" fontId="6" fillId="41" borderId="59" xfId="30" applyFont="1" applyFill="1" applyBorder="1" applyAlignment="1">
      <alignment vertical="center"/>
    </xf>
    <xf numFmtId="0" fontId="6" fillId="41" borderId="59" xfId="30" applyFont="1" applyFill="1" applyBorder="1" applyAlignment="1">
      <alignment horizontal="center" vertical="center"/>
    </xf>
    <xf numFmtId="164" fontId="10" fillId="41" borderId="60" xfId="30" applyNumberFormat="1" applyFont="1" applyFill="1" applyBorder="1" applyAlignment="1">
      <alignment horizontal="center"/>
    </xf>
    <xf numFmtId="164" fontId="10" fillId="41" borderId="66" xfId="30" applyNumberFormat="1" applyFont="1" applyFill="1" applyBorder="1" applyAlignment="1">
      <alignment horizontal="center"/>
    </xf>
    <xf numFmtId="164" fontId="14" fillId="41" borderId="71" xfId="30" applyNumberFormat="1" applyFont="1" applyFill="1" applyBorder="1" applyAlignment="1">
      <alignment horizontal="center"/>
    </xf>
    <xf numFmtId="164" fontId="6" fillId="41" borderId="0" xfId="30" applyNumberFormat="1" applyFont="1" applyFill="1" applyBorder="1" applyAlignment="1">
      <alignment horizontal="center" vertical="center"/>
    </xf>
    <xf numFmtId="164" fontId="6" fillId="41" borderId="0" xfId="30" applyNumberFormat="1" applyFont="1" applyFill="1" applyBorder="1" applyAlignment="1">
      <alignment horizontal="right" vertical="center"/>
    </xf>
    <xf numFmtId="164" fontId="10" fillId="41" borderId="61" xfId="30" applyNumberFormat="1" applyFont="1" applyFill="1" applyBorder="1" applyAlignment="1">
      <alignment horizontal="center" vertical="center" shrinkToFit="1"/>
    </xf>
    <xf numFmtId="0" fontId="10" fillId="41" borderId="58" xfId="30" applyFont="1" applyFill="1" applyBorder="1" applyAlignment="1">
      <alignment horizontal="center" vertical="center" shrinkToFit="1"/>
    </xf>
    <xf numFmtId="164" fontId="14" fillId="41" borderId="72" xfId="30" applyNumberFormat="1" applyFont="1" applyFill="1" applyBorder="1" applyAlignment="1">
      <alignment horizontal="center" vertical="center" shrinkToFit="1"/>
    </xf>
    <xf numFmtId="164" fontId="6" fillId="41" borderId="43" xfId="30" applyNumberFormat="1" applyFont="1" applyFill="1" applyBorder="1" applyAlignment="1">
      <alignment horizontal="center" shrinkToFit="1"/>
    </xf>
    <xf numFmtId="0" fontId="12" fillId="41" borderId="0" xfId="30" applyFont="1" applyFill="1" applyBorder="1" applyAlignment="1">
      <alignment horizontal="left" vertical="center"/>
    </xf>
    <xf numFmtId="164" fontId="6" fillId="41" borderId="21" xfId="30" applyNumberFormat="1" applyFont="1" applyFill="1" applyBorder="1" applyAlignment="1">
      <alignment horizontal="right" vertical="center"/>
    </xf>
    <xf numFmtId="0" fontId="6" fillId="41" borderId="0" xfId="30" applyFont="1" applyFill="1" applyBorder="1" applyAlignment="1">
      <alignment horizontal="left" vertical="center"/>
    </xf>
    <xf numFmtId="173" fontId="45" fillId="0" borderId="106" xfId="40" applyNumberFormat="1" applyFont="1" applyFill="1" applyBorder="1" applyAlignment="1" applyProtection="1">
      <alignment horizontal="center" wrapText="1"/>
      <protection locked="0"/>
    </xf>
    <xf numFmtId="0" fontId="33" fillId="41" borderId="0" xfId="30" applyFont="1" applyFill="1" applyBorder="1" applyAlignment="1">
      <alignment vertical="center"/>
    </xf>
    <xf numFmtId="173" fontId="45" fillId="0" borderId="24" xfId="40" applyNumberFormat="1" applyFont="1" applyFill="1" applyBorder="1" applyAlignment="1" applyProtection="1">
      <alignment horizontal="center" wrapText="1"/>
      <protection locked="0"/>
    </xf>
    <xf numFmtId="0" fontId="33" fillId="41" borderId="0" xfId="30" applyFont="1" applyFill="1" applyBorder="1" applyAlignment="1">
      <alignment horizontal="center" vertical="center"/>
    </xf>
    <xf numFmtId="164" fontId="6" fillId="41" borderId="61" xfId="30" applyNumberFormat="1" applyFont="1" applyFill="1" applyBorder="1" applyAlignment="1">
      <alignment horizontal="center"/>
    </xf>
    <xf numFmtId="9" fontId="45" fillId="0" borderId="25" xfId="40" applyFont="1" applyFill="1" applyBorder="1" applyAlignment="1" applyProtection="1">
      <alignment horizontal="center" wrapText="1"/>
      <protection locked="0"/>
    </xf>
    <xf numFmtId="172" fontId="6" fillId="41" borderId="25" xfId="30" applyNumberFormat="1" applyFont="1" applyFill="1" applyBorder="1" applyAlignment="1">
      <alignment horizontal="center"/>
    </xf>
    <xf numFmtId="172" fontId="6" fillId="41" borderId="84" xfId="30" applyNumberFormat="1" applyFont="1" applyFill="1" applyBorder="1" applyAlignment="1">
      <alignment horizontal="center"/>
    </xf>
    <xf numFmtId="172" fontId="12" fillId="41" borderId="115" xfId="30" applyNumberFormat="1" applyFont="1" applyFill="1" applyBorder="1" applyAlignment="1">
      <alignment horizontal="center"/>
    </xf>
    <xf numFmtId="172" fontId="6" fillId="41" borderId="36" xfId="30" applyNumberFormat="1" applyFont="1" applyFill="1" applyBorder="1" applyAlignment="1">
      <alignment horizontal="center"/>
    </xf>
    <xf numFmtId="0" fontId="6" fillId="41" borderId="15" xfId="30" applyFont="1" applyFill="1" applyBorder="1" applyAlignment="1">
      <alignment horizontal="center" vertical="center"/>
    </xf>
    <xf numFmtId="2" fontId="6" fillId="41" borderId="15" xfId="30" applyNumberFormat="1" applyFont="1" applyFill="1" applyBorder="1" applyAlignment="1">
      <alignment horizontal="center"/>
    </xf>
    <xf numFmtId="2" fontId="33" fillId="41" borderId="15" xfId="30" applyNumberFormat="1" applyFont="1" applyFill="1" applyBorder="1" applyAlignment="1">
      <alignment horizontal="center"/>
    </xf>
    <xf numFmtId="0" fontId="6" fillId="41" borderId="0" xfId="30" applyFont="1" applyFill="1" applyBorder="1" applyAlignment="1">
      <alignment horizontal="left"/>
    </xf>
    <xf numFmtId="0" fontId="6" fillId="41" borderId="0" xfId="30" applyFont="1" applyFill="1" applyBorder="1" applyAlignment="1"/>
    <xf numFmtId="3" fontId="12" fillId="40" borderId="43" xfId="30" applyNumberFormat="1" applyFont="1" applyFill="1" applyBorder="1" applyAlignment="1">
      <alignment horizontal="center" shrinkToFit="1"/>
    </xf>
    <xf numFmtId="0" fontId="6" fillId="41" borderId="27" xfId="30" quotePrefix="1" applyFont="1" applyFill="1" applyBorder="1" applyAlignment="1">
      <alignment vertical="center"/>
    </xf>
    <xf numFmtId="0" fontId="6" fillId="41" borderId="28" xfId="30" quotePrefix="1" applyFont="1" applyFill="1" applyBorder="1" applyAlignment="1">
      <alignment vertical="center"/>
    </xf>
    <xf numFmtId="0" fontId="6" fillId="41" borderId="42" xfId="30" quotePrefix="1" applyFont="1" applyFill="1" applyBorder="1" applyAlignment="1">
      <alignment vertical="center"/>
    </xf>
    <xf numFmtId="0" fontId="12" fillId="41" borderId="57" xfId="30" quotePrefix="1" applyFont="1" applyFill="1" applyBorder="1" applyAlignment="1"/>
    <xf numFmtId="0" fontId="6" fillId="41" borderId="29" xfId="30" quotePrefix="1" applyFont="1" applyFill="1" applyBorder="1" applyAlignment="1"/>
    <xf numFmtId="0" fontId="12" fillId="41" borderId="29" xfId="30" quotePrefix="1" applyFont="1" applyFill="1" applyBorder="1" applyAlignment="1" applyProtection="1"/>
    <xf numFmtId="0" fontId="6" fillId="41" borderId="29" xfId="30" quotePrefix="1" applyFont="1" applyFill="1" applyBorder="1" applyAlignment="1" applyProtection="1"/>
    <xf numFmtId="0" fontId="28" fillId="41" borderId="29" xfId="30" applyFont="1" applyFill="1" applyBorder="1" applyAlignment="1" applyProtection="1">
      <alignment horizontal="center"/>
    </xf>
    <xf numFmtId="0" fontId="6" fillId="41" borderId="30" xfId="30" quotePrefix="1" applyFont="1" applyFill="1" applyBorder="1" applyAlignment="1" applyProtection="1">
      <alignment vertical="center"/>
    </xf>
    <xf numFmtId="0" fontId="6" fillId="41" borderId="6" xfId="30" quotePrefix="1" applyFont="1" applyFill="1" applyBorder="1" applyAlignment="1">
      <alignment horizontal="left" indent="1"/>
    </xf>
    <xf numFmtId="0" fontId="6" fillId="41" borderId="0" xfId="30" quotePrefix="1" applyFont="1" applyFill="1" applyBorder="1" applyAlignment="1"/>
    <xf numFmtId="0" fontId="6" fillId="41" borderId="0" xfId="30" quotePrefix="1" applyFont="1" applyFill="1" applyBorder="1" applyAlignment="1" applyProtection="1"/>
    <xf numFmtId="0" fontId="6" fillId="41" borderId="16" xfId="30" quotePrefix="1" applyFont="1" applyFill="1" applyBorder="1" applyAlignment="1" applyProtection="1">
      <alignment vertical="center"/>
    </xf>
    <xf numFmtId="0" fontId="6" fillId="33" borderId="66" xfId="30" applyFont="1" applyFill="1" applyBorder="1" applyAlignment="1" applyProtection="1">
      <alignment horizontal="left" indent="1"/>
    </xf>
    <xf numFmtId="0" fontId="6" fillId="33" borderId="15" xfId="30" applyFill="1" applyBorder="1" applyProtection="1"/>
    <xf numFmtId="164" fontId="6" fillId="33" borderId="60" xfId="30" applyNumberFormat="1" applyFill="1" applyBorder="1" applyAlignment="1" applyProtection="1">
      <alignment horizontal="center"/>
    </xf>
    <xf numFmtId="173" fontId="10" fillId="33" borderId="60" xfId="30" applyNumberFormat="1" applyFont="1" applyFill="1" applyBorder="1" applyAlignment="1" applyProtection="1"/>
    <xf numFmtId="0" fontId="6" fillId="33" borderId="59" xfId="30" applyFont="1" applyFill="1" applyBorder="1" applyAlignment="1" applyProtection="1">
      <alignment horizontal="left" indent="1"/>
    </xf>
    <xf numFmtId="0" fontId="6" fillId="33" borderId="0" xfId="30" applyFill="1" applyBorder="1" applyProtection="1"/>
    <xf numFmtId="164" fontId="6" fillId="33" borderId="89" xfId="30" applyNumberFormat="1" applyFill="1" applyBorder="1" applyAlignment="1" applyProtection="1">
      <alignment horizontal="center"/>
    </xf>
    <xf numFmtId="173" fontId="10" fillId="33" borderId="89" xfId="30" applyNumberFormat="1" applyFont="1" applyFill="1" applyBorder="1" applyAlignment="1" applyProtection="1"/>
    <xf numFmtId="0" fontId="6" fillId="29" borderId="66" xfId="30" applyFont="1" applyFill="1" applyBorder="1" applyAlignment="1" applyProtection="1">
      <alignment horizontal="left" indent="1"/>
    </xf>
    <xf numFmtId="0" fontId="6" fillId="29" borderId="15" xfId="30" applyFont="1" applyFill="1" applyBorder="1" applyProtection="1"/>
    <xf numFmtId="164" fontId="6" fillId="29" borderId="60" xfId="30" applyNumberFormat="1" applyFont="1" applyFill="1" applyBorder="1" applyAlignment="1" applyProtection="1">
      <alignment horizontal="center"/>
    </xf>
    <xf numFmtId="173" fontId="10" fillId="29" borderId="60" xfId="30" applyNumberFormat="1" applyFont="1" applyFill="1" applyBorder="1" applyAlignment="1" applyProtection="1"/>
    <xf numFmtId="0" fontId="6" fillId="29" borderId="59" xfId="30" applyFont="1" applyFill="1" applyBorder="1" applyAlignment="1" applyProtection="1">
      <alignment horizontal="left" indent="1"/>
    </xf>
    <xf numFmtId="0" fontId="6" fillId="29" borderId="0" xfId="30" applyFont="1" applyFill="1" applyBorder="1" applyProtection="1"/>
    <xf numFmtId="164" fontId="6" fillId="29" borderId="89" xfId="30" applyNumberFormat="1" applyFont="1" applyFill="1" applyBorder="1" applyAlignment="1" applyProtection="1">
      <alignment horizontal="center"/>
    </xf>
    <xf numFmtId="173" fontId="10" fillId="29" borderId="89" xfId="30" applyNumberFormat="1" applyFont="1" applyFill="1" applyBorder="1" applyAlignment="1" applyProtection="1"/>
    <xf numFmtId="0" fontId="12" fillId="28" borderId="59" xfId="30" applyFont="1" applyFill="1" applyBorder="1" applyAlignment="1" applyProtection="1">
      <alignment horizontal="left"/>
    </xf>
    <xf numFmtId="0" fontId="6" fillId="28" borderId="0" xfId="30" applyFont="1" applyFill="1" applyBorder="1" applyProtection="1"/>
    <xf numFmtId="164" fontId="12" fillId="28" borderId="89" xfId="30" applyNumberFormat="1" applyFont="1" applyFill="1" applyBorder="1" applyAlignment="1" applyProtection="1">
      <alignment horizontal="center"/>
    </xf>
    <xf numFmtId="173" fontId="14" fillId="28" borderId="89" xfId="30" applyNumberFormat="1" applyFont="1" applyFill="1" applyBorder="1" applyAlignment="1" applyProtection="1"/>
    <xf numFmtId="0" fontId="12" fillId="41" borderId="6" xfId="30" quotePrefix="1" applyFont="1" applyFill="1" applyBorder="1" applyAlignment="1"/>
    <xf numFmtId="9" fontId="10" fillId="41" borderId="0" xfId="40" quotePrefix="1" applyNumberFormat="1" applyFont="1" applyFill="1" applyBorder="1" applyAlignment="1" applyProtection="1">
      <alignment horizontal="right" vertical="center"/>
    </xf>
    <xf numFmtId="0" fontId="10" fillId="41" borderId="0" xfId="30" quotePrefix="1" applyFont="1" applyFill="1" applyBorder="1" applyAlignment="1" applyProtection="1">
      <alignment vertical="center"/>
    </xf>
    <xf numFmtId="0" fontId="6" fillId="19" borderId="59" xfId="30" quotePrefix="1" applyFont="1" applyFill="1" applyBorder="1" applyAlignment="1" applyProtection="1">
      <alignment horizontal="left" indent="1"/>
    </xf>
    <xf numFmtId="0" fontId="6" fillId="19" borderId="0" xfId="30" quotePrefix="1" applyFont="1" applyFill="1" applyBorder="1" applyAlignment="1" applyProtection="1"/>
    <xf numFmtId="164" fontId="6" fillId="19" borderId="60" xfId="30" quotePrefix="1" applyNumberFormat="1" applyFont="1" applyFill="1" applyBorder="1" applyAlignment="1" applyProtection="1">
      <alignment horizontal="center"/>
    </xf>
    <xf numFmtId="0" fontId="6" fillId="41" borderId="59" xfId="30" quotePrefix="1" applyFont="1" applyFill="1" applyBorder="1" applyAlignment="1" applyProtection="1"/>
    <xf numFmtId="164" fontId="6" fillId="19" borderId="89" xfId="30" quotePrefix="1" applyNumberFormat="1" applyFont="1" applyFill="1" applyBorder="1" applyAlignment="1" applyProtection="1">
      <alignment horizontal="center"/>
    </xf>
    <xf numFmtId="164" fontId="12" fillId="40" borderId="43" xfId="30" applyNumberFormat="1" applyFont="1" applyFill="1" applyBorder="1" applyAlignment="1" applyProtection="1">
      <alignment horizontal="center"/>
    </xf>
    <xf numFmtId="0" fontId="6" fillId="41" borderId="0" xfId="30" quotePrefix="1" applyFont="1" applyFill="1" applyBorder="1" applyAlignment="1" applyProtection="1">
      <alignment horizontal="right"/>
    </xf>
    <xf numFmtId="0" fontId="6" fillId="41" borderId="16" xfId="30" quotePrefix="1" applyFont="1" applyFill="1" applyBorder="1" applyAlignment="1" applyProtection="1">
      <alignment horizontal="right" vertical="center"/>
    </xf>
    <xf numFmtId="0" fontId="6" fillId="41" borderId="28" xfId="30" quotePrefix="1" applyFont="1" applyFill="1" applyBorder="1" applyAlignment="1" applyProtection="1">
      <alignment vertical="center"/>
    </xf>
    <xf numFmtId="0" fontId="17" fillId="41" borderId="28" xfId="30" quotePrefix="1" applyFont="1" applyFill="1" applyBorder="1" applyAlignment="1" applyProtection="1">
      <alignment horizontal="right" vertical="center"/>
    </xf>
    <xf numFmtId="0" fontId="6" fillId="41" borderId="28" xfId="30" quotePrefix="1" applyFont="1" applyFill="1" applyBorder="1" applyAlignment="1" applyProtection="1">
      <alignment horizontal="right" vertical="center"/>
    </xf>
    <xf numFmtId="0" fontId="6" fillId="41" borderId="42" xfId="30" quotePrefix="1" applyFont="1" applyFill="1" applyBorder="1" applyAlignment="1" applyProtection="1">
      <alignment horizontal="right" vertical="center"/>
    </xf>
    <xf numFmtId="0" fontId="10" fillId="41" borderId="43" xfId="30" applyFont="1" applyFill="1" applyBorder="1" applyAlignment="1">
      <alignment horizontal="center" vertical="center" wrapText="1"/>
    </xf>
    <xf numFmtId="0" fontId="10" fillId="41" borderId="49" xfId="30" applyFont="1" applyFill="1" applyBorder="1" applyAlignment="1">
      <alignment horizontal="center" vertical="center" wrapText="1"/>
    </xf>
    <xf numFmtId="0" fontId="6" fillId="0" borderId="43" xfId="30" applyBorder="1" applyProtection="1">
      <protection locked="0"/>
    </xf>
    <xf numFmtId="3" fontId="6" fillId="41" borderId="21" xfId="30" applyNumberFormat="1" applyFill="1" applyBorder="1" applyAlignment="1" applyProtection="1">
      <alignment horizontal="center" shrinkToFit="1"/>
    </xf>
    <xf numFmtId="0" fontId="45" fillId="0" borderId="21" xfId="30" applyFont="1" applyBorder="1" applyAlignment="1" applyProtection="1">
      <alignment horizontal="center"/>
      <protection locked="0"/>
    </xf>
    <xf numFmtId="167" fontId="6" fillId="41" borderId="35" xfId="30" applyNumberFormat="1" applyFill="1" applyBorder="1" applyAlignment="1" applyProtection="1">
      <alignment horizontal="center"/>
    </xf>
    <xf numFmtId="3" fontId="6" fillId="41" borderId="25" xfId="30" applyNumberFormat="1" applyFill="1" applyBorder="1" applyAlignment="1" applyProtection="1">
      <alignment horizontal="center"/>
    </xf>
    <xf numFmtId="167" fontId="6" fillId="41" borderId="21" xfId="30" applyNumberFormat="1" applyFill="1" applyBorder="1" applyAlignment="1" applyProtection="1">
      <alignment horizontal="center"/>
    </xf>
    <xf numFmtId="0" fontId="45" fillId="0" borderId="18" xfId="30" applyFont="1" applyFill="1" applyBorder="1" applyAlignment="1" applyProtection="1">
      <alignment horizontal="center"/>
      <protection locked="0"/>
    </xf>
    <xf numFmtId="3" fontId="6" fillId="41" borderId="25" xfId="30" applyNumberFormat="1" applyFill="1" applyBorder="1" applyAlignment="1" applyProtection="1">
      <alignment horizontal="center" shrinkToFit="1"/>
    </xf>
    <xf numFmtId="0" fontId="45" fillId="0" borderId="25" xfId="30" applyFont="1" applyBorder="1" applyAlignment="1" applyProtection="1">
      <alignment horizontal="center"/>
      <protection locked="0"/>
    </xf>
    <xf numFmtId="167" fontId="6" fillId="41" borderId="36" xfId="30" applyNumberFormat="1" applyFill="1" applyBorder="1" applyAlignment="1" applyProtection="1">
      <alignment horizontal="center"/>
    </xf>
    <xf numFmtId="167" fontId="6" fillId="41" borderId="25" xfId="30" applyNumberFormat="1" applyFill="1" applyBorder="1" applyAlignment="1" applyProtection="1">
      <alignment horizontal="center"/>
    </xf>
    <xf numFmtId="0" fontId="10" fillId="41" borderId="69" xfId="30" applyFont="1" applyFill="1" applyBorder="1" applyAlignment="1">
      <alignment horizontal="center" vertical="center" wrapText="1"/>
    </xf>
    <xf numFmtId="0" fontId="10" fillId="41" borderId="73" xfId="30" applyFont="1" applyFill="1" applyBorder="1" applyAlignment="1">
      <alignment horizontal="center" vertical="center" wrapText="1"/>
    </xf>
    <xf numFmtId="0" fontId="10" fillId="21" borderId="9" xfId="30" applyFont="1" applyFill="1" applyBorder="1" applyAlignment="1">
      <alignment horizontal="center" vertical="center" wrapText="1"/>
    </xf>
    <xf numFmtId="0" fontId="10" fillId="21" borderId="92" xfId="30" applyFont="1" applyFill="1" applyBorder="1" applyAlignment="1">
      <alignment horizontal="center" vertical="center" wrapText="1"/>
    </xf>
    <xf numFmtId="0" fontId="6" fillId="0" borderId="89" xfId="30" applyBorder="1" applyAlignment="1"/>
    <xf numFmtId="0" fontId="10" fillId="41" borderId="18" xfId="30" applyFont="1" applyFill="1" applyBorder="1" applyAlignment="1">
      <alignment horizontal="center" vertical="center"/>
    </xf>
    <xf numFmtId="0" fontId="45" fillId="0" borderId="85" xfId="30" applyFont="1" applyFill="1" applyBorder="1" applyAlignment="1" applyProtection="1">
      <alignment horizontal="center"/>
      <protection locked="0"/>
    </xf>
    <xf numFmtId="0" fontId="6" fillId="0" borderId="89" xfId="30" applyBorder="1"/>
    <xf numFmtId="9" fontId="6" fillId="41" borderId="48" xfId="40" applyFill="1" applyBorder="1" applyAlignment="1" applyProtection="1">
      <alignment horizontal="center" shrinkToFit="1"/>
    </xf>
    <xf numFmtId="3" fontId="6" fillId="41" borderId="23" xfId="30" applyNumberFormat="1" applyFill="1" applyBorder="1" applyAlignment="1" applyProtection="1">
      <alignment horizontal="center" shrinkToFit="1"/>
    </xf>
    <xf numFmtId="9" fontId="6" fillId="41" borderId="83" xfId="40" applyFill="1" applyBorder="1" applyAlignment="1" applyProtection="1">
      <alignment horizontal="center" shrinkToFit="1"/>
    </xf>
    <xf numFmtId="1" fontId="6" fillId="41" borderId="48" xfId="40" applyNumberFormat="1" applyFill="1" applyBorder="1" applyAlignment="1" applyProtection="1">
      <alignment horizontal="center" shrinkToFit="1"/>
    </xf>
    <xf numFmtId="3" fontId="6" fillId="21" borderId="48" xfId="30" applyNumberFormat="1" applyFill="1" applyBorder="1" applyAlignment="1" applyProtection="1">
      <alignment horizontal="center" shrinkToFit="1"/>
    </xf>
    <xf numFmtId="0" fontId="6" fillId="41" borderId="70" xfId="30" applyFill="1" applyBorder="1" applyAlignment="1" applyProtection="1">
      <alignment horizontal="center"/>
    </xf>
    <xf numFmtId="4" fontId="6" fillId="41" borderId="22" xfId="30" applyNumberFormat="1" applyFill="1" applyBorder="1" applyAlignment="1" applyProtection="1">
      <alignment horizontal="center"/>
    </xf>
    <xf numFmtId="3" fontId="6" fillId="41" borderId="23" xfId="30" applyNumberFormat="1" applyFill="1" applyBorder="1" applyAlignment="1" applyProtection="1">
      <alignment horizontal="center"/>
    </xf>
    <xf numFmtId="4" fontId="6" fillId="41" borderId="24" xfId="30" applyNumberFormat="1" applyFill="1" applyBorder="1" applyAlignment="1" applyProtection="1">
      <alignment horizontal="center"/>
    </xf>
    <xf numFmtId="0" fontId="45" fillId="0" borderId="70" xfId="30" applyFont="1" applyFill="1" applyBorder="1" applyAlignment="1" applyProtection="1">
      <alignment horizontal="center"/>
      <protection locked="0"/>
    </xf>
    <xf numFmtId="4" fontId="6" fillId="41" borderId="106" xfId="30" applyNumberFormat="1" applyFill="1" applyBorder="1" applyAlignment="1" applyProtection="1">
      <alignment horizontal="center"/>
    </xf>
    <xf numFmtId="175" fontId="45" fillId="0" borderId="20" xfId="40" applyNumberFormat="1" applyFont="1" applyFill="1" applyBorder="1" applyAlignment="1" applyProtection="1">
      <protection locked="0"/>
    </xf>
    <xf numFmtId="0" fontId="45" fillId="0" borderId="23" xfId="40" applyNumberFormat="1" applyFont="1" applyFill="1" applyBorder="1" applyAlignment="1" applyProtection="1">
      <protection locked="0"/>
    </xf>
    <xf numFmtId="175" fontId="45" fillId="0" borderId="118" xfId="0" applyNumberFormat="1" applyFont="1" applyFill="1" applyBorder="1" applyAlignment="1" applyProtection="1">
      <protection locked="0"/>
    </xf>
    <xf numFmtId="0" fontId="45" fillId="0" borderId="74" xfId="30" applyFont="1" applyFill="1" applyBorder="1" applyAlignment="1" applyProtection="1">
      <alignment horizontal="center"/>
      <protection locked="0"/>
    </xf>
    <xf numFmtId="0" fontId="10" fillId="41" borderId="12" xfId="30" applyFont="1" applyFill="1" applyBorder="1" applyAlignment="1" applyProtection="1">
      <alignment horizontal="center" vertical="center" wrapText="1"/>
      <protection locked="0"/>
    </xf>
    <xf numFmtId="2" fontId="45" fillId="0" borderId="86" xfId="30" applyNumberFormat="1" applyFont="1" applyFill="1" applyBorder="1" applyAlignment="1" applyProtection="1">
      <alignment horizontal="center"/>
      <protection locked="0"/>
    </xf>
    <xf numFmtId="0" fontId="69" fillId="0" borderId="0" xfId="0" applyFont="1"/>
    <xf numFmtId="172" fontId="12" fillId="40" borderId="107" xfId="30" applyNumberFormat="1" applyFont="1" applyFill="1" applyBorder="1" applyAlignment="1">
      <alignment horizontal="center"/>
    </xf>
    <xf numFmtId="172" fontId="12" fillId="40" borderId="73" xfId="30" applyNumberFormat="1" applyFont="1" applyFill="1" applyBorder="1" applyAlignment="1">
      <alignment horizontal="center"/>
    </xf>
    <xf numFmtId="172" fontId="12" fillId="40" borderId="73" xfId="30" applyNumberFormat="1" applyFont="1" applyFill="1" applyBorder="1" applyAlignment="1" applyProtection="1">
      <alignment horizontal="center"/>
    </xf>
    <xf numFmtId="172" fontId="12" fillId="40" borderId="69" xfId="30" applyNumberFormat="1" applyFont="1" applyFill="1" applyBorder="1" applyAlignment="1">
      <alignment horizontal="center"/>
    </xf>
    <xf numFmtId="172" fontId="12" fillId="41" borderId="69" xfId="30" applyNumberFormat="1" applyFont="1" applyFill="1" applyBorder="1" applyAlignment="1" applyProtection="1">
      <alignment horizontal="center"/>
    </xf>
    <xf numFmtId="172" fontId="6" fillId="0" borderId="9" xfId="30" applyNumberFormat="1" applyFill="1" applyBorder="1" applyAlignment="1">
      <alignment horizontal="center"/>
    </xf>
    <xf numFmtId="172" fontId="12" fillId="40" borderId="108" xfId="30" applyNumberFormat="1" applyFont="1" applyFill="1" applyBorder="1" applyAlignment="1">
      <alignment horizontal="center"/>
    </xf>
    <xf numFmtId="172" fontId="6" fillId="0" borderId="0" xfId="30" applyNumberFormat="1" applyFill="1" applyBorder="1" applyAlignment="1">
      <alignment horizontal="center"/>
    </xf>
    <xf numFmtId="172" fontId="12" fillId="40" borderId="109" xfId="30" applyNumberFormat="1" applyFont="1" applyFill="1" applyBorder="1" applyAlignment="1">
      <alignment horizontal="center"/>
    </xf>
    <xf numFmtId="172" fontId="12" fillId="41" borderId="76" xfId="30" applyNumberFormat="1" applyFont="1" applyFill="1" applyBorder="1" applyAlignment="1">
      <alignment horizontal="center"/>
    </xf>
    <xf numFmtId="172" fontId="12" fillId="41" borderId="80" xfId="30" applyNumberFormat="1" applyFont="1" applyFill="1" applyBorder="1" applyAlignment="1">
      <alignment horizontal="center"/>
    </xf>
    <xf numFmtId="172" fontId="12" fillId="40" borderId="22" xfId="30" applyNumberFormat="1" applyFont="1" applyFill="1" applyBorder="1" applyAlignment="1">
      <alignment horizontal="center"/>
    </xf>
    <xf numFmtId="172" fontId="6" fillId="40" borderId="22" xfId="30" applyNumberFormat="1" applyFont="1" applyFill="1" applyBorder="1" applyAlignment="1">
      <alignment horizontal="center"/>
    </xf>
    <xf numFmtId="172" fontId="6" fillId="40" borderId="81" xfId="30" applyNumberFormat="1" applyFont="1" applyFill="1" applyBorder="1" applyAlignment="1">
      <alignment horizontal="center"/>
    </xf>
    <xf numFmtId="172" fontId="6" fillId="41" borderId="89" xfId="30" applyNumberFormat="1" applyFont="1" applyFill="1" applyBorder="1" applyAlignment="1">
      <alignment horizontal="center" vertical="center"/>
    </xf>
    <xf numFmtId="172" fontId="46" fillId="0" borderId="21" xfId="30" applyNumberFormat="1" applyFont="1" applyBorder="1" applyAlignment="1" applyProtection="1">
      <alignment horizontal="center"/>
      <protection locked="0"/>
    </xf>
    <xf numFmtId="172" fontId="6" fillId="41" borderId="106" xfId="30" applyNumberFormat="1" applyFont="1" applyFill="1" applyBorder="1" applyAlignment="1">
      <alignment horizontal="center"/>
    </xf>
    <xf numFmtId="172" fontId="6" fillId="41" borderId="24" xfId="30" applyNumberFormat="1" applyFont="1" applyFill="1" applyBorder="1" applyAlignment="1">
      <alignment horizontal="center"/>
    </xf>
    <xf numFmtId="172" fontId="6" fillId="41" borderId="59" xfId="30" applyNumberFormat="1" applyFont="1" applyFill="1" applyBorder="1" applyAlignment="1">
      <alignment horizontal="center" vertical="center"/>
    </xf>
    <xf numFmtId="172" fontId="46" fillId="0" borderId="93" xfId="30" applyNumberFormat="1" applyFont="1" applyBorder="1" applyAlignment="1" applyProtection="1">
      <alignment horizontal="center"/>
      <protection locked="0"/>
    </xf>
    <xf numFmtId="172" fontId="6" fillId="41" borderId="85" xfId="30" applyNumberFormat="1" applyFont="1" applyFill="1" applyBorder="1" applyAlignment="1">
      <alignment horizontal="center"/>
    </xf>
    <xf numFmtId="172" fontId="12" fillId="41" borderId="112" xfId="30" applyNumberFormat="1" applyFont="1" applyFill="1" applyBorder="1" applyAlignment="1">
      <alignment horizontal="center"/>
    </xf>
    <xf numFmtId="172" fontId="6" fillId="41" borderId="113" xfId="30" applyNumberFormat="1" applyFont="1" applyFill="1" applyBorder="1" applyAlignment="1">
      <alignment horizontal="center"/>
    </xf>
    <xf numFmtId="172" fontId="6" fillId="41" borderId="83" xfId="30" applyNumberFormat="1" applyFont="1" applyFill="1" applyBorder="1" applyAlignment="1">
      <alignment horizontal="center"/>
    </xf>
    <xf numFmtId="172" fontId="12" fillId="41" borderId="114" xfId="30" applyNumberFormat="1" applyFont="1" applyFill="1" applyBorder="1" applyAlignment="1">
      <alignment horizontal="center"/>
    </xf>
    <xf numFmtId="172" fontId="6" fillId="41" borderId="35" xfId="30" applyNumberFormat="1" applyFont="1" applyFill="1" applyBorder="1" applyAlignment="1">
      <alignment horizontal="center"/>
    </xf>
    <xf numFmtId="172" fontId="46" fillId="0" borderId="111" xfId="30" applyNumberFormat="1" applyFont="1" applyBorder="1" applyAlignment="1" applyProtection="1">
      <alignment horizontal="center"/>
      <protection locked="0"/>
    </xf>
    <xf numFmtId="172" fontId="12" fillId="41" borderId="110" xfId="30" applyNumberFormat="1" applyFont="1" applyFill="1" applyBorder="1" applyAlignment="1">
      <alignment horizontal="center" vertical="center"/>
    </xf>
    <xf numFmtId="0" fontId="45" fillId="0" borderId="82" xfId="30" applyFont="1" applyFill="1" applyBorder="1" applyAlignment="1" applyProtection="1">
      <alignment horizontal="left"/>
      <protection locked="0"/>
    </xf>
    <xf numFmtId="0" fontId="45" fillId="0" borderId="74" xfId="30" applyFont="1" applyFill="1" applyBorder="1" applyAlignment="1" applyProtection="1">
      <protection locked="0"/>
    </xf>
    <xf numFmtId="0" fontId="10" fillId="41" borderId="9" xfId="30" applyFont="1" applyFill="1" applyBorder="1" applyAlignment="1">
      <alignment vertical="center" wrapText="1"/>
    </xf>
    <xf numFmtId="0" fontId="10" fillId="41" borderId="9" xfId="30" applyFont="1" applyFill="1" applyBorder="1" applyAlignment="1">
      <alignment horizontal="center" vertical="center" wrapText="1"/>
    </xf>
    <xf numFmtId="0" fontId="45" fillId="0" borderId="23" xfId="30" applyFont="1" applyFill="1" applyBorder="1" applyAlignment="1" applyProtection="1">
      <protection locked="0"/>
    </xf>
    <xf numFmtId="0" fontId="6" fillId="40" borderId="5" xfId="30" applyFill="1" applyBorder="1" applyAlignment="1"/>
    <xf numFmtId="0" fontId="45" fillId="0" borderId="74" xfId="30" applyFont="1" applyFill="1" applyBorder="1" applyAlignment="1" applyProtection="1">
      <alignment horizontal="center"/>
      <protection locked="0"/>
    </xf>
    <xf numFmtId="0" fontId="45" fillId="0" borderId="75" xfId="30" applyFont="1" applyBorder="1" applyAlignment="1" applyProtection="1">
      <protection locked="0"/>
    </xf>
    <xf numFmtId="0" fontId="10" fillId="41" borderId="9" xfId="30" applyFont="1" applyFill="1" applyBorder="1" applyAlignment="1">
      <alignment horizontal="center" vertical="center"/>
    </xf>
    <xf numFmtId="0" fontId="45" fillId="0" borderId="80" xfId="30" applyFont="1" applyFill="1" applyBorder="1" applyAlignment="1" applyProtection="1">
      <alignment horizontal="center"/>
      <protection locked="0"/>
    </xf>
    <xf numFmtId="164" fontId="12" fillId="38" borderId="96" xfId="35" applyNumberFormat="1" applyFont="1" applyFill="1" applyBorder="1" applyAlignment="1">
      <alignment horizontal="right"/>
    </xf>
    <xf numFmtId="11" fontId="28" fillId="38" borderId="104" xfId="41" applyNumberFormat="1" applyFont="1" applyFill="1" applyBorder="1" applyAlignment="1"/>
    <xf numFmtId="0" fontId="9" fillId="0" borderId="142" xfId="29" applyFont="1" applyFill="1" applyBorder="1" applyAlignment="1">
      <alignment horizontal="center" vertical="center" wrapText="1"/>
    </xf>
    <xf numFmtId="0" fontId="9" fillId="0" borderId="5" xfId="29" applyFont="1" applyFill="1" applyBorder="1" applyAlignment="1">
      <alignment horizontal="center" vertical="center" wrapText="1"/>
    </xf>
    <xf numFmtId="0" fontId="9" fillId="0" borderId="45" xfId="29" applyFont="1" applyFill="1" applyBorder="1" applyAlignment="1">
      <alignment horizontal="center" vertical="center" wrapText="1"/>
    </xf>
    <xf numFmtId="0" fontId="45" fillId="26" borderId="93" xfId="30" applyFont="1" applyFill="1" applyBorder="1" applyAlignment="1" applyProtection="1">
      <alignment horizontal="left" shrinkToFit="1"/>
    </xf>
    <xf numFmtId="0" fontId="45" fillId="26" borderId="102" xfId="30" applyFont="1" applyFill="1" applyBorder="1" applyAlignment="1" applyProtection="1">
      <alignment horizontal="left" shrinkToFit="1"/>
    </xf>
    <xf numFmtId="0" fontId="45" fillId="26" borderId="102" xfId="0" applyFont="1" applyFill="1" applyBorder="1" applyAlignment="1" applyProtection="1">
      <alignment horizontal="left" shrinkToFit="1"/>
    </xf>
    <xf numFmtId="0" fontId="45" fillId="26" borderId="103" xfId="0" applyFont="1" applyFill="1" applyBorder="1" applyAlignment="1" applyProtection="1">
      <alignment horizontal="left" shrinkToFit="1"/>
    </xf>
    <xf numFmtId="165" fontId="45" fillId="26" borderId="83" xfId="30" applyNumberFormat="1" applyFont="1" applyFill="1" applyBorder="1" applyAlignment="1" applyProtection="1">
      <alignment horizontal="center" shrinkToFit="1"/>
    </xf>
    <xf numFmtId="165" fontId="45" fillId="26" borderId="77" xfId="30" applyNumberFormat="1" applyFont="1" applyFill="1" applyBorder="1" applyAlignment="1" applyProtection="1">
      <alignment horizontal="center" shrinkToFit="1"/>
    </xf>
    <xf numFmtId="165" fontId="45" fillId="26" borderId="35" xfId="30" applyNumberFormat="1" applyFont="1" applyFill="1" applyBorder="1" applyAlignment="1" applyProtection="1">
      <alignment horizontal="center" shrinkToFit="1"/>
    </xf>
    <xf numFmtId="14" fontId="45" fillId="26" borderId="70" xfId="30" applyNumberFormat="1" applyFont="1" applyFill="1" applyBorder="1" applyAlignment="1" applyProtection="1">
      <alignment horizontal="center"/>
    </xf>
    <xf numFmtId="14" fontId="45" fillId="26" borderId="48" xfId="30" applyNumberFormat="1" applyFont="1" applyFill="1" applyBorder="1" applyAlignment="1" applyProtection="1">
      <alignment horizontal="center"/>
    </xf>
    <xf numFmtId="0" fontId="56" fillId="0" borderId="93" xfId="30" applyFont="1" applyFill="1" applyBorder="1" applyAlignment="1" applyProtection="1">
      <alignment horizontal="center" vertical="center" shrinkToFit="1"/>
      <protection locked="0"/>
    </xf>
    <xf numFmtId="0" fontId="0" fillId="0" borderId="102" xfId="0" applyBorder="1" applyAlignment="1" applyProtection="1">
      <alignment horizontal="center" vertical="center" shrinkToFit="1"/>
      <protection locked="0"/>
    </xf>
    <xf numFmtId="0" fontId="0" fillId="0" borderId="140" xfId="0" applyBorder="1" applyAlignment="1" applyProtection="1">
      <alignment horizontal="center" vertical="center" shrinkToFit="1"/>
      <protection locked="0"/>
    </xf>
    <xf numFmtId="0" fontId="45" fillId="26" borderId="84" xfId="30" applyFont="1" applyFill="1" applyBorder="1" applyAlignment="1" applyProtection="1">
      <alignment horizontal="center" shrinkToFit="1"/>
    </xf>
    <xf numFmtId="0" fontId="45" fillId="26" borderId="136" xfId="0" applyFont="1" applyFill="1" applyBorder="1" applyAlignment="1" applyProtection="1">
      <alignment horizontal="center" shrinkToFit="1"/>
    </xf>
    <xf numFmtId="0" fontId="45" fillId="0" borderId="80" xfId="30" applyFont="1" applyFill="1" applyBorder="1" applyAlignment="1" applyProtection="1">
      <alignment horizontal="center"/>
      <protection locked="0"/>
    </xf>
    <xf numFmtId="0" fontId="45" fillId="0" borderId="141" xfId="0" applyFont="1" applyFill="1" applyBorder="1" applyAlignment="1" applyProtection="1">
      <protection locked="0"/>
    </xf>
    <xf numFmtId="0" fontId="45" fillId="26" borderId="48" xfId="30" applyNumberFormat="1" applyFont="1" applyFill="1" applyBorder="1" applyAlignment="1" applyProtection="1">
      <alignment horizontal="center"/>
    </xf>
    <xf numFmtId="0" fontId="56" fillId="26" borderId="83" xfId="30" applyFont="1" applyFill="1" applyBorder="1" applyAlignment="1" applyProtection="1">
      <alignment horizontal="center" vertical="center" shrinkToFit="1"/>
    </xf>
    <xf numFmtId="0" fontId="56" fillId="26" borderId="77" xfId="30" applyFont="1" applyFill="1" applyBorder="1" applyAlignment="1" applyProtection="1">
      <alignment horizontal="center" vertical="center" shrinkToFit="1"/>
    </xf>
    <xf numFmtId="0" fontId="56" fillId="26" borderId="137" xfId="30" applyFont="1" applyFill="1" applyBorder="1" applyAlignment="1" applyProtection="1">
      <alignment horizontal="center" vertical="center" shrinkToFit="1"/>
    </xf>
    <xf numFmtId="0" fontId="45" fillId="26" borderId="84" xfId="30" applyFont="1" applyFill="1" applyBorder="1" applyAlignment="1" applyProtection="1">
      <alignment horizontal="left" shrinkToFit="1"/>
    </xf>
    <xf numFmtId="0" fontId="45" fillId="26" borderId="136" xfId="0" applyFont="1" applyFill="1" applyBorder="1" applyAlignment="1" applyProtection="1">
      <alignment horizontal="left" shrinkToFit="1"/>
    </xf>
    <xf numFmtId="164" fontId="65" fillId="0" borderId="56" xfId="29" applyNumberFormat="1" applyFont="1" applyFill="1" applyBorder="1" applyAlignment="1" applyProtection="1">
      <alignment horizontal="center" vertical="center" wrapText="1"/>
    </xf>
    <xf numFmtId="0" fontId="65" fillId="0" borderId="29" xfId="0" applyFont="1" applyFill="1" applyBorder="1" applyAlignment="1" applyProtection="1"/>
    <xf numFmtId="0" fontId="65" fillId="0" borderId="30" xfId="0" applyFont="1" applyFill="1" applyBorder="1" applyAlignment="1" applyProtection="1"/>
    <xf numFmtId="0" fontId="65" fillId="0" borderId="59" xfId="0" applyFont="1" applyFill="1" applyBorder="1" applyAlignment="1" applyProtection="1"/>
    <xf numFmtId="0" fontId="65" fillId="0" borderId="0" xfId="0" applyFont="1" applyFill="1" applyAlignment="1" applyProtection="1"/>
    <xf numFmtId="0" fontId="65" fillId="0" borderId="16" xfId="0" applyFont="1" applyFill="1" applyBorder="1" applyAlignment="1" applyProtection="1"/>
    <xf numFmtId="0" fontId="65" fillId="0" borderId="58" xfId="0" applyFont="1" applyFill="1" applyBorder="1" applyAlignment="1" applyProtection="1"/>
    <xf numFmtId="0" fontId="65" fillId="0" borderId="14" xfId="0" applyFont="1" applyFill="1" applyBorder="1" applyAlignment="1" applyProtection="1"/>
    <xf numFmtId="0" fontId="65" fillId="0" borderId="17" xfId="0" applyFont="1" applyFill="1" applyBorder="1" applyAlignment="1" applyProtection="1"/>
    <xf numFmtId="0" fontId="7" fillId="0" borderId="4" xfId="29" applyFont="1" applyFill="1" applyBorder="1" applyAlignment="1">
      <alignment horizontal="center" vertical="center"/>
    </xf>
    <xf numFmtId="0" fontId="7" fillId="0" borderId="5" xfId="29" applyFont="1" applyFill="1" applyBorder="1" applyAlignment="1">
      <alignment horizontal="center" vertical="center"/>
    </xf>
    <xf numFmtId="0" fontId="7" fillId="0" borderId="45" xfId="29" applyFont="1" applyFill="1" applyBorder="1" applyAlignment="1">
      <alignment horizontal="center" vertical="center"/>
    </xf>
    <xf numFmtId="0" fontId="6" fillId="22" borderId="84" xfId="29" applyFont="1" applyFill="1" applyBorder="1" applyAlignment="1" applyProtection="1">
      <alignment horizontal="center" shrinkToFit="1"/>
      <protection hidden="1"/>
    </xf>
    <xf numFmtId="0" fontId="0" fillId="0" borderId="136" xfId="0" applyBorder="1" applyAlignment="1" applyProtection="1">
      <alignment horizontal="center" shrinkToFit="1"/>
      <protection hidden="1"/>
    </xf>
    <xf numFmtId="0" fontId="45" fillId="26" borderId="83" xfId="30" applyNumberFormat="1" applyFont="1" applyFill="1" applyBorder="1" applyAlignment="1" applyProtection="1">
      <alignment horizontal="center"/>
    </xf>
    <xf numFmtId="0" fontId="45" fillId="26" borderId="35" xfId="30" applyNumberFormat="1" applyFont="1" applyFill="1" applyBorder="1" applyAlignment="1" applyProtection="1">
      <alignment horizontal="center"/>
    </xf>
    <xf numFmtId="49" fontId="45" fillId="26" borderId="83" xfId="30" applyNumberFormat="1" applyFont="1" applyFill="1" applyBorder="1" applyAlignment="1" applyProtection="1">
      <alignment horizontal="center"/>
    </xf>
    <xf numFmtId="49" fontId="45" fillId="26" borderId="77" xfId="30" applyNumberFormat="1" applyFont="1" applyFill="1" applyBorder="1" applyAlignment="1" applyProtection="1">
      <alignment horizontal="center"/>
    </xf>
    <xf numFmtId="49" fontId="45" fillId="26" borderId="137" xfId="30" applyNumberFormat="1" applyFont="1" applyFill="1" applyBorder="1" applyAlignment="1" applyProtection="1">
      <alignment horizontal="center"/>
    </xf>
    <xf numFmtId="0" fontId="45" fillId="26" borderId="59" xfId="30" applyNumberFormat="1" applyFont="1" applyFill="1" applyBorder="1" applyAlignment="1" applyProtection="1">
      <alignment horizontal="left" vertical="top" wrapText="1"/>
    </xf>
    <xf numFmtId="0" fontId="45" fillId="26" borderId="0" xfId="30" applyNumberFormat="1" applyFont="1" applyFill="1" applyBorder="1" applyAlignment="1" applyProtection="1">
      <alignment horizontal="left" vertical="top" wrapText="1"/>
    </xf>
    <xf numFmtId="0" fontId="45" fillId="26" borderId="65" xfId="30" applyNumberFormat="1" applyFont="1" applyFill="1" applyBorder="1" applyAlignment="1" applyProtection="1">
      <alignment horizontal="left" vertical="top" wrapText="1"/>
    </xf>
    <xf numFmtId="0" fontId="45" fillId="26" borderId="138" xfId="30" applyNumberFormat="1" applyFont="1" applyFill="1" applyBorder="1" applyAlignment="1" applyProtection="1">
      <alignment horizontal="left" vertical="top" wrapText="1"/>
    </xf>
    <xf numFmtId="0" fontId="45" fillId="26" borderId="28" xfId="30" applyNumberFormat="1" applyFont="1" applyFill="1" applyBorder="1" applyAlignment="1" applyProtection="1">
      <alignment horizontal="left" vertical="top" wrapText="1"/>
    </xf>
    <xf numFmtId="0" fontId="45" fillId="26" borderId="129" xfId="30" applyNumberFormat="1" applyFont="1" applyFill="1" applyBorder="1" applyAlignment="1" applyProtection="1">
      <alignment horizontal="left" vertical="top" wrapText="1"/>
    </xf>
    <xf numFmtId="0" fontId="6" fillId="41" borderId="59" xfId="30" applyFont="1" applyFill="1" applyBorder="1" applyAlignment="1" applyProtection="1">
      <alignment horizontal="right"/>
    </xf>
    <xf numFmtId="0" fontId="0" fillId="41" borderId="65" xfId="0" applyFill="1" applyBorder="1" applyAlignment="1"/>
    <xf numFmtId="49" fontId="45" fillId="26" borderId="77" xfId="0" applyNumberFormat="1" applyFont="1" applyFill="1" applyBorder="1" applyAlignment="1" applyProtection="1"/>
    <xf numFmtId="49" fontId="45" fillId="26" borderId="137" xfId="0" applyNumberFormat="1" applyFont="1" applyFill="1" applyBorder="1" applyAlignment="1" applyProtection="1"/>
    <xf numFmtId="0" fontId="6" fillId="41" borderId="138" xfId="30" applyFont="1" applyFill="1" applyBorder="1" applyAlignment="1" applyProtection="1">
      <alignment horizontal="right"/>
    </xf>
    <xf numFmtId="0" fontId="0" fillId="41" borderId="129" xfId="0" applyFill="1" applyBorder="1" applyAlignment="1">
      <alignment horizontal="right"/>
    </xf>
    <xf numFmtId="0" fontId="45" fillId="26" borderId="119" xfId="30" applyFont="1" applyFill="1" applyBorder="1" applyAlignment="1" applyProtection="1">
      <alignment horizontal="center" shrinkToFit="1"/>
    </xf>
    <xf numFmtId="0" fontId="45" fillId="26" borderId="120" xfId="30" applyFont="1" applyFill="1" applyBorder="1" applyAlignment="1" applyProtection="1">
      <alignment horizontal="center" shrinkToFit="1"/>
    </xf>
    <xf numFmtId="0" fontId="45" fillId="26" borderId="139" xfId="30" applyFont="1" applyFill="1" applyBorder="1" applyAlignment="1" applyProtection="1">
      <alignment horizontal="center" shrinkToFit="1"/>
    </xf>
    <xf numFmtId="0" fontId="10" fillId="41" borderId="9" xfId="30" applyFont="1" applyFill="1" applyBorder="1" applyAlignment="1">
      <alignment vertical="center" wrapText="1"/>
    </xf>
    <xf numFmtId="0" fontId="10" fillId="41" borderId="9" xfId="30" applyFont="1" applyFill="1" applyBorder="1" applyAlignment="1">
      <alignment horizontal="center" vertical="center"/>
    </xf>
    <xf numFmtId="0" fontId="0" fillId="41" borderId="9" xfId="0" applyFill="1" applyBorder="1" applyAlignment="1">
      <alignment horizontal="center" vertical="center"/>
    </xf>
    <xf numFmtId="0" fontId="45" fillId="0" borderId="74" xfId="30" applyFont="1" applyFill="1" applyBorder="1" applyAlignment="1" applyProtection="1">
      <alignment horizontal="center" shrinkToFit="1"/>
      <protection locked="0"/>
    </xf>
    <xf numFmtId="0" fontId="45" fillId="0" borderId="75" xfId="0" applyFont="1" applyBorder="1" applyAlignment="1" applyProtection="1">
      <alignment horizontal="center" shrinkToFit="1"/>
      <protection locked="0"/>
    </xf>
    <xf numFmtId="0" fontId="45" fillId="0" borderId="75" xfId="0" applyFont="1" applyFill="1" applyBorder="1" applyAlignment="1" applyProtection="1">
      <alignment horizontal="center" shrinkToFit="1"/>
      <protection locked="0"/>
    </xf>
    <xf numFmtId="0" fontId="0" fillId="41" borderId="9" xfId="0" applyFill="1" applyBorder="1" applyAlignment="1">
      <alignment vertical="center" wrapText="1"/>
    </xf>
    <xf numFmtId="0" fontId="10" fillId="41" borderId="9" xfId="30" applyFont="1" applyFill="1" applyBorder="1" applyAlignment="1">
      <alignment horizontal="center" vertical="center" wrapText="1"/>
    </xf>
    <xf numFmtId="0" fontId="45" fillId="0" borderId="74" xfId="30" applyFont="1" applyFill="1" applyBorder="1" applyAlignment="1" applyProtection="1">
      <alignment horizontal="center"/>
      <protection locked="0"/>
    </xf>
    <xf numFmtId="0" fontId="45" fillId="0" borderId="75" xfId="0" applyFont="1" applyBorder="1" applyAlignment="1" applyProtection="1">
      <alignment horizontal="center"/>
      <protection locked="0"/>
    </xf>
    <xf numFmtId="0" fontId="45" fillId="0" borderId="23" xfId="30" applyFont="1" applyFill="1" applyBorder="1" applyAlignment="1" applyProtection="1">
      <alignment horizontal="center"/>
      <protection locked="0"/>
    </xf>
    <xf numFmtId="0" fontId="45" fillId="0" borderId="77" xfId="30" applyFont="1" applyFill="1" applyBorder="1" applyAlignment="1" applyProtection="1">
      <alignment horizontal="center"/>
      <protection locked="0"/>
    </xf>
    <xf numFmtId="0" fontId="45" fillId="0" borderId="87" xfId="30" applyFont="1" applyFill="1" applyBorder="1" applyAlignment="1" applyProtection="1">
      <alignment horizontal="center"/>
      <protection locked="0"/>
    </xf>
    <xf numFmtId="0" fontId="45" fillId="0" borderId="128" xfId="30" applyFont="1" applyFill="1" applyBorder="1" applyAlignment="1" applyProtection="1">
      <alignment horizontal="center"/>
      <protection locked="0"/>
    </xf>
    <xf numFmtId="0" fontId="45" fillId="0" borderId="39" xfId="30" applyFont="1" applyFill="1" applyBorder="1" applyAlignment="1" applyProtection="1">
      <alignment horizontal="center"/>
      <protection locked="0"/>
    </xf>
    <xf numFmtId="0" fontId="45" fillId="0" borderId="136" xfId="30" applyFont="1" applyFill="1" applyBorder="1" applyAlignment="1" applyProtection="1">
      <alignment horizontal="center"/>
      <protection locked="0"/>
    </xf>
    <xf numFmtId="9" fontId="41" fillId="18" borderId="9" xfId="39" applyFont="1" applyFill="1" applyBorder="1" applyAlignment="1" applyProtection="1">
      <alignment horizontal="center"/>
      <protection locked="0" hidden="1"/>
    </xf>
    <xf numFmtId="0" fontId="41" fillId="0" borderId="9" xfId="0" applyFont="1" applyBorder="1" applyAlignment="1" applyProtection="1">
      <alignment horizontal="center"/>
      <protection hidden="1"/>
    </xf>
    <xf numFmtId="0" fontId="0" fillId="41" borderId="9" xfId="0" applyFill="1" applyBorder="1" applyAlignment="1">
      <alignment horizontal="center" vertical="center" wrapText="1"/>
    </xf>
    <xf numFmtId="0" fontId="45" fillId="0" borderId="74" xfId="30" applyFont="1" applyFill="1" applyBorder="1" applyAlignment="1" applyProtection="1">
      <protection locked="0"/>
    </xf>
    <xf numFmtId="0" fontId="45" fillId="0" borderId="75" xfId="30" applyFont="1" applyBorder="1" applyAlignment="1" applyProtection="1">
      <protection locked="0"/>
    </xf>
    <xf numFmtId="0" fontId="45" fillId="0" borderId="134" xfId="30" applyFont="1" applyFill="1" applyBorder="1" applyAlignment="1" applyProtection="1">
      <alignment horizontal="center"/>
      <protection locked="0"/>
    </xf>
    <xf numFmtId="0" fontId="45" fillId="0" borderId="135" xfId="0" applyFont="1" applyFill="1" applyBorder="1" applyAlignment="1" applyProtection="1">
      <alignment horizontal="center"/>
      <protection locked="0"/>
    </xf>
    <xf numFmtId="0" fontId="41" fillId="18" borderId="9" xfId="29" applyFont="1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69" xfId="0" applyBorder="1" applyAlignment="1" applyProtection="1">
      <protection hidden="1"/>
    </xf>
    <xf numFmtId="0" fontId="6" fillId="40" borderId="5" xfId="30" applyFill="1" applyBorder="1" applyAlignment="1"/>
    <xf numFmtId="0" fontId="0" fillId="40" borderId="117" xfId="0" applyFill="1" applyBorder="1" applyAlignment="1"/>
    <xf numFmtId="10" fontId="45" fillId="29" borderId="23" xfId="30" applyNumberFormat="1" applyFont="1" applyFill="1" applyBorder="1" applyAlignment="1" applyProtection="1">
      <alignment horizontal="center"/>
      <protection locked="0"/>
    </xf>
    <xf numFmtId="10" fontId="45" fillId="29" borderId="87" xfId="0" applyNumberFormat="1" applyFont="1" applyFill="1" applyBorder="1" applyAlignment="1" applyProtection="1">
      <alignment horizontal="center"/>
      <protection locked="0"/>
    </xf>
    <xf numFmtId="0" fontId="12" fillId="40" borderId="31" xfId="30" applyFont="1" applyFill="1" applyBorder="1" applyAlignment="1">
      <alignment horizontal="right"/>
    </xf>
    <xf numFmtId="0" fontId="0" fillId="40" borderId="31" xfId="0" applyFill="1" applyBorder="1" applyAlignment="1">
      <alignment horizontal="right"/>
    </xf>
    <xf numFmtId="0" fontId="0" fillId="40" borderId="5" xfId="0" applyFill="1" applyBorder="1" applyAlignment="1"/>
    <xf numFmtId="0" fontId="10" fillId="41" borderId="15" xfId="30" applyFont="1" applyFill="1" applyBorder="1" applyAlignment="1">
      <alignment horizontal="center" wrapText="1"/>
    </xf>
    <xf numFmtId="0" fontId="0" fillId="41" borderId="15" xfId="0" applyFill="1" applyBorder="1" applyAlignment="1"/>
    <xf numFmtId="0" fontId="6" fillId="41" borderId="102" xfId="30" applyFont="1" applyFill="1" applyBorder="1" applyAlignment="1" applyProtection="1"/>
    <xf numFmtId="0" fontId="6" fillId="41" borderId="102" xfId="30" applyFill="1" applyBorder="1" applyAlignment="1" applyProtection="1"/>
    <xf numFmtId="0" fontId="45" fillId="0" borderId="74" xfId="30" applyNumberFormat="1" applyFont="1" applyFill="1" applyBorder="1" applyAlignment="1" applyProtection="1">
      <alignment horizontal="center"/>
      <protection locked="0"/>
    </xf>
    <xf numFmtId="0" fontId="45" fillId="0" borderId="75" xfId="30" applyNumberFormat="1" applyFont="1" applyFill="1" applyBorder="1" applyAlignment="1" applyProtection="1">
      <alignment horizontal="center"/>
      <protection locked="0"/>
    </xf>
    <xf numFmtId="0" fontId="45" fillId="0" borderId="20" xfId="30" applyFont="1" applyFill="1" applyBorder="1" applyAlignment="1" applyProtection="1">
      <alignment horizontal="center"/>
      <protection locked="0"/>
    </xf>
    <xf numFmtId="0" fontId="45" fillId="0" borderId="118" xfId="30" applyFont="1" applyFill="1" applyBorder="1" applyAlignment="1" applyProtection="1">
      <alignment horizontal="center"/>
      <protection locked="0"/>
    </xf>
    <xf numFmtId="0" fontId="45" fillId="0" borderId="118" xfId="0" applyFont="1" applyFill="1" applyBorder="1" applyAlignment="1" applyProtection="1">
      <alignment horizontal="center"/>
      <protection locked="0"/>
    </xf>
    <xf numFmtId="0" fontId="45" fillId="0" borderId="87" xfId="0" applyFont="1" applyFill="1" applyBorder="1" applyAlignment="1" applyProtection="1">
      <alignment horizontal="center"/>
      <protection locked="0"/>
    </xf>
    <xf numFmtId="0" fontId="45" fillId="0" borderId="23" xfId="30" applyFont="1" applyFill="1" applyBorder="1" applyAlignment="1" applyProtection="1">
      <alignment horizontal="left"/>
      <protection locked="0"/>
    </xf>
    <xf numFmtId="0" fontId="45" fillId="0" borderId="77" xfId="0" applyFont="1" applyBorder="1" applyAlignment="1" applyProtection="1">
      <alignment horizontal="left"/>
      <protection locked="0"/>
    </xf>
    <xf numFmtId="0" fontId="45" fillId="0" borderId="87" xfId="0" applyFont="1" applyBorder="1" applyAlignment="1" applyProtection="1">
      <alignment horizontal="left"/>
      <protection locked="0"/>
    </xf>
    <xf numFmtId="3" fontId="45" fillId="0" borderId="23" xfId="30" applyNumberFormat="1" applyFont="1" applyFill="1" applyBorder="1" applyAlignment="1" applyProtection="1">
      <alignment horizontal="center" shrinkToFit="1"/>
      <protection locked="0"/>
    </xf>
    <xf numFmtId="3" fontId="45" fillId="0" borderId="87" xfId="0" applyNumberFormat="1" applyFont="1" applyBorder="1" applyAlignment="1" applyProtection="1">
      <alignment horizontal="center" shrinkToFit="1"/>
      <protection locked="0"/>
    </xf>
    <xf numFmtId="0" fontId="45" fillId="0" borderId="15" xfId="30" applyFont="1" applyFill="1" applyBorder="1" applyAlignment="1" applyProtection="1">
      <alignment horizontal="center" vertical="center"/>
      <protection locked="0"/>
    </xf>
    <xf numFmtId="0" fontId="45" fillId="0" borderId="14" xfId="0" applyFont="1" applyBorder="1" applyAlignment="1" applyProtection="1">
      <alignment vertical="center"/>
      <protection locked="0"/>
    </xf>
    <xf numFmtId="0" fontId="6" fillId="41" borderId="39" xfId="30" applyFont="1" applyFill="1" applyBorder="1" applyAlignment="1" applyProtection="1"/>
    <xf numFmtId="0" fontId="6" fillId="41" borderId="39" xfId="30" applyFill="1" applyBorder="1" applyAlignment="1" applyProtection="1"/>
    <xf numFmtId="0" fontId="45" fillId="0" borderId="126" xfId="30" applyFont="1" applyFill="1" applyBorder="1" applyAlignment="1" applyProtection="1">
      <alignment horizontal="center"/>
      <protection locked="0"/>
    </xf>
    <xf numFmtId="0" fontId="45" fillId="0" borderId="121" xfId="30" applyFont="1" applyFill="1" applyBorder="1" applyAlignment="1" applyProtection="1">
      <alignment horizontal="center"/>
      <protection locked="0"/>
    </xf>
    <xf numFmtId="0" fontId="46" fillId="0" borderId="130" xfId="30" applyFont="1" applyFill="1" applyBorder="1" applyAlignment="1" applyProtection="1">
      <alignment horizontal="center"/>
      <protection locked="0"/>
    </xf>
    <xf numFmtId="0" fontId="46" fillId="0" borderId="131" xfId="0" applyFont="1" applyBorder="1" applyAlignment="1" applyProtection="1">
      <protection locked="0"/>
    </xf>
    <xf numFmtId="0" fontId="10" fillId="41" borderId="5" xfId="30" applyFont="1" applyFill="1" applyBorder="1" applyAlignment="1">
      <alignment horizontal="center" wrapText="1"/>
    </xf>
    <xf numFmtId="0" fontId="0" fillId="41" borderId="5" xfId="0" applyFill="1" applyBorder="1" applyAlignment="1">
      <alignment horizontal="center" wrapText="1"/>
    </xf>
    <xf numFmtId="0" fontId="46" fillId="0" borderId="76" xfId="30" applyFont="1" applyFill="1" applyBorder="1" applyAlignment="1" applyProtection="1">
      <protection locked="0"/>
    </xf>
    <xf numFmtId="0" fontId="46" fillId="0" borderId="76" xfId="30" applyFont="1" applyBorder="1" applyAlignment="1" applyProtection="1">
      <protection locked="0"/>
    </xf>
    <xf numFmtId="0" fontId="46" fillId="0" borderId="74" xfId="30" applyNumberFormat="1" applyFont="1" applyFill="1" applyBorder="1" applyAlignment="1" applyProtection="1">
      <alignment horizontal="center"/>
      <protection locked="0"/>
    </xf>
    <xf numFmtId="0" fontId="45" fillId="0" borderId="75" xfId="0" applyFont="1" applyFill="1" applyBorder="1" applyAlignment="1" applyProtection="1">
      <alignment horizontal="center"/>
      <protection locked="0"/>
    </xf>
    <xf numFmtId="0" fontId="46" fillId="0" borderId="74" xfId="30" applyFont="1" applyFill="1" applyBorder="1" applyAlignment="1" applyProtection="1">
      <alignment horizontal="center"/>
      <protection locked="0"/>
    </xf>
    <xf numFmtId="0" fontId="45" fillId="0" borderId="23" xfId="30" applyFont="1" applyFill="1" applyBorder="1" applyAlignment="1" applyProtection="1">
      <protection locked="0"/>
    </xf>
    <xf numFmtId="0" fontId="45" fillId="0" borderId="87" xfId="30" applyFont="1" applyFill="1" applyBorder="1" applyAlignment="1" applyProtection="1">
      <protection locked="0"/>
    </xf>
    <xf numFmtId="0" fontId="45" fillId="0" borderId="126" xfId="30" applyFont="1" applyFill="1" applyBorder="1" applyAlignment="1" applyProtection="1">
      <protection locked="0"/>
    </xf>
    <xf numFmtId="0" fontId="45" fillId="0" borderId="121" xfId="30" applyFont="1" applyFill="1" applyBorder="1" applyAlignment="1" applyProtection="1">
      <protection locked="0"/>
    </xf>
    <xf numFmtId="0" fontId="41" fillId="0" borderId="122" xfId="30" applyFont="1" applyFill="1" applyBorder="1" applyAlignment="1" applyProtection="1">
      <alignment horizontal="center" shrinkToFit="1"/>
      <protection locked="0"/>
    </xf>
    <xf numFmtId="0" fontId="6" fillId="41" borderId="123" xfId="30" applyFont="1" applyFill="1" applyBorder="1" applyAlignment="1">
      <alignment horizontal="right"/>
    </xf>
    <xf numFmtId="0" fontId="0" fillId="41" borderId="124" xfId="0" applyFill="1" applyBorder="1" applyAlignment="1">
      <alignment horizontal="right"/>
    </xf>
    <xf numFmtId="165" fontId="41" fillId="0" borderId="122" xfId="30" applyNumberFormat="1" applyFont="1" applyFill="1" applyBorder="1" applyAlignment="1" applyProtection="1">
      <alignment horizontal="center"/>
      <protection locked="0"/>
    </xf>
    <xf numFmtId="0" fontId="41" fillId="0" borderId="125" xfId="30" applyFont="1" applyFill="1" applyBorder="1" applyAlignment="1" applyProtection="1">
      <alignment horizontal="center"/>
      <protection locked="0"/>
    </xf>
    <xf numFmtId="0" fontId="6" fillId="41" borderId="14" xfId="30" applyFill="1" applyBorder="1" applyAlignment="1">
      <alignment horizontal="right"/>
    </xf>
    <xf numFmtId="0" fontId="0" fillId="41" borderId="14" xfId="0" applyFill="1" applyBorder="1" applyAlignment="1">
      <alignment horizontal="right"/>
    </xf>
    <xf numFmtId="0" fontId="0" fillId="41" borderId="127" xfId="0" applyFill="1" applyBorder="1" applyAlignment="1">
      <alignment horizontal="right"/>
    </xf>
    <xf numFmtId="0" fontId="41" fillId="0" borderId="128" xfId="30" applyFont="1" applyFill="1" applyBorder="1" applyAlignment="1" applyProtection="1">
      <alignment horizontal="center"/>
      <protection locked="0"/>
    </xf>
    <xf numFmtId="0" fontId="41" fillId="0" borderId="36" xfId="30" applyFont="1" applyBorder="1" applyAlignment="1" applyProtection="1">
      <protection locked="0"/>
    </xf>
    <xf numFmtId="0" fontId="12" fillId="40" borderId="93" xfId="30" applyFont="1" applyFill="1" applyBorder="1" applyAlignment="1">
      <alignment shrinkToFit="1"/>
    </xf>
    <xf numFmtId="0" fontId="12" fillId="40" borderId="102" xfId="30" applyFont="1" applyFill="1" applyBorder="1" applyAlignment="1">
      <alignment shrinkToFit="1"/>
    </xf>
    <xf numFmtId="0" fontId="0" fillId="40" borderId="118" xfId="0" applyFill="1" applyBorder="1" applyAlignment="1">
      <alignment shrinkToFit="1"/>
    </xf>
    <xf numFmtId="0" fontId="41" fillId="0" borderId="26" xfId="30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68" xfId="0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129" xfId="0" applyBorder="1" applyAlignment="1" applyProtection="1">
      <alignment vertical="top" wrapText="1"/>
      <protection locked="0"/>
    </xf>
    <xf numFmtId="0" fontId="6" fillId="40" borderId="83" xfId="30" applyFont="1" applyFill="1" applyBorder="1" applyAlignment="1">
      <alignment shrinkToFit="1"/>
    </xf>
    <xf numFmtId="0" fontId="6" fillId="40" borderId="77" xfId="30" applyFont="1" applyFill="1" applyBorder="1" applyAlignment="1">
      <alignment shrinkToFit="1"/>
    </xf>
    <xf numFmtId="0" fontId="0" fillId="40" borderId="87" xfId="0" applyFill="1" applyBorder="1" applyAlignment="1">
      <alignment shrinkToFit="1"/>
    </xf>
    <xf numFmtId="0" fontId="6" fillId="40" borderId="119" xfId="30" applyFont="1" applyFill="1" applyBorder="1" applyAlignment="1">
      <alignment shrinkToFit="1"/>
    </xf>
    <xf numFmtId="0" fontId="6" fillId="40" borderId="120" xfId="30" applyFont="1" applyFill="1" applyBorder="1" applyAlignment="1">
      <alignment shrinkToFit="1"/>
    </xf>
    <xf numFmtId="0" fontId="0" fillId="40" borderId="121" xfId="0" applyFill="1" applyBorder="1" applyAlignment="1">
      <alignment shrinkToFit="1"/>
    </xf>
    <xf numFmtId="0" fontId="6" fillId="41" borderId="9" xfId="30" applyFill="1" applyBorder="1" applyAlignment="1">
      <alignment vertical="center" wrapText="1"/>
    </xf>
    <xf numFmtId="0" fontId="45" fillId="0" borderId="79" xfId="0" applyFont="1" applyBorder="1" applyAlignment="1" applyProtection="1">
      <protection locked="0"/>
    </xf>
    <xf numFmtId="0" fontId="45" fillId="0" borderId="75" xfId="0" applyFont="1" applyBorder="1" applyAlignment="1" applyProtection="1">
      <protection locked="0"/>
    </xf>
    <xf numFmtId="3" fontId="45" fillId="0" borderId="74" xfId="30" applyNumberFormat="1" applyFont="1" applyFill="1" applyBorder="1" applyAlignment="1" applyProtection="1">
      <alignment horizontal="center" shrinkToFit="1"/>
      <protection locked="0"/>
    </xf>
    <xf numFmtId="3" fontId="45" fillId="0" borderId="75" xfId="0" applyNumberFormat="1" applyFont="1" applyBorder="1" applyAlignment="1" applyProtection="1">
      <alignment horizontal="center" shrinkToFit="1"/>
      <protection locked="0"/>
    </xf>
    <xf numFmtId="0" fontId="45" fillId="0" borderId="93" xfId="30" applyFont="1" applyFill="1" applyBorder="1" applyAlignment="1" applyProtection="1">
      <protection locked="0"/>
    </xf>
    <xf numFmtId="0" fontId="45" fillId="0" borderId="102" xfId="0" applyFont="1" applyBorder="1" applyAlignment="1" applyProtection="1">
      <protection locked="0"/>
    </xf>
    <xf numFmtId="0" fontId="45" fillId="0" borderId="103" xfId="0" applyFont="1" applyBorder="1" applyAlignment="1" applyProtection="1">
      <protection locked="0"/>
    </xf>
    <xf numFmtId="0" fontId="45" fillId="0" borderId="91" xfId="30" applyFont="1" applyFill="1" applyBorder="1" applyAlignment="1" applyProtection="1">
      <protection locked="0"/>
    </xf>
    <xf numFmtId="0" fontId="45" fillId="0" borderId="132" xfId="0" applyFont="1" applyBorder="1" applyAlignment="1" applyProtection="1">
      <protection locked="0"/>
    </xf>
    <xf numFmtId="0" fontId="45" fillId="0" borderId="39" xfId="0" applyFont="1" applyBorder="1" applyAlignment="1" applyProtection="1">
      <protection locked="0"/>
    </xf>
    <xf numFmtId="0" fontId="45" fillId="0" borderId="36" xfId="0" applyFont="1" applyBorder="1" applyAlignment="1" applyProtection="1">
      <protection locked="0"/>
    </xf>
    <xf numFmtId="0" fontId="45" fillId="0" borderId="91" xfId="30" applyFont="1" applyFill="1" applyBorder="1" applyAlignment="1" applyProtection="1">
      <alignment horizontal="center"/>
      <protection locked="0"/>
    </xf>
    <xf numFmtId="0" fontId="45" fillId="0" borderId="133" xfId="0" applyFont="1" applyBorder="1" applyAlignment="1" applyProtection="1">
      <protection locked="0"/>
    </xf>
    <xf numFmtId="0" fontId="28" fillId="41" borderId="71" xfId="30" applyFont="1" applyFill="1" applyBorder="1" applyAlignment="1">
      <alignment horizontal="center" vertical="center" wrapText="1"/>
    </xf>
    <xf numFmtId="0" fontId="17" fillId="41" borderId="72" xfId="0" applyFont="1" applyFill="1" applyBorder="1" applyAlignment="1">
      <alignment wrapText="1"/>
    </xf>
    <xf numFmtId="0" fontId="17" fillId="41" borderId="15" xfId="30" applyFont="1" applyFill="1" applyBorder="1" applyAlignment="1">
      <alignment horizontal="center" vertical="center" wrapText="1"/>
    </xf>
    <xf numFmtId="0" fontId="17" fillId="41" borderId="68" xfId="30" applyFont="1" applyFill="1" applyBorder="1" applyAlignment="1">
      <alignment horizontal="center" vertical="center" wrapText="1"/>
    </xf>
    <xf numFmtId="0" fontId="17" fillId="41" borderId="14" xfId="0" applyFont="1" applyFill="1" applyBorder="1" applyAlignment="1">
      <alignment wrapText="1"/>
    </xf>
    <xf numFmtId="0" fontId="17" fillId="41" borderId="67" xfId="0" applyFont="1" applyFill="1" applyBorder="1" applyAlignment="1">
      <alignment wrapText="1"/>
    </xf>
    <xf numFmtId="0" fontId="17" fillId="41" borderId="60" xfId="30" applyFont="1" applyFill="1" applyBorder="1" applyAlignment="1">
      <alignment horizontal="center" vertical="center" wrapText="1"/>
    </xf>
    <xf numFmtId="0" fontId="17" fillId="41" borderId="61" xfId="0" applyFont="1" applyFill="1" applyBorder="1" applyAlignment="1">
      <alignment horizontal="center" vertical="center" wrapText="1"/>
    </xf>
    <xf numFmtId="3" fontId="45" fillId="0" borderId="83" xfId="30" applyNumberFormat="1" applyFont="1" applyFill="1" applyBorder="1" applyAlignment="1" applyProtection="1">
      <alignment horizontal="center" shrinkToFit="1"/>
      <protection locked="0"/>
    </xf>
    <xf numFmtId="0" fontId="45" fillId="0" borderId="35" xfId="0" applyFont="1" applyBorder="1" applyAlignment="1" applyProtection="1">
      <alignment horizontal="center"/>
      <protection locked="0"/>
    </xf>
    <xf numFmtId="3" fontId="45" fillId="0" borderId="84" xfId="30" applyNumberFormat="1" applyFont="1" applyFill="1" applyBorder="1" applyAlignment="1" applyProtection="1">
      <alignment horizontal="center" shrinkToFit="1"/>
      <protection locked="0"/>
    </xf>
    <xf numFmtId="0" fontId="45" fillId="0" borderId="36" xfId="0" applyFont="1" applyBorder="1" applyAlignment="1" applyProtection="1">
      <alignment horizontal="center"/>
      <protection locked="0"/>
    </xf>
    <xf numFmtId="164" fontId="10" fillId="41" borderId="15" xfId="30" applyNumberFormat="1" applyFont="1" applyFill="1" applyBorder="1" applyAlignment="1">
      <alignment horizontal="center"/>
    </xf>
    <xf numFmtId="0" fontId="10" fillId="41" borderId="68" xfId="0" applyFont="1" applyFill="1" applyBorder="1" applyAlignment="1">
      <alignment horizontal="center"/>
    </xf>
    <xf numFmtId="164" fontId="10" fillId="41" borderId="14" xfId="30" applyNumberFormat="1" applyFont="1" applyFill="1" applyBorder="1" applyAlignment="1">
      <alignment horizontal="center" vertical="center" shrinkToFit="1"/>
    </xf>
    <xf numFmtId="0" fontId="10" fillId="41" borderId="67" xfId="0" applyFont="1" applyFill="1" applyBorder="1" applyAlignment="1">
      <alignment horizontal="center" shrinkToFit="1"/>
    </xf>
    <xf numFmtId="0" fontId="6" fillId="41" borderId="18" xfId="30" applyFont="1" applyFill="1" applyBorder="1" applyAlignment="1">
      <alignment horizontal="center" vertical="center"/>
    </xf>
    <xf numFmtId="0" fontId="0" fillId="41" borderId="49" xfId="0" applyFill="1" applyBorder="1" applyAlignment="1">
      <alignment horizontal="center" vertical="center"/>
    </xf>
    <xf numFmtId="172" fontId="6" fillId="41" borderId="9" xfId="30" applyNumberFormat="1" applyFont="1" applyFill="1" applyBorder="1" applyAlignment="1">
      <alignment horizontal="center" vertical="center"/>
    </xf>
    <xf numFmtId="172" fontId="0" fillId="41" borderId="49" xfId="0" applyNumberFormat="1" applyFill="1" applyBorder="1" applyAlignment="1">
      <alignment horizontal="center"/>
    </xf>
    <xf numFmtId="164" fontId="6" fillId="41" borderId="93" xfId="30" applyNumberFormat="1" applyFont="1" applyFill="1" applyBorder="1" applyAlignment="1">
      <alignment horizontal="center"/>
    </xf>
    <xf numFmtId="0" fontId="0" fillId="41" borderId="103" xfId="0" applyFill="1" applyBorder="1" applyAlignment="1">
      <alignment horizontal="center"/>
    </xf>
    <xf numFmtId="174" fontId="6" fillId="41" borderId="70" xfId="30" applyNumberFormat="1" applyFill="1" applyBorder="1" applyAlignment="1" applyProtection="1">
      <alignment horizontal="center"/>
    </xf>
    <xf numFmtId="174" fontId="6" fillId="41" borderId="48" xfId="30" applyNumberFormat="1" applyFill="1" applyBorder="1" applyAlignment="1" applyProtection="1">
      <alignment horizontal="center"/>
    </xf>
    <xf numFmtId="172" fontId="46" fillId="0" borderId="102" xfId="30" applyNumberFormat="1" applyFont="1" applyBorder="1" applyAlignment="1" applyProtection="1">
      <alignment horizontal="center"/>
      <protection locked="0"/>
    </xf>
    <xf numFmtId="172" fontId="45" fillId="0" borderId="103" xfId="0" applyNumberFormat="1" applyFont="1" applyBorder="1" applyAlignment="1" applyProtection="1">
      <alignment horizontal="center"/>
      <protection locked="0"/>
    </xf>
    <xf numFmtId="164" fontId="6" fillId="41" borderId="83" xfId="30" applyNumberFormat="1" applyFont="1" applyFill="1" applyBorder="1" applyAlignment="1">
      <alignment horizontal="center"/>
    </xf>
    <xf numFmtId="0" fontId="0" fillId="41" borderId="35" xfId="0" applyFill="1" applyBorder="1" applyAlignment="1">
      <alignment horizontal="center"/>
    </xf>
    <xf numFmtId="14" fontId="45" fillId="0" borderId="83" xfId="30" applyNumberFormat="1" applyFont="1" applyFill="1" applyBorder="1" applyAlignment="1" applyProtection="1">
      <alignment horizontal="center" shrinkToFit="1"/>
      <protection locked="0"/>
    </xf>
    <xf numFmtId="14" fontId="45" fillId="0" borderId="35" xfId="0" applyNumberFormat="1" applyFont="1" applyBorder="1" applyAlignment="1" applyProtection="1">
      <alignment horizontal="center"/>
      <protection locked="0"/>
    </xf>
    <xf numFmtId="172" fontId="6" fillId="41" borderId="77" xfId="30" applyNumberFormat="1" applyFont="1" applyFill="1" applyBorder="1" applyAlignment="1">
      <alignment horizontal="center"/>
    </xf>
    <xf numFmtId="172" fontId="0" fillId="41" borderId="35" xfId="0" applyNumberFormat="1" applyFill="1" applyBorder="1" applyAlignment="1">
      <alignment horizontal="center"/>
    </xf>
    <xf numFmtId="14" fontId="6" fillId="41" borderId="83" xfId="30" applyNumberFormat="1" applyFont="1" applyFill="1" applyBorder="1" applyAlignment="1">
      <alignment horizontal="center" vertical="center"/>
    </xf>
    <xf numFmtId="14" fontId="6" fillId="41" borderId="35" xfId="0" applyNumberFormat="1" applyFont="1" applyFill="1" applyBorder="1" applyAlignment="1">
      <alignment horizontal="center" vertical="center"/>
    </xf>
    <xf numFmtId="3" fontId="46" fillId="0" borderId="18" xfId="30" applyNumberFormat="1" applyFont="1" applyBorder="1" applyAlignment="1" applyProtection="1">
      <alignment horizontal="center"/>
      <protection locked="0"/>
    </xf>
    <xf numFmtId="0" fontId="45" fillId="0" borderId="9" xfId="0" applyFont="1" applyBorder="1" applyAlignment="1" applyProtection="1">
      <alignment horizontal="center"/>
      <protection locked="0"/>
    </xf>
    <xf numFmtId="0" fontId="45" fillId="0" borderId="49" xfId="0" applyFont="1" applyBorder="1" applyAlignment="1" applyProtection="1">
      <alignment horizontal="center"/>
      <protection locked="0"/>
    </xf>
    <xf numFmtId="3" fontId="12" fillId="40" borderId="9" xfId="30" applyNumberFormat="1" applyFont="1" applyFill="1" applyBorder="1" applyAlignment="1">
      <alignment horizontal="center" shrinkToFit="1"/>
    </xf>
    <xf numFmtId="0" fontId="0" fillId="40" borderId="49" xfId="0" applyFill="1" applyBorder="1" applyAlignment="1">
      <alignment horizontal="center" shrinkToFit="1"/>
    </xf>
    <xf numFmtId="0" fontId="45" fillId="0" borderId="66" xfId="30" applyFont="1" applyFill="1" applyBorder="1" applyAlignment="1" applyProtection="1">
      <alignment vertical="top"/>
      <protection locked="0"/>
    </xf>
    <xf numFmtId="0" fontId="45" fillId="0" borderId="15" xfId="0" applyFont="1" applyBorder="1" applyAlignment="1" applyProtection="1">
      <alignment vertical="top"/>
      <protection locked="0"/>
    </xf>
    <xf numFmtId="0" fontId="45" fillId="0" borderId="68" xfId="0" applyFont="1" applyBorder="1" applyAlignment="1" applyProtection="1">
      <alignment vertical="top"/>
      <protection locked="0"/>
    </xf>
    <xf numFmtId="0" fontId="45" fillId="0" borderId="58" xfId="0" applyFont="1" applyBorder="1" applyAlignment="1" applyProtection="1">
      <alignment vertical="top"/>
      <protection locked="0"/>
    </xf>
    <xf numFmtId="0" fontId="45" fillId="0" borderId="14" xfId="0" applyFont="1" applyBorder="1" applyAlignment="1" applyProtection="1">
      <alignment vertical="top"/>
      <protection locked="0"/>
    </xf>
    <xf numFmtId="0" fontId="45" fillId="0" borderId="67" xfId="0" applyFont="1" applyBorder="1" applyAlignment="1" applyProtection="1">
      <alignment vertical="top"/>
      <protection locked="0"/>
    </xf>
    <xf numFmtId="0" fontId="12" fillId="40" borderId="18" xfId="30" quotePrefix="1" applyFont="1" applyFill="1" applyBorder="1" applyAlignment="1" applyProtection="1">
      <alignment shrinkToFit="1"/>
    </xf>
    <xf numFmtId="0" fontId="0" fillId="40" borderId="9" xfId="0" applyFill="1" applyBorder="1" applyAlignment="1" applyProtection="1">
      <alignment shrinkToFit="1"/>
    </xf>
    <xf numFmtId="0" fontId="0" fillId="40" borderId="49" xfId="0" applyFill="1" applyBorder="1" applyAlignment="1" applyProtection="1">
      <alignment shrinkToFit="1"/>
    </xf>
    <xf numFmtId="164" fontId="6" fillId="41" borderId="84" xfId="30" applyNumberFormat="1" applyFont="1" applyFill="1" applyBorder="1" applyAlignment="1">
      <alignment horizontal="center"/>
    </xf>
    <xf numFmtId="0" fontId="0" fillId="41" borderId="36" xfId="0" applyFill="1" applyBorder="1" applyAlignment="1">
      <alignment horizontal="center"/>
    </xf>
    <xf numFmtId="14" fontId="6" fillId="41" borderId="58" xfId="30" applyNumberFormat="1" applyFont="1" applyFill="1" applyBorder="1" applyAlignment="1">
      <alignment horizontal="center" vertical="center"/>
    </xf>
    <xf numFmtId="14" fontId="6" fillId="41" borderId="67" xfId="0" applyNumberFormat="1" applyFont="1" applyFill="1" applyBorder="1" applyAlignment="1">
      <alignment horizontal="center" vertical="center"/>
    </xf>
    <xf numFmtId="172" fontId="6" fillId="41" borderId="39" xfId="30" applyNumberFormat="1" applyFont="1" applyFill="1" applyBorder="1" applyAlignment="1">
      <alignment horizontal="center"/>
    </xf>
    <xf numFmtId="172" fontId="0" fillId="41" borderId="36" xfId="0" applyNumberFormat="1" applyFill="1" applyBorder="1" applyAlignment="1">
      <alignment horizontal="center"/>
    </xf>
    <xf numFmtId="3" fontId="6" fillId="41" borderId="18" xfId="30" applyNumberFormat="1" applyFont="1" applyFill="1" applyBorder="1" applyAlignment="1">
      <alignment horizontal="center" vertical="center"/>
    </xf>
    <xf numFmtId="0" fontId="0" fillId="41" borderId="9" xfId="0" applyFill="1" applyBorder="1" applyAlignment="1">
      <alignment horizontal="center"/>
    </xf>
    <xf numFmtId="0" fontId="0" fillId="41" borderId="49" xfId="0" applyFill="1" applyBorder="1" applyAlignment="1">
      <alignment horizontal="center"/>
    </xf>
    <xf numFmtId="0" fontId="45" fillId="0" borderId="20" xfId="30" applyFont="1" applyFill="1" applyBorder="1" applyAlignment="1" applyProtection="1">
      <alignment horizontal="left"/>
      <protection locked="0"/>
    </xf>
    <xf numFmtId="0" fontId="45" fillId="0" borderId="102" xfId="30" applyFont="1" applyFill="1" applyBorder="1" applyAlignment="1" applyProtection="1">
      <alignment horizontal="left"/>
      <protection locked="0"/>
    </xf>
    <xf numFmtId="0" fontId="45" fillId="0" borderId="118" xfId="30" applyFont="1" applyFill="1" applyBorder="1" applyAlignment="1" applyProtection="1">
      <alignment horizontal="left"/>
      <protection locked="0"/>
    </xf>
    <xf numFmtId="3" fontId="12" fillId="0" borderId="0" xfId="35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3" fontId="6" fillId="0" borderId="59" xfId="35" applyNumberFormat="1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6" fillId="0" borderId="59" xfId="35" applyFont="1" applyFill="1" applyBorder="1" applyAlignment="1">
      <alignment horizontal="center"/>
    </xf>
    <xf numFmtId="0" fontId="6" fillId="0" borderId="65" xfId="35" applyFont="1" applyFill="1" applyBorder="1" applyAlignment="1">
      <alignment horizontal="center"/>
    </xf>
    <xf numFmtId="0" fontId="6" fillId="0" borderId="66" xfId="35" applyFill="1" applyBorder="1" applyAlignment="1">
      <alignment horizontal="center"/>
    </xf>
    <xf numFmtId="0" fontId="6" fillId="0" borderId="68" xfId="35" applyFill="1" applyBorder="1" applyAlignment="1">
      <alignment horizontal="center"/>
    </xf>
    <xf numFmtId="0" fontId="46" fillId="21" borderId="18" xfId="35" applyFont="1" applyFill="1" applyBorder="1" applyAlignment="1" applyProtection="1">
      <alignment horizontal="center"/>
      <protection locked="0"/>
    </xf>
    <xf numFmtId="0" fontId="46" fillId="0" borderId="49" xfId="35" applyFont="1" applyBorder="1" applyAlignment="1" applyProtection="1">
      <protection locked="0"/>
    </xf>
    <xf numFmtId="0" fontId="46" fillId="39" borderId="18" xfId="35" applyFont="1" applyFill="1" applyBorder="1" applyAlignment="1" applyProtection="1">
      <alignment horizontal="center"/>
      <protection locked="0"/>
    </xf>
    <xf numFmtId="0" fontId="46" fillId="39" borderId="49" xfId="35" applyFont="1" applyFill="1" applyBorder="1" applyAlignment="1" applyProtection="1">
      <alignment horizontal="center"/>
      <protection locked="0"/>
    </xf>
    <xf numFmtId="0" fontId="46" fillId="39" borderId="43" xfId="35" applyFont="1" applyFill="1" applyBorder="1" applyAlignment="1" applyProtection="1">
      <alignment horizontal="center"/>
      <protection locked="0"/>
    </xf>
    <xf numFmtId="0" fontId="46" fillId="0" borderId="43" xfId="0" applyFont="1" applyBorder="1" applyAlignment="1" applyProtection="1">
      <alignment horizontal="center"/>
      <protection locked="0"/>
    </xf>
    <xf numFmtId="3" fontId="6" fillId="0" borderId="59" xfId="35" quotePrefix="1" applyNumberFormat="1" applyBorder="1" applyAlignment="1">
      <alignment horizontal="center"/>
    </xf>
    <xf numFmtId="0" fontId="0" fillId="0" borderId="65" xfId="0" applyBorder="1" applyAlignment="1">
      <alignment horizontal="center"/>
    </xf>
    <xf numFmtId="164" fontId="6" fillId="0" borderId="59" xfId="35" quotePrefix="1" applyNumberFormat="1" applyBorder="1" applyAlignment="1">
      <alignment horizontal="center"/>
    </xf>
    <xf numFmtId="0" fontId="6" fillId="0" borderId="18" xfId="35" quotePrefix="1" applyNumberFormat="1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14" fontId="6" fillId="0" borderId="18" xfId="35" quotePrefix="1" applyNumberFormat="1" applyBorder="1" applyAlignment="1">
      <alignment horizontal="center" vertical="top" wrapText="1"/>
    </xf>
    <xf numFmtId="14" fontId="0" fillId="0" borderId="49" xfId="0" applyNumberFormat="1" applyBorder="1" applyAlignment="1">
      <alignment horizontal="center" vertical="top" wrapText="1"/>
    </xf>
    <xf numFmtId="3" fontId="6" fillId="0" borderId="18" xfId="35" quotePrefix="1" applyNumberFormat="1" applyBorder="1" applyAlignment="1">
      <alignment horizontal="center"/>
    </xf>
    <xf numFmtId="0" fontId="0" fillId="0" borderId="49" xfId="0" applyBorder="1" applyAlignment="1"/>
    <xf numFmtId="0" fontId="6" fillId="0" borderId="18" xfId="35" quotePrefix="1" applyNumberFormat="1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18" xfId="0" applyBorder="1" applyAlignment="1">
      <alignment shrinkToFit="1"/>
    </xf>
    <xf numFmtId="0" fontId="0" fillId="0" borderId="49" xfId="0" applyBorder="1" applyAlignment="1">
      <alignment shrinkToFit="1"/>
    </xf>
    <xf numFmtId="0" fontId="6" fillId="0" borderId="59" xfId="35" quotePrefix="1" applyNumberFormat="1" applyBorder="1" applyAlignment="1">
      <alignment shrinkToFit="1"/>
    </xf>
    <xf numFmtId="0" fontId="0" fillId="0" borderId="65" xfId="0" applyBorder="1" applyAlignment="1">
      <alignment shrinkToFit="1"/>
    </xf>
    <xf numFmtId="0" fontId="6" fillId="0" borderId="66" xfId="35" quotePrefix="1" applyNumberFormat="1" applyBorder="1" applyAlignment="1">
      <alignment shrinkToFit="1"/>
    </xf>
    <xf numFmtId="0" fontId="0" fillId="0" borderId="68" xfId="0" applyBorder="1" applyAlignment="1">
      <alignment shrinkToFit="1"/>
    </xf>
    <xf numFmtId="0" fontId="45" fillId="38" borderId="20" xfId="30" applyFont="1" applyFill="1" applyBorder="1" applyAlignment="1" applyProtection="1">
      <alignment horizontal="left"/>
      <protection locked="0"/>
    </xf>
    <xf numFmtId="0" fontId="45" fillId="38" borderId="102" xfId="30" applyFont="1" applyFill="1" applyBorder="1" applyAlignment="1" applyProtection="1">
      <alignment horizontal="left"/>
      <protection locked="0"/>
    </xf>
    <xf numFmtId="0" fontId="45" fillId="38" borderId="118" xfId="30" applyFont="1" applyFill="1" applyBorder="1" applyAlignment="1" applyProtection="1">
      <alignment horizontal="left"/>
      <protection locked="0"/>
    </xf>
    <xf numFmtId="0" fontId="45" fillId="38" borderId="74" xfId="30" applyFont="1" applyFill="1" applyBorder="1" applyAlignment="1" applyProtection="1">
      <alignment horizontal="center" shrinkToFit="1"/>
      <protection locked="0"/>
    </xf>
    <xf numFmtId="0" fontId="45" fillId="38" borderId="75" xfId="0" applyFont="1" applyFill="1" applyBorder="1" applyAlignment="1" applyProtection="1">
      <alignment horizontal="center" shrinkToFit="1"/>
      <protection locked="0"/>
    </xf>
    <xf numFmtId="0" fontId="45" fillId="38" borderId="76" xfId="30" applyFont="1" applyFill="1" applyBorder="1" applyAlignment="1" applyProtection="1">
      <alignment horizontal="center"/>
      <protection locked="0"/>
    </xf>
    <xf numFmtId="0" fontId="45" fillId="38" borderId="76" xfId="30" applyNumberFormat="1" applyFont="1" applyFill="1" applyBorder="1" applyAlignment="1" applyProtection="1">
      <alignment horizontal="center"/>
      <protection locked="0"/>
    </xf>
    <xf numFmtId="2" fontId="45" fillId="38" borderId="76" xfId="30" applyNumberFormat="1" applyFont="1" applyFill="1" applyBorder="1" applyAlignment="1" applyProtection="1">
      <alignment horizontal="center"/>
      <protection locked="0"/>
    </xf>
    <xf numFmtId="3" fontId="45" fillId="38" borderId="50" xfId="30" applyNumberFormat="1" applyFont="1" applyFill="1" applyBorder="1" applyAlignment="1" applyProtection="1">
      <alignment horizontal="center" shrinkToFit="1"/>
    </xf>
    <xf numFmtId="0" fontId="45" fillId="38" borderId="70" xfId="30" applyNumberFormat="1" applyFont="1" applyFill="1" applyBorder="1" applyAlignment="1" applyProtection="1">
      <alignment horizontal="center"/>
    </xf>
    <xf numFmtId="0" fontId="45" fillId="38" borderId="84" xfId="30" applyFont="1" applyFill="1" applyBorder="1" applyAlignment="1" applyProtection="1">
      <alignment horizontal="left" shrinkToFit="1"/>
    </xf>
    <xf numFmtId="0" fontId="45" fillId="38" borderId="136" xfId="0" applyFont="1" applyFill="1" applyBorder="1" applyAlignment="1" applyProtection="1">
      <alignment horizontal="left" shrinkToFit="1"/>
    </xf>
  </cellXfs>
  <cellStyles count="55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usgabe" xfId="19" xr:uid="{00000000-0005-0000-0000-000012000000}"/>
    <cellStyle name="Ausgabe 2" xfId="46" xr:uid="{00000000-0005-0000-0000-000013000000}"/>
    <cellStyle name="Berechnung" xfId="20" xr:uid="{00000000-0005-0000-0000-000014000000}"/>
    <cellStyle name="Berechnung 2" xfId="47" xr:uid="{00000000-0005-0000-0000-000015000000}"/>
    <cellStyle name="Eingabe" xfId="21" xr:uid="{00000000-0005-0000-0000-000016000000}"/>
    <cellStyle name="Eingabe 2" xfId="48" xr:uid="{00000000-0005-0000-0000-000017000000}"/>
    <cellStyle name="Ergebnis" xfId="22" xr:uid="{00000000-0005-0000-0000-000018000000}"/>
    <cellStyle name="Ergebnis 2" xfId="49" xr:uid="{00000000-0005-0000-0000-000019000000}"/>
    <cellStyle name="Erklärender Text" xfId="23" xr:uid="{00000000-0005-0000-0000-00001A000000}"/>
    <cellStyle name="Erklärender Text 2" xfId="50" xr:uid="{00000000-0005-0000-0000-00001B000000}"/>
    <cellStyle name="Millares [0]_~2124828" xfId="24" xr:uid="{00000000-0005-0000-0000-00001C000000}"/>
    <cellStyle name="Millares_~2124828" xfId="25" xr:uid="{00000000-0005-0000-0000-00001D000000}"/>
    <cellStyle name="Moneda [0]_~2124828" xfId="26" xr:uid="{00000000-0005-0000-0000-00001E000000}"/>
    <cellStyle name="Moneda_~2124828" xfId="27" xr:uid="{00000000-0005-0000-0000-00001F000000}"/>
    <cellStyle name="Neutral" xfId="28" builtinId="28" customBuiltin="1"/>
    <cellStyle name="Neutral 2" xfId="51" xr:uid="{00000000-0005-0000-0000-000021000000}"/>
    <cellStyle name="Normal" xfId="0" builtinId="0"/>
    <cellStyle name="Normal 2" xfId="29" xr:uid="{00000000-0005-0000-0000-000022000000}"/>
    <cellStyle name="Normal 2 2" xfId="30" xr:uid="{00000000-0005-0000-0000-000023000000}"/>
    <cellStyle name="Normal 3" xfId="31" xr:uid="{00000000-0005-0000-0000-000024000000}"/>
    <cellStyle name="Normal 3 2" xfId="32" xr:uid="{00000000-0005-0000-0000-000025000000}"/>
    <cellStyle name="Normal 3 2 2" xfId="33" xr:uid="{00000000-0005-0000-0000-000026000000}"/>
    <cellStyle name="Normal 3 3" xfId="34" xr:uid="{00000000-0005-0000-0000-000027000000}"/>
    <cellStyle name="Normal 4" xfId="35" xr:uid="{00000000-0005-0000-0000-000028000000}"/>
    <cellStyle name="Normal 5" xfId="36" xr:uid="{00000000-0005-0000-0000-000029000000}"/>
    <cellStyle name="Percent" xfId="41" builtinId="5"/>
    <cellStyle name="Percent 2" xfId="37" xr:uid="{00000000-0005-0000-0000-00002A000000}"/>
    <cellStyle name="Percent 2 2" xfId="38" xr:uid="{00000000-0005-0000-0000-00002B000000}"/>
    <cellStyle name="Percent 3" xfId="39" xr:uid="{00000000-0005-0000-0000-00002C000000}"/>
    <cellStyle name="Percent 3 2" xfId="40" xr:uid="{00000000-0005-0000-0000-00002D000000}"/>
    <cellStyle name="Prozent 2" xfId="52" xr:uid="{00000000-0005-0000-0000-00002F000000}"/>
    <cellStyle name="Standard 2" xfId="42" xr:uid="{00000000-0005-0000-0000-000031000000}"/>
    <cellStyle name="Standard 3" xfId="45" xr:uid="{00000000-0005-0000-0000-000032000000}"/>
    <cellStyle name="Standard 3 2" xfId="54" xr:uid="{00000000-0005-0000-0000-000033000000}"/>
    <cellStyle name="Standard 4" xfId="44" xr:uid="{00000000-0005-0000-0000-000034000000}"/>
    <cellStyle name="Warnender Text" xfId="43" xr:uid="{00000000-0005-0000-0000-000035000000}"/>
    <cellStyle name="Warnender Text 2" xfId="53" xr:uid="{00000000-0005-0000-0000-000036000000}"/>
  </cellStyles>
  <dxfs count="1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  <fill>
        <patternFill patternType="none">
          <bgColor indexed="65"/>
        </patternFill>
      </fill>
    </dxf>
    <dxf>
      <font>
        <color theme="0" tint="-0.34998626667073579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ont>
        <b/>
        <i val="0"/>
        <color rgb="FFFF99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24994659260841701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ont>
        <b/>
        <i val="0"/>
        <color rgb="FFFF99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24994659260841701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ont>
        <b/>
        <i val="0"/>
        <color rgb="FFFF99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24994659260841701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ont>
        <b/>
        <i val="0"/>
        <color rgb="FFFF99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24994659260841701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wmf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jpeg"/><Relationship Id="rId1" Type="http://schemas.openxmlformats.org/officeDocument/2006/relationships/image" Target="../media/image8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jpeg"/><Relationship Id="rId1" Type="http://schemas.openxmlformats.org/officeDocument/2006/relationships/image" Target="../media/image8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jpeg"/><Relationship Id="rId1" Type="http://schemas.openxmlformats.org/officeDocument/2006/relationships/image" Target="../media/image8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4.emf"/><Relationship Id="rId7" Type="http://schemas.openxmlformats.org/officeDocument/2006/relationships/image" Target="../media/image17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6" Type="http://schemas.openxmlformats.org/officeDocument/2006/relationships/image" Target="../media/image18.emf"/><Relationship Id="rId5" Type="http://schemas.openxmlformats.org/officeDocument/2006/relationships/image" Target="../media/image19.emf"/><Relationship Id="rId4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22.emf"/><Relationship Id="rId3" Type="http://schemas.openxmlformats.org/officeDocument/2006/relationships/image" Target="../media/image4.emf"/><Relationship Id="rId7" Type="http://schemas.openxmlformats.org/officeDocument/2006/relationships/image" Target="../media/image23.emf"/><Relationship Id="rId2" Type="http://schemas.openxmlformats.org/officeDocument/2006/relationships/image" Target="../media/image20.emf"/><Relationship Id="rId1" Type="http://schemas.openxmlformats.org/officeDocument/2006/relationships/image" Target="../media/image25.emf"/><Relationship Id="rId6" Type="http://schemas.openxmlformats.org/officeDocument/2006/relationships/image" Target="../media/image24.emf"/><Relationship Id="rId5" Type="http://schemas.openxmlformats.org/officeDocument/2006/relationships/image" Target="../media/image19.emf"/><Relationship Id="rId4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26.emf"/><Relationship Id="rId3" Type="http://schemas.openxmlformats.org/officeDocument/2006/relationships/image" Target="../media/image4.emf"/><Relationship Id="rId7" Type="http://schemas.openxmlformats.org/officeDocument/2006/relationships/image" Target="../media/image27.emf"/><Relationship Id="rId2" Type="http://schemas.openxmlformats.org/officeDocument/2006/relationships/image" Target="../media/image20.emf"/><Relationship Id="rId1" Type="http://schemas.openxmlformats.org/officeDocument/2006/relationships/image" Target="../media/image29.emf"/><Relationship Id="rId6" Type="http://schemas.openxmlformats.org/officeDocument/2006/relationships/image" Target="../media/image28.emf"/><Relationship Id="rId5" Type="http://schemas.openxmlformats.org/officeDocument/2006/relationships/image" Target="../media/image19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3</xdr:col>
      <xdr:colOff>285750</xdr:colOff>
      <xdr:row>0</xdr:row>
      <xdr:rowOff>0</xdr:rowOff>
    </xdr:to>
    <xdr:pic>
      <xdr:nvPicPr>
        <xdr:cNvPr id="5513265" name="Picture 88" descr="ALV-Logo-1c-reflexblue-equiv">
          <a:extLst>
            <a:ext uri="{FF2B5EF4-FFF2-40B4-BE49-F238E27FC236}">
              <a16:creationId xmlns:a16="http://schemas.microsoft.com/office/drawing/2014/main" id="{00000000-0008-0000-0000-00003120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25879</xdr:colOff>
          <xdr:row>0</xdr:row>
          <xdr:rowOff>94891</xdr:rowOff>
        </xdr:from>
        <xdr:to>
          <xdr:col>25</xdr:col>
          <xdr:colOff>51758</xdr:colOff>
          <xdr:row>0</xdr:row>
          <xdr:rowOff>448574</xdr:rowOff>
        </xdr:to>
        <xdr:sp macro="" textlink="">
          <xdr:nvSpPr>
            <xdr:cNvPr id="5513218" name="cmdCopySheet" hidden="1">
              <a:extLst>
                <a:ext uri="{63B3BB69-23CF-44E3-9099-C40C66FF867C}">
                  <a14:compatExt spid="_x0000_s5513218"/>
                </a:ext>
                <a:ext uri="{FF2B5EF4-FFF2-40B4-BE49-F238E27FC236}">
                  <a16:creationId xmlns:a16="http://schemas.microsoft.com/office/drawing/2014/main" id="{00000000-0008-0000-0000-0000022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129396</xdr:colOff>
          <xdr:row>12</xdr:row>
          <xdr:rowOff>129396</xdr:rowOff>
        </xdr:from>
        <xdr:to>
          <xdr:col>17</xdr:col>
          <xdr:colOff>379562</xdr:colOff>
          <xdr:row>14</xdr:row>
          <xdr:rowOff>43132</xdr:rowOff>
        </xdr:to>
        <xdr:sp macro="" textlink="">
          <xdr:nvSpPr>
            <xdr:cNvPr id="5513219" name="SpinButton1" hidden="1">
              <a:extLst>
                <a:ext uri="{63B3BB69-23CF-44E3-9099-C40C66FF867C}">
                  <a14:compatExt spid="_x0000_s5513219"/>
                </a:ext>
                <a:ext uri="{FF2B5EF4-FFF2-40B4-BE49-F238E27FC236}">
                  <a16:creationId xmlns:a16="http://schemas.microsoft.com/office/drawing/2014/main" id="{00000000-0008-0000-0000-0000032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112143</xdr:colOff>
          <xdr:row>35</xdr:row>
          <xdr:rowOff>163902</xdr:rowOff>
        </xdr:from>
        <xdr:to>
          <xdr:col>17</xdr:col>
          <xdr:colOff>370936</xdr:colOff>
          <xdr:row>37</xdr:row>
          <xdr:rowOff>155275</xdr:rowOff>
        </xdr:to>
        <xdr:sp macro="" textlink="">
          <xdr:nvSpPr>
            <xdr:cNvPr id="5513220" name="SpinButton2" hidden="1">
              <a:extLst>
                <a:ext uri="{63B3BB69-23CF-44E3-9099-C40C66FF867C}">
                  <a14:compatExt spid="_x0000_s5513220"/>
                </a:ext>
                <a:ext uri="{FF2B5EF4-FFF2-40B4-BE49-F238E27FC236}">
                  <a16:creationId xmlns:a16="http://schemas.microsoft.com/office/drawing/2014/main" id="{00000000-0008-0000-0000-0000042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129396</xdr:colOff>
          <xdr:row>64</xdr:row>
          <xdr:rowOff>207034</xdr:rowOff>
        </xdr:from>
        <xdr:to>
          <xdr:col>17</xdr:col>
          <xdr:colOff>379562</xdr:colOff>
          <xdr:row>65</xdr:row>
          <xdr:rowOff>86264</xdr:rowOff>
        </xdr:to>
        <xdr:sp macro="" textlink="">
          <xdr:nvSpPr>
            <xdr:cNvPr id="5513221" name="SpinButton3" hidden="1">
              <a:extLst>
                <a:ext uri="{63B3BB69-23CF-44E3-9099-C40C66FF867C}">
                  <a14:compatExt spid="_x0000_s5513221"/>
                </a:ext>
                <a:ext uri="{FF2B5EF4-FFF2-40B4-BE49-F238E27FC236}">
                  <a16:creationId xmlns:a16="http://schemas.microsoft.com/office/drawing/2014/main" id="{00000000-0008-0000-0000-0000052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181155</xdr:colOff>
          <xdr:row>122</xdr:row>
          <xdr:rowOff>17253</xdr:rowOff>
        </xdr:from>
        <xdr:to>
          <xdr:col>17</xdr:col>
          <xdr:colOff>422694</xdr:colOff>
          <xdr:row>125</xdr:row>
          <xdr:rowOff>8626</xdr:rowOff>
        </xdr:to>
        <xdr:sp macro="" textlink="">
          <xdr:nvSpPr>
            <xdr:cNvPr id="5513222" name="SpinButton4" hidden="1">
              <a:extLst>
                <a:ext uri="{63B3BB69-23CF-44E3-9099-C40C66FF867C}">
                  <a14:compatExt spid="_x0000_s5513222"/>
                </a:ext>
                <a:ext uri="{FF2B5EF4-FFF2-40B4-BE49-F238E27FC236}">
                  <a16:creationId xmlns:a16="http://schemas.microsoft.com/office/drawing/2014/main" id="{00000000-0008-0000-0000-0000062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</xdr:row>
          <xdr:rowOff>60385</xdr:rowOff>
        </xdr:from>
        <xdr:to>
          <xdr:col>25</xdr:col>
          <xdr:colOff>25879</xdr:colOff>
          <xdr:row>3</xdr:row>
          <xdr:rowOff>112143</xdr:rowOff>
        </xdr:to>
        <xdr:sp macro="" textlink="">
          <xdr:nvSpPr>
            <xdr:cNvPr id="5513224" name="CmdClearSheet" hidden="1">
              <a:extLst>
                <a:ext uri="{63B3BB69-23CF-44E3-9099-C40C66FF867C}">
                  <a14:compatExt spid="_x0000_s5513224"/>
                </a:ext>
                <a:ext uri="{FF2B5EF4-FFF2-40B4-BE49-F238E27FC236}">
                  <a16:creationId xmlns:a16="http://schemas.microsoft.com/office/drawing/2014/main" id="{00000000-0008-0000-0000-0000082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112143</xdr:colOff>
          <xdr:row>0</xdr:row>
          <xdr:rowOff>215660</xdr:rowOff>
        </xdr:from>
        <xdr:to>
          <xdr:col>13</xdr:col>
          <xdr:colOff>370936</xdr:colOff>
          <xdr:row>3</xdr:row>
          <xdr:rowOff>51758</xdr:rowOff>
        </xdr:to>
        <xdr:sp macro="" textlink="">
          <xdr:nvSpPr>
            <xdr:cNvPr id="5513271" name="cmdPartPicture" hidden="1">
              <a:extLst>
                <a:ext uri="{63B3BB69-23CF-44E3-9099-C40C66FF867C}">
                  <a14:compatExt spid="_x0000_s5513271"/>
                </a:ext>
                <a:ext uri="{FF2B5EF4-FFF2-40B4-BE49-F238E27FC236}">
                  <a16:creationId xmlns:a16="http://schemas.microsoft.com/office/drawing/2014/main" id="{00000000-0008-0000-0000-0000372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388189</xdr:rowOff>
        </xdr:from>
        <xdr:to>
          <xdr:col>1</xdr:col>
          <xdr:colOff>69011</xdr:colOff>
          <xdr:row>65</xdr:row>
          <xdr:rowOff>17253</xdr:rowOff>
        </xdr:to>
        <xdr:sp macro="" textlink="">
          <xdr:nvSpPr>
            <xdr:cNvPr id="5513283" name="orderSection24" hidden="1">
              <a:extLst>
                <a:ext uri="{63B3BB69-23CF-44E3-9099-C40C66FF867C}">
                  <a14:compatExt spid="_x0000_s5513283"/>
                </a:ext>
                <a:ext uri="{FF2B5EF4-FFF2-40B4-BE49-F238E27FC236}">
                  <a16:creationId xmlns:a16="http://schemas.microsoft.com/office/drawing/2014/main" id="{00000000-0008-0000-0000-0000432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11</xdr:col>
      <xdr:colOff>505548</xdr:colOff>
      <xdr:row>0</xdr:row>
      <xdr:rowOff>76200</xdr:rowOff>
    </xdr:from>
    <xdr:to>
      <xdr:col>14</xdr:col>
      <xdr:colOff>397598</xdr:colOff>
      <xdr:row>4</xdr:row>
      <xdr:rowOff>85725</xdr:rowOff>
    </xdr:to>
    <xdr:pic>
      <xdr:nvPicPr>
        <xdr:cNvPr id="2" name="calc4xl_pictureOfP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5263" y="76200"/>
          <a:ext cx="1892300" cy="10668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0</xdr:row>
      <xdr:rowOff>0</xdr:rowOff>
    </xdr:from>
    <xdr:to>
      <xdr:col>3</xdr:col>
      <xdr:colOff>177588</xdr:colOff>
      <xdr:row>1</xdr:row>
      <xdr:rowOff>0</xdr:rowOff>
    </xdr:to>
    <xdr:pic>
      <xdr:nvPicPr>
        <xdr:cNvPr id="3" name="calc4xl_logo2017" title="CALC4XL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950" y="0"/>
          <a:ext cx="1552363" cy="600075"/>
        </a:xfrm>
        <a:prstGeom prst="rect">
          <a:avLst/>
        </a:prstGeom>
      </xdr:spPr>
    </xdr:pic>
    <xdr:clientData/>
  </xdr:twoCellAnchor>
  <xdr:twoCellAnchor editAs="oneCell">
    <xdr:from>
      <xdr:col>30</xdr:col>
      <xdr:colOff>412011</xdr:colOff>
      <xdr:row>5</xdr:row>
      <xdr:rowOff>14377</xdr:rowOff>
    </xdr:from>
    <xdr:to>
      <xdr:col>47</xdr:col>
      <xdr:colOff>329691</xdr:colOff>
      <xdr:row>64</xdr:row>
      <xdr:rowOff>366951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C947C2-D185-4C45-8F6C-2B3187F8B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17483" y="1222075"/>
          <a:ext cx="6761303" cy="3731253"/>
        </a:xfrm>
        <a:prstGeom prst="rect">
          <a:avLst/>
        </a:prstGeom>
        <a:ln w="25400">
          <a:solidFill>
            <a:srgbClr val="C00000"/>
          </a:solidFill>
        </a:ln>
      </xdr:spPr>
    </xdr:pic>
    <xdr:clientData/>
  </xdr:twoCellAnchor>
  <xdr:twoCellAnchor>
    <xdr:from>
      <xdr:col>17</xdr:col>
      <xdr:colOff>531963</xdr:colOff>
      <xdr:row>0</xdr:row>
      <xdr:rowOff>201283</xdr:rowOff>
    </xdr:from>
    <xdr:to>
      <xdr:col>42</xdr:col>
      <xdr:colOff>316303</xdr:colOff>
      <xdr:row>4</xdr:row>
      <xdr:rowOff>43132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F8C374C-BCE1-4B1D-9114-8B86928CAF3C}"/>
            </a:ext>
          </a:extLst>
        </xdr:cNvPr>
        <xdr:cNvSpPr/>
      </xdr:nvSpPr>
      <xdr:spPr>
        <a:xfrm>
          <a:off x="10092906" y="201283"/>
          <a:ext cx="8942717" cy="891396"/>
        </a:xfrm>
        <a:prstGeom prst="rect">
          <a:avLst/>
        </a:prstGeom>
        <a:ln w="28575">
          <a:solidFill>
            <a:srgbClr val="C00000"/>
          </a:solidFill>
          <a:prstDash val="dash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Note: This is a static file and when the software</a:t>
          </a:r>
          <a:r>
            <a:rPr lang="en-GB" sz="1400" baseline="0"/>
            <a:t> is installed becomes a </a:t>
          </a:r>
          <a:r>
            <a:rPr lang="en-GB" sz="1400" b="1" baseline="0"/>
            <a:t>dynamic file.</a:t>
          </a:r>
          <a:endParaRPr lang="en-GB" sz="1400" b="1"/>
        </a:p>
        <a:p>
          <a:pPr algn="l"/>
          <a:r>
            <a:rPr lang="en-GB" sz="1400"/>
            <a:t>By</a:t>
          </a:r>
          <a:r>
            <a:rPr lang="en-GB" sz="1400" baseline="0"/>
            <a:t> double clicking the cells highlighted in Yellow brings up the following pop up screens / cost models.</a:t>
          </a:r>
          <a:endParaRPr lang="en-GB" sz="1400"/>
        </a:p>
      </xdr:txBody>
    </xdr:sp>
    <xdr:clientData/>
  </xdr:twoCellAnchor>
  <xdr:twoCellAnchor>
    <xdr:from>
      <xdr:col>9</xdr:col>
      <xdr:colOff>603849</xdr:colOff>
      <xdr:row>3</xdr:row>
      <xdr:rowOff>86263</xdr:rowOff>
    </xdr:from>
    <xdr:to>
      <xdr:col>30</xdr:col>
      <xdr:colOff>412011</xdr:colOff>
      <xdr:row>15</xdr:row>
      <xdr:rowOff>140344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294E3F5-91A4-47D0-B550-17D44546ED1C}"/>
            </a:ext>
          </a:extLst>
        </xdr:cNvPr>
        <xdr:cNvCxnSpPr>
          <a:endCxn id="4" idx="1"/>
        </xdr:cNvCxnSpPr>
      </xdr:nvCxnSpPr>
      <xdr:spPr>
        <a:xfrm>
          <a:off x="5492151" y="977660"/>
          <a:ext cx="9225332" cy="2110042"/>
        </a:xfrm>
        <a:prstGeom prst="straightConnector1">
          <a:avLst/>
        </a:prstGeom>
        <a:ln w="28575">
          <a:solidFill>
            <a:srgbClr val="C00000"/>
          </a:solidFill>
          <a:headEnd type="oval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402565</xdr:colOff>
      <xdr:row>65</xdr:row>
      <xdr:rowOff>71886</xdr:rowOff>
    </xdr:from>
    <xdr:to>
      <xdr:col>32</xdr:col>
      <xdr:colOff>386548</xdr:colOff>
      <xdr:row>99</xdr:row>
      <xdr:rowOff>38616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BE5DC3C-A736-4F0C-94BA-1DAD7410CCC2}"/>
            </a:ext>
          </a:extLst>
        </xdr:cNvPr>
        <xdr:cNvCxnSpPr>
          <a:endCxn id="9" idx="1"/>
        </xdr:cNvCxnSpPr>
      </xdr:nvCxnSpPr>
      <xdr:spPr>
        <a:xfrm>
          <a:off x="2573547" y="5262113"/>
          <a:ext cx="13139264" cy="2108956"/>
        </a:xfrm>
        <a:prstGeom prst="straightConnector1">
          <a:avLst/>
        </a:prstGeom>
        <a:ln w="28575">
          <a:solidFill>
            <a:srgbClr val="C00000"/>
          </a:solidFill>
          <a:headEnd type="oval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747623</xdr:colOff>
      <xdr:row>12</xdr:row>
      <xdr:rowOff>2</xdr:rowOff>
    </xdr:from>
    <xdr:to>
      <xdr:col>28</xdr:col>
      <xdr:colOff>215662</xdr:colOff>
      <xdr:row>93</xdr:row>
      <xdr:rowOff>115019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F881E69-9B7C-477D-891D-3C032A4EFB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59993" b="463"/>
        <a:stretch/>
      </xdr:blipFill>
      <xdr:spPr>
        <a:xfrm>
          <a:off x="10308566" y="2228492"/>
          <a:ext cx="3119888" cy="4327584"/>
        </a:xfrm>
        <a:prstGeom prst="rect">
          <a:avLst/>
        </a:prstGeom>
        <a:ln w="25400">
          <a:solidFill>
            <a:srgbClr val="C00000"/>
          </a:solidFill>
        </a:ln>
      </xdr:spPr>
    </xdr:pic>
    <xdr:clientData/>
  </xdr:twoCellAnchor>
  <xdr:twoCellAnchor editAs="oneCell">
    <xdr:from>
      <xdr:col>32</xdr:col>
      <xdr:colOff>386548</xdr:colOff>
      <xdr:row>66</xdr:row>
      <xdr:rowOff>138022</xdr:rowOff>
    </xdr:from>
    <xdr:to>
      <xdr:col>48</xdr:col>
      <xdr:colOff>503211</xdr:colOff>
      <xdr:row>108</xdr:row>
      <xdr:rowOff>68606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132D2E1-F06C-4E9E-874C-F6C87FA8D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12811" y="5486399"/>
          <a:ext cx="6730248" cy="3769339"/>
        </a:xfrm>
        <a:prstGeom prst="rect">
          <a:avLst/>
        </a:prstGeom>
        <a:ln w="25400">
          <a:solidFill>
            <a:srgbClr val="C00000"/>
          </a:solidFill>
        </a:ln>
      </xdr:spPr>
    </xdr:pic>
    <xdr:clientData/>
  </xdr:twoCellAnchor>
  <xdr:twoCellAnchor>
    <xdr:from>
      <xdr:col>8</xdr:col>
      <xdr:colOff>526211</xdr:colOff>
      <xdr:row>13</xdr:row>
      <xdr:rowOff>80513</xdr:rowOff>
    </xdr:from>
    <xdr:to>
      <xdr:col>17</xdr:col>
      <xdr:colOff>747623</xdr:colOff>
      <xdr:row>62</xdr:row>
      <xdr:rowOff>35944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4EFD420C-3AAE-4226-AED0-29FB281C8396}"/>
            </a:ext>
          </a:extLst>
        </xdr:cNvPr>
        <xdr:cNvCxnSpPr>
          <a:endCxn id="15" idx="1"/>
        </xdr:cNvCxnSpPr>
      </xdr:nvCxnSpPr>
      <xdr:spPr>
        <a:xfrm>
          <a:off x="4781909" y="2711570"/>
          <a:ext cx="5526657" cy="1680714"/>
        </a:xfrm>
        <a:prstGeom prst="straightConnector1">
          <a:avLst/>
        </a:prstGeom>
        <a:ln w="28575">
          <a:solidFill>
            <a:srgbClr val="C00000"/>
          </a:solidFill>
          <a:headEnd type="oval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531963</xdr:colOff>
      <xdr:row>110</xdr:row>
      <xdr:rowOff>57510</xdr:rowOff>
    </xdr:from>
    <xdr:to>
      <xdr:col>36</xdr:col>
      <xdr:colOff>121637</xdr:colOff>
      <xdr:row>136</xdr:row>
      <xdr:rowOff>143774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FBADA27-6897-4C26-B5F1-2E051053C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092906" y="9618453"/>
          <a:ext cx="7065901" cy="3939396"/>
        </a:xfrm>
        <a:prstGeom prst="rect">
          <a:avLst/>
        </a:prstGeom>
        <a:ln w="25400">
          <a:solidFill>
            <a:srgbClr val="C00000"/>
          </a:solidFill>
        </a:ln>
      </xdr:spPr>
    </xdr:pic>
    <xdr:clientData/>
  </xdr:twoCellAnchor>
  <xdr:twoCellAnchor>
    <xdr:from>
      <xdr:col>7</xdr:col>
      <xdr:colOff>531962</xdr:colOff>
      <xdr:row>65</xdr:row>
      <xdr:rowOff>100641</xdr:rowOff>
    </xdr:from>
    <xdr:to>
      <xdr:col>17</xdr:col>
      <xdr:colOff>531963</xdr:colOff>
      <xdr:row>121</xdr:row>
      <xdr:rowOff>158151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30E151BE-FE55-413F-8A0D-B05C73EE8E91}"/>
            </a:ext>
          </a:extLst>
        </xdr:cNvPr>
        <xdr:cNvCxnSpPr>
          <a:endCxn id="21" idx="1"/>
        </xdr:cNvCxnSpPr>
      </xdr:nvCxnSpPr>
      <xdr:spPr>
        <a:xfrm>
          <a:off x="4169434" y="5290868"/>
          <a:ext cx="5923472" cy="6297283"/>
        </a:xfrm>
        <a:prstGeom prst="straightConnector1">
          <a:avLst/>
        </a:prstGeom>
        <a:ln w="28575">
          <a:solidFill>
            <a:srgbClr val="C00000"/>
          </a:solidFill>
          <a:headEnd type="oval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632604</xdr:colOff>
      <xdr:row>98</xdr:row>
      <xdr:rowOff>14376</xdr:rowOff>
    </xdr:from>
    <xdr:to>
      <xdr:col>28</xdr:col>
      <xdr:colOff>431320</xdr:colOff>
      <xdr:row>112</xdr:row>
      <xdr:rowOff>86359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BA1DB1B-5D71-41CB-B3B2-2A884D2094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8189" t="15096" r="31466" b="21883"/>
        <a:stretch/>
      </xdr:blipFill>
      <xdr:spPr>
        <a:xfrm>
          <a:off x="10193547" y="7188678"/>
          <a:ext cx="3450565" cy="3004964"/>
        </a:xfrm>
        <a:prstGeom prst="rect">
          <a:avLst/>
        </a:prstGeom>
        <a:ln w="25400">
          <a:solidFill>
            <a:srgbClr val="C00000"/>
          </a:solidFill>
        </a:ln>
      </xdr:spPr>
    </xdr:pic>
    <xdr:clientData/>
  </xdr:twoCellAnchor>
  <xdr:twoCellAnchor>
    <xdr:from>
      <xdr:col>8</xdr:col>
      <xdr:colOff>560717</xdr:colOff>
      <xdr:row>65</xdr:row>
      <xdr:rowOff>71886</xdr:rowOff>
    </xdr:from>
    <xdr:to>
      <xdr:col>17</xdr:col>
      <xdr:colOff>632604</xdr:colOff>
      <xdr:row>106</xdr:row>
      <xdr:rowOff>136632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E6B9A30A-4C4B-49A5-B453-6A91217FA72B}"/>
            </a:ext>
          </a:extLst>
        </xdr:cNvPr>
        <xdr:cNvCxnSpPr>
          <a:endCxn id="28" idx="1"/>
        </xdr:cNvCxnSpPr>
      </xdr:nvCxnSpPr>
      <xdr:spPr>
        <a:xfrm>
          <a:off x="4816415" y="5262113"/>
          <a:ext cx="5377132" cy="3429047"/>
        </a:xfrm>
        <a:prstGeom prst="straightConnector1">
          <a:avLst/>
        </a:prstGeom>
        <a:ln w="28575">
          <a:solidFill>
            <a:srgbClr val="C00000"/>
          </a:solidFill>
          <a:headEnd type="oval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3</xdr:col>
      <xdr:colOff>285750</xdr:colOff>
      <xdr:row>0</xdr:row>
      <xdr:rowOff>0</xdr:rowOff>
    </xdr:to>
    <xdr:pic>
      <xdr:nvPicPr>
        <xdr:cNvPr id="2" name="Picture 88" descr="ALV-Logo-1c-reflexblue-equiv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992" y="0"/>
          <a:ext cx="162428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25879</xdr:colOff>
          <xdr:row>0</xdr:row>
          <xdr:rowOff>94891</xdr:rowOff>
        </xdr:from>
        <xdr:to>
          <xdr:col>25</xdr:col>
          <xdr:colOff>86264</xdr:colOff>
          <xdr:row>0</xdr:row>
          <xdr:rowOff>448574</xdr:rowOff>
        </xdr:to>
        <xdr:sp macro="" textlink="">
          <xdr:nvSpPr>
            <xdr:cNvPr id="5517313" name="cmdCopySheet" hidden="1">
              <a:extLst>
                <a:ext uri="{63B3BB69-23CF-44E3-9099-C40C66FF867C}">
                  <a14:compatExt spid="_x0000_s5517313"/>
                </a:ext>
                <a:ext uri="{FF2B5EF4-FFF2-40B4-BE49-F238E27FC236}">
                  <a16:creationId xmlns:a16="http://schemas.microsoft.com/office/drawing/2014/main" id="{00000000-0008-0000-0100-0000013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129396</xdr:colOff>
          <xdr:row>12</xdr:row>
          <xdr:rowOff>129396</xdr:rowOff>
        </xdr:from>
        <xdr:to>
          <xdr:col>17</xdr:col>
          <xdr:colOff>379562</xdr:colOff>
          <xdr:row>14</xdr:row>
          <xdr:rowOff>51758</xdr:rowOff>
        </xdr:to>
        <xdr:sp macro="" textlink="">
          <xdr:nvSpPr>
            <xdr:cNvPr id="5517314" name="SpinButton1" hidden="1">
              <a:extLst>
                <a:ext uri="{63B3BB69-23CF-44E3-9099-C40C66FF867C}">
                  <a14:compatExt spid="_x0000_s5517314"/>
                </a:ext>
                <a:ext uri="{FF2B5EF4-FFF2-40B4-BE49-F238E27FC236}">
                  <a16:creationId xmlns:a16="http://schemas.microsoft.com/office/drawing/2014/main" id="{00000000-0008-0000-0100-0000023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112143</xdr:colOff>
          <xdr:row>35</xdr:row>
          <xdr:rowOff>163902</xdr:rowOff>
        </xdr:from>
        <xdr:to>
          <xdr:col>17</xdr:col>
          <xdr:colOff>370936</xdr:colOff>
          <xdr:row>37</xdr:row>
          <xdr:rowOff>155275</xdr:rowOff>
        </xdr:to>
        <xdr:sp macro="" textlink="">
          <xdr:nvSpPr>
            <xdr:cNvPr id="5517315" name="SpinButton2" hidden="1">
              <a:extLst>
                <a:ext uri="{63B3BB69-23CF-44E3-9099-C40C66FF867C}">
                  <a14:compatExt spid="_x0000_s5517315"/>
                </a:ext>
                <a:ext uri="{FF2B5EF4-FFF2-40B4-BE49-F238E27FC236}">
                  <a16:creationId xmlns:a16="http://schemas.microsoft.com/office/drawing/2014/main" id="{00000000-0008-0000-0100-0000033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129396</xdr:colOff>
          <xdr:row>64</xdr:row>
          <xdr:rowOff>207034</xdr:rowOff>
        </xdr:from>
        <xdr:to>
          <xdr:col>17</xdr:col>
          <xdr:colOff>379562</xdr:colOff>
          <xdr:row>65</xdr:row>
          <xdr:rowOff>86264</xdr:rowOff>
        </xdr:to>
        <xdr:sp macro="" textlink="">
          <xdr:nvSpPr>
            <xdr:cNvPr id="5517316" name="SpinButton3" hidden="1">
              <a:extLst>
                <a:ext uri="{63B3BB69-23CF-44E3-9099-C40C66FF867C}">
                  <a14:compatExt spid="_x0000_s5517316"/>
                </a:ext>
                <a:ext uri="{FF2B5EF4-FFF2-40B4-BE49-F238E27FC236}">
                  <a16:creationId xmlns:a16="http://schemas.microsoft.com/office/drawing/2014/main" id="{00000000-0008-0000-0100-0000043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181155</xdr:colOff>
          <xdr:row>122</xdr:row>
          <xdr:rowOff>17253</xdr:rowOff>
        </xdr:from>
        <xdr:to>
          <xdr:col>17</xdr:col>
          <xdr:colOff>422694</xdr:colOff>
          <xdr:row>130</xdr:row>
          <xdr:rowOff>17253</xdr:rowOff>
        </xdr:to>
        <xdr:sp macro="" textlink="">
          <xdr:nvSpPr>
            <xdr:cNvPr id="5517317" name="SpinButton4" hidden="1">
              <a:extLst>
                <a:ext uri="{63B3BB69-23CF-44E3-9099-C40C66FF867C}">
                  <a14:compatExt spid="_x0000_s5517317"/>
                </a:ext>
                <a:ext uri="{FF2B5EF4-FFF2-40B4-BE49-F238E27FC236}">
                  <a16:creationId xmlns:a16="http://schemas.microsoft.com/office/drawing/2014/main" id="{00000000-0008-0000-0100-0000053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</xdr:row>
          <xdr:rowOff>60385</xdr:rowOff>
        </xdr:from>
        <xdr:to>
          <xdr:col>25</xdr:col>
          <xdr:colOff>60385</xdr:colOff>
          <xdr:row>3</xdr:row>
          <xdr:rowOff>112143</xdr:rowOff>
        </xdr:to>
        <xdr:sp macro="" textlink="">
          <xdr:nvSpPr>
            <xdr:cNvPr id="5517318" name="CmdClearSheet" hidden="1">
              <a:extLst>
                <a:ext uri="{63B3BB69-23CF-44E3-9099-C40C66FF867C}">
                  <a14:compatExt spid="_x0000_s5517318"/>
                </a:ext>
                <a:ext uri="{FF2B5EF4-FFF2-40B4-BE49-F238E27FC236}">
                  <a16:creationId xmlns:a16="http://schemas.microsoft.com/office/drawing/2014/main" id="{00000000-0008-0000-0100-0000063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112143</xdr:colOff>
          <xdr:row>0</xdr:row>
          <xdr:rowOff>215660</xdr:rowOff>
        </xdr:from>
        <xdr:to>
          <xdr:col>13</xdr:col>
          <xdr:colOff>388189</xdr:colOff>
          <xdr:row>3</xdr:row>
          <xdr:rowOff>60385</xdr:rowOff>
        </xdr:to>
        <xdr:sp macro="" textlink="">
          <xdr:nvSpPr>
            <xdr:cNvPr id="5517319" name="cmdPartPicture" hidden="1">
              <a:extLst>
                <a:ext uri="{63B3BB69-23CF-44E3-9099-C40C66FF867C}">
                  <a14:compatExt spid="_x0000_s5517319"/>
                </a:ext>
                <a:ext uri="{FF2B5EF4-FFF2-40B4-BE49-F238E27FC236}">
                  <a16:creationId xmlns:a16="http://schemas.microsoft.com/office/drawing/2014/main" id="{00000000-0008-0000-0100-0000073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388189</xdr:rowOff>
        </xdr:from>
        <xdr:to>
          <xdr:col>1</xdr:col>
          <xdr:colOff>77638</xdr:colOff>
          <xdr:row>65</xdr:row>
          <xdr:rowOff>8626</xdr:rowOff>
        </xdr:to>
        <xdr:sp macro="" textlink="">
          <xdr:nvSpPr>
            <xdr:cNvPr id="5517320" name="orderSection24" hidden="1">
              <a:extLst>
                <a:ext uri="{63B3BB69-23CF-44E3-9099-C40C66FF867C}">
                  <a14:compatExt spid="_x0000_s5517320"/>
                </a:ext>
                <a:ext uri="{FF2B5EF4-FFF2-40B4-BE49-F238E27FC236}">
                  <a16:creationId xmlns:a16="http://schemas.microsoft.com/office/drawing/2014/main" id="{00000000-0008-0000-0100-00000830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11</xdr:col>
      <xdr:colOff>505548</xdr:colOff>
      <xdr:row>0</xdr:row>
      <xdr:rowOff>76200</xdr:rowOff>
    </xdr:from>
    <xdr:to>
      <xdr:col>14</xdr:col>
      <xdr:colOff>397598</xdr:colOff>
      <xdr:row>4</xdr:row>
      <xdr:rowOff>85725</xdr:rowOff>
    </xdr:to>
    <xdr:pic>
      <xdr:nvPicPr>
        <xdr:cNvPr id="11" name="calc4xl_pictureOfPart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9699" y="76200"/>
          <a:ext cx="1962390" cy="1061948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0</xdr:row>
      <xdr:rowOff>0</xdr:rowOff>
    </xdr:from>
    <xdr:to>
      <xdr:col>3</xdr:col>
      <xdr:colOff>177588</xdr:colOff>
      <xdr:row>1</xdr:row>
      <xdr:rowOff>0</xdr:rowOff>
    </xdr:to>
    <xdr:pic>
      <xdr:nvPicPr>
        <xdr:cNvPr id="12" name="calc4xl_logo2017" title="CALC4XL Log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950" y="0"/>
          <a:ext cx="1616163" cy="595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3</xdr:col>
      <xdr:colOff>285750</xdr:colOff>
      <xdr:row>0</xdr:row>
      <xdr:rowOff>0</xdr:rowOff>
    </xdr:to>
    <xdr:pic>
      <xdr:nvPicPr>
        <xdr:cNvPr id="2" name="Picture 88" descr="ALV-Logo-1c-reflexblue-equiv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992" y="0"/>
          <a:ext cx="162428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25879</xdr:colOff>
          <xdr:row>0</xdr:row>
          <xdr:rowOff>94891</xdr:rowOff>
        </xdr:from>
        <xdr:to>
          <xdr:col>25</xdr:col>
          <xdr:colOff>86264</xdr:colOff>
          <xdr:row>0</xdr:row>
          <xdr:rowOff>448574</xdr:rowOff>
        </xdr:to>
        <xdr:sp macro="" textlink="">
          <xdr:nvSpPr>
            <xdr:cNvPr id="5516289" name="cmdCopySheet" hidden="1">
              <a:extLst>
                <a:ext uri="{63B3BB69-23CF-44E3-9099-C40C66FF867C}">
                  <a14:compatExt spid="_x0000_s5516289"/>
                </a:ext>
                <a:ext uri="{FF2B5EF4-FFF2-40B4-BE49-F238E27FC236}">
                  <a16:creationId xmlns:a16="http://schemas.microsoft.com/office/drawing/2014/main" id="{00000000-0008-0000-0200-0000012C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129396</xdr:colOff>
          <xdr:row>12</xdr:row>
          <xdr:rowOff>129396</xdr:rowOff>
        </xdr:from>
        <xdr:to>
          <xdr:col>17</xdr:col>
          <xdr:colOff>379562</xdr:colOff>
          <xdr:row>14</xdr:row>
          <xdr:rowOff>51758</xdr:rowOff>
        </xdr:to>
        <xdr:sp macro="" textlink="">
          <xdr:nvSpPr>
            <xdr:cNvPr id="5516290" name="SpinButton1" hidden="1">
              <a:extLst>
                <a:ext uri="{63B3BB69-23CF-44E3-9099-C40C66FF867C}">
                  <a14:compatExt spid="_x0000_s5516290"/>
                </a:ext>
                <a:ext uri="{FF2B5EF4-FFF2-40B4-BE49-F238E27FC236}">
                  <a16:creationId xmlns:a16="http://schemas.microsoft.com/office/drawing/2014/main" id="{00000000-0008-0000-0200-0000022C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112143</xdr:colOff>
          <xdr:row>35</xdr:row>
          <xdr:rowOff>163902</xdr:rowOff>
        </xdr:from>
        <xdr:to>
          <xdr:col>17</xdr:col>
          <xdr:colOff>370936</xdr:colOff>
          <xdr:row>37</xdr:row>
          <xdr:rowOff>155275</xdr:rowOff>
        </xdr:to>
        <xdr:sp macro="" textlink="">
          <xdr:nvSpPr>
            <xdr:cNvPr id="5516291" name="SpinButton2" hidden="1">
              <a:extLst>
                <a:ext uri="{63B3BB69-23CF-44E3-9099-C40C66FF867C}">
                  <a14:compatExt spid="_x0000_s5516291"/>
                </a:ext>
                <a:ext uri="{FF2B5EF4-FFF2-40B4-BE49-F238E27FC236}">
                  <a16:creationId xmlns:a16="http://schemas.microsoft.com/office/drawing/2014/main" id="{00000000-0008-0000-0200-0000032C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129396</xdr:colOff>
          <xdr:row>64</xdr:row>
          <xdr:rowOff>207034</xdr:rowOff>
        </xdr:from>
        <xdr:to>
          <xdr:col>17</xdr:col>
          <xdr:colOff>379562</xdr:colOff>
          <xdr:row>65</xdr:row>
          <xdr:rowOff>86264</xdr:rowOff>
        </xdr:to>
        <xdr:sp macro="" textlink="">
          <xdr:nvSpPr>
            <xdr:cNvPr id="5516292" name="SpinButton3" hidden="1">
              <a:extLst>
                <a:ext uri="{63B3BB69-23CF-44E3-9099-C40C66FF867C}">
                  <a14:compatExt spid="_x0000_s5516292"/>
                </a:ext>
                <a:ext uri="{FF2B5EF4-FFF2-40B4-BE49-F238E27FC236}">
                  <a16:creationId xmlns:a16="http://schemas.microsoft.com/office/drawing/2014/main" id="{00000000-0008-0000-0200-0000042C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181155</xdr:colOff>
          <xdr:row>122</xdr:row>
          <xdr:rowOff>17253</xdr:rowOff>
        </xdr:from>
        <xdr:to>
          <xdr:col>17</xdr:col>
          <xdr:colOff>422694</xdr:colOff>
          <xdr:row>130</xdr:row>
          <xdr:rowOff>17253</xdr:rowOff>
        </xdr:to>
        <xdr:sp macro="" textlink="">
          <xdr:nvSpPr>
            <xdr:cNvPr id="5516293" name="SpinButton4" hidden="1">
              <a:extLst>
                <a:ext uri="{63B3BB69-23CF-44E3-9099-C40C66FF867C}">
                  <a14:compatExt spid="_x0000_s5516293"/>
                </a:ext>
                <a:ext uri="{FF2B5EF4-FFF2-40B4-BE49-F238E27FC236}">
                  <a16:creationId xmlns:a16="http://schemas.microsoft.com/office/drawing/2014/main" id="{00000000-0008-0000-0200-0000052C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</xdr:row>
          <xdr:rowOff>60385</xdr:rowOff>
        </xdr:from>
        <xdr:to>
          <xdr:col>25</xdr:col>
          <xdr:colOff>60385</xdr:colOff>
          <xdr:row>3</xdr:row>
          <xdr:rowOff>112143</xdr:rowOff>
        </xdr:to>
        <xdr:sp macro="" textlink="">
          <xdr:nvSpPr>
            <xdr:cNvPr id="5516294" name="CmdClearSheet" hidden="1">
              <a:extLst>
                <a:ext uri="{63B3BB69-23CF-44E3-9099-C40C66FF867C}">
                  <a14:compatExt spid="_x0000_s5516294"/>
                </a:ext>
                <a:ext uri="{FF2B5EF4-FFF2-40B4-BE49-F238E27FC236}">
                  <a16:creationId xmlns:a16="http://schemas.microsoft.com/office/drawing/2014/main" id="{00000000-0008-0000-0200-0000062C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112143</xdr:colOff>
          <xdr:row>0</xdr:row>
          <xdr:rowOff>215660</xdr:rowOff>
        </xdr:from>
        <xdr:to>
          <xdr:col>13</xdr:col>
          <xdr:colOff>388189</xdr:colOff>
          <xdr:row>3</xdr:row>
          <xdr:rowOff>60385</xdr:rowOff>
        </xdr:to>
        <xdr:sp macro="" textlink="">
          <xdr:nvSpPr>
            <xdr:cNvPr id="5516295" name="cmdPartPicture" hidden="1">
              <a:extLst>
                <a:ext uri="{63B3BB69-23CF-44E3-9099-C40C66FF867C}">
                  <a14:compatExt spid="_x0000_s5516295"/>
                </a:ext>
                <a:ext uri="{FF2B5EF4-FFF2-40B4-BE49-F238E27FC236}">
                  <a16:creationId xmlns:a16="http://schemas.microsoft.com/office/drawing/2014/main" id="{00000000-0008-0000-0200-0000072C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388189</xdr:rowOff>
        </xdr:from>
        <xdr:to>
          <xdr:col>1</xdr:col>
          <xdr:colOff>77638</xdr:colOff>
          <xdr:row>65</xdr:row>
          <xdr:rowOff>8626</xdr:rowOff>
        </xdr:to>
        <xdr:sp macro="" textlink="">
          <xdr:nvSpPr>
            <xdr:cNvPr id="5516296" name="orderSection24" hidden="1">
              <a:extLst>
                <a:ext uri="{63B3BB69-23CF-44E3-9099-C40C66FF867C}">
                  <a14:compatExt spid="_x0000_s5516296"/>
                </a:ext>
                <a:ext uri="{FF2B5EF4-FFF2-40B4-BE49-F238E27FC236}">
                  <a16:creationId xmlns:a16="http://schemas.microsoft.com/office/drawing/2014/main" id="{00000000-0008-0000-0200-0000082C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11</xdr:col>
      <xdr:colOff>505548</xdr:colOff>
      <xdr:row>0</xdr:row>
      <xdr:rowOff>76200</xdr:rowOff>
    </xdr:from>
    <xdr:to>
      <xdr:col>14</xdr:col>
      <xdr:colOff>397598</xdr:colOff>
      <xdr:row>4</xdr:row>
      <xdr:rowOff>85725</xdr:rowOff>
    </xdr:to>
    <xdr:pic>
      <xdr:nvPicPr>
        <xdr:cNvPr id="11" name="calc4xl_pictureOfPart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9699" y="76200"/>
          <a:ext cx="1962390" cy="1061948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0</xdr:row>
      <xdr:rowOff>0</xdr:rowOff>
    </xdr:from>
    <xdr:to>
      <xdr:col>3</xdr:col>
      <xdr:colOff>177588</xdr:colOff>
      <xdr:row>1</xdr:row>
      <xdr:rowOff>0</xdr:rowOff>
    </xdr:to>
    <xdr:pic>
      <xdr:nvPicPr>
        <xdr:cNvPr id="12" name="calc4xl_logo2017" title="CALC4XL Log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950" y="0"/>
          <a:ext cx="1616163" cy="595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3</xdr:col>
      <xdr:colOff>285750</xdr:colOff>
      <xdr:row>0</xdr:row>
      <xdr:rowOff>0</xdr:rowOff>
    </xdr:to>
    <xdr:pic>
      <xdr:nvPicPr>
        <xdr:cNvPr id="2" name="Picture 88" descr="ALV-Logo-1c-reflexblue-equiv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992" y="0"/>
          <a:ext cx="162428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25879</xdr:colOff>
          <xdr:row>0</xdr:row>
          <xdr:rowOff>94891</xdr:rowOff>
        </xdr:from>
        <xdr:to>
          <xdr:col>25</xdr:col>
          <xdr:colOff>86264</xdr:colOff>
          <xdr:row>0</xdr:row>
          <xdr:rowOff>448574</xdr:rowOff>
        </xdr:to>
        <xdr:sp macro="" textlink="">
          <xdr:nvSpPr>
            <xdr:cNvPr id="5514241" name="cmdCopySheet" hidden="1">
              <a:extLst>
                <a:ext uri="{63B3BB69-23CF-44E3-9099-C40C66FF867C}">
                  <a14:compatExt spid="_x0000_s5514241"/>
                </a:ext>
                <a:ext uri="{FF2B5EF4-FFF2-40B4-BE49-F238E27FC236}">
                  <a16:creationId xmlns:a16="http://schemas.microsoft.com/office/drawing/2014/main" id="{00000000-0008-0000-0300-00000124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129396</xdr:colOff>
          <xdr:row>12</xdr:row>
          <xdr:rowOff>129396</xdr:rowOff>
        </xdr:from>
        <xdr:to>
          <xdr:col>17</xdr:col>
          <xdr:colOff>379562</xdr:colOff>
          <xdr:row>14</xdr:row>
          <xdr:rowOff>51758</xdr:rowOff>
        </xdr:to>
        <xdr:sp macro="" textlink="">
          <xdr:nvSpPr>
            <xdr:cNvPr id="5514242" name="SpinButton1" hidden="1">
              <a:extLst>
                <a:ext uri="{63B3BB69-23CF-44E3-9099-C40C66FF867C}">
                  <a14:compatExt spid="_x0000_s5514242"/>
                </a:ext>
                <a:ext uri="{FF2B5EF4-FFF2-40B4-BE49-F238E27FC236}">
                  <a16:creationId xmlns:a16="http://schemas.microsoft.com/office/drawing/2014/main" id="{00000000-0008-0000-0300-00000224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112143</xdr:colOff>
          <xdr:row>35</xdr:row>
          <xdr:rowOff>163902</xdr:rowOff>
        </xdr:from>
        <xdr:to>
          <xdr:col>17</xdr:col>
          <xdr:colOff>370936</xdr:colOff>
          <xdr:row>37</xdr:row>
          <xdr:rowOff>155275</xdr:rowOff>
        </xdr:to>
        <xdr:sp macro="" textlink="">
          <xdr:nvSpPr>
            <xdr:cNvPr id="5514243" name="SpinButton2" hidden="1">
              <a:extLst>
                <a:ext uri="{63B3BB69-23CF-44E3-9099-C40C66FF867C}">
                  <a14:compatExt spid="_x0000_s5514243"/>
                </a:ext>
                <a:ext uri="{FF2B5EF4-FFF2-40B4-BE49-F238E27FC236}">
                  <a16:creationId xmlns:a16="http://schemas.microsoft.com/office/drawing/2014/main" id="{00000000-0008-0000-0300-00000324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129396</xdr:colOff>
          <xdr:row>64</xdr:row>
          <xdr:rowOff>207034</xdr:rowOff>
        </xdr:from>
        <xdr:to>
          <xdr:col>17</xdr:col>
          <xdr:colOff>379562</xdr:colOff>
          <xdr:row>65</xdr:row>
          <xdr:rowOff>86264</xdr:rowOff>
        </xdr:to>
        <xdr:sp macro="" textlink="">
          <xdr:nvSpPr>
            <xdr:cNvPr id="5514244" name="SpinButton3" hidden="1">
              <a:extLst>
                <a:ext uri="{63B3BB69-23CF-44E3-9099-C40C66FF867C}">
                  <a14:compatExt spid="_x0000_s5514244"/>
                </a:ext>
                <a:ext uri="{FF2B5EF4-FFF2-40B4-BE49-F238E27FC236}">
                  <a16:creationId xmlns:a16="http://schemas.microsoft.com/office/drawing/2014/main" id="{00000000-0008-0000-0300-00000424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181155</xdr:colOff>
          <xdr:row>122</xdr:row>
          <xdr:rowOff>17253</xdr:rowOff>
        </xdr:from>
        <xdr:to>
          <xdr:col>17</xdr:col>
          <xdr:colOff>422694</xdr:colOff>
          <xdr:row>130</xdr:row>
          <xdr:rowOff>17253</xdr:rowOff>
        </xdr:to>
        <xdr:sp macro="" textlink="">
          <xdr:nvSpPr>
            <xdr:cNvPr id="5514245" name="SpinButton4" hidden="1">
              <a:extLst>
                <a:ext uri="{63B3BB69-23CF-44E3-9099-C40C66FF867C}">
                  <a14:compatExt spid="_x0000_s5514245"/>
                </a:ext>
                <a:ext uri="{FF2B5EF4-FFF2-40B4-BE49-F238E27FC236}">
                  <a16:creationId xmlns:a16="http://schemas.microsoft.com/office/drawing/2014/main" id="{00000000-0008-0000-0300-00000524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</xdr:row>
          <xdr:rowOff>60385</xdr:rowOff>
        </xdr:from>
        <xdr:to>
          <xdr:col>25</xdr:col>
          <xdr:colOff>60385</xdr:colOff>
          <xdr:row>3</xdr:row>
          <xdr:rowOff>112143</xdr:rowOff>
        </xdr:to>
        <xdr:sp macro="" textlink="">
          <xdr:nvSpPr>
            <xdr:cNvPr id="5514246" name="CmdClearSheet" hidden="1">
              <a:extLst>
                <a:ext uri="{63B3BB69-23CF-44E3-9099-C40C66FF867C}">
                  <a14:compatExt spid="_x0000_s5514246"/>
                </a:ext>
                <a:ext uri="{FF2B5EF4-FFF2-40B4-BE49-F238E27FC236}">
                  <a16:creationId xmlns:a16="http://schemas.microsoft.com/office/drawing/2014/main" id="{00000000-0008-0000-0300-00000624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112143</xdr:colOff>
          <xdr:row>0</xdr:row>
          <xdr:rowOff>215660</xdr:rowOff>
        </xdr:from>
        <xdr:to>
          <xdr:col>13</xdr:col>
          <xdr:colOff>388189</xdr:colOff>
          <xdr:row>3</xdr:row>
          <xdr:rowOff>60385</xdr:rowOff>
        </xdr:to>
        <xdr:sp macro="" textlink="">
          <xdr:nvSpPr>
            <xdr:cNvPr id="5514247" name="cmdPartPicture" hidden="1">
              <a:extLst>
                <a:ext uri="{63B3BB69-23CF-44E3-9099-C40C66FF867C}">
                  <a14:compatExt spid="_x0000_s5514247"/>
                </a:ext>
                <a:ext uri="{FF2B5EF4-FFF2-40B4-BE49-F238E27FC236}">
                  <a16:creationId xmlns:a16="http://schemas.microsoft.com/office/drawing/2014/main" id="{00000000-0008-0000-0300-00000724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388189</xdr:rowOff>
        </xdr:from>
        <xdr:to>
          <xdr:col>1</xdr:col>
          <xdr:colOff>77638</xdr:colOff>
          <xdr:row>65</xdr:row>
          <xdr:rowOff>8626</xdr:rowOff>
        </xdr:to>
        <xdr:sp macro="" textlink="">
          <xdr:nvSpPr>
            <xdr:cNvPr id="5514248" name="orderSection24" hidden="1">
              <a:extLst>
                <a:ext uri="{63B3BB69-23CF-44E3-9099-C40C66FF867C}">
                  <a14:compatExt spid="_x0000_s5514248"/>
                </a:ext>
                <a:ext uri="{FF2B5EF4-FFF2-40B4-BE49-F238E27FC236}">
                  <a16:creationId xmlns:a16="http://schemas.microsoft.com/office/drawing/2014/main" id="{00000000-0008-0000-0300-000008245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11</xdr:col>
      <xdr:colOff>505548</xdr:colOff>
      <xdr:row>0</xdr:row>
      <xdr:rowOff>76200</xdr:rowOff>
    </xdr:from>
    <xdr:to>
      <xdr:col>14</xdr:col>
      <xdr:colOff>397598</xdr:colOff>
      <xdr:row>4</xdr:row>
      <xdr:rowOff>85725</xdr:rowOff>
    </xdr:to>
    <xdr:pic>
      <xdr:nvPicPr>
        <xdr:cNvPr id="11" name="calc4xl_pictureOfPart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9699" y="76200"/>
          <a:ext cx="1962390" cy="1061948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0</xdr:row>
      <xdr:rowOff>0</xdr:rowOff>
    </xdr:from>
    <xdr:to>
      <xdr:col>3</xdr:col>
      <xdr:colOff>177588</xdr:colOff>
      <xdr:row>1</xdr:row>
      <xdr:rowOff>0</xdr:rowOff>
    </xdr:to>
    <xdr:pic>
      <xdr:nvPicPr>
        <xdr:cNvPr id="12" name="calc4xl_logo2017" title="CALC4XL Log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950" y="0"/>
          <a:ext cx="1616163" cy="595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1:E289" totalsRowShown="0" headerRowDxfId="2">
  <autoFilter ref="A11:E289" xr:uid="{00000000-0009-0000-0100-000001000000}">
    <filterColumn colId="0">
      <filters>
        <filter val="pack"/>
        <filter val="pack_cost"/>
        <filter val="pack_type"/>
        <filter val="pack2"/>
        <filter val="package"/>
      </filters>
    </filterColumn>
  </autoFilter>
  <tableColumns count="5">
    <tableColumn id="1" xr3:uid="{00000000-0010-0000-0000-000001000000}" name="ID" dataDxfId="1"/>
    <tableColumn id="2" xr3:uid="{00000000-0010-0000-0000-000002000000}" name="English"/>
    <tableColumn id="3" xr3:uid="{00000000-0010-0000-0000-000003000000}" name="Deutsch"/>
    <tableColumn id="4" xr3:uid="{00000000-0010-0000-0000-000004000000}" name="Spalte1"/>
    <tableColumn id="5" xr3:uid="{00000000-0010-0000-0000-000005000000}" name="Spalte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1:C3" totalsRowShown="0">
  <autoFilter ref="A1:C3" xr:uid="{00000000-0009-0000-0100-000002000000}"/>
  <tableColumns count="3">
    <tableColumn id="1" xr3:uid="{00000000-0010-0000-0100-000001000000}" name="ID" dataDxfId="0"/>
    <tableColumn id="2" xr3:uid="{00000000-0010-0000-0100-000002000000}" name="Sprache"/>
    <tableColumn id="3" xr3:uid="{00000000-0010-0000-0100-000003000000}" name="Spalt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6.xml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control" Target="../activeX/activeX7.xml"/><Relationship Id="rId10" Type="http://schemas.openxmlformats.org/officeDocument/2006/relationships/control" Target="../activeX/activeX4.xml"/><Relationship Id="rId19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13" Type="http://schemas.openxmlformats.org/officeDocument/2006/relationships/image" Target="../media/image3.emf"/><Relationship Id="rId18" Type="http://schemas.openxmlformats.org/officeDocument/2006/relationships/control" Target="../activeX/activeX1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17.emf"/><Relationship Id="rId12" Type="http://schemas.openxmlformats.org/officeDocument/2006/relationships/control" Target="../activeX/activeX13.xml"/><Relationship Id="rId17" Type="http://schemas.openxmlformats.org/officeDocument/2006/relationships/image" Target="../media/image20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5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0.xml"/><Relationship Id="rId11" Type="http://schemas.openxmlformats.org/officeDocument/2006/relationships/image" Target="../media/image19.emf"/><Relationship Id="rId5" Type="http://schemas.openxmlformats.org/officeDocument/2006/relationships/image" Target="../media/image16.emf"/><Relationship Id="rId15" Type="http://schemas.openxmlformats.org/officeDocument/2006/relationships/image" Target="../media/image4.emf"/><Relationship Id="rId10" Type="http://schemas.openxmlformats.org/officeDocument/2006/relationships/control" Target="../activeX/activeX12.xml"/><Relationship Id="rId19" Type="http://schemas.openxmlformats.org/officeDocument/2006/relationships/image" Target="../media/image21.emf"/><Relationship Id="rId4" Type="http://schemas.openxmlformats.org/officeDocument/2006/relationships/control" Target="../activeX/activeX9.xml"/><Relationship Id="rId9" Type="http://schemas.openxmlformats.org/officeDocument/2006/relationships/image" Target="../media/image18.emf"/><Relationship Id="rId14" Type="http://schemas.openxmlformats.org/officeDocument/2006/relationships/control" Target="../activeX/activeX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9.xml"/><Relationship Id="rId13" Type="http://schemas.openxmlformats.org/officeDocument/2006/relationships/image" Target="../media/image3.emf"/><Relationship Id="rId18" Type="http://schemas.openxmlformats.org/officeDocument/2006/relationships/control" Target="../activeX/activeX24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23.emf"/><Relationship Id="rId12" Type="http://schemas.openxmlformats.org/officeDocument/2006/relationships/control" Target="../activeX/activeX21.xml"/><Relationship Id="rId17" Type="http://schemas.openxmlformats.org/officeDocument/2006/relationships/image" Target="../media/image20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23.xml"/><Relationship Id="rId20" Type="http://schemas.openxmlformats.org/officeDocument/2006/relationships/comments" Target="../comments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8.xml"/><Relationship Id="rId11" Type="http://schemas.openxmlformats.org/officeDocument/2006/relationships/image" Target="../media/image19.emf"/><Relationship Id="rId5" Type="http://schemas.openxmlformats.org/officeDocument/2006/relationships/image" Target="../media/image22.emf"/><Relationship Id="rId15" Type="http://schemas.openxmlformats.org/officeDocument/2006/relationships/image" Target="../media/image4.emf"/><Relationship Id="rId10" Type="http://schemas.openxmlformats.org/officeDocument/2006/relationships/control" Target="../activeX/activeX20.xml"/><Relationship Id="rId19" Type="http://schemas.openxmlformats.org/officeDocument/2006/relationships/image" Target="../media/image25.emf"/><Relationship Id="rId4" Type="http://schemas.openxmlformats.org/officeDocument/2006/relationships/control" Target="../activeX/activeX17.xml"/><Relationship Id="rId9" Type="http://schemas.openxmlformats.org/officeDocument/2006/relationships/image" Target="../media/image24.emf"/><Relationship Id="rId14" Type="http://schemas.openxmlformats.org/officeDocument/2006/relationships/control" Target="../activeX/activeX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7.xml"/><Relationship Id="rId13" Type="http://schemas.openxmlformats.org/officeDocument/2006/relationships/image" Target="../media/image3.emf"/><Relationship Id="rId18" Type="http://schemas.openxmlformats.org/officeDocument/2006/relationships/control" Target="../activeX/activeX32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7.emf"/><Relationship Id="rId12" Type="http://schemas.openxmlformats.org/officeDocument/2006/relationships/control" Target="../activeX/activeX29.xml"/><Relationship Id="rId17" Type="http://schemas.openxmlformats.org/officeDocument/2006/relationships/image" Target="../media/image20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31.xml"/><Relationship Id="rId20" Type="http://schemas.openxmlformats.org/officeDocument/2006/relationships/comments" Target="../comments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6.xml"/><Relationship Id="rId11" Type="http://schemas.openxmlformats.org/officeDocument/2006/relationships/image" Target="../media/image19.emf"/><Relationship Id="rId5" Type="http://schemas.openxmlformats.org/officeDocument/2006/relationships/image" Target="../media/image26.emf"/><Relationship Id="rId15" Type="http://schemas.openxmlformats.org/officeDocument/2006/relationships/image" Target="../media/image4.emf"/><Relationship Id="rId10" Type="http://schemas.openxmlformats.org/officeDocument/2006/relationships/control" Target="../activeX/activeX28.xml"/><Relationship Id="rId19" Type="http://schemas.openxmlformats.org/officeDocument/2006/relationships/image" Target="../media/image29.emf"/><Relationship Id="rId4" Type="http://schemas.openxmlformats.org/officeDocument/2006/relationships/control" Target="../activeX/activeX25.xml"/><Relationship Id="rId9" Type="http://schemas.openxmlformats.org/officeDocument/2006/relationships/image" Target="../media/image28.emf"/><Relationship Id="rId14" Type="http://schemas.openxmlformats.org/officeDocument/2006/relationships/control" Target="../activeX/activeX3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autoPageBreaks="0"/>
  </sheetPr>
  <dimension ref="A1:BR332"/>
  <sheetViews>
    <sheetView showGridLines="0" showZeros="0" tabSelected="1" zoomScale="60" zoomScaleNormal="60" zoomScaleSheetLayoutView="55" workbookViewId="0">
      <pane ySplit="10" topLeftCell="A11" activePane="bottomLeft" state="frozen"/>
      <selection pane="bottomLeft" activeCell="AT1" sqref="AT1"/>
    </sheetView>
  </sheetViews>
  <sheetFormatPr defaultColWidth="11.375" defaultRowHeight="12.9" x14ac:dyDescent="0.2"/>
  <cols>
    <col min="1" max="1" width="3.75" style="1" customWidth="1"/>
    <col min="2" max="2" width="11.75" style="1" customWidth="1"/>
    <col min="3" max="3" width="8.75" style="1" customWidth="1"/>
    <col min="4" max="4" width="7.25" style="1" customWidth="1"/>
    <col min="5" max="5" width="7" style="1" customWidth="1"/>
    <col min="6" max="6" width="6.875" style="1" customWidth="1"/>
    <col min="7" max="7" width="7.25" style="1" customWidth="1"/>
    <col min="8" max="8" width="9" style="1" customWidth="1"/>
    <col min="9" max="9" width="9.25" style="1" customWidth="1"/>
    <col min="10" max="10" width="9.75" style="1" customWidth="1"/>
    <col min="11" max="11" width="10" style="1" customWidth="1"/>
    <col min="12" max="12" width="12.625" style="1" customWidth="1"/>
    <col min="13" max="13" width="9" style="1" customWidth="1"/>
    <col min="14" max="14" width="8.375" style="1" customWidth="1"/>
    <col min="15" max="15" width="10.125" style="1" customWidth="1"/>
    <col min="16" max="16" width="6" style="1" customWidth="1"/>
    <col min="17" max="17" width="1.75" style="1" customWidth="1"/>
    <col min="18" max="18" width="16.875" style="2" customWidth="1"/>
    <col min="19" max="19" width="6.125" style="3" hidden="1" customWidth="1"/>
    <col min="20" max="20" width="8.625" style="3" hidden="1" customWidth="1"/>
    <col min="21" max="21" width="9.25" style="3" hidden="1" customWidth="1"/>
    <col min="22" max="22" width="13.25" style="3" hidden="1" customWidth="1"/>
    <col min="23" max="23" width="24.25" style="3" hidden="1" customWidth="1"/>
    <col min="24" max="24" width="21.875" style="1" hidden="1" customWidth="1"/>
    <col min="25" max="25" width="11.875" style="1" customWidth="1"/>
    <col min="26" max="26" width="9.25" style="1" customWidth="1"/>
    <col min="27" max="27" width="7.875" style="1" customWidth="1"/>
    <col min="28" max="28" width="7.125" style="1" bestFit="1" customWidth="1"/>
    <col min="29" max="29" width="7.125" style="1" customWidth="1"/>
    <col min="30" max="30" width="8.75" style="1" customWidth="1"/>
    <col min="31" max="31" width="6.875" style="1" customWidth="1"/>
    <col min="32" max="32" width="8" style="1" customWidth="1"/>
    <col min="33" max="33" width="5.75" style="1" customWidth="1"/>
    <col min="34" max="34" width="8.25" style="1" customWidth="1"/>
    <col min="35" max="35" width="1.75" style="1" customWidth="1"/>
    <col min="36" max="36" width="9" style="1" customWidth="1"/>
    <col min="37" max="37" width="8" style="1" customWidth="1"/>
    <col min="38" max="38" width="8.75" style="1" customWidth="1"/>
    <col min="39" max="39" width="6.75" style="1" hidden="1" customWidth="1"/>
    <col min="40" max="40" width="8.75" style="1" hidden="1" customWidth="1"/>
    <col min="41" max="41" width="1.75" style="1" customWidth="1"/>
    <col min="42" max="42" width="6" style="1" customWidth="1"/>
    <col min="43" max="43" width="4.75" style="1" customWidth="1"/>
    <col min="44" max="44" width="5.75" style="1" customWidth="1"/>
    <col min="45" max="45" width="5.875" style="1" customWidth="1"/>
    <col min="46" max="46" width="7.75" style="1" customWidth="1"/>
    <col min="47" max="47" width="11.125" style="1" customWidth="1"/>
    <col min="48" max="16384" width="11.375" style="1"/>
  </cols>
  <sheetData>
    <row r="1" spans="1:46" ht="47.25" customHeight="1" x14ac:dyDescent="0.25">
      <c r="A1" s="703"/>
      <c r="B1" s="704"/>
      <c r="C1" s="704"/>
      <c r="D1" s="705"/>
      <c r="E1" s="669" t="s">
        <v>217</v>
      </c>
      <c r="F1" s="670"/>
      <c r="G1" s="670"/>
      <c r="H1" s="670"/>
      <c r="I1" s="670"/>
      <c r="J1" s="670"/>
      <c r="K1" s="671"/>
      <c r="L1" s="694"/>
      <c r="M1" s="695"/>
      <c r="N1" s="695"/>
      <c r="O1" s="695"/>
      <c r="P1" s="696"/>
      <c r="Q1" s="53"/>
      <c r="R1" s="78"/>
      <c r="S1" s="237"/>
      <c r="T1" s="238"/>
      <c r="U1" s="237"/>
      <c r="V1" s="237"/>
      <c r="W1" s="267" t="s">
        <v>137</v>
      </c>
      <c r="X1" s="239"/>
      <c r="Y1" s="132"/>
      <c r="Z1" s="36"/>
      <c r="AA1" s="37"/>
      <c r="AB1" s="36"/>
      <c r="AC1" s="54"/>
      <c r="AD1" s="36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</row>
    <row r="2" spans="1:46" s="6" customFormat="1" ht="10.55" customHeight="1" x14ac:dyDescent="0.2">
      <c r="A2" s="70" t="str">
        <f ca="1">CELL("Filename",A2)</f>
        <v>https://d.docs.live.net/4c7d4790709b1d71/WEBSITE PICS/[Diecasting Example_forUserWithoutCALC4XL.xlsx]A</v>
      </c>
      <c r="B2" s="71"/>
      <c r="C2" s="71"/>
      <c r="D2" s="71"/>
      <c r="E2" s="71"/>
      <c r="F2" s="71"/>
      <c r="G2" s="71"/>
      <c r="H2" s="5"/>
      <c r="I2" s="31"/>
      <c r="J2" s="307" t="s">
        <v>362</v>
      </c>
      <c r="K2" s="178" t="s">
        <v>219</v>
      </c>
      <c r="L2" s="697"/>
      <c r="M2" s="698"/>
      <c r="N2" s="698"/>
      <c r="O2" s="698"/>
      <c r="P2" s="699"/>
      <c r="R2" s="81"/>
      <c r="S2" s="240">
        <f>IF(O117&gt;10000,9999,PUC)</f>
        <v>1</v>
      </c>
      <c r="T2" s="241"/>
      <c r="U2" s="242"/>
      <c r="V2" s="241"/>
      <c r="W2" s="241"/>
      <c r="X2" s="239"/>
      <c r="Y2" s="38"/>
      <c r="Z2" s="38"/>
      <c r="AA2" s="38"/>
      <c r="AB2" s="36"/>
      <c r="AC2" s="36"/>
      <c r="AD2" s="82"/>
      <c r="AE2" s="81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</row>
    <row r="3" spans="1:46" s="53" customFormat="1" ht="13.6" x14ac:dyDescent="0.25">
      <c r="A3" s="309"/>
      <c r="B3" s="310" t="str">
        <f>VLOOKUP("sec1",translation,VLOOKUP(J2,languages,2,FALSE),FALSE)</f>
        <v>Section 1</v>
      </c>
      <c r="C3" s="310"/>
      <c r="D3" s="311" t="str">
        <f>VLOOKUP("buyer",translation,VLOOKUP(J2,languages,2,FALSE),FALSE)</f>
        <v>Details Buyer Section</v>
      </c>
      <c r="E3" s="312"/>
      <c r="F3" s="312"/>
      <c r="G3" s="312"/>
      <c r="H3" s="322"/>
      <c r="I3" s="323"/>
      <c r="J3" s="324" t="str">
        <f>VLOOKUP("avrg",translation,VLOOKUP(J2,languages,2,FALSE),FALSE)</f>
        <v>Average</v>
      </c>
      <c r="K3" s="325" t="str">
        <f>VLOOKUP("pk",translation,VLOOKUP(J2,languages,2,FALSE),FALSE)</f>
        <v>Peak</v>
      </c>
      <c r="L3" s="697"/>
      <c r="M3" s="698"/>
      <c r="N3" s="698"/>
      <c r="O3" s="698"/>
      <c r="P3" s="699"/>
      <c r="Q3" s="64"/>
      <c r="R3" s="83"/>
      <c r="S3" s="243">
        <f>IF(F7="/pc",1,IF(F7="/10",10,IF(F7="/100",100,IF(F7="/1000",1000))))</f>
        <v>1</v>
      </c>
      <c r="T3" s="238"/>
      <c r="U3" s="244" t="str">
        <f>"Frt In "&amp;CHAR(10)&amp;"[%]"</f>
        <v>Frt In 
[%]</v>
      </c>
      <c r="V3" s="238"/>
      <c r="W3" s="238"/>
      <c r="X3" s="245"/>
      <c r="Y3" s="36"/>
      <c r="Z3" s="54"/>
      <c r="AA3" s="54"/>
      <c r="AB3" s="54"/>
      <c r="AC3" s="36"/>
      <c r="AD3" s="68"/>
      <c r="AE3" s="23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</row>
    <row r="4" spans="1:46" ht="12.75" customHeight="1" x14ac:dyDescent="0.2">
      <c r="A4" s="313" t="str">
        <f>VLOOKUP("quot",translation,VLOOKUP(J2,languages,2,FALSE),FALSE)</f>
        <v>Quotation No. /Rev</v>
      </c>
      <c r="B4" s="314"/>
      <c r="C4" s="314"/>
      <c r="D4" s="672"/>
      <c r="E4" s="673"/>
      <c r="F4" s="674"/>
      <c r="G4" s="675"/>
      <c r="H4" s="316"/>
      <c r="I4" s="326" t="str">
        <f>VLOOKUP("an_qty",translation,VLOOKUP(J2,languages,2,FALSE),FALSE)</f>
        <v>Est. Annual Qty</v>
      </c>
      <c r="J4" s="933">
        <v>8000</v>
      </c>
      <c r="K4" s="332"/>
      <c r="L4" s="697"/>
      <c r="M4" s="698"/>
      <c r="N4" s="698"/>
      <c r="O4" s="698"/>
      <c r="P4" s="699"/>
      <c r="R4" s="84"/>
      <c r="S4" s="246">
        <v>1</v>
      </c>
      <c r="T4" s="237"/>
      <c r="U4" s="244" t="str">
        <f>"Frt In "&amp;CHAR(10)&amp;"[/UoM]"</f>
        <v>Frt In 
[/UoM]</v>
      </c>
      <c r="V4" s="237"/>
      <c r="W4" s="238"/>
      <c r="X4" s="245"/>
      <c r="Y4" s="36"/>
      <c r="Z4" s="36"/>
      <c r="AA4" s="36"/>
      <c r="AB4" s="36"/>
      <c r="AC4" s="54"/>
      <c r="AD4" s="36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</row>
    <row r="5" spans="1:46" ht="12.75" customHeight="1" x14ac:dyDescent="0.2">
      <c r="A5" s="313" t="str">
        <f>VLOOKUP("jh_buyer",translation,VLOOKUP(J2,languages,2,FALSE),FALSE)</f>
        <v>Buyer</v>
      </c>
      <c r="B5" s="314"/>
      <c r="C5" s="314"/>
      <c r="D5" s="676"/>
      <c r="E5" s="677"/>
      <c r="F5" s="677"/>
      <c r="G5" s="678"/>
      <c r="H5" s="327"/>
      <c r="I5" s="328" t="str">
        <f>VLOOKUP("lifetime",translation,VLOOKUP(J2,languages,2,FALSE),FALSE)</f>
        <v>Estimated Lifetime</v>
      </c>
      <c r="J5" s="934">
        <v>7</v>
      </c>
      <c r="K5" s="314" t="str">
        <f>VLOOKUP("yr",translation,VLOOKUP(J2,languages,2,FALSE),FALSE)</f>
        <v>years</v>
      </c>
      <c r="L5" s="700"/>
      <c r="M5" s="701"/>
      <c r="N5" s="701"/>
      <c r="O5" s="701"/>
      <c r="P5" s="702"/>
      <c r="R5" s="84"/>
      <c r="S5" s="237"/>
      <c r="T5" s="237"/>
      <c r="U5" s="244" t="str">
        <f>"Frt In "&amp;CHAR(10)&amp;"["&amp;LEFT(D$7,3)&amp;"]"</f>
        <v>Frt In 
[EUR]</v>
      </c>
      <c r="V5" s="237"/>
      <c r="W5" s="238" t="s">
        <v>847</v>
      </c>
      <c r="X5" s="247"/>
      <c r="Y5" s="36"/>
      <c r="Z5" s="36"/>
      <c r="AA5" s="36"/>
      <c r="AB5" s="54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>
        <v>1</v>
      </c>
      <c r="AN5" s="36">
        <v>1</v>
      </c>
      <c r="AO5" s="35"/>
      <c r="AP5" s="35"/>
      <c r="AQ5" s="35"/>
      <c r="AR5" s="35"/>
      <c r="AS5" s="35"/>
      <c r="AT5" s="35"/>
    </row>
    <row r="6" spans="1:46" ht="12.75" customHeight="1" x14ac:dyDescent="0.2">
      <c r="A6" s="315" t="str">
        <f>VLOOKUP("jh_loc",translation,VLOOKUP(J2,languages,2,FALSE),FALSE)</f>
        <v>Location</v>
      </c>
      <c r="B6" s="314"/>
      <c r="C6" s="316"/>
      <c r="D6" s="935" t="s">
        <v>864</v>
      </c>
      <c r="E6" s="936"/>
      <c r="F6" s="320"/>
      <c r="G6" s="321"/>
      <c r="H6" s="316"/>
      <c r="I6" s="316" t="str">
        <f>VLOOKUP("sop",translation,VLOOKUP(J2,languages,2,FALSE),FALSE)</f>
        <v>Start of Production</v>
      </c>
      <c r="J6" s="679"/>
      <c r="K6" s="680"/>
      <c r="L6" s="334" t="str">
        <f>VLOOKUP("supplier",translation,VLOOKUP(J2,languages,2,FALSE),FALSE)</f>
        <v>Supplier</v>
      </c>
      <c r="M6" s="202"/>
      <c r="N6" s="681"/>
      <c r="O6" s="682"/>
      <c r="P6" s="683"/>
      <c r="R6" s="78"/>
      <c r="S6" s="217" t="s">
        <v>53</v>
      </c>
      <c r="T6" s="237"/>
      <c r="U6" s="237"/>
      <c r="V6" s="237"/>
      <c r="W6" s="248" t="s">
        <v>846</v>
      </c>
      <c r="X6" s="249" t="b">
        <v>0</v>
      </c>
      <c r="Y6" s="36"/>
      <c r="Z6" s="264"/>
      <c r="AA6" s="264"/>
      <c r="AB6" s="264"/>
      <c r="AC6" s="264"/>
      <c r="AD6" s="265"/>
      <c r="AE6" s="265"/>
      <c r="AF6" s="265"/>
      <c r="AG6" s="265"/>
      <c r="AH6" s="80"/>
      <c r="AI6" s="36"/>
      <c r="AJ6" s="36"/>
      <c r="AK6" s="36"/>
      <c r="AL6" s="36"/>
      <c r="AM6" s="35"/>
      <c r="AN6" s="35"/>
      <c r="AO6" s="35"/>
      <c r="AP6" s="35"/>
      <c r="AQ6" s="35"/>
      <c r="AR6" s="35"/>
      <c r="AS6" s="35"/>
      <c r="AT6" s="133"/>
    </row>
    <row r="7" spans="1:46" ht="12.75" customHeight="1" x14ac:dyDescent="0.2">
      <c r="A7" s="313" t="str">
        <f>VLOOKUP("currency",translation,VLOOKUP(J2,languages,2,FALSE),FALSE)</f>
        <v>Currency</v>
      </c>
      <c r="B7" s="314"/>
      <c r="C7" s="317"/>
      <c r="D7" s="684" t="s">
        <v>877</v>
      </c>
      <c r="E7" s="685"/>
      <c r="F7" s="686" t="s">
        <v>178</v>
      </c>
      <c r="G7" s="687"/>
      <c r="H7" s="316"/>
      <c r="I7" s="316" t="str">
        <f>VLOOKUP("ppap",translation,VLOOKUP(J2,languages,2,FALSE),FALSE)</f>
        <v>PPAP Date</v>
      </c>
      <c r="J7" s="679"/>
      <c r="K7" s="688"/>
      <c r="L7" s="335"/>
      <c r="M7" s="336" t="str">
        <f>VLOOKUP("descr",translation,VLOOKUP(J2,languages,2,FALSE),FALSE)</f>
        <v>Description</v>
      </c>
      <c r="N7" s="689" t="s">
        <v>862</v>
      </c>
      <c r="O7" s="690"/>
      <c r="P7" s="691"/>
      <c r="R7" s="78"/>
      <c r="S7" s="237" t="s">
        <v>56</v>
      </c>
      <c r="T7" s="237"/>
      <c r="U7" s="706" t="s">
        <v>92</v>
      </c>
      <c r="V7" s="707"/>
      <c r="W7" s="248" t="str">
        <f>IF(X7=TRUE,"Yes","No")</f>
        <v>No</v>
      </c>
      <c r="X7" s="249" t="b">
        <v>0</v>
      </c>
      <c r="Y7" s="36"/>
      <c r="Z7" s="264"/>
      <c r="AA7" s="264"/>
      <c r="AB7" s="264"/>
      <c r="AC7" s="264"/>
      <c r="AD7" s="265"/>
      <c r="AE7" s="265"/>
      <c r="AF7" s="265"/>
      <c r="AG7" s="265"/>
      <c r="AH7" s="80"/>
      <c r="AI7" s="36"/>
      <c r="AJ7" s="36"/>
      <c r="AK7" s="36"/>
      <c r="AL7" s="36"/>
      <c r="AM7" s="35"/>
      <c r="AN7" s="35"/>
      <c r="AO7" s="35"/>
      <c r="AP7" s="35"/>
      <c r="AQ7" s="35"/>
      <c r="AR7" s="35"/>
      <c r="AS7" s="35"/>
      <c r="AT7" s="133"/>
    </row>
    <row r="8" spans="1:46" ht="12.75" customHeight="1" x14ac:dyDescent="0.2">
      <c r="A8" s="315"/>
      <c r="B8" s="314"/>
      <c r="C8" s="317"/>
      <c r="D8" s="329"/>
      <c r="E8" s="329"/>
      <c r="F8" s="329"/>
      <c r="G8" s="329"/>
      <c r="H8" s="329"/>
      <c r="I8" s="330" t="str">
        <f>VLOOKUP("fot",translation,VLOOKUP(J2,languages,2,FALSE),FALSE)</f>
        <v>FOT Date</v>
      </c>
      <c r="J8" s="708"/>
      <c r="K8" s="709"/>
      <c r="L8" s="337"/>
      <c r="M8" s="338" t="str">
        <f>VLOOKUP("partno",translation,VLOOKUP(J2,languages,2,FALSE),FALSE)</f>
        <v>Part No.</v>
      </c>
      <c r="N8" s="710"/>
      <c r="O8" s="711"/>
      <c r="P8" s="712"/>
      <c r="R8" s="78"/>
      <c r="S8" s="217" t="s">
        <v>42</v>
      </c>
      <c r="T8" s="237"/>
      <c r="U8" s="250" t="b">
        <v>1</v>
      </c>
      <c r="V8" s="251" t="s">
        <v>165</v>
      </c>
      <c r="W8" s="237" t="str">
        <f>IF(V8=6,"Yes","No")</f>
        <v>No</v>
      </c>
      <c r="X8" s="249"/>
      <c r="Y8" s="36"/>
      <c r="Z8" s="264"/>
      <c r="AA8" s="264"/>
      <c r="AB8" s="264"/>
      <c r="AC8" s="264"/>
      <c r="AD8" s="264"/>
      <c r="AE8" s="264"/>
      <c r="AF8" s="264"/>
      <c r="AG8" s="264"/>
      <c r="AH8" s="36"/>
      <c r="AI8" s="36"/>
      <c r="AJ8" s="36"/>
      <c r="AK8" s="36"/>
      <c r="AL8" s="36"/>
      <c r="AM8" s="35"/>
      <c r="AN8" s="35"/>
      <c r="AO8" s="35"/>
      <c r="AP8" s="35"/>
      <c r="AQ8" s="35"/>
      <c r="AR8" s="35"/>
      <c r="AS8" s="35"/>
      <c r="AT8" s="35"/>
    </row>
    <row r="9" spans="1:46" ht="12.75" customHeight="1" x14ac:dyDescent="0.2">
      <c r="A9" s="318" t="str">
        <f>VLOOKUP("info",translation,VLOOKUP(J2,languages,2,FALSE),FALSE)</f>
        <v>Additional Information</v>
      </c>
      <c r="B9" s="314"/>
      <c r="C9" s="316"/>
      <c r="D9" s="713"/>
      <c r="E9" s="714"/>
      <c r="F9" s="714"/>
      <c r="G9" s="714"/>
      <c r="H9" s="714"/>
      <c r="I9" s="714"/>
      <c r="J9" s="714"/>
      <c r="K9" s="715"/>
      <c r="L9" s="719" t="str">
        <f>VLOOKUP("drawing",translation,VLOOKUP(J2,languages,2,FALSE),FALSE)</f>
        <v>Drawing</v>
      </c>
      <c r="M9" s="720"/>
      <c r="N9" s="710"/>
      <c r="O9" s="721"/>
      <c r="P9" s="722"/>
      <c r="R9" s="78"/>
      <c r="S9" s="217"/>
      <c r="T9" s="237"/>
      <c r="U9" s="250"/>
      <c r="V9" s="252"/>
      <c r="W9" s="237" t="s">
        <v>850</v>
      </c>
      <c r="X9" s="245" t="s">
        <v>849</v>
      </c>
      <c r="Y9" s="36"/>
      <c r="Z9" s="264"/>
      <c r="AA9" s="264"/>
      <c r="AB9" s="264"/>
      <c r="AC9" s="264"/>
      <c r="AD9" s="264"/>
      <c r="AE9" s="264"/>
      <c r="AF9" s="264"/>
      <c r="AG9" s="264"/>
      <c r="AH9" s="36"/>
      <c r="AI9" s="36"/>
      <c r="AJ9" s="36"/>
      <c r="AK9" s="36"/>
      <c r="AL9" s="36"/>
      <c r="AM9" s="35"/>
      <c r="AN9" s="35"/>
      <c r="AO9" s="35"/>
      <c r="AP9" s="35"/>
      <c r="AQ9" s="35"/>
      <c r="AR9" s="35"/>
      <c r="AS9" s="35"/>
      <c r="AT9" s="35"/>
    </row>
    <row r="10" spans="1:46" ht="12.75" customHeight="1" thickBot="1" x14ac:dyDescent="0.25">
      <c r="A10" s="318"/>
      <c r="B10" s="314"/>
      <c r="C10" s="319"/>
      <c r="D10" s="716"/>
      <c r="E10" s="717"/>
      <c r="F10" s="717"/>
      <c r="G10" s="717"/>
      <c r="H10" s="717"/>
      <c r="I10" s="717"/>
      <c r="J10" s="717"/>
      <c r="K10" s="718"/>
      <c r="L10" s="723" t="str">
        <f>VLOOKUP("project",translation,VLOOKUP(J2,languages,2,FALSE),FALSE)</f>
        <v>Project/Customer</v>
      </c>
      <c r="M10" s="724"/>
      <c r="N10" s="725" t="s">
        <v>863</v>
      </c>
      <c r="O10" s="726"/>
      <c r="P10" s="727"/>
      <c r="S10" s="237" t="s">
        <v>54</v>
      </c>
      <c r="T10" s="237"/>
      <c r="U10" s="237"/>
      <c r="V10" s="252">
        <f>W13+W36+W65</f>
        <v>125</v>
      </c>
      <c r="W10" s="252">
        <f>W13+W36+W65+W122</f>
        <v>250</v>
      </c>
      <c r="X10" s="247"/>
      <c r="Y10" s="36"/>
      <c r="Z10" s="264"/>
      <c r="AA10" s="264"/>
      <c r="AB10" s="264"/>
      <c r="AC10" s="264"/>
      <c r="AD10" s="264"/>
      <c r="AE10" s="264"/>
      <c r="AF10" s="264"/>
      <c r="AG10" s="264"/>
      <c r="AH10" s="36"/>
      <c r="AI10" s="36"/>
      <c r="AJ10" s="36"/>
      <c r="AK10" s="36"/>
      <c r="AL10" s="36"/>
      <c r="AM10" s="35"/>
      <c r="AN10" s="35"/>
      <c r="AO10" s="35"/>
      <c r="AP10" s="35"/>
      <c r="AQ10" s="35"/>
      <c r="AR10" s="35"/>
      <c r="AS10" s="35"/>
      <c r="AT10" s="35"/>
    </row>
    <row r="11" spans="1:46" ht="4.5999999999999996" customHeight="1" thickBot="1" x14ac:dyDescent="0.25">
      <c r="A11" s="33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34"/>
      <c r="S11" s="237"/>
      <c r="T11" s="237"/>
      <c r="U11" s="253" t="str">
        <f>IF(RIGHT(M$13,2)="%]","P","A")</f>
        <v>P</v>
      </c>
      <c r="V11" s="237"/>
      <c r="W11" s="237"/>
      <c r="X11" s="217"/>
      <c r="Y11" s="35"/>
      <c r="Z11" s="264"/>
      <c r="AA11" s="264"/>
      <c r="AB11" s="264"/>
      <c r="AC11" s="264"/>
      <c r="AD11" s="266"/>
      <c r="AE11" s="264"/>
      <c r="AF11" s="264"/>
      <c r="AG11" s="264"/>
      <c r="AH11" s="36"/>
      <c r="AI11" s="36"/>
      <c r="AJ11" s="36"/>
      <c r="AK11" s="36"/>
      <c r="AL11" s="36"/>
      <c r="AM11" s="35"/>
      <c r="AN11" s="35"/>
      <c r="AO11" s="35"/>
      <c r="AP11" s="35"/>
      <c r="AQ11" s="35"/>
      <c r="AR11" s="35"/>
      <c r="AS11" s="35"/>
      <c r="AT11" s="35"/>
    </row>
    <row r="12" spans="1:46" ht="13.6" x14ac:dyDescent="0.25">
      <c r="A12" s="339"/>
      <c r="B12" s="340" t="str">
        <f>VLOOKUP("sec2.1",translation,VLOOKUP(J2,languages,2,FALSE),FALSE)</f>
        <v>Section 2.1</v>
      </c>
      <c r="C12" s="341"/>
      <c r="D12" s="342" t="str">
        <f>VLOOKUP("material",translation,VLOOKUP(J2,languages,2,FALSE),FALSE)</f>
        <v>Raw Material</v>
      </c>
      <c r="E12" s="343"/>
      <c r="F12" s="343"/>
      <c r="G12" s="343"/>
      <c r="H12" s="343"/>
      <c r="I12" s="344"/>
      <c r="J12" s="344"/>
      <c r="K12" s="343"/>
      <c r="L12" s="343"/>
      <c r="M12" s="345">
        <f>U12</f>
        <v>9.8532293435482643E-16</v>
      </c>
      <c r="N12" s="345">
        <f>T12</f>
        <v>9.1800000000000007E-2</v>
      </c>
      <c r="O12" s="629">
        <f>SUBTOTAL(109,O14:O33)</f>
        <v>4.6818000000000008</v>
      </c>
      <c r="P12" s="346">
        <f>IF($O$104=0,0,O12/$O$104)</f>
        <v>0.62250842055776778</v>
      </c>
      <c r="S12" s="254">
        <f>SUBTOTAL(109,S14:S33)</f>
        <v>4.59</v>
      </c>
      <c r="T12" s="254">
        <f>SUBTOTAL(109,T14:T33)</f>
        <v>9.1800000000000007E-2</v>
      </c>
      <c r="U12" s="254">
        <f>SUBTOTAL(109,U14:U33)</f>
        <v>9.8532293435482643E-16</v>
      </c>
      <c r="V12" s="254">
        <f>SUBTOTAL(109,V14:V33)</f>
        <v>4.6818000000000008</v>
      </c>
      <c r="W12" s="254"/>
      <c r="X12" s="217"/>
      <c r="Y12" s="35"/>
      <c r="Z12" s="264"/>
      <c r="AA12" s="264"/>
      <c r="AB12" s="264"/>
      <c r="AC12" s="264"/>
      <c r="AD12" s="264"/>
      <c r="AE12" s="264"/>
      <c r="AF12" s="264"/>
      <c r="AG12" s="264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5"/>
    </row>
    <row r="13" spans="1:46" ht="32.299999999999997" customHeight="1" x14ac:dyDescent="0.2">
      <c r="A13" s="347"/>
      <c r="B13" s="728" t="str">
        <f>VLOOKUP("descr2",translation,VLOOKUP(J2,languages,2,FALSE),FALSE)</f>
        <v>Description</v>
      </c>
      <c r="C13" s="728"/>
      <c r="D13" s="348"/>
      <c r="E13" s="729" t="str">
        <f>VLOOKUP("spec",translation,VLOOKUP(J2,languages,2,FALSE),FALSE)</f>
        <v>Specification</v>
      </c>
      <c r="F13" s="730"/>
      <c r="G13" s="349" t="str">
        <f>VLOOKUP("uom",translation,VLOOKUP(J2,languages,2,FALSE),FALSE)</f>
        <v>UoM</v>
      </c>
      <c r="H13" s="350" t="str">
        <f>VLOOKUP("nweight",translation,VLOOKUP(J2,languages,2,FALSE),FALSE)</f>
        <v>Net Amount</v>
      </c>
      <c r="I13" s="350" t="str">
        <f>VLOOKUP("bweight",translation,VLOOKUP(J2,languages,2,FALSE),FALSE)</f>
        <v>Gross Amount</v>
      </c>
      <c r="J13" s="350" t="str">
        <f>VLOOKUP("qty1",translation,VLOOKUP(J2,languages,2,FALSE),FALSE)</f>
        <v>Qty (optional)</v>
      </c>
      <c r="K13" s="350" t="str">
        <f>VLOOKUP("ucost",translation,VLOOKUP(J2,languages,2,FALSE),FALSE) &amp; " ["&amp;LEFT($D$7,3)&amp;"]"</f>
        <v>Unit Cost [EUR]</v>
      </c>
      <c r="L13" s="350" t="str">
        <f>VLOOKUP("resale",translation,VLOOKUP(J2,languages,2,FALSE),FALSE)&amp;" ["&amp;LEFT($D$7,3)&amp;VLOOKUP("/UoM",translation,VLOOKUP(J2,languages,2,FALSE),FALSE)&amp;"]"</f>
        <v>Refund [EUR/UoM]</v>
      </c>
      <c r="M13" s="351" t="s">
        <v>193</v>
      </c>
      <c r="N13" s="350" t="str">
        <f>VLOOKUP("scrap",translation,VLOOKUP(J2,languages,2,FALSE),FALSE)</f>
        <v>Scrap [%]</v>
      </c>
      <c r="O13" s="350" t="str">
        <f>VLOOKUP("total",translation,VLOOKUP(J2,languages,2,FALSE),FALSE)&amp;" ["&amp;LEFT($D$7,3)&amp;$F$7&amp;"]"</f>
        <v>Total [EUR/pc]</v>
      </c>
      <c r="P13" s="352"/>
      <c r="S13" s="255" t="s">
        <v>13</v>
      </c>
      <c r="T13" s="255" t="s">
        <v>14</v>
      </c>
      <c r="U13" s="255" t="s">
        <v>15</v>
      </c>
      <c r="V13" s="255" t="s">
        <v>16</v>
      </c>
      <c r="W13" s="256">
        <v>16</v>
      </c>
      <c r="X13" s="217"/>
      <c r="Y13" s="35"/>
      <c r="Z13" s="264"/>
      <c r="AA13" s="264"/>
      <c r="AB13" s="264"/>
      <c r="AC13" s="264"/>
      <c r="AD13" s="264"/>
      <c r="AE13" s="264"/>
      <c r="AF13" s="264"/>
      <c r="AG13" s="264"/>
      <c r="AH13" s="36"/>
      <c r="AI13" s="36"/>
      <c r="AJ13" s="36"/>
      <c r="AK13" s="36"/>
      <c r="AL13" s="36"/>
      <c r="AM13" s="35"/>
      <c r="AN13" s="35"/>
      <c r="AO13" s="35"/>
      <c r="AP13" s="35"/>
      <c r="AQ13" s="35"/>
      <c r="AR13" s="35"/>
      <c r="AS13" s="35"/>
      <c r="AT13" s="35"/>
    </row>
    <row r="14" spans="1:46" x14ac:dyDescent="0.2">
      <c r="A14" s="353">
        <v>1</v>
      </c>
      <c r="B14" s="925" t="s">
        <v>867</v>
      </c>
      <c r="C14" s="926"/>
      <c r="D14" s="927"/>
      <c r="E14" s="928" t="s">
        <v>865</v>
      </c>
      <c r="F14" s="929"/>
      <c r="G14" s="930" t="s">
        <v>866</v>
      </c>
      <c r="H14" s="931">
        <v>2.5</v>
      </c>
      <c r="I14" s="931">
        <v>2.7</v>
      </c>
      <c r="J14" s="90"/>
      <c r="K14" s="90">
        <v>1.7</v>
      </c>
      <c r="L14" s="90">
        <v>0</v>
      </c>
      <c r="M14" s="218"/>
      <c r="N14" s="354">
        <v>0.02</v>
      </c>
      <c r="O14" s="355">
        <f>IF(J14="",1,J14)*(I14*(1+N14)*(K14+IF(RIGHT(M$13,2)="%]",(K14*M14),M14)-L14)+H14*L14)*PUC</f>
        <v>4.6818000000000008</v>
      </c>
      <c r="P14" s="356">
        <f t="shared" ref="P14:P33" si="0">IF($O$104=0,0,O14/$O$104)</f>
        <v>0.62250842055776778</v>
      </c>
      <c r="S14" s="257">
        <f>IF(J14="",1,J14)*(I14*(K14-L14)+(H14*L14))*PUC</f>
        <v>4.59</v>
      </c>
      <c r="T14" s="257">
        <f>IF(J14="",1,J14)*(K14+IF(RIGHT(M$13,2)="%]",(K14*M14),M14)-L14)*(I14*N14)*PUC</f>
        <v>9.1800000000000007E-2</v>
      </c>
      <c r="U14" s="257">
        <f>V14-S14-T14</f>
        <v>9.8532293435482643E-16</v>
      </c>
      <c r="V14" s="257">
        <f>IF(J14="",1,J14)*(I14*(1+N14)*(K14+IF(RIGHT(M$13,2)="%]",(K14*M14),M14)-L14)+H14*L14)*PUC</f>
        <v>4.6818000000000008</v>
      </c>
      <c r="W14" s="258"/>
      <c r="X14" s="217"/>
      <c r="Y14" s="40"/>
      <c r="Z14" s="264"/>
      <c r="AA14" s="264"/>
      <c r="AB14" s="264"/>
      <c r="AC14" s="264"/>
      <c r="AD14" s="264"/>
      <c r="AE14" s="264"/>
      <c r="AF14" s="266"/>
      <c r="AG14" s="264"/>
      <c r="AH14" s="54"/>
      <c r="AI14" s="36"/>
      <c r="AJ14" s="36"/>
      <c r="AK14" s="36"/>
      <c r="AL14" s="36"/>
      <c r="AM14" s="41"/>
      <c r="AN14" s="41"/>
      <c r="AO14" s="41"/>
      <c r="AP14" s="41"/>
      <c r="AQ14" s="41"/>
      <c r="AR14" s="41"/>
      <c r="AS14" s="41"/>
      <c r="AT14" s="41"/>
    </row>
    <row r="15" spans="1:46" x14ac:dyDescent="0.2">
      <c r="A15" s="357">
        <v>2</v>
      </c>
      <c r="B15" s="738"/>
      <c r="C15" s="739"/>
      <c r="D15" s="740"/>
      <c r="E15" s="731"/>
      <c r="F15" s="732"/>
      <c r="G15" s="88"/>
      <c r="H15" s="90"/>
      <c r="I15" s="90"/>
      <c r="J15" s="90"/>
      <c r="K15" s="90"/>
      <c r="L15" s="90"/>
      <c r="M15" s="218"/>
      <c r="N15" s="358"/>
      <c r="O15" s="355">
        <f>IF(J15="",1,J15)*(I15*(1+N15)*(K15+IF(RIGHT(M$13,2)="%]",(K15*M15),M15)-L15)+H15*L15)*PUC</f>
        <v>0</v>
      </c>
      <c r="P15" s="356">
        <f t="shared" si="0"/>
        <v>0</v>
      </c>
      <c r="S15" s="257">
        <f>IF(J15="",1,J15)*(I15*(K15-L15)+(H15*L15))*PUC</f>
        <v>0</v>
      </c>
      <c r="T15" s="257">
        <f>IF(J15="",1,J15)*(K15+IF(RIGHT(M$13,2)="%]",(K15*M15),M15)-L15)*(I15*N15)*PUC</f>
        <v>0</v>
      </c>
      <c r="U15" s="257">
        <f t="shared" ref="U15:U33" si="1">V15-S15-T15</f>
        <v>0</v>
      </c>
      <c r="V15" s="257">
        <f>IF(J15="",1,J15)*(I15*(1+N15)*(K15+IF(RIGHT(M$13,2)="%]",(K15*M15),M15)-L15)+H15*L15)*PUC</f>
        <v>0</v>
      </c>
      <c r="W15" s="258"/>
      <c r="X15" s="217"/>
      <c r="Y15" s="40"/>
      <c r="Z15" s="264"/>
      <c r="AA15" s="264"/>
      <c r="AB15" s="264"/>
      <c r="AC15" s="264"/>
      <c r="AD15" s="264"/>
      <c r="AE15" s="264"/>
      <c r="AF15" s="264"/>
      <c r="AG15" s="264"/>
      <c r="AH15" s="36"/>
      <c r="AI15" s="36"/>
      <c r="AJ15" s="36"/>
      <c r="AK15" s="36"/>
      <c r="AL15" s="36"/>
      <c r="AM15" s="41"/>
      <c r="AN15" s="41"/>
      <c r="AO15" s="41"/>
      <c r="AP15" s="41"/>
      <c r="AQ15" s="41"/>
      <c r="AR15" s="41"/>
      <c r="AS15" s="41"/>
      <c r="AT15" s="41"/>
    </row>
    <row r="16" spans="1:46" x14ac:dyDescent="0.2">
      <c r="A16" s="357">
        <v>3</v>
      </c>
      <c r="B16" s="738"/>
      <c r="C16" s="739"/>
      <c r="D16" s="740"/>
      <c r="E16" s="731"/>
      <c r="F16" s="733"/>
      <c r="G16" s="88"/>
      <c r="H16" s="90"/>
      <c r="I16" s="90"/>
      <c r="J16" s="90"/>
      <c r="K16" s="90"/>
      <c r="L16" s="90"/>
      <c r="M16" s="218"/>
      <c r="N16" s="358"/>
      <c r="O16" s="355">
        <f>IF(J16="",1,J16)*(I16*(1+N16)*(K16+IF(RIGHT(M$13,2)="%]",(K16*M16),M16)-L16)+H16*L16)*PUC</f>
        <v>0</v>
      </c>
      <c r="P16" s="356">
        <f t="shared" si="0"/>
        <v>0</v>
      </c>
      <c r="S16" s="257">
        <f>IF(J16="",1,J16)*(I16*(K16-L16)+(H16*L16))*PUC</f>
        <v>0</v>
      </c>
      <c r="T16" s="257">
        <f>IF(J16="",1,J16)*(K16+IF(RIGHT(M$13,2)="%]",(K16*M16),M16)-L16)*(I16*N16)*PUC</f>
        <v>0</v>
      </c>
      <c r="U16" s="257">
        <f t="shared" si="1"/>
        <v>0</v>
      </c>
      <c r="V16" s="257">
        <f>IF(J16="",1,J16)*(I16*(1+N16)*(K16+IF(RIGHT(M$13,2)="%]",(K16*M16),M16)-L16)+H16*L16)*PUC</f>
        <v>0</v>
      </c>
      <c r="W16" s="258"/>
      <c r="X16" s="217"/>
      <c r="Y16" s="40"/>
      <c r="Z16" s="264"/>
      <c r="AA16" s="264"/>
      <c r="AB16" s="264"/>
      <c r="AC16" s="264"/>
      <c r="AD16" s="264"/>
      <c r="AE16" s="264"/>
      <c r="AF16" s="264"/>
      <c r="AG16" s="264"/>
      <c r="AH16" s="36"/>
      <c r="AI16" s="36"/>
      <c r="AJ16" s="36"/>
      <c r="AK16" s="36"/>
      <c r="AL16" s="36"/>
      <c r="AM16" s="41"/>
      <c r="AN16" s="41"/>
      <c r="AO16" s="41"/>
      <c r="AP16" s="41"/>
      <c r="AQ16" s="41"/>
      <c r="AR16" s="41"/>
      <c r="AS16" s="41"/>
      <c r="AT16" s="41"/>
    </row>
    <row r="17" spans="1:46" ht="12.75" hidden="1" customHeight="1" x14ac:dyDescent="0.2">
      <c r="A17" s="357">
        <v>4</v>
      </c>
      <c r="B17" s="738"/>
      <c r="C17" s="739"/>
      <c r="D17" s="740"/>
      <c r="E17" s="731"/>
      <c r="F17" s="733"/>
      <c r="G17" s="88"/>
      <c r="H17" s="90"/>
      <c r="I17" s="90"/>
      <c r="J17" s="90"/>
      <c r="K17" s="90"/>
      <c r="L17" s="90"/>
      <c r="M17" s="218"/>
      <c r="N17" s="358"/>
      <c r="O17" s="355">
        <f>IF(J17="",1,J17)*(I17*(1+N17)*(K17+IF(RIGHT(M$13,2)="%]",(K17*M17),M17)-L17)+H17*L17)*PUC</f>
        <v>0</v>
      </c>
      <c r="P17" s="356">
        <f t="shared" si="0"/>
        <v>0</v>
      </c>
      <c r="S17" s="257">
        <f>IF(J17="",1,J17)*(I17*(K17-L17)+(H17*L17))*PUC</f>
        <v>0</v>
      </c>
      <c r="T17" s="257">
        <f>IF(J17="",1,J17)*(K17+IF(RIGHT(M$13,2)="%]",(K17*M17),M17)-L17)*(I17*N17)*PUC</f>
        <v>0</v>
      </c>
      <c r="U17" s="257">
        <f t="shared" si="1"/>
        <v>0</v>
      </c>
      <c r="V17" s="257">
        <f>IF(J17="",1,J17)*(I17*(1+N17)*(K17+IF(RIGHT(M$13,2)="%]",(K17*M17),M17)-L17)+H17*L17)*PUC</f>
        <v>0</v>
      </c>
      <c r="W17" s="258"/>
      <c r="X17" s="217"/>
      <c r="Y17" s="40"/>
      <c r="Z17" s="264"/>
      <c r="AA17" s="264"/>
      <c r="AB17" s="264"/>
      <c r="AC17" s="264"/>
      <c r="AD17" s="264"/>
      <c r="AE17" s="264"/>
      <c r="AF17" s="264"/>
      <c r="AG17" s="264"/>
      <c r="AH17" s="36"/>
      <c r="AI17" s="36"/>
      <c r="AJ17" s="36"/>
      <c r="AK17" s="36"/>
      <c r="AL17" s="36"/>
      <c r="AM17" s="41"/>
      <c r="AN17" s="41"/>
      <c r="AO17" s="41"/>
      <c r="AP17" s="41"/>
      <c r="AQ17" s="41"/>
      <c r="AR17" s="41"/>
      <c r="AS17" s="41"/>
      <c r="AT17" s="41"/>
    </row>
    <row r="18" spans="1:46" ht="12.75" hidden="1" customHeight="1" x14ac:dyDescent="0.2">
      <c r="A18" s="357">
        <v>5</v>
      </c>
      <c r="B18" s="738"/>
      <c r="C18" s="739"/>
      <c r="D18" s="740"/>
      <c r="E18" s="731"/>
      <c r="F18" s="733"/>
      <c r="G18" s="88"/>
      <c r="H18" s="90"/>
      <c r="I18" s="90"/>
      <c r="J18" s="90"/>
      <c r="K18" s="90"/>
      <c r="L18" s="90"/>
      <c r="M18" s="218"/>
      <c r="N18" s="358"/>
      <c r="O18" s="355">
        <f t="shared" ref="O18:O30" si="2">IF(J18="",1,J18)*(I18*(1+N18)*(K18+IF(RIGHT(M$13,2)="%]",(K18*M18),M18)-L18)+H18*L18)*PUC</f>
        <v>0</v>
      </c>
      <c r="P18" s="356">
        <f t="shared" si="0"/>
        <v>0</v>
      </c>
      <c r="S18" s="257">
        <f t="shared" ref="S18:S30" si="3">IF(J18="",1,J18)*(I18*(K18-L18)+(H18*L18))*PUC</f>
        <v>0</v>
      </c>
      <c r="T18" s="257">
        <f t="shared" ref="T18:T30" si="4">IF(J18="",1,J18)*(K18+IF(RIGHT(M$13,2)="%]",(K18*M18),M18)-L18)*(I18*N18)*PUC</f>
        <v>0</v>
      </c>
      <c r="U18" s="257">
        <f t="shared" si="1"/>
        <v>0</v>
      </c>
      <c r="V18" s="257">
        <f t="shared" ref="V18:V30" si="5">IF(J18="",1,J18)*(I18*(1+N18)*(K18+IF(RIGHT(M$13,2)="%]",(K18*M18),M18)-L18)+H18*L18)*PUC</f>
        <v>0</v>
      </c>
      <c r="W18" s="258"/>
      <c r="X18" s="217"/>
      <c r="Y18" s="40"/>
      <c r="Z18" s="264"/>
      <c r="AA18" s="264"/>
      <c r="AB18" s="264"/>
      <c r="AC18" s="264"/>
      <c r="AD18" s="264"/>
      <c r="AE18" s="264"/>
      <c r="AF18" s="264"/>
      <c r="AG18" s="264"/>
      <c r="AH18" s="54"/>
      <c r="AI18" s="36"/>
      <c r="AJ18" s="36"/>
      <c r="AK18" s="36"/>
      <c r="AL18" s="36"/>
      <c r="AM18" s="41"/>
      <c r="AN18" s="41"/>
      <c r="AO18" s="41"/>
      <c r="AP18" s="41"/>
      <c r="AQ18" s="41"/>
      <c r="AR18" s="41"/>
      <c r="AS18" s="41"/>
      <c r="AT18" s="41"/>
    </row>
    <row r="19" spans="1:46" ht="12.75" hidden="1" customHeight="1" x14ac:dyDescent="0.2">
      <c r="A19" s="357">
        <v>6</v>
      </c>
      <c r="B19" s="738"/>
      <c r="C19" s="739"/>
      <c r="D19" s="740"/>
      <c r="E19" s="731"/>
      <c r="F19" s="733"/>
      <c r="G19" s="88"/>
      <c r="H19" s="90"/>
      <c r="I19" s="90"/>
      <c r="J19" s="90"/>
      <c r="K19" s="90"/>
      <c r="L19" s="90"/>
      <c r="M19" s="218"/>
      <c r="N19" s="358"/>
      <c r="O19" s="355">
        <f t="shared" si="2"/>
        <v>0</v>
      </c>
      <c r="P19" s="356">
        <f t="shared" si="0"/>
        <v>0</v>
      </c>
      <c r="S19" s="257">
        <f t="shared" si="3"/>
        <v>0</v>
      </c>
      <c r="T19" s="257">
        <f t="shared" si="4"/>
        <v>0</v>
      </c>
      <c r="U19" s="257">
        <f t="shared" si="1"/>
        <v>0</v>
      </c>
      <c r="V19" s="257">
        <f t="shared" si="5"/>
        <v>0</v>
      </c>
      <c r="W19" s="258"/>
      <c r="X19" s="217"/>
      <c r="Y19" s="40"/>
      <c r="Z19" s="264"/>
      <c r="AA19" s="264"/>
      <c r="AB19" s="264"/>
      <c r="AC19" s="264"/>
      <c r="AD19" s="264"/>
      <c r="AE19" s="264"/>
      <c r="AF19" s="264"/>
      <c r="AG19" s="264"/>
      <c r="AH19" s="36"/>
      <c r="AI19" s="36"/>
      <c r="AJ19" s="36"/>
      <c r="AK19" s="36"/>
      <c r="AL19" s="36"/>
      <c r="AM19" s="41"/>
      <c r="AN19" s="41"/>
      <c r="AO19" s="41"/>
      <c r="AP19" s="41"/>
      <c r="AQ19" s="41"/>
      <c r="AR19" s="41"/>
      <c r="AS19" s="41"/>
      <c r="AT19" s="41"/>
    </row>
    <row r="20" spans="1:46" ht="12.75" hidden="1" customHeight="1" x14ac:dyDescent="0.2">
      <c r="A20" s="357">
        <v>7</v>
      </c>
      <c r="B20" s="738"/>
      <c r="C20" s="739"/>
      <c r="D20" s="740"/>
      <c r="E20" s="731"/>
      <c r="F20" s="733"/>
      <c r="G20" s="88"/>
      <c r="H20" s="90"/>
      <c r="I20" s="90"/>
      <c r="J20" s="90"/>
      <c r="K20" s="90"/>
      <c r="L20" s="90"/>
      <c r="M20" s="218"/>
      <c r="N20" s="358"/>
      <c r="O20" s="355">
        <f t="shared" si="2"/>
        <v>0</v>
      </c>
      <c r="P20" s="356">
        <f t="shared" si="0"/>
        <v>0</v>
      </c>
      <c r="S20" s="257">
        <f t="shared" si="3"/>
        <v>0</v>
      </c>
      <c r="T20" s="257">
        <f t="shared" si="4"/>
        <v>0</v>
      </c>
      <c r="U20" s="257">
        <f t="shared" si="1"/>
        <v>0</v>
      </c>
      <c r="V20" s="257">
        <f t="shared" si="5"/>
        <v>0</v>
      </c>
      <c r="W20" s="258"/>
      <c r="X20" s="217"/>
      <c r="Y20" s="42"/>
      <c r="Z20" s="264"/>
      <c r="AA20" s="264"/>
      <c r="AB20" s="264"/>
      <c r="AC20" s="264"/>
      <c r="AD20" s="264"/>
      <c r="AE20" s="264"/>
      <c r="AF20" s="264"/>
      <c r="AG20" s="264"/>
      <c r="AH20" s="36"/>
      <c r="AI20" s="36"/>
      <c r="AJ20" s="36"/>
      <c r="AK20" s="36"/>
      <c r="AL20" s="36"/>
      <c r="AM20" s="42"/>
      <c r="AN20" s="42"/>
      <c r="AO20" s="42"/>
      <c r="AP20" s="42"/>
      <c r="AQ20" s="42"/>
      <c r="AR20" s="42"/>
      <c r="AS20" s="42"/>
      <c r="AT20" s="42"/>
    </row>
    <row r="21" spans="1:46" ht="12.75" hidden="1" customHeight="1" x14ac:dyDescent="0.2">
      <c r="A21" s="357">
        <v>8</v>
      </c>
      <c r="B21" s="738"/>
      <c r="C21" s="739"/>
      <c r="D21" s="740"/>
      <c r="E21" s="731"/>
      <c r="F21" s="733"/>
      <c r="G21" s="88"/>
      <c r="H21" s="90"/>
      <c r="I21" s="90"/>
      <c r="J21" s="90"/>
      <c r="K21" s="90"/>
      <c r="L21" s="90"/>
      <c r="M21" s="218"/>
      <c r="N21" s="358"/>
      <c r="O21" s="355">
        <f t="shared" si="2"/>
        <v>0</v>
      </c>
      <c r="P21" s="356">
        <f t="shared" si="0"/>
        <v>0</v>
      </c>
      <c r="S21" s="257">
        <f t="shared" si="3"/>
        <v>0</v>
      </c>
      <c r="T21" s="257">
        <f t="shared" si="4"/>
        <v>0</v>
      </c>
      <c r="U21" s="257">
        <f t="shared" si="1"/>
        <v>0</v>
      </c>
      <c r="V21" s="257">
        <f t="shared" si="5"/>
        <v>0</v>
      </c>
      <c r="W21" s="258"/>
      <c r="X21" s="217"/>
      <c r="Y21" s="42"/>
      <c r="Z21" s="264"/>
      <c r="AA21" s="264"/>
      <c r="AB21" s="264"/>
      <c r="AC21" s="264"/>
      <c r="AD21" s="264"/>
      <c r="AE21" s="264"/>
      <c r="AF21" s="264"/>
      <c r="AG21" s="264"/>
      <c r="AH21" s="36"/>
      <c r="AI21" s="36"/>
      <c r="AJ21" s="36"/>
      <c r="AK21" s="36"/>
      <c r="AL21" s="36"/>
      <c r="AM21" s="42"/>
      <c r="AN21" s="42"/>
      <c r="AO21" s="42"/>
      <c r="AP21" s="42"/>
      <c r="AQ21" s="42"/>
      <c r="AR21" s="42"/>
      <c r="AS21" s="42"/>
      <c r="AT21" s="42"/>
    </row>
    <row r="22" spans="1:46" ht="12.75" hidden="1" customHeight="1" x14ac:dyDescent="0.2">
      <c r="A22" s="357">
        <v>9</v>
      </c>
      <c r="B22" s="738"/>
      <c r="C22" s="739"/>
      <c r="D22" s="740"/>
      <c r="E22" s="731"/>
      <c r="F22" s="733"/>
      <c r="G22" s="88"/>
      <c r="H22" s="90"/>
      <c r="I22" s="90"/>
      <c r="J22" s="90"/>
      <c r="K22" s="90"/>
      <c r="L22" s="90"/>
      <c r="M22" s="218"/>
      <c r="N22" s="358"/>
      <c r="O22" s="355">
        <f t="shared" si="2"/>
        <v>0</v>
      </c>
      <c r="P22" s="356">
        <f t="shared" si="0"/>
        <v>0</v>
      </c>
      <c r="S22" s="257">
        <f t="shared" si="3"/>
        <v>0</v>
      </c>
      <c r="T22" s="257">
        <f t="shared" si="4"/>
        <v>0</v>
      </c>
      <c r="U22" s="257">
        <f t="shared" si="1"/>
        <v>0</v>
      </c>
      <c r="V22" s="257">
        <f t="shared" si="5"/>
        <v>0</v>
      </c>
      <c r="W22" s="258"/>
      <c r="X22" s="217"/>
      <c r="Y22" s="42"/>
      <c r="Z22" s="264"/>
      <c r="AA22" s="264"/>
      <c r="AB22" s="264"/>
      <c r="AC22" s="264"/>
      <c r="AD22" s="264"/>
      <c r="AE22" s="264"/>
      <c r="AF22" s="264"/>
      <c r="AG22" s="264"/>
      <c r="AH22" s="36"/>
      <c r="AI22" s="36"/>
      <c r="AJ22" s="36"/>
      <c r="AK22" s="36"/>
      <c r="AL22" s="36"/>
      <c r="AM22" s="42"/>
      <c r="AN22" s="42"/>
      <c r="AO22" s="42"/>
      <c r="AP22" s="42"/>
      <c r="AQ22" s="42"/>
      <c r="AR22" s="42"/>
      <c r="AS22" s="42"/>
      <c r="AT22" s="42"/>
    </row>
    <row r="23" spans="1:46" ht="12.75" hidden="1" customHeight="1" x14ac:dyDescent="0.2">
      <c r="A23" s="357">
        <v>10</v>
      </c>
      <c r="B23" s="738"/>
      <c r="C23" s="739"/>
      <c r="D23" s="740"/>
      <c r="E23" s="731"/>
      <c r="F23" s="733"/>
      <c r="G23" s="88"/>
      <c r="H23" s="90"/>
      <c r="I23" s="90"/>
      <c r="J23" s="90"/>
      <c r="K23" s="90"/>
      <c r="L23" s="90"/>
      <c r="M23" s="218"/>
      <c r="N23" s="358"/>
      <c r="O23" s="355">
        <f t="shared" si="2"/>
        <v>0</v>
      </c>
      <c r="P23" s="356">
        <f t="shared" si="0"/>
        <v>0</v>
      </c>
      <c r="S23" s="257">
        <f t="shared" si="3"/>
        <v>0</v>
      </c>
      <c r="T23" s="257">
        <f t="shared" si="4"/>
        <v>0</v>
      </c>
      <c r="U23" s="257">
        <f t="shared" si="1"/>
        <v>0</v>
      </c>
      <c r="V23" s="257">
        <f t="shared" si="5"/>
        <v>0</v>
      </c>
      <c r="W23" s="258"/>
      <c r="X23" s="217"/>
      <c r="Y23" s="42"/>
      <c r="Z23" s="264"/>
      <c r="AA23" s="264"/>
      <c r="AB23" s="264"/>
      <c r="AC23" s="264"/>
      <c r="AD23" s="264"/>
      <c r="AE23" s="264"/>
      <c r="AF23" s="264"/>
      <c r="AG23" s="264"/>
      <c r="AH23" s="36"/>
      <c r="AI23" s="36"/>
      <c r="AJ23" s="36"/>
      <c r="AK23" s="36"/>
      <c r="AL23" s="36"/>
      <c r="AM23" s="42"/>
      <c r="AN23" s="42"/>
      <c r="AO23" s="42"/>
      <c r="AP23" s="42"/>
      <c r="AQ23" s="42"/>
      <c r="AR23" s="42"/>
      <c r="AS23" s="42"/>
      <c r="AT23" s="42"/>
    </row>
    <row r="24" spans="1:46" ht="12.75" hidden="1" customHeight="1" x14ac:dyDescent="0.2">
      <c r="A24" s="357">
        <v>11</v>
      </c>
      <c r="B24" s="738"/>
      <c r="C24" s="739"/>
      <c r="D24" s="740"/>
      <c r="E24" s="731"/>
      <c r="F24" s="733"/>
      <c r="G24" s="88"/>
      <c r="H24" s="90"/>
      <c r="I24" s="90"/>
      <c r="J24" s="90"/>
      <c r="K24" s="90"/>
      <c r="L24" s="90"/>
      <c r="M24" s="218"/>
      <c r="N24" s="358"/>
      <c r="O24" s="355">
        <f>IF(J24="",1,J24)*(I24*(1+N24)*(K24+IF(RIGHT(M$13,2)="%]",(K24*M24),M24)-L24)+H24*L24)*PUC</f>
        <v>0</v>
      </c>
      <c r="P24" s="356">
        <f t="shared" si="0"/>
        <v>0</v>
      </c>
      <c r="S24" s="257">
        <f>IF(J24="",1,J24)*(I24*(K24-L24)+(H24*L24))*PUC</f>
        <v>0</v>
      </c>
      <c r="T24" s="257">
        <f>IF(J24="",1,J24)*(K24+IF(RIGHT(M$13,2)="%]",(K24*M24),M24)-L24)*(I24*N24)*PUC</f>
        <v>0</v>
      </c>
      <c r="U24" s="257">
        <f t="shared" si="1"/>
        <v>0</v>
      </c>
      <c r="V24" s="257">
        <f>IF(J24="",1,J24)*(I24*(1+N24)*(K24+IF(RIGHT(M$13,2)="%]",(K24*M24),M24)-L24)+H24*L24)*PUC</f>
        <v>0</v>
      </c>
      <c r="W24" s="258"/>
      <c r="X24" s="217"/>
      <c r="Y24" s="42"/>
      <c r="Z24" s="264"/>
      <c r="AA24" s="264"/>
      <c r="AB24" s="264"/>
      <c r="AC24" s="264"/>
      <c r="AD24" s="264"/>
      <c r="AE24" s="264"/>
      <c r="AF24" s="264"/>
      <c r="AG24" s="264"/>
      <c r="AH24" s="36"/>
      <c r="AI24" s="36"/>
      <c r="AJ24" s="36"/>
      <c r="AK24" s="36"/>
      <c r="AL24" s="36"/>
      <c r="AM24" s="42"/>
      <c r="AN24" s="42"/>
      <c r="AO24" s="42"/>
      <c r="AP24" s="42"/>
      <c r="AQ24" s="42"/>
      <c r="AR24" s="42"/>
      <c r="AS24" s="42"/>
      <c r="AT24" s="42"/>
    </row>
    <row r="25" spans="1:46" ht="12.75" hidden="1" customHeight="1" x14ac:dyDescent="0.2">
      <c r="A25" s="357">
        <v>12</v>
      </c>
      <c r="B25" s="738"/>
      <c r="C25" s="739"/>
      <c r="D25" s="740"/>
      <c r="E25" s="731"/>
      <c r="F25" s="733"/>
      <c r="G25" s="88"/>
      <c r="H25" s="90"/>
      <c r="I25" s="90"/>
      <c r="J25" s="90"/>
      <c r="K25" s="90"/>
      <c r="L25" s="90"/>
      <c r="M25" s="218"/>
      <c r="N25" s="358"/>
      <c r="O25" s="355">
        <f>IF(J25="",1,J25)*(I25*(1+N25)*(K25+IF(RIGHT(M$13,2)="%]",(K25*M25),M25)-L25)+H25*L25)*PUC</f>
        <v>0</v>
      </c>
      <c r="P25" s="356">
        <f t="shared" si="0"/>
        <v>0</v>
      </c>
      <c r="S25" s="257">
        <f>IF(J25="",1,J25)*(I25*(K25-L25)+(H25*L25))*PUC</f>
        <v>0</v>
      </c>
      <c r="T25" s="257">
        <f>IF(J25="",1,J25)*(K25+IF(RIGHT(M$13,2)="%]",(K25*M25),M25)-L25)*(I25*N25)*PUC</f>
        <v>0</v>
      </c>
      <c r="U25" s="257">
        <f t="shared" si="1"/>
        <v>0</v>
      </c>
      <c r="V25" s="257">
        <f>IF(J25="",1,J25)*(I25*(1+N25)*(K25+IF(RIGHT(M$13,2)="%]",(K25*M25),M25)-L25)+H25*L25)*PUC</f>
        <v>0</v>
      </c>
      <c r="W25" s="258"/>
      <c r="X25" s="217"/>
      <c r="Y25" s="42"/>
      <c r="Z25" s="264"/>
      <c r="AA25" s="264"/>
      <c r="AB25" s="264"/>
      <c r="AC25" s="264"/>
      <c r="AD25" s="264"/>
      <c r="AE25" s="264"/>
      <c r="AF25" s="264"/>
      <c r="AG25" s="264"/>
      <c r="AH25" s="36"/>
      <c r="AI25" s="36"/>
      <c r="AJ25" s="36"/>
      <c r="AK25" s="36"/>
      <c r="AL25" s="36"/>
      <c r="AM25" s="42"/>
      <c r="AN25" s="42"/>
      <c r="AO25" s="42"/>
      <c r="AP25" s="42"/>
      <c r="AQ25" s="42"/>
      <c r="AR25" s="42"/>
      <c r="AS25" s="42"/>
      <c r="AT25" s="42"/>
    </row>
    <row r="26" spans="1:46" ht="12.75" hidden="1" customHeight="1" x14ac:dyDescent="0.2">
      <c r="A26" s="357">
        <v>13</v>
      </c>
      <c r="B26" s="738"/>
      <c r="C26" s="739"/>
      <c r="D26" s="740"/>
      <c r="E26" s="731"/>
      <c r="F26" s="733"/>
      <c r="G26" s="88"/>
      <c r="H26" s="90"/>
      <c r="I26" s="90"/>
      <c r="J26" s="90"/>
      <c r="K26" s="90"/>
      <c r="L26" s="90"/>
      <c r="M26" s="218"/>
      <c r="N26" s="358"/>
      <c r="O26" s="355">
        <f>IF(J26="",1,J26)*(I26*(1+N26)*(K26+IF(RIGHT(M$13,2)="%]",(K26*M26),M26)-L26)+H26*L26)*PUC</f>
        <v>0</v>
      </c>
      <c r="P26" s="356">
        <f t="shared" si="0"/>
        <v>0</v>
      </c>
      <c r="S26" s="257">
        <f>IF(J26="",1,J26)*(I26*(K26-L26)+(H26*L26))*PUC</f>
        <v>0</v>
      </c>
      <c r="T26" s="257">
        <f>IF(J26="",1,J26)*(K26+IF(RIGHT(M$13,2)="%]",(K26*M26),M26)-L26)*(I26*N26)*PUC</f>
        <v>0</v>
      </c>
      <c r="U26" s="257">
        <f t="shared" si="1"/>
        <v>0</v>
      </c>
      <c r="V26" s="257">
        <f>IF(J26="",1,J26)*(I26*(1+N26)*(K26+IF(RIGHT(M$13,2)="%]",(K26*M26),M26)-L26)+H26*L26)*PUC</f>
        <v>0</v>
      </c>
      <c r="W26" s="258"/>
      <c r="X26" s="217"/>
      <c r="Y26" s="42"/>
      <c r="Z26" s="264"/>
      <c r="AA26" s="264"/>
      <c r="AB26" s="264"/>
      <c r="AC26" s="264"/>
      <c r="AD26" s="264"/>
      <c r="AE26" s="264"/>
      <c r="AF26" s="264"/>
      <c r="AG26" s="264"/>
      <c r="AH26" s="36"/>
      <c r="AI26" s="36"/>
      <c r="AJ26" s="36"/>
      <c r="AK26" s="36"/>
      <c r="AL26" s="36"/>
      <c r="AM26" s="42"/>
      <c r="AN26" s="42"/>
      <c r="AO26" s="42"/>
      <c r="AP26" s="42"/>
      <c r="AQ26" s="42"/>
      <c r="AR26" s="42"/>
      <c r="AS26" s="42"/>
      <c r="AT26" s="42"/>
    </row>
    <row r="27" spans="1:46" ht="12.75" hidden="1" customHeight="1" x14ac:dyDescent="0.2">
      <c r="A27" s="357">
        <v>14</v>
      </c>
      <c r="B27" s="738"/>
      <c r="C27" s="739"/>
      <c r="D27" s="740"/>
      <c r="E27" s="731"/>
      <c r="F27" s="733"/>
      <c r="G27" s="88"/>
      <c r="H27" s="90"/>
      <c r="I27" s="90"/>
      <c r="J27" s="90"/>
      <c r="K27" s="90"/>
      <c r="L27" s="90"/>
      <c r="M27" s="218"/>
      <c r="N27" s="358"/>
      <c r="O27" s="355">
        <f>IF(J27="",1,J27)*(I27*(1+N27)*(K27+IF(RIGHT(M$13,2)="%]",(K27*M27),M27)-L27)+H27*L27)*PUC</f>
        <v>0</v>
      </c>
      <c r="P27" s="356">
        <f t="shared" si="0"/>
        <v>0</v>
      </c>
      <c r="S27" s="257">
        <f>IF(J27="",1,J27)*(I27*(K27-L27)+(H27*L27))*PUC</f>
        <v>0</v>
      </c>
      <c r="T27" s="257">
        <f>IF(J27="",1,J27)*(K27+IF(RIGHT(M$13,2)="%]",(K27*M27),M27)-L27)*(I27*N27)*PUC</f>
        <v>0</v>
      </c>
      <c r="U27" s="257">
        <f t="shared" si="1"/>
        <v>0</v>
      </c>
      <c r="V27" s="257">
        <f>IF(J27="",1,J27)*(I27*(1+N27)*(K27+IF(RIGHT(M$13,2)="%]",(K27*M27),M27)-L27)+H27*L27)*PUC</f>
        <v>0</v>
      </c>
      <c r="W27" s="258"/>
      <c r="X27" s="217"/>
      <c r="Y27" s="42"/>
      <c r="Z27" s="264"/>
      <c r="AA27" s="264"/>
      <c r="AB27" s="264"/>
      <c r="AC27" s="264"/>
      <c r="AD27" s="264"/>
      <c r="AE27" s="264"/>
      <c r="AF27" s="264"/>
      <c r="AG27" s="264"/>
      <c r="AH27" s="36"/>
      <c r="AI27" s="36"/>
      <c r="AJ27" s="36"/>
      <c r="AK27" s="36"/>
      <c r="AL27" s="36"/>
      <c r="AM27" s="42"/>
      <c r="AN27" s="42"/>
      <c r="AO27" s="42"/>
      <c r="AP27" s="42"/>
      <c r="AQ27" s="42"/>
      <c r="AR27" s="42"/>
      <c r="AS27" s="42"/>
      <c r="AT27" s="42"/>
    </row>
    <row r="28" spans="1:46" ht="12.75" hidden="1" customHeight="1" x14ac:dyDescent="0.2">
      <c r="A28" s="357">
        <v>15</v>
      </c>
      <c r="B28" s="738"/>
      <c r="C28" s="739"/>
      <c r="D28" s="740"/>
      <c r="E28" s="731"/>
      <c r="F28" s="733"/>
      <c r="G28" s="88"/>
      <c r="H28" s="90"/>
      <c r="I28" s="90"/>
      <c r="J28" s="90"/>
      <c r="K28" s="90"/>
      <c r="L28" s="90"/>
      <c r="M28" s="218"/>
      <c r="N28" s="358"/>
      <c r="O28" s="355">
        <f>IF(J28="",1,J28)*(I28*(1+N28)*(K28+IF(RIGHT(M$13,2)="%]",(K28*M28),M28)-L28)+H28*L28)*PUC</f>
        <v>0</v>
      </c>
      <c r="P28" s="356">
        <f t="shared" si="0"/>
        <v>0</v>
      </c>
      <c r="S28" s="257">
        <f>IF(J28="",1,J28)*(I28*(K28-L28)+(H28*L28))*PUC</f>
        <v>0</v>
      </c>
      <c r="T28" s="257">
        <f>IF(J28="",1,J28)*(K28+IF(RIGHT(M$13,2)="%]",(K28*M28),M28)-L28)*(I28*N28)*PUC</f>
        <v>0</v>
      </c>
      <c r="U28" s="257">
        <f t="shared" si="1"/>
        <v>0</v>
      </c>
      <c r="V28" s="257">
        <f>IF(J28="",1,J28)*(I28*(1+N28)*(K28+IF(RIGHT(M$13,2)="%]",(K28*M28),M28)-L28)+H28*L28)*PUC</f>
        <v>0</v>
      </c>
      <c r="W28" s="258"/>
      <c r="X28" s="217"/>
      <c r="Y28" s="42"/>
      <c r="Z28" s="264"/>
      <c r="AA28" s="264"/>
      <c r="AB28" s="264"/>
      <c r="AC28" s="264"/>
      <c r="AD28" s="264"/>
      <c r="AE28" s="264"/>
      <c r="AF28" s="264"/>
      <c r="AG28" s="264"/>
      <c r="AH28" s="36"/>
      <c r="AI28" s="36"/>
      <c r="AJ28" s="36"/>
      <c r="AK28" s="36"/>
      <c r="AL28" s="36"/>
      <c r="AM28" s="42"/>
      <c r="AN28" s="42"/>
      <c r="AO28" s="42"/>
      <c r="AP28" s="42"/>
      <c r="AQ28" s="42"/>
      <c r="AR28" s="42"/>
      <c r="AS28" s="42"/>
      <c r="AT28" s="42"/>
    </row>
    <row r="29" spans="1:46" ht="12.75" hidden="1" customHeight="1" x14ac:dyDescent="0.2">
      <c r="A29" s="357">
        <v>16</v>
      </c>
      <c r="B29" s="738"/>
      <c r="C29" s="739"/>
      <c r="D29" s="740"/>
      <c r="E29" s="731"/>
      <c r="F29" s="733"/>
      <c r="G29" s="88"/>
      <c r="H29" s="90"/>
      <c r="I29" s="90"/>
      <c r="J29" s="90"/>
      <c r="K29" s="90"/>
      <c r="L29" s="90"/>
      <c r="M29" s="218"/>
      <c r="N29" s="358"/>
      <c r="O29" s="355">
        <f t="shared" si="2"/>
        <v>0</v>
      </c>
      <c r="P29" s="356">
        <f t="shared" si="0"/>
        <v>0</v>
      </c>
      <c r="S29" s="257">
        <f t="shared" si="3"/>
        <v>0</v>
      </c>
      <c r="T29" s="257">
        <f t="shared" si="4"/>
        <v>0</v>
      </c>
      <c r="U29" s="257">
        <f t="shared" si="1"/>
        <v>0</v>
      </c>
      <c r="V29" s="257">
        <f t="shared" si="5"/>
        <v>0</v>
      </c>
      <c r="W29" s="258"/>
      <c r="X29" s="217"/>
      <c r="Y29" s="42"/>
      <c r="Z29" s="264"/>
      <c r="AA29" s="264"/>
      <c r="AB29" s="264"/>
      <c r="AC29" s="264"/>
      <c r="AD29" s="264"/>
      <c r="AE29" s="264"/>
      <c r="AF29" s="264"/>
      <c r="AG29" s="264"/>
      <c r="AH29" s="36"/>
      <c r="AI29" s="36"/>
      <c r="AJ29" s="36"/>
      <c r="AK29" s="36"/>
      <c r="AL29" s="36"/>
      <c r="AM29" s="42"/>
      <c r="AN29" s="42"/>
      <c r="AO29" s="42"/>
      <c r="AP29" s="42"/>
      <c r="AQ29" s="42"/>
      <c r="AR29" s="42"/>
      <c r="AS29" s="42"/>
      <c r="AT29" s="42"/>
    </row>
    <row r="30" spans="1:46" ht="12.75" hidden="1" customHeight="1" x14ac:dyDescent="0.2">
      <c r="A30" s="357">
        <v>17</v>
      </c>
      <c r="B30" s="738"/>
      <c r="C30" s="739"/>
      <c r="D30" s="740"/>
      <c r="E30" s="731"/>
      <c r="F30" s="733"/>
      <c r="G30" s="88"/>
      <c r="H30" s="90"/>
      <c r="I30" s="90"/>
      <c r="J30" s="90"/>
      <c r="K30" s="90"/>
      <c r="L30" s="90"/>
      <c r="M30" s="218"/>
      <c r="N30" s="358"/>
      <c r="O30" s="355">
        <f t="shared" si="2"/>
        <v>0</v>
      </c>
      <c r="P30" s="356">
        <f t="shared" si="0"/>
        <v>0</v>
      </c>
      <c r="S30" s="257">
        <f t="shared" si="3"/>
        <v>0</v>
      </c>
      <c r="T30" s="257">
        <f t="shared" si="4"/>
        <v>0</v>
      </c>
      <c r="U30" s="257">
        <f t="shared" si="1"/>
        <v>0</v>
      </c>
      <c r="V30" s="257">
        <f t="shared" si="5"/>
        <v>0</v>
      </c>
      <c r="W30" s="258"/>
      <c r="X30" s="217"/>
      <c r="Y30" s="42"/>
      <c r="Z30" s="264"/>
      <c r="AA30" s="264"/>
      <c r="AB30" s="264"/>
      <c r="AC30" s="264"/>
      <c r="AD30" s="264"/>
      <c r="AE30" s="264"/>
      <c r="AF30" s="264"/>
      <c r="AG30" s="264"/>
      <c r="AH30" s="36"/>
      <c r="AI30" s="36"/>
      <c r="AJ30" s="36"/>
      <c r="AK30" s="36"/>
      <c r="AL30" s="36"/>
      <c r="AM30" s="42"/>
      <c r="AN30" s="42"/>
      <c r="AO30" s="42"/>
      <c r="AP30" s="42"/>
      <c r="AQ30" s="42"/>
      <c r="AR30" s="42"/>
      <c r="AS30" s="42"/>
      <c r="AT30" s="42"/>
    </row>
    <row r="31" spans="1:46" ht="12.75" hidden="1" customHeight="1" x14ac:dyDescent="0.2">
      <c r="A31" s="357">
        <v>18</v>
      </c>
      <c r="B31" s="738"/>
      <c r="C31" s="739"/>
      <c r="D31" s="740"/>
      <c r="E31" s="731"/>
      <c r="F31" s="733"/>
      <c r="G31" s="88"/>
      <c r="H31" s="90"/>
      <c r="I31" s="90"/>
      <c r="J31" s="90"/>
      <c r="K31" s="90"/>
      <c r="L31" s="90"/>
      <c r="M31" s="218"/>
      <c r="N31" s="358"/>
      <c r="O31" s="355">
        <f>IF(J31="",1,J31)*(I31*(1+N31)*(K31+IF(RIGHT(M$13,2)="%]",(K31*M31),M31)-L31)+H31*L31)*PUC</f>
        <v>0</v>
      </c>
      <c r="P31" s="356">
        <f t="shared" si="0"/>
        <v>0</v>
      </c>
      <c r="S31" s="257">
        <f>IF(J31="",1,J31)*(I31*(K31-L31)+(H31*L31))*PUC</f>
        <v>0</v>
      </c>
      <c r="T31" s="257">
        <f>IF(J31="",1,J31)*(K31+IF(RIGHT(M$13,2)="%]",(K31*M31),M31)-L31)*(I31*N31)*PUC</f>
        <v>0</v>
      </c>
      <c r="U31" s="257">
        <f t="shared" si="1"/>
        <v>0</v>
      </c>
      <c r="V31" s="257">
        <f>IF(J31="",1,J31)*(I31*(1+N31)*(K31+IF(RIGHT(M$13,2)="%]",(K31*M31),M31)-L31)+H31*L31)*PUC</f>
        <v>0</v>
      </c>
      <c r="W31" s="258"/>
      <c r="X31" s="217"/>
      <c r="Y31" s="42"/>
      <c r="Z31" s="264"/>
      <c r="AA31" s="264"/>
      <c r="AB31" s="264"/>
      <c r="AC31" s="264"/>
      <c r="AD31" s="264"/>
      <c r="AE31" s="264"/>
      <c r="AF31" s="264"/>
      <c r="AG31" s="264"/>
      <c r="AH31" s="36"/>
      <c r="AI31" s="36"/>
      <c r="AJ31" s="36"/>
      <c r="AK31" s="36"/>
      <c r="AL31" s="36"/>
      <c r="AM31" s="42"/>
      <c r="AN31" s="42"/>
      <c r="AO31" s="42"/>
      <c r="AP31" s="42"/>
      <c r="AQ31" s="42"/>
      <c r="AR31" s="42"/>
      <c r="AS31" s="42"/>
      <c r="AT31" s="42"/>
    </row>
    <row r="32" spans="1:46" ht="12.75" hidden="1" customHeight="1" x14ac:dyDescent="0.2">
      <c r="A32" s="357">
        <v>19</v>
      </c>
      <c r="B32" s="738"/>
      <c r="C32" s="739"/>
      <c r="D32" s="740"/>
      <c r="E32" s="731"/>
      <c r="F32" s="733"/>
      <c r="G32" s="88"/>
      <c r="H32" s="90"/>
      <c r="I32" s="90"/>
      <c r="J32" s="90"/>
      <c r="K32" s="90"/>
      <c r="L32" s="90"/>
      <c r="M32" s="218"/>
      <c r="N32" s="358"/>
      <c r="O32" s="355">
        <f>IF(J32="",1,J32)*(I32*(1+N32)*(K32+IF(RIGHT(M$13,2)="%]",(K32*M32),M32)-L32)+H32*L32)*PUC</f>
        <v>0</v>
      </c>
      <c r="P32" s="356">
        <f t="shared" si="0"/>
        <v>0</v>
      </c>
      <c r="S32" s="257">
        <f>IF(J32="",1,J32)*(I32*(K32-L32)+(H32*L32))*PUC</f>
        <v>0</v>
      </c>
      <c r="T32" s="257">
        <f>IF(J32="",1,J32)*(K32+IF(RIGHT(M$13,2)="%]",(K32*M32),M32)-L32)*(I32*N32)*PUC</f>
        <v>0</v>
      </c>
      <c r="U32" s="257">
        <f t="shared" si="1"/>
        <v>0</v>
      </c>
      <c r="V32" s="257">
        <f>IF(J32="",1,J32)*(I32*(1+N32)*(K32+IF(RIGHT(M$13,2)="%]",(K32*M32),M32)-L32)+H32*L32)*PUC</f>
        <v>0</v>
      </c>
      <c r="W32" s="258"/>
      <c r="X32" s="217"/>
      <c r="Y32" s="42"/>
      <c r="Z32" s="264"/>
      <c r="AA32" s="264"/>
      <c r="AB32" s="264"/>
      <c r="AC32" s="264"/>
      <c r="AD32" s="264"/>
      <c r="AE32" s="264"/>
      <c r="AF32" s="264"/>
      <c r="AG32" s="264"/>
      <c r="AH32" s="36"/>
      <c r="AI32" s="36"/>
      <c r="AJ32" s="36"/>
      <c r="AK32" s="36"/>
      <c r="AL32" s="36"/>
      <c r="AM32" s="42"/>
      <c r="AN32" s="42"/>
      <c r="AO32" s="42"/>
      <c r="AP32" s="42"/>
      <c r="AQ32" s="42"/>
      <c r="AR32" s="42"/>
      <c r="AS32" s="42"/>
      <c r="AT32" s="42"/>
    </row>
    <row r="33" spans="1:46" ht="12.75" hidden="1" customHeight="1" x14ac:dyDescent="0.2">
      <c r="A33" s="357">
        <v>20</v>
      </c>
      <c r="B33" s="741"/>
      <c r="C33" s="742"/>
      <c r="D33" s="743"/>
      <c r="E33" s="731"/>
      <c r="F33" s="733"/>
      <c r="G33" s="88"/>
      <c r="H33" s="90"/>
      <c r="I33" s="90"/>
      <c r="J33" s="90"/>
      <c r="K33" s="90"/>
      <c r="L33" s="90"/>
      <c r="M33" s="218"/>
      <c r="N33" s="358"/>
      <c r="O33" s="355">
        <f>IF(J33="",1,J33)*(I33*(1+N33)*(K33+IF(RIGHT(M$13,2)="%]",(K33*M33),M33)-L33)+H33*L33)*PUC</f>
        <v>0</v>
      </c>
      <c r="P33" s="356">
        <f t="shared" si="0"/>
        <v>0</v>
      </c>
      <c r="S33" s="257">
        <f>IF(J33="",1,J33)*(I33*(K33-L33)+(H33*L33))*PUC</f>
        <v>0</v>
      </c>
      <c r="T33" s="257">
        <f>IF(J33="",1,J33)*(K33+IF(RIGHT(M$13,2)="%]",(K33*M33),M33)-L33)*(I33*N33)*PUC</f>
        <v>0</v>
      </c>
      <c r="U33" s="257">
        <f t="shared" si="1"/>
        <v>0</v>
      </c>
      <c r="V33" s="257">
        <f>IF(J33="",1,J33)*(I33*(1+N33)*(K33+IF(RIGHT(M$13,2)="%]",(K33*M33),M33)-L33)+H33*L33)*PUC</f>
        <v>0</v>
      </c>
      <c r="W33" s="258"/>
      <c r="X33" s="217"/>
      <c r="Y33" s="42"/>
      <c r="Z33" s="264"/>
      <c r="AA33" s="264"/>
      <c r="AB33" s="264"/>
      <c r="AC33" s="264"/>
      <c r="AD33" s="264"/>
      <c r="AE33" s="264"/>
      <c r="AF33" s="264"/>
      <c r="AG33" s="264"/>
      <c r="AH33" s="36"/>
      <c r="AI33" s="36"/>
      <c r="AJ33" s="36"/>
      <c r="AK33" s="36"/>
      <c r="AL33" s="36"/>
      <c r="AM33" s="42"/>
      <c r="AN33" s="42"/>
      <c r="AO33" s="42"/>
      <c r="AP33" s="42"/>
      <c r="AQ33" s="42"/>
      <c r="AR33" s="42"/>
      <c r="AS33" s="42"/>
      <c r="AT33" s="42"/>
    </row>
    <row r="34" spans="1:46" ht="3.75" customHeight="1" x14ac:dyDescent="0.2">
      <c r="A34" s="10"/>
      <c r="B34" s="8"/>
      <c r="C34" s="8"/>
      <c r="D34" s="8"/>
      <c r="E34" s="8"/>
      <c r="F34" s="8"/>
      <c r="G34" s="8"/>
      <c r="H34" s="8"/>
      <c r="I34" s="8"/>
      <c r="J34" s="8"/>
      <c r="K34" s="8"/>
      <c r="L34" s="9"/>
      <c r="M34" s="9"/>
      <c r="N34" s="9"/>
      <c r="O34" s="48"/>
      <c r="P34" s="12"/>
      <c r="S34" s="237"/>
      <c r="T34" s="237"/>
      <c r="U34" s="253" t="str">
        <f>IF(RIGHT(M$36,2)="%]","P","A")</f>
        <v>P</v>
      </c>
      <c r="V34" s="237"/>
      <c r="W34" s="259"/>
      <c r="X34" s="217"/>
      <c r="Y34" s="42"/>
      <c r="Z34" s="264"/>
      <c r="AA34" s="264"/>
      <c r="AB34" s="264"/>
      <c r="AC34" s="264"/>
      <c r="AD34" s="264"/>
      <c r="AE34" s="264"/>
      <c r="AF34" s="264"/>
      <c r="AG34" s="264"/>
      <c r="AH34" s="36"/>
      <c r="AI34" s="36"/>
      <c r="AJ34" s="36"/>
      <c r="AK34" s="36"/>
      <c r="AL34" s="36"/>
      <c r="AM34" s="42"/>
      <c r="AN34" s="42"/>
      <c r="AO34" s="42"/>
      <c r="AP34" s="42"/>
      <c r="AQ34" s="42"/>
      <c r="AR34" s="42"/>
      <c r="AS34" s="42"/>
      <c r="AT34" s="42"/>
    </row>
    <row r="35" spans="1:46" ht="13.6" x14ac:dyDescent="0.25">
      <c r="A35" s="309"/>
      <c r="B35" s="359" t="str">
        <f>VLOOKUP("sec2.2",translation,VLOOKUP(J2,languages,2,FALSE),FALSE)</f>
        <v>Section 2.2</v>
      </c>
      <c r="C35" s="359"/>
      <c r="D35" s="360" t="str">
        <f>VLOOKUP("purch_comp",translation,VLOOKUP(J2,languages,2,FALSE),FALSE)</f>
        <v>Purchased Components (&amp; Outsourced Processes)</v>
      </c>
      <c r="E35" s="361"/>
      <c r="F35" s="361"/>
      <c r="G35" s="361"/>
      <c r="H35" s="361"/>
      <c r="I35" s="361"/>
      <c r="J35" s="361"/>
      <c r="K35" s="361"/>
      <c r="L35" s="362"/>
      <c r="M35" s="345">
        <f>U35</f>
        <v>0</v>
      </c>
      <c r="N35" s="345">
        <f>T35</f>
        <v>0</v>
      </c>
      <c r="O35" s="630">
        <f>SUBTOTAL(109,O37:O60)</f>
        <v>0</v>
      </c>
      <c r="P35" s="363">
        <f>IF($O$104=0,0,O35/$O$104)</f>
        <v>0</v>
      </c>
      <c r="S35" s="254">
        <f>SUBTOTAL(109,S37:S60)</f>
        <v>0</v>
      </c>
      <c r="T35" s="254">
        <f>SUBTOTAL(109,T37:T60)</f>
        <v>0</v>
      </c>
      <c r="U35" s="254">
        <f>SUBTOTAL(109,U37:U60)</f>
        <v>0</v>
      </c>
      <c r="V35" s="254">
        <f>SUBTOTAL(109,V37:V60)</f>
        <v>0</v>
      </c>
      <c r="W35" s="254">
        <v>4</v>
      </c>
      <c r="X35" s="217"/>
      <c r="Y35" s="42"/>
      <c r="Z35" s="264"/>
      <c r="AA35" s="264"/>
      <c r="AB35" s="264"/>
      <c r="AC35" s="264"/>
      <c r="AD35" s="264"/>
      <c r="AE35" s="264"/>
      <c r="AF35" s="264"/>
      <c r="AG35" s="264"/>
      <c r="AH35" s="36"/>
      <c r="AI35" s="36"/>
      <c r="AJ35" s="36"/>
      <c r="AK35" s="36"/>
      <c r="AL35" s="36"/>
      <c r="AM35" s="42"/>
      <c r="AN35" s="42"/>
      <c r="AO35" s="42"/>
      <c r="AP35" s="42"/>
      <c r="AQ35" s="42"/>
      <c r="AR35" s="42"/>
      <c r="AS35" s="42"/>
      <c r="AT35" s="42"/>
    </row>
    <row r="36" spans="1:46" ht="27" customHeight="1" x14ac:dyDescent="0.2">
      <c r="A36" s="347"/>
      <c r="B36" s="728" t="str">
        <f>VLOOKUP("descr2",translation,VLOOKUP(J2,languages,2,FALSE),FALSE)</f>
        <v>Description</v>
      </c>
      <c r="C36" s="728"/>
      <c r="D36" s="348"/>
      <c r="E36" s="728" t="str">
        <f>VLOOKUP("part_numb",translation,VLOOKUP(J2,languages,2,FALSE),FALSE)</f>
        <v>Part Number</v>
      </c>
      <c r="F36" s="734"/>
      <c r="G36" s="364" t="str">
        <f>VLOOKUP("uom",translation,VLOOKUP(J2,languages,2,FALSE),FALSE)</f>
        <v>UoM</v>
      </c>
      <c r="H36" s="735" t="str">
        <f>VLOOKUP("sub_supplier",translation,VLOOKUP(J2,languages,2,FALSE),FALSE)</f>
        <v>Sub-Supplier Name</v>
      </c>
      <c r="I36" s="734"/>
      <c r="J36" s="350" t="str">
        <f>VLOOKUP("qty2",translation,VLOOKUP(J2,languages,2,FALSE),FALSE)</f>
        <v>Qty</v>
      </c>
      <c r="K36" s="350" t="str">
        <f>VLOOKUP("ucost",translation,VLOOKUP(J2,languages,2,FALSE),FALSE)&amp;" ["&amp;LEFT($D$7,3)&amp;"]"</f>
        <v>Unit Cost [EUR]</v>
      </c>
      <c r="L36" s="350"/>
      <c r="M36" s="351" t="s">
        <v>193</v>
      </c>
      <c r="N36" s="350" t="str">
        <f>VLOOKUP("scrap",translation,VLOOKUP(J2,languages,2,FALSE),FALSE)</f>
        <v>Scrap [%]</v>
      </c>
      <c r="O36" s="365" t="str">
        <f>VLOOKUP("total",translation,VLOOKUP(J2,languages,2,FALSE),FALSE)&amp;" ["&amp;LEFT($D$7,3)&amp;$F$7&amp;"]"</f>
        <v>Total [EUR/pc]</v>
      </c>
      <c r="P36" s="352"/>
      <c r="S36" s="255" t="s">
        <v>13</v>
      </c>
      <c r="T36" s="255" t="s">
        <v>14</v>
      </c>
      <c r="U36" s="255" t="s">
        <v>15</v>
      </c>
      <c r="V36" s="255" t="s">
        <v>16</v>
      </c>
      <c r="W36" s="256">
        <v>39</v>
      </c>
      <c r="X36" s="217"/>
      <c r="Y36" s="42"/>
      <c r="Z36" s="264"/>
      <c r="AA36" s="264"/>
      <c r="AB36" s="264"/>
      <c r="AC36" s="264"/>
      <c r="AD36" s="264"/>
      <c r="AE36" s="264"/>
      <c r="AF36" s="264"/>
      <c r="AG36" s="264"/>
      <c r="AH36" s="36"/>
      <c r="AI36" s="36"/>
      <c r="AJ36" s="36"/>
      <c r="AK36" s="36"/>
      <c r="AL36" s="36"/>
      <c r="AM36" s="42"/>
      <c r="AN36" s="42"/>
      <c r="AO36" s="42"/>
      <c r="AP36" s="42"/>
      <c r="AQ36" s="42"/>
      <c r="AR36" s="42"/>
      <c r="AS36" s="42"/>
      <c r="AT36" s="42"/>
    </row>
    <row r="37" spans="1:46" x14ac:dyDescent="0.2">
      <c r="A37" s="353">
        <v>1</v>
      </c>
      <c r="B37" s="87"/>
      <c r="C37" s="91"/>
      <c r="D37" s="92"/>
      <c r="E37" s="736"/>
      <c r="F37" s="737"/>
      <c r="G37" s="93"/>
      <c r="H37" s="85"/>
      <c r="I37" s="86"/>
      <c r="J37" s="88"/>
      <c r="K37" s="90"/>
      <c r="L37" s="366"/>
      <c r="M37" s="367"/>
      <c r="N37" s="368"/>
      <c r="O37" s="369">
        <f>J37*(K37+IF(RIGHT(M$36,2)="%]",(K37*M37),M37))*(1+N37)*PUC</f>
        <v>0</v>
      </c>
      <c r="P37" s="356">
        <f t="shared" ref="P37:P60" si="6">IF($O$104=0,0,O37/$O$104)</f>
        <v>0</v>
      </c>
      <c r="S37" s="257">
        <f t="shared" ref="S37:S60" si="7">J37*K37*PUC</f>
        <v>0</v>
      </c>
      <c r="T37" s="257">
        <f t="shared" ref="T37:T60" si="8">J37*K37*(1+M37)*N37*PUC</f>
        <v>0</v>
      </c>
      <c r="U37" s="257">
        <f t="shared" ref="U37:U60" si="9">V37-S37-T37</f>
        <v>0</v>
      </c>
      <c r="V37" s="257">
        <f t="shared" ref="V37:V60" si="10">J37*(K37+IF(RIGHT(M$36,2)="%]",(K37*M37),M37))*(1+N37)*PUC</f>
        <v>0</v>
      </c>
      <c r="W37" s="258"/>
      <c r="X37" s="217"/>
      <c r="Y37" s="40"/>
      <c r="Z37" s="264"/>
      <c r="AA37" s="264"/>
      <c r="AB37" s="264"/>
      <c r="AC37" s="264"/>
      <c r="AD37" s="264"/>
      <c r="AE37" s="264"/>
      <c r="AF37" s="264"/>
      <c r="AG37" s="264"/>
      <c r="AH37" s="36"/>
      <c r="AI37" s="36"/>
      <c r="AJ37" s="36"/>
      <c r="AK37" s="36"/>
      <c r="AL37" s="36"/>
      <c r="AM37" s="41"/>
      <c r="AN37" s="41"/>
      <c r="AO37" s="41"/>
      <c r="AP37" s="41"/>
      <c r="AQ37" s="41"/>
      <c r="AR37" s="41"/>
      <c r="AS37" s="41"/>
      <c r="AT37" s="41"/>
    </row>
    <row r="38" spans="1:46" x14ac:dyDescent="0.2">
      <c r="A38" s="357">
        <v>2</v>
      </c>
      <c r="B38" s="87"/>
      <c r="C38" s="91"/>
      <c r="D38" s="92"/>
      <c r="E38" s="736"/>
      <c r="F38" s="737"/>
      <c r="G38" s="93"/>
      <c r="H38" s="85"/>
      <c r="I38" s="86"/>
      <c r="J38" s="88"/>
      <c r="K38" s="90"/>
      <c r="L38" s="366"/>
      <c r="M38" s="367"/>
      <c r="N38" s="368"/>
      <c r="O38" s="369">
        <f t="shared" ref="O38:O60" si="11">J38*(K38+IF(RIGHT(M$36,2)="%]",(K38*M38),M38))*(1+N38)*PUC</f>
        <v>0</v>
      </c>
      <c r="P38" s="356">
        <f t="shared" si="6"/>
        <v>0</v>
      </c>
      <c r="S38" s="257">
        <f t="shared" si="7"/>
        <v>0</v>
      </c>
      <c r="T38" s="257">
        <f t="shared" si="8"/>
        <v>0</v>
      </c>
      <c r="U38" s="257">
        <f t="shared" si="9"/>
        <v>0</v>
      </c>
      <c r="V38" s="257">
        <f t="shared" si="10"/>
        <v>0</v>
      </c>
      <c r="W38" s="258"/>
      <c r="X38" s="217"/>
      <c r="Y38" s="40"/>
      <c r="Z38" s="264"/>
      <c r="AA38" s="264"/>
      <c r="AB38" s="264"/>
      <c r="AC38" s="264"/>
      <c r="AD38" s="264"/>
      <c r="AE38" s="264"/>
      <c r="AF38" s="264"/>
      <c r="AG38" s="264"/>
      <c r="AH38" s="36"/>
      <c r="AI38" s="36"/>
      <c r="AJ38" s="36"/>
      <c r="AK38" s="36"/>
      <c r="AL38" s="36"/>
      <c r="AM38" s="41"/>
      <c r="AN38" s="41"/>
      <c r="AO38" s="41"/>
      <c r="AP38" s="41"/>
      <c r="AQ38" s="41"/>
      <c r="AR38" s="41"/>
      <c r="AS38" s="41"/>
      <c r="AT38" s="41"/>
    </row>
    <row r="39" spans="1:46" x14ac:dyDescent="0.2">
      <c r="A39" s="357">
        <v>3</v>
      </c>
      <c r="B39" s="87"/>
      <c r="C39" s="91"/>
      <c r="D39" s="92"/>
      <c r="E39" s="736"/>
      <c r="F39" s="737"/>
      <c r="G39" s="93"/>
      <c r="H39" s="85"/>
      <c r="I39" s="86"/>
      <c r="J39" s="88"/>
      <c r="K39" s="90"/>
      <c r="L39" s="366"/>
      <c r="M39" s="367"/>
      <c r="N39" s="368"/>
      <c r="O39" s="369">
        <f t="shared" si="11"/>
        <v>0</v>
      </c>
      <c r="P39" s="356">
        <f t="shared" si="6"/>
        <v>0</v>
      </c>
      <c r="S39" s="257">
        <f t="shared" si="7"/>
        <v>0</v>
      </c>
      <c r="T39" s="257">
        <f t="shared" si="8"/>
        <v>0</v>
      </c>
      <c r="U39" s="257">
        <f t="shared" si="9"/>
        <v>0</v>
      </c>
      <c r="V39" s="257">
        <f t="shared" si="10"/>
        <v>0</v>
      </c>
      <c r="W39" s="258"/>
      <c r="X39" s="217"/>
      <c r="Y39" s="40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41"/>
      <c r="AN39" s="41"/>
      <c r="AO39" s="41"/>
      <c r="AP39" s="41"/>
      <c r="AQ39" s="41"/>
      <c r="AR39" s="41"/>
      <c r="AS39" s="41"/>
      <c r="AT39" s="41"/>
    </row>
    <row r="40" spans="1:46" ht="12.75" hidden="1" customHeight="1" x14ac:dyDescent="0.2">
      <c r="A40" s="357">
        <v>4</v>
      </c>
      <c r="B40" s="87"/>
      <c r="C40" s="91"/>
      <c r="D40" s="92"/>
      <c r="E40" s="736"/>
      <c r="F40" s="737"/>
      <c r="G40" s="93"/>
      <c r="H40" s="85"/>
      <c r="I40" s="86"/>
      <c r="J40" s="88"/>
      <c r="K40" s="90"/>
      <c r="L40" s="366"/>
      <c r="M40" s="367"/>
      <c r="N40" s="368"/>
      <c r="O40" s="369">
        <f t="shared" si="11"/>
        <v>0</v>
      </c>
      <c r="P40" s="356">
        <f t="shared" si="6"/>
        <v>0</v>
      </c>
      <c r="S40" s="257">
        <f t="shared" si="7"/>
        <v>0</v>
      </c>
      <c r="T40" s="257">
        <f t="shared" si="8"/>
        <v>0</v>
      </c>
      <c r="U40" s="257">
        <f t="shared" si="9"/>
        <v>0</v>
      </c>
      <c r="V40" s="257">
        <f t="shared" si="10"/>
        <v>0</v>
      </c>
      <c r="W40" s="258"/>
      <c r="X40" s="217"/>
      <c r="Y40" s="40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</row>
    <row r="41" spans="1:46" ht="12.75" hidden="1" customHeight="1" x14ac:dyDescent="0.2">
      <c r="A41" s="357">
        <v>5</v>
      </c>
      <c r="B41" s="87"/>
      <c r="C41" s="91"/>
      <c r="D41" s="92"/>
      <c r="E41" s="736"/>
      <c r="F41" s="737"/>
      <c r="G41" s="93"/>
      <c r="H41" s="85"/>
      <c r="I41" s="86"/>
      <c r="J41" s="88"/>
      <c r="K41" s="90"/>
      <c r="L41" s="366"/>
      <c r="M41" s="367"/>
      <c r="N41" s="368"/>
      <c r="O41" s="369">
        <f t="shared" si="11"/>
        <v>0</v>
      </c>
      <c r="P41" s="356">
        <f t="shared" si="6"/>
        <v>0</v>
      </c>
      <c r="S41" s="257">
        <f t="shared" si="7"/>
        <v>0</v>
      </c>
      <c r="T41" s="257">
        <f t="shared" si="8"/>
        <v>0</v>
      </c>
      <c r="U41" s="257">
        <f t="shared" si="9"/>
        <v>0</v>
      </c>
      <c r="V41" s="257">
        <f t="shared" si="10"/>
        <v>0</v>
      </c>
      <c r="W41" s="258"/>
      <c r="X41" s="217"/>
      <c r="Y41" s="40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</row>
    <row r="42" spans="1:46" ht="12.75" hidden="1" customHeight="1" x14ac:dyDescent="0.2">
      <c r="A42" s="357">
        <v>6</v>
      </c>
      <c r="B42" s="87"/>
      <c r="C42" s="91"/>
      <c r="D42" s="92"/>
      <c r="E42" s="736"/>
      <c r="F42" s="737"/>
      <c r="G42" s="93"/>
      <c r="H42" s="85"/>
      <c r="I42" s="86"/>
      <c r="J42" s="88"/>
      <c r="K42" s="90"/>
      <c r="L42" s="366"/>
      <c r="M42" s="367"/>
      <c r="N42" s="368"/>
      <c r="O42" s="369">
        <f t="shared" si="11"/>
        <v>0</v>
      </c>
      <c r="P42" s="356">
        <f t="shared" si="6"/>
        <v>0</v>
      </c>
      <c r="S42" s="257">
        <f t="shared" si="7"/>
        <v>0</v>
      </c>
      <c r="T42" s="257">
        <f t="shared" si="8"/>
        <v>0</v>
      </c>
      <c r="U42" s="257">
        <f t="shared" si="9"/>
        <v>0</v>
      </c>
      <c r="V42" s="257">
        <f t="shared" si="10"/>
        <v>0</v>
      </c>
      <c r="W42" s="258"/>
      <c r="X42" s="217"/>
      <c r="Y42" s="4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</row>
    <row r="43" spans="1:46" ht="12.75" hidden="1" customHeight="1" x14ac:dyDescent="0.2">
      <c r="A43" s="357">
        <v>7</v>
      </c>
      <c r="B43" s="87"/>
      <c r="C43" s="91"/>
      <c r="D43" s="92"/>
      <c r="E43" s="736"/>
      <c r="F43" s="737"/>
      <c r="G43" s="93"/>
      <c r="H43" s="85"/>
      <c r="I43" s="86"/>
      <c r="J43" s="88"/>
      <c r="K43" s="90"/>
      <c r="L43" s="366"/>
      <c r="M43" s="367"/>
      <c r="N43" s="368"/>
      <c r="O43" s="369">
        <f t="shared" si="11"/>
        <v>0</v>
      </c>
      <c r="P43" s="356">
        <f t="shared" si="6"/>
        <v>0</v>
      </c>
      <c r="S43" s="257">
        <f t="shared" si="7"/>
        <v>0</v>
      </c>
      <c r="T43" s="257">
        <f t="shared" si="8"/>
        <v>0</v>
      </c>
      <c r="U43" s="257">
        <f t="shared" si="9"/>
        <v>0</v>
      </c>
      <c r="V43" s="257">
        <f t="shared" si="10"/>
        <v>0</v>
      </c>
      <c r="W43" s="258"/>
      <c r="X43" s="217"/>
      <c r="Y43" s="40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</row>
    <row r="44" spans="1:46" ht="12.75" hidden="1" customHeight="1" x14ac:dyDescent="0.2">
      <c r="A44" s="357">
        <v>8</v>
      </c>
      <c r="B44" s="87"/>
      <c r="C44" s="91"/>
      <c r="D44" s="92"/>
      <c r="E44" s="736"/>
      <c r="F44" s="737"/>
      <c r="G44" s="93"/>
      <c r="H44" s="85"/>
      <c r="I44" s="86"/>
      <c r="J44" s="88"/>
      <c r="K44" s="90"/>
      <c r="L44" s="366"/>
      <c r="M44" s="367"/>
      <c r="N44" s="368"/>
      <c r="O44" s="369">
        <f t="shared" si="11"/>
        <v>0</v>
      </c>
      <c r="P44" s="356">
        <f t="shared" si="6"/>
        <v>0</v>
      </c>
      <c r="S44" s="257">
        <f t="shared" si="7"/>
        <v>0</v>
      </c>
      <c r="T44" s="257">
        <f t="shared" si="8"/>
        <v>0</v>
      </c>
      <c r="U44" s="257">
        <f t="shared" si="9"/>
        <v>0</v>
      </c>
      <c r="V44" s="257">
        <f t="shared" si="10"/>
        <v>0</v>
      </c>
      <c r="W44" s="258"/>
      <c r="X44" s="217"/>
      <c r="Y44" s="40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</row>
    <row r="45" spans="1:46" ht="12.75" hidden="1" customHeight="1" x14ac:dyDescent="0.2">
      <c r="A45" s="357">
        <v>9</v>
      </c>
      <c r="B45" s="87"/>
      <c r="C45" s="91"/>
      <c r="D45" s="92"/>
      <c r="E45" s="736"/>
      <c r="F45" s="737"/>
      <c r="G45" s="93"/>
      <c r="H45" s="85"/>
      <c r="I45" s="86"/>
      <c r="J45" s="88"/>
      <c r="K45" s="90"/>
      <c r="L45" s="366"/>
      <c r="M45" s="367"/>
      <c r="N45" s="368"/>
      <c r="O45" s="369">
        <f t="shared" si="11"/>
        <v>0</v>
      </c>
      <c r="P45" s="356">
        <f t="shared" si="6"/>
        <v>0</v>
      </c>
      <c r="S45" s="257">
        <f t="shared" si="7"/>
        <v>0</v>
      </c>
      <c r="T45" s="257">
        <f t="shared" si="8"/>
        <v>0</v>
      </c>
      <c r="U45" s="257">
        <f t="shared" si="9"/>
        <v>0</v>
      </c>
      <c r="V45" s="257">
        <f t="shared" si="10"/>
        <v>0</v>
      </c>
      <c r="W45" s="258"/>
      <c r="X45" s="217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</row>
    <row r="46" spans="1:46" ht="12.75" hidden="1" customHeight="1" x14ac:dyDescent="0.2">
      <c r="A46" s="357">
        <v>10</v>
      </c>
      <c r="B46" s="87"/>
      <c r="C46" s="91"/>
      <c r="D46" s="92"/>
      <c r="E46" s="736"/>
      <c r="F46" s="737"/>
      <c r="G46" s="93"/>
      <c r="H46" s="85"/>
      <c r="I46" s="86"/>
      <c r="J46" s="88"/>
      <c r="K46" s="90"/>
      <c r="L46" s="366"/>
      <c r="M46" s="367"/>
      <c r="N46" s="368"/>
      <c r="O46" s="369">
        <f t="shared" ref="O46:O51" si="12">J46*(K46+IF(RIGHT(M$36,2)="%]",(K46*M46),M46))*(1+N46)*PUC</f>
        <v>0</v>
      </c>
      <c r="P46" s="356">
        <f t="shared" si="6"/>
        <v>0</v>
      </c>
      <c r="S46" s="257">
        <f t="shared" ref="S46:S51" si="13">J46*K46*PUC</f>
        <v>0</v>
      </c>
      <c r="T46" s="257">
        <f t="shared" ref="T46:T51" si="14">J46*K46*(1+M46)*N46*PUC</f>
        <v>0</v>
      </c>
      <c r="U46" s="257">
        <f t="shared" si="9"/>
        <v>0</v>
      </c>
      <c r="V46" s="257">
        <f t="shared" ref="V46:V51" si="15">J46*(K46+IF(RIGHT(M$36,2)="%]",(K46*M46),M46))*(1+N46)*PUC</f>
        <v>0</v>
      </c>
      <c r="W46" s="258"/>
      <c r="X46" s="217"/>
      <c r="Y46" s="40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</row>
    <row r="47" spans="1:46" ht="12.75" hidden="1" customHeight="1" x14ac:dyDescent="0.2">
      <c r="A47" s="357">
        <v>11</v>
      </c>
      <c r="B47" s="87"/>
      <c r="C47" s="91"/>
      <c r="D47" s="92"/>
      <c r="E47" s="736"/>
      <c r="F47" s="737"/>
      <c r="G47" s="93"/>
      <c r="H47" s="85"/>
      <c r="I47" s="86"/>
      <c r="J47" s="88"/>
      <c r="K47" s="90"/>
      <c r="L47" s="366"/>
      <c r="M47" s="367"/>
      <c r="N47" s="368"/>
      <c r="O47" s="369">
        <f t="shared" si="12"/>
        <v>0</v>
      </c>
      <c r="P47" s="356">
        <f t="shared" si="6"/>
        <v>0</v>
      </c>
      <c r="S47" s="257">
        <f t="shared" si="13"/>
        <v>0</v>
      </c>
      <c r="T47" s="257">
        <f t="shared" si="14"/>
        <v>0</v>
      </c>
      <c r="U47" s="257">
        <f t="shared" si="9"/>
        <v>0</v>
      </c>
      <c r="V47" s="257">
        <f t="shared" si="15"/>
        <v>0</v>
      </c>
      <c r="W47" s="258"/>
      <c r="X47" s="217"/>
      <c r="Y47" s="40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</row>
    <row r="48" spans="1:46" ht="12.75" hidden="1" customHeight="1" x14ac:dyDescent="0.2">
      <c r="A48" s="357">
        <v>12</v>
      </c>
      <c r="B48" s="87"/>
      <c r="C48" s="91"/>
      <c r="D48" s="92"/>
      <c r="E48" s="736"/>
      <c r="F48" s="737"/>
      <c r="G48" s="93"/>
      <c r="H48" s="85"/>
      <c r="I48" s="86"/>
      <c r="J48" s="88"/>
      <c r="K48" s="90"/>
      <c r="L48" s="366"/>
      <c r="M48" s="367"/>
      <c r="N48" s="368"/>
      <c r="O48" s="369">
        <f t="shared" si="12"/>
        <v>0</v>
      </c>
      <c r="P48" s="356">
        <f t="shared" si="6"/>
        <v>0</v>
      </c>
      <c r="S48" s="257">
        <f t="shared" si="13"/>
        <v>0</v>
      </c>
      <c r="T48" s="257">
        <f t="shared" si="14"/>
        <v>0</v>
      </c>
      <c r="U48" s="257">
        <f t="shared" si="9"/>
        <v>0</v>
      </c>
      <c r="V48" s="257">
        <f t="shared" si="15"/>
        <v>0</v>
      </c>
      <c r="W48" s="258"/>
      <c r="X48" s="217"/>
      <c r="Y48" s="40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</row>
    <row r="49" spans="1:46" ht="12.75" hidden="1" customHeight="1" x14ac:dyDescent="0.2">
      <c r="A49" s="357">
        <v>13</v>
      </c>
      <c r="B49" s="87"/>
      <c r="C49" s="91"/>
      <c r="D49" s="92"/>
      <c r="E49" s="736"/>
      <c r="F49" s="737"/>
      <c r="G49" s="93"/>
      <c r="H49" s="85"/>
      <c r="I49" s="86"/>
      <c r="J49" s="88"/>
      <c r="K49" s="90"/>
      <c r="L49" s="366"/>
      <c r="M49" s="367"/>
      <c r="N49" s="368"/>
      <c r="O49" s="369">
        <f t="shared" si="12"/>
        <v>0</v>
      </c>
      <c r="P49" s="356">
        <f t="shared" si="6"/>
        <v>0</v>
      </c>
      <c r="S49" s="257">
        <f t="shared" si="13"/>
        <v>0</v>
      </c>
      <c r="T49" s="257">
        <f t="shared" si="14"/>
        <v>0</v>
      </c>
      <c r="U49" s="257">
        <f t="shared" si="9"/>
        <v>0</v>
      </c>
      <c r="V49" s="257">
        <f t="shared" si="15"/>
        <v>0</v>
      </c>
      <c r="W49" s="258"/>
      <c r="X49" s="217"/>
      <c r="Y49" s="40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</row>
    <row r="50" spans="1:46" ht="12.75" hidden="1" customHeight="1" x14ac:dyDescent="0.2">
      <c r="A50" s="357">
        <v>14</v>
      </c>
      <c r="B50" s="87"/>
      <c r="C50" s="91"/>
      <c r="D50" s="92"/>
      <c r="E50" s="736"/>
      <c r="F50" s="737"/>
      <c r="G50" s="93"/>
      <c r="H50" s="85"/>
      <c r="I50" s="86"/>
      <c r="J50" s="88"/>
      <c r="K50" s="90"/>
      <c r="L50" s="366"/>
      <c r="M50" s="367"/>
      <c r="N50" s="368"/>
      <c r="O50" s="369">
        <f t="shared" si="12"/>
        <v>0</v>
      </c>
      <c r="P50" s="356">
        <f t="shared" si="6"/>
        <v>0</v>
      </c>
      <c r="S50" s="257">
        <f t="shared" si="13"/>
        <v>0</v>
      </c>
      <c r="T50" s="257">
        <f t="shared" si="14"/>
        <v>0</v>
      </c>
      <c r="U50" s="257">
        <f t="shared" si="9"/>
        <v>0</v>
      </c>
      <c r="V50" s="257">
        <f t="shared" si="15"/>
        <v>0</v>
      </c>
      <c r="W50" s="258"/>
      <c r="X50" s="217"/>
      <c r="Y50" s="40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</row>
    <row r="51" spans="1:46" ht="12.75" hidden="1" customHeight="1" x14ac:dyDescent="0.2">
      <c r="A51" s="357">
        <v>15</v>
      </c>
      <c r="B51" s="87"/>
      <c r="C51" s="91"/>
      <c r="D51" s="92"/>
      <c r="E51" s="736"/>
      <c r="F51" s="737"/>
      <c r="G51" s="93"/>
      <c r="H51" s="85"/>
      <c r="I51" s="86"/>
      <c r="J51" s="88"/>
      <c r="K51" s="90"/>
      <c r="L51" s="366"/>
      <c r="M51" s="367"/>
      <c r="N51" s="368"/>
      <c r="O51" s="369">
        <f t="shared" si="12"/>
        <v>0</v>
      </c>
      <c r="P51" s="356">
        <f t="shared" si="6"/>
        <v>0</v>
      </c>
      <c r="S51" s="257">
        <f t="shared" si="13"/>
        <v>0</v>
      </c>
      <c r="T51" s="257">
        <f t="shared" si="14"/>
        <v>0</v>
      </c>
      <c r="U51" s="257">
        <f t="shared" si="9"/>
        <v>0</v>
      </c>
      <c r="V51" s="257">
        <f t="shared" si="15"/>
        <v>0</v>
      </c>
      <c r="W51" s="258"/>
      <c r="X51" s="217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</row>
    <row r="52" spans="1:46" ht="12.75" hidden="1" customHeight="1" x14ac:dyDescent="0.2">
      <c r="A52" s="357">
        <v>16</v>
      </c>
      <c r="B52" s="87"/>
      <c r="C52" s="91"/>
      <c r="D52" s="92"/>
      <c r="E52" s="736"/>
      <c r="F52" s="737"/>
      <c r="G52" s="93"/>
      <c r="H52" s="85"/>
      <c r="I52" s="86"/>
      <c r="J52" s="88"/>
      <c r="K52" s="90"/>
      <c r="L52" s="366"/>
      <c r="M52" s="367"/>
      <c r="N52" s="368"/>
      <c r="O52" s="369">
        <f t="shared" si="11"/>
        <v>0</v>
      </c>
      <c r="P52" s="356">
        <f t="shared" si="6"/>
        <v>0</v>
      </c>
      <c r="S52" s="257">
        <f t="shared" si="7"/>
        <v>0</v>
      </c>
      <c r="T52" s="257">
        <f t="shared" si="8"/>
        <v>0</v>
      </c>
      <c r="U52" s="257">
        <f t="shared" si="9"/>
        <v>0</v>
      </c>
      <c r="V52" s="257">
        <f t="shared" si="10"/>
        <v>0</v>
      </c>
      <c r="W52" s="258"/>
      <c r="X52" s="217"/>
      <c r="Y52" s="40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</row>
    <row r="53" spans="1:46" ht="12.75" hidden="1" customHeight="1" x14ac:dyDescent="0.2">
      <c r="A53" s="357">
        <v>17</v>
      </c>
      <c r="B53" s="87"/>
      <c r="C53" s="91"/>
      <c r="D53" s="92"/>
      <c r="E53" s="736"/>
      <c r="F53" s="737"/>
      <c r="G53" s="93"/>
      <c r="H53" s="85"/>
      <c r="I53" s="86"/>
      <c r="J53" s="88"/>
      <c r="K53" s="90"/>
      <c r="L53" s="366"/>
      <c r="M53" s="367"/>
      <c r="N53" s="368"/>
      <c r="O53" s="369">
        <f t="shared" si="11"/>
        <v>0</v>
      </c>
      <c r="P53" s="356">
        <f t="shared" si="6"/>
        <v>0</v>
      </c>
      <c r="S53" s="257">
        <f t="shared" si="7"/>
        <v>0</v>
      </c>
      <c r="T53" s="257">
        <f t="shared" si="8"/>
        <v>0</v>
      </c>
      <c r="U53" s="257">
        <f t="shared" si="9"/>
        <v>0</v>
      </c>
      <c r="V53" s="257">
        <f t="shared" si="10"/>
        <v>0</v>
      </c>
      <c r="W53" s="258"/>
      <c r="X53" s="217"/>
      <c r="Y53" s="40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</row>
    <row r="54" spans="1:46" ht="12.75" hidden="1" customHeight="1" x14ac:dyDescent="0.2">
      <c r="A54" s="357">
        <v>18</v>
      </c>
      <c r="B54" s="87"/>
      <c r="C54" s="91"/>
      <c r="D54" s="92"/>
      <c r="E54" s="736"/>
      <c r="F54" s="737"/>
      <c r="G54" s="93"/>
      <c r="H54" s="85"/>
      <c r="I54" s="86"/>
      <c r="J54" s="88"/>
      <c r="K54" s="90"/>
      <c r="L54" s="366"/>
      <c r="M54" s="367"/>
      <c r="N54" s="368"/>
      <c r="O54" s="369">
        <f t="shared" si="11"/>
        <v>0</v>
      </c>
      <c r="P54" s="356">
        <f t="shared" si="6"/>
        <v>0</v>
      </c>
      <c r="S54" s="257">
        <f t="shared" si="7"/>
        <v>0</v>
      </c>
      <c r="T54" s="257">
        <f t="shared" si="8"/>
        <v>0</v>
      </c>
      <c r="U54" s="257">
        <f t="shared" si="9"/>
        <v>0</v>
      </c>
      <c r="V54" s="257">
        <f t="shared" si="10"/>
        <v>0</v>
      </c>
      <c r="W54" s="258"/>
      <c r="X54" s="217"/>
      <c r="Y54" s="40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</row>
    <row r="55" spans="1:46" ht="12.75" hidden="1" customHeight="1" x14ac:dyDescent="0.2">
      <c r="A55" s="357">
        <v>19</v>
      </c>
      <c r="B55" s="87"/>
      <c r="C55" s="91"/>
      <c r="D55" s="92"/>
      <c r="E55" s="736"/>
      <c r="F55" s="737"/>
      <c r="G55" s="93"/>
      <c r="H55" s="85"/>
      <c r="I55" s="86"/>
      <c r="J55" s="88"/>
      <c r="K55" s="90"/>
      <c r="L55" s="366"/>
      <c r="M55" s="367"/>
      <c r="N55" s="368"/>
      <c r="O55" s="369">
        <f t="shared" si="11"/>
        <v>0</v>
      </c>
      <c r="P55" s="356">
        <f t="shared" si="6"/>
        <v>0</v>
      </c>
      <c r="S55" s="257">
        <f t="shared" si="7"/>
        <v>0</v>
      </c>
      <c r="T55" s="257">
        <f t="shared" si="8"/>
        <v>0</v>
      </c>
      <c r="U55" s="257">
        <f t="shared" si="9"/>
        <v>0</v>
      </c>
      <c r="V55" s="257">
        <f t="shared" si="10"/>
        <v>0</v>
      </c>
      <c r="W55" s="258"/>
      <c r="X55" s="217"/>
      <c r="Y55" s="40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</row>
    <row r="56" spans="1:46" ht="12.75" hidden="1" customHeight="1" x14ac:dyDescent="0.2">
      <c r="A56" s="357">
        <v>20</v>
      </c>
      <c r="B56" s="87"/>
      <c r="C56" s="91"/>
      <c r="D56" s="92"/>
      <c r="E56" s="736"/>
      <c r="F56" s="737"/>
      <c r="G56" s="93"/>
      <c r="H56" s="85"/>
      <c r="I56" s="86"/>
      <c r="J56" s="88"/>
      <c r="K56" s="90"/>
      <c r="L56" s="366"/>
      <c r="M56" s="367"/>
      <c r="N56" s="368"/>
      <c r="O56" s="369">
        <f t="shared" si="11"/>
        <v>0</v>
      </c>
      <c r="P56" s="356">
        <f t="shared" si="6"/>
        <v>0</v>
      </c>
      <c r="S56" s="257">
        <f t="shared" si="7"/>
        <v>0</v>
      </c>
      <c r="T56" s="257">
        <f t="shared" si="8"/>
        <v>0</v>
      </c>
      <c r="U56" s="257">
        <f t="shared" si="9"/>
        <v>0</v>
      </c>
      <c r="V56" s="257">
        <f t="shared" si="10"/>
        <v>0</v>
      </c>
      <c r="W56" s="258"/>
      <c r="X56" s="217"/>
      <c r="Y56" s="40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</row>
    <row r="57" spans="1:46" ht="12.75" hidden="1" customHeight="1" x14ac:dyDescent="0.2">
      <c r="A57" s="357">
        <v>21</v>
      </c>
      <c r="B57" s="87"/>
      <c r="C57" s="91"/>
      <c r="D57" s="92"/>
      <c r="E57" s="736"/>
      <c r="F57" s="737"/>
      <c r="G57" s="93"/>
      <c r="H57" s="85"/>
      <c r="I57" s="86"/>
      <c r="J57" s="88"/>
      <c r="K57" s="90"/>
      <c r="L57" s="366"/>
      <c r="M57" s="367"/>
      <c r="N57" s="368"/>
      <c r="O57" s="369">
        <f t="shared" si="11"/>
        <v>0</v>
      </c>
      <c r="P57" s="356">
        <f t="shared" si="6"/>
        <v>0</v>
      </c>
      <c r="S57" s="257">
        <f t="shared" si="7"/>
        <v>0</v>
      </c>
      <c r="T57" s="257">
        <f t="shared" si="8"/>
        <v>0</v>
      </c>
      <c r="U57" s="257">
        <f t="shared" si="9"/>
        <v>0</v>
      </c>
      <c r="V57" s="257">
        <f t="shared" si="10"/>
        <v>0</v>
      </c>
      <c r="W57" s="258"/>
      <c r="X57" s="217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</row>
    <row r="58" spans="1:46" ht="12.75" hidden="1" customHeight="1" x14ac:dyDescent="0.2">
      <c r="A58" s="357">
        <v>22</v>
      </c>
      <c r="B58" s="87"/>
      <c r="C58" s="91"/>
      <c r="D58" s="92"/>
      <c r="E58" s="736"/>
      <c r="F58" s="737"/>
      <c r="G58" s="93"/>
      <c r="H58" s="85"/>
      <c r="I58" s="86"/>
      <c r="J58" s="88"/>
      <c r="K58" s="90"/>
      <c r="L58" s="366"/>
      <c r="M58" s="367"/>
      <c r="N58" s="368"/>
      <c r="O58" s="369">
        <f t="shared" si="11"/>
        <v>0</v>
      </c>
      <c r="P58" s="356">
        <f t="shared" si="6"/>
        <v>0</v>
      </c>
      <c r="S58" s="257">
        <f t="shared" si="7"/>
        <v>0</v>
      </c>
      <c r="T58" s="257">
        <f t="shared" si="8"/>
        <v>0</v>
      </c>
      <c r="U58" s="257">
        <f t="shared" si="9"/>
        <v>0</v>
      </c>
      <c r="V58" s="257">
        <f t="shared" si="10"/>
        <v>0</v>
      </c>
      <c r="W58" s="258"/>
      <c r="X58" s="217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</row>
    <row r="59" spans="1:46" ht="12.75" hidden="1" customHeight="1" x14ac:dyDescent="0.2">
      <c r="A59" s="357">
        <v>23</v>
      </c>
      <c r="B59" s="87"/>
      <c r="C59" s="91"/>
      <c r="D59" s="92"/>
      <c r="E59" s="736"/>
      <c r="F59" s="737"/>
      <c r="G59" s="93"/>
      <c r="H59" s="85"/>
      <c r="I59" s="86"/>
      <c r="J59" s="88"/>
      <c r="K59" s="90"/>
      <c r="L59" s="366"/>
      <c r="M59" s="367"/>
      <c r="N59" s="368"/>
      <c r="O59" s="369">
        <f t="shared" si="11"/>
        <v>0</v>
      </c>
      <c r="P59" s="356">
        <f t="shared" si="6"/>
        <v>0</v>
      </c>
      <c r="S59" s="257">
        <f t="shared" si="7"/>
        <v>0</v>
      </c>
      <c r="T59" s="257">
        <f t="shared" si="8"/>
        <v>0</v>
      </c>
      <c r="U59" s="257">
        <f t="shared" si="9"/>
        <v>0</v>
      </c>
      <c r="V59" s="257">
        <f t="shared" si="10"/>
        <v>0</v>
      </c>
      <c r="W59" s="258"/>
      <c r="X59" s="217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133"/>
    </row>
    <row r="60" spans="1:46" ht="12.75" hidden="1" customHeight="1" x14ac:dyDescent="0.2">
      <c r="A60" s="357">
        <v>24</v>
      </c>
      <c r="B60" s="87"/>
      <c r="C60" s="91"/>
      <c r="D60" s="92"/>
      <c r="E60" s="736"/>
      <c r="F60" s="737"/>
      <c r="G60" s="93"/>
      <c r="H60" s="85"/>
      <c r="I60" s="86"/>
      <c r="J60" s="88"/>
      <c r="K60" s="90"/>
      <c r="L60" s="366"/>
      <c r="M60" s="367"/>
      <c r="N60" s="368"/>
      <c r="O60" s="369">
        <f t="shared" si="11"/>
        <v>0</v>
      </c>
      <c r="P60" s="356">
        <f t="shared" si="6"/>
        <v>0</v>
      </c>
      <c r="S60" s="257">
        <f t="shared" si="7"/>
        <v>0</v>
      </c>
      <c r="T60" s="257">
        <f t="shared" si="8"/>
        <v>0</v>
      </c>
      <c r="U60" s="257">
        <f t="shared" si="9"/>
        <v>0</v>
      </c>
      <c r="V60" s="257">
        <f t="shared" si="10"/>
        <v>0</v>
      </c>
      <c r="W60" s="258"/>
      <c r="X60" s="217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133"/>
    </row>
    <row r="61" spans="1:46" ht="4.5999999999999996" customHeight="1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49"/>
      <c r="P61" s="12"/>
      <c r="S61" s="237"/>
      <c r="T61" s="237"/>
      <c r="U61" s="237"/>
      <c r="V61" s="237"/>
      <c r="W61" s="237"/>
      <c r="X61" s="217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</row>
    <row r="62" spans="1:46" ht="13.6" x14ac:dyDescent="0.25">
      <c r="A62" s="370"/>
      <c r="B62" s="371" t="str">
        <f>VLOOKUP("sec2.3",translation,VLOOKUP(J2,languages,2,FALSE),FALSE)</f>
        <v>Section 2.3</v>
      </c>
      <c r="C62" s="371"/>
      <c r="D62" s="372" t="str">
        <f>VLOOKUP("moh",translation,VLOOKUP(J2,languages,2,FALSE),FALSE)</f>
        <v>Material &amp; Purchased Components Overhead</v>
      </c>
      <c r="E62" s="373"/>
      <c r="F62" s="373"/>
      <c r="G62" s="373"/>
      <c r="H62" s="373"/>
      <c r="I62" s="373"/>
      <c r="J62" s="373"/>
      <c r="K62" s="374"/>
      <c r="L62" s="374" t="str">
        <f>VLOOKUP("sec2_%",translation,VLOOKUP(J2,languages,2,FALSE),FALSE)</f>
        <v>% of Section 2.1, 2.2</v>
      </c>
      <c r="M62" s="302">
        <v>1.97</v>
      </c>
      <c r="N62" s="301" t="s">
        <v>820</v>
      </c>
      <c r="O62" s="631">
        <f>M62/100*(O12+O35)</f>
        <v>9.2231460000000015E-2</v>
      </c>
      <c r="P62" s="375">
        <f>IF($O$104=0,0,O62/$O$104)</f>
        <v>1.2263415884988025E-2</v>
      </c>
      <c r="S62" s="260"/>
      <c r="T62" s="744"/>
      <c r="U62" s="745"/>
      <c r="V62" s="237"/>
      <c r="W62" s="237"/>
      <c r="X62" s="217"/>
      <c r="Y62" s="51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</row>
    <row r="63" spans="1:46" ht="4.5999999999999996" customHeight="1" x14ac:dyDescent="0.2">
      <c r="A63" s="376"/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8"/>
      <c r="N63" s="378"/>
      <c r="O63" s="379"/>
      <c r="P63" s="380"/>
      <c r="S63" s="237"/>
      <c r="T63" s="237"/>
      <c r="U63" s="237"/>
      <c r="V63" s="237"/>
      <c r="W63" s="237"/>
      <c r="X63" s="217"/>
    </row>
    <row r="64" spans="1:46" ht="13.6" x14ac:dyDescent="0.25">
      <c r="A64" s="370"/>
      <c r="B64" s="371" t="str">
        <f>VLOOKUP("sec2.4",translation,VLOOKUP(J2,languages,2,FALSE),FALSE)</f>
        <v>Section 2.4</v>
      </c>
      <c r="C64" s="371"/>
      <c r="D64" s="372" t="str">
        <f>VLOOKUP("prod",translation,VLOOKUP(J2,languages,2,FALSE),FALSE)</f>
        <v>Production</v>
      </c>
      <c r="E64" s="373"/>
      <c r="F64" s="381"/>
      <c r="G64" s="382" t="s">
        <v>128</v>
      </c>
      <c r="H64" s="383">
        <f>MC</f>
        <v>1.4089609999999999</v>
      </c>
      <c r="I64" s="384" t="s">
        <v>129</v>
      </c>
      <c r="J64" s="385">
        <f>DL</f>
        <v>0.40656999999999999</v>
      </c>
      <c r="K64" s="386" t="s">
        <v>130</v>
      </c>
      <c r="L64" s="383">
        <f>Setup</f>
        <v>0.206625</v>
      </c>
      <c r="M64" s="387">
        <f>ROUND(TM,3)</f>
        <v>0</v>
      </c>
      <c r="N64" s="345">
        <f>ROUND(W64,3)</f>
        <v>7.0000000000000001E-3</v>
      </c>
      <c r="O64" s="632">
        <f>SUBTOTAL(109,O66:O89)</f>
        <v>2.0292970038461542</v>
      </c>
      <c r="P64" s="388">
        <f>IF($O$104=0,0,O64/$O$104)</f>
        <v>0.2698223915389123</v>
      </c>
      <c r="S64" s="254">
        <f>ROUND(SUBTOTAL(109,S66:S89),6)</f>
        <v>1.4089609999999999</v>
      </c>
      <c r="T64" s="254">
        <f>ROUND(SUBTOTAL(109,T66:T89),6)</f>
        <v>0.40656999999999999</v>
      </c>
      <c r="U64" s="254">
        <f>ROUND(SUBTOTAL(109,U66:U89),6)</f>
        <v>0.206625</v>
      </c>
      <c r="V64" s="254">
        <f>ROUND(SUBTOTAL(109,V66:V89),6)</f>
        <v>0</v>
      </c>
      <c r="W64" s="254">
        <f>ROUND(SUBTOTAL(109,W66:W89),6)</f>
        <v>7.1409999999999998E-3</v>
      </c>
      <c r="X64" s="217"/>
      <c r="Y64" s="13" t="str">
        <f>VLOOKUP("std_cap",translation,VLOOKUP(A!J2,languages,2,FALSE),FALSE)</f>
        <v>Std Capacity Calculation (for Contract review)</v>
      </c>
      <c r="AJ64" s="13" t="str">
        <f>VLOOKUP("m_cap",translation,VLOOKUP(J2,languages,2,FALSE),FALSE)</f>
        <v>Max Capacity</v>
      </c>
      <c r="AP64" s="72" t="str">
        <f>VLOOKUP("ct_conv",translation,VLOOKUP(J2,languages,2,FALSE),FALSE)</f>
        <v>Cycle time conversions</v>
      </c>
    </row>
    <row r="65" spans="1:46" ht="48.1" customHeight="1" x14ac:dyDescent="0.2">
      <c r="A65" s="347"/>
      <c r="B65" s="735" t="str">
        <f>VLOOKUP("process",translation,VLOOKUP(J2,languages,2,FALSE),FALSE)</f>
        <v>Process Desciption</v>
      </c>
      <c r="C65" s="735"/>
      <c r="D65" s="350" t="str">
        <f>VLOOKUP("mach_type",translation,VLOOKUP(J2,languages,2,FALSE),FALSE)</f>
        <v>Maschine Type</v>
      </c>
      <c r="E65" s="350" t="str">
        <f>VLOOKUP("ct",translation,VLOOKUP(J2,languages,2,FALSE),FALSE)</f>
        <v>Cycle Time [min]</v>
      </c>
      <c r="F65" s="735" t="str">
        <f>VLOOKUP("cav",translation,VLOOKUP(J2,languages,2,FALSE),FALSE)</f>
        <v>Pcs/cycle (cavities)</v>
      </c>
      <c r="G65" s="746"/>
      <c r="H65" s="350" t="str">
        <f>VLOOKUP("mach_hr",translation,VLOOKUP(J2,languages,2,FALSE),FALSE)&amp;" ["&amp;LEFT($D$7,3)&amp;VLOOKUP("/hr",translation,VLOOKUP(J2,languages,2,FALSE),FALSE)&amp;"]"</f>
        <v>Machine [EUR/hr]</v>
      </c>
      <c r="I65" s="350" t="str">
        <f>VLOOKUP("op_hr",translation,VLOOKUP(J2,languages,2,FALSE),FALSE)&amp;" ["&amp;LEFT($D$7,3)&amp;VLOOKUP("/hr",translation,VLOOKUP(J2,languages,2,FALSE),FALSE)&amp;"]"</f>
        <v>Operator [EUR/hr]</v>
      </c>
      <c r="J65" s="350" t="str">
        <f>VLOOKUP("#op",translation,VLOOKUP(J2,languages,2,FALSE),FALSE)</f>
        <v>No. Of Operators</v>
      </c>
      <c r="K65" s="389" t="str">
        <f>VLOOKUP("setup_cost",translation,VLOOKUP(J2,languages,2,FALSE),FALSE)&amp;" ["&amp;LEFT($D$7,3)&amp;VLOOKUP("/batch",translation,VLOOKUP(J2,languages,2,FALSE),FALSE)&amp;"]"</f>
        <v>Setup Cost [EUR/batch]</v>
      </c>
      <c r="L65" s="350" t="str">
        <f>VLOOKUP("batch",translation,VLOOKUP(J2,languages,2,FALSE),FALSE)</f>
        <v>Production Batch Size</v>
      </c>
      <c r="M65" s="350" t="str">
        <f>VLOOKUP("tool_maint",translation,VLOOKUP(J2,languages,2,FALSE),FALSE)&amp;" ["&amp;LEFT($D$7,3)&amp;VLOOKUP("/part",translation,VLOOKUP(J2,languages,2,FALSE),FALSE)&amp;"]"</f>
        <v>Tool Maint. [EUR/part]</v>
      </c>
      <c r="N65" s="350" t="str">
        <f>VLOOKUP("scrap",translation,VLOOKUP(J2,languages,2,FALSE),FALSE)</f>
        <v>Scrap [%]</v>
      </c>
      <c r="O65" s="390" t="str">
        <f>VLOOKUP("total",translation,VLOOKUP(J2,languages,2,FALSE),FALSE)&amp;" ["&amp;LEFT($D$7,3)&amp;$F$7&amp;"]"</f>
        <v>Total [EUR/pc]</v>
      </c>
      <c r="P65" s="391"/>
      <c r="R65" s="14"/>
      <c r="S65" s="255" t="s">
        <v>21</v>
      </c>
      <c r="T65" s="255" t="s">
        <v>22</v>
      </c>
      <c r="U65" s="255" t="s">
        <v>23</v>
      </c>
      <c r="V65" s="255" t="s">
        <v>24</v>
      </c>
      <c r="W65" s="256">
        <v>70</v>
      </c>
      <c r="X65" s="217"/>
      <c r="Y65" s="389" t="str">
        <f>VLOOKUP("h/s",translation,VLOOKUP(J2,languages,2,FALSE),FALSE)</f>
        <v>Hrs/shift</v>
      </c>
      <c r="Z65" s="350" t="str">
        <f>VLOOKUP("s/w",translation,VLOOKUP(J2,languages,2,FALSE),FALSE)</f>
        <v>Shifts/week</v>
      </c>
      <c r="AA65" s="603" t="str">
        <f>VLOOKUP("oper_eff",translation,VLOOKUP(J2,languages,2,FALSE),FALSE)</f>
        <v>Utilization ratio</v>
      </c>
      <c r="AB65" s="389" t="str">
        <f>VLOOKUP("setup_time",translation,VLOOKUP(J2,languages,2,FALSE),FALSE)</f>
        <v>Setup [hrs]</v>
      </c>
      <c r="AC65" s="591" t="str">
        <f>VLOOKUP("setup_loss",translation,VLOOKUP(J2,languages,2,FALSE),FALSE)</f>
        <v>Setup Loss</v>
      </c>
      <c r="AD65" s="389" t="str">
        <f>VLOOKUP("week_cap",translation,VLOOKUP(J2,languages,2,FALSE),FALSE)</f>
        <v>Weekly Capacity (pc)</v>
      </c>
      <c r="AE65" s="350" t="str">
        <f>VLOOKUP("w/y",translation,VLOOKUP(J2,languages,2,FALSE),FALSE)</f>
        <v>Weeks/year</v>
      </c>
      <c r="AF65" s="591" t="str">
        <f>VLOOKUP("an_cap",translation,VLOOKUP(J2,languages,2,FALSE),FALSE)</f>
        <v>Annual Capacity (pc)</v>
      </c>
      <c r="AG65" s="389" t="str">
        <f>VLOOKUP("oee",translation,VLOOKUP(J2,languages,2,FALSE),FALSE)</f>
        <v>Calc O.E.E.</v>
      </c>
      <c r="AH65" s="591" t="str">
        <f>VLOOKUP("cap_margin",translation,VLOOKUP(J2,languages,2,FALSE),FALSE)</f>
        <v>Necessary Capacity (%)</v>
      </c>
      <c r="AI65" s="278"/>
      <c r="AJ65" s="389" t="str">
        <f>VLOOKUP("h/s",translation,VLOOKUP(J2,languages,2,FALSE),FALSE)</f>
        <v>Hrs/shift</v>
      </c>
      <c r="AK65" s="350" t="str">
        <f>VLOOKUP("s/w",translation,VLOOKUP(J2,languages,2,FALSE),FALSE)</f>
        <v>Shifts/week</v>
      </c>
      <c r="AL65" s="604" t="str">
        <f>VLOOKUP("week_cap",translation,VLOOKUP(J2,languages,2,FALSE),FALSE)</f>
        <v>Weekly Capacity (pc)</v>
      </c>
      <c r="AM65" s="605" t="s">
        <v>25</v>
      </c>
      <c r="AN65" s="606" t="s">
        <v>62</v>
      </c>
      <c r="AO65" s="607"/>
      <c r="AP65" s="608" t="s">
        <v>26</v>
      </c>
      <c r="AQ65" s="468" t="s">
        <v>27</v>
      </c>
      <c r="AR65" s="350" t="str">
        <f>VLOOKUP("pcs/min",translation,VLOOKUP(J2,languages,2,FALSE),FALSE)</f>
        <v>Pcs/min</v>
      </c>
      <c r="AS65" s="350" t="str">
        <f>VLOOKUP("pcs/hr",translation,VLOOKUP(J2,languages,2,FALSE),FALSE)</f>
        <v>Pcs/hr</v>
      </c>
      <c r="AT65" s="590" t="str">
        <f>VLOOKUP("pcs/hr_eff",translation,VLOOKUP(J2,languages,2,FALSE),FALSE)</f>
        <v>Pcs/hr (incl Eff.)</v>
      </c>
    </row>
    <row r="66" spans="1:46" x14ac:dyDescent="0.2">
      <c r="A66" s="626">
        <v>1</v>
      </c>
      <c r="B66" s="747" t="s">
        <v>868</v>
      </c>
      <c r="C66" s="748"/>
      <c r="D66" s="366">
        <v>2600</v>
      </c>
      <c r="E66" s="930">
        <v>0.93</v>
      </c>
      <c r="F66" s="736">
        <v>1</v>
      </c>
      <c r="G66" s="737"/>
      <c r="H66" s="932">
        <v>41.86</v>
      </c>
      <c r="I66" s="932">
        <v>8.42</v>
      </c>
      <c r="J66" s="625">
        <v>0.5</v>
      </c>
      <c r="K66" s="627">
        <f>IF(AND(ISNUMBER($H$66),ISNUMBER($I$66)),($H$66+$I$66)*$AB$66,0)</f>
        <v>100.56</v>
      </c>
      <c r="L66" s="392">
        <v>800</v>
      </c>
      <c r="M66" s="88"/>
      <c r="N66" s="354">
        <v>0.01</v>
      </c>
      <c r="O66" s="393">
        <f>(IF(F66=0,0,(E66*60/3600*J66*I66+E66*60/3600*H66)/F66*(1+N66))+IF(L66=0,0,K66/L66)+M66)*PUC</f>
        <v>0.84692585000000009</v>
      </c>
      <c r="P66" s="395">
        <f>IF($O$104=0,0,O66/$O$104)</f>
        <v>0.11261020829874085</v>
      </c>
      <c r="R66" s="16"/>
      <c r="S66" s="257">
        <f t="shared" ref="S66:S89" si="16">IF(F66=0,0,(E66*60/3600*H66)/F66)*PUC</f>
        <v>0.64883000000000002</v>
      </c>
      <c r="T66" s="257">
        <f t="shared" ref="T66:T89" si="17">IF(F66=0,0,(E66*60/3600*J66*I66)/F66)*PUC</f>
        <v>6.5255000000000007E-2</v>
      </c>
      <c r="U66" s="257">
        <f t="shared" ref="U66:U89" si="18">IF(L66=0,0,K66/L66)*PUC</f>
        <v>0.12570000000000001</v>
      </c>
      <c r="V66" s="257">
        <f t="shared" ref="V66:V89" si="19">M66*PUC</f>
        <v>0</v>
      </c>
      <c r="W66" s="257">
        <f>N66*(S66+T66)</f>
        <v>7.1408500000000007E-3</v>
      </c>
      <c r="X66" s="217"/>
      <c r="Y66" s="609">
        <v>7.5</v>
      </c>
      <c r="Z66" s="88">
        <v>10</v>
      </c>
      <c r="AA66" s="367">
        <v>0.85</v>
      </c>
      <c r="AB66" s="396">
        <v>2</v>
      </c>
      <c r="AC66" s="611">
        <f>IF(L66*F66*AA66=0,0,AB66/(L66*E66*60/AA66/F66/3600+AB66))</f>
        <v>0.12056737588652482</v>
      </c>
      <c r="AD66" s="612">
        <f>IF(E66=0,0,Z66*Y66*3600/E66/60*F66*AA66)*(1-AC66)*(1-N66)</f>
        <v>3580.8510638297867</v>
      </c>
      <c r="AE66" s="88">
        <v>48</v>
      </c>
      <c r="AF66" s="612">
        <f>AD66*AE66</f>
        <v>171880.85106382976</v>
      </c>
      <c r="AG66" s="613">
        <f>AA66*(1-N66)*(1-AC66)</f>
        <v>0.74004255319148937</v>
      </c>
      <c r="AH66" s="614">
        <f>IF($J$4*AD66=0,0,100/AF66*($J$4-1))</f>
        <v>4.6538052089522681</v>
      </c>
      <c r="AI66" s="462"/>
      <c r="AJ66" s="609"/>
      <c r="AK66" s="88"/>
      <c r="AL66" s="612">
        <f>IF(E66=0,0,AK66*AJ66*3600/E66/60*F66*AA66)*(1-AC66)*(1-N66)</f>
        <v>0</v>
      </c>
      <c r="AM66" s="88"/>
      <c r="AN66" s="615">
        <f>AL66*AM66</f>
        <v>0</v>
      </c>
      <c r="AO66" s="610"/>
      <c r="AP66" s="616">
        <f>IF(F66=0,0,+E66/F66)</f>
        <v>0.93</v>
      </c>
      <c r="AQ66" s="617">
        <f>IF(E66=0,0,1/E66)</f>
        <v>1.075268817204301</v>
      </c>
      <c r="AR66" s="617">
        <f>AQ66*F66</f>
        <v>1.075268817204301</v>
      </c>
      <c r="AS66" s="618">
        <f>IF(E66=0,0,3600/E66/60*F66)</f>
        <v>64.516129032258064</v>
      </c>
      <c r="AT66" s="619">
        <f>AS66*AA66</f>
        <v>54.838709677419352</v>
      </c>
    </row>
    <row r="67" spans="1:46" x14ac:dyDescent="0.2">
      <c r="A67" s="626">
        <v>2</v>
      </c>
      <c r="B67" s="747" t="s">
        <v>869</v>
      </c>
      <c r="C67" s="748"/>
      <c r="D67" s="366"/>
      <c r="E67" s="930">
        <v>0.66</v>
      </c>
      <c r="F67" s="736">
        <v>1</v>
      </c>
      <c r="G67" s="737"/>
      <c r="H67" s="932">
        <v>0</v>
      </c>
      <c r="I67" s="932">
        <v>6.6</v>
      </c>
      <c r="J67" s="308">
        <v>1</v>
      </c>
      <c r="K67" s="627">
        <f>IF(AND(ISNUMBER($H$67),ISNUMBER($I$67)),($H$67+$I$67)*$AB$67,0)</f>
        <v>0</v>
      </c>
      <c r="L67" s="392"/>
      <c r="M67" s="88"/>
      <c r="N67" s="354"/>
      <c r="O67" s="393">
        <f t="shared" ref="O67:O89" si="20">(IF(F67=0,0,(E67*60/3600*J67*I67+E67*60/3600*H67)/F67*(1+N67))+IF(L67=0,0,K67/L67)+M67)*PUC</f>
        <v>7.2599999999999998E-2</v>
      </c>
      <c r="P67" s="395">
        <f>IF($O$104=0,0,O67/$O$104)</f>
        <v>9.6531486463526713E-3</v>
      </c>
      <c r="R67" s="16"/>
      <c r="S67" s="257">
        <f t="shared" si="16"/>
        <v>0</v>
      </c>
      <c r="T67" s="257">
        <f t="shared" si="17"/>
        <v>7.2599999999999998E-2</v>
      </c>
      <c r="U67" s="257">
        <f t="shared" si="18"/>
        <v>0</v>
      </c>
      <c r="V67" s="257">
        <f t="shared" si="19"/>
        <v>0</v>
      </c>
      <c r="W67" s="257">
        <f t="shared" ref="W67:W89" si="21">N67*(S67+T67)</f>
        <v>0</v>
      </c>
      <c r="X67" s="217"/>
      <c r="Y67" s="609"/>
      <c r="Z67" s="88"/>
      <c r="AA67" s="367"/>
      <c r="AB67" s="396">
        <v>0</v>
      </c>
      <c r="AC67" s="611">
        <f>IF(L67*F67*AA67=0,0,AB67/(L67*E67*60/AA67/F67/3600+AB67))</f>
        <v>0</v>
      </c>
      <c r="AD67" s="612">
        <f>IF(E67=0,0,Z67*Y67*3600/E67/60*F67*AA67)*(1-AC67)*(1-N67)</f>
        <v>0</v>
      </c>
      <c r="AE67" s="88"/>
      <c r="AF67" s="612">
        <f>AD67*AE67</f>
        <v>0</v>
      </c>
      <c r="AG67" s="613">
        <f>AA67*(1-N67)*(1-AC67)</f>
        <v>0</v>
      </c>
      <c r="AH67" s="614">
        <f t="shared" ref="AH67:AH89" si="22">IF($J$4*AD67=0,0,100/AF67*($J$4-1))</f>
        <v>0</v>
      </c>
      <c r="AI67" s="462"/>
      <c r="AJ67" s="609"/>
      <c r="AK67" s="88"/>
      <c r="AL67" s="612">
        <f>IF(E67=0,0,AK67*AJ67*3600/E67/60*F67*AA67)*(1-AC67)*(1-N67)</f>
        <v>0</v>
      </c>
      <c r="AM67" s="88"/>
      <c r="AN67" s="615">
        <f>AL67*AM67</f>
        <v>0</v>
      </c>
      <c r="AO67" s="610"/>
      <c r="AP67" s="616">
        <f>IF(F67=0,0,+E67/F67)</f>
        <v>0.66</v>
      </c>
      <c r="AQ67" s="617">
        <f>IF(E67=0,0,1/E67)</f>
        <v>1.5151515151515151</v>
      </c>
      <c r="AR67" s="617">
        <f>AQ67*F67</f>
        <v>1.5151515151515151</v>
      </c>
      <c r="AS67" s="618">
        <f>IF(E67=0,0,3600/E67/60*F67)</f>
        <v>90.909090909090907</v>
      </c>
      <c r="AT67" s="619">
        <f>AS67*AA67</f>
        <v>0</v>
      </c>
    </row>
    <row r="68" spans="1:46" x14ac:dyDescent="0.2">
      <c r="A68" s="626">
        <v>3</v>
      </c>
      <c r="B68" s="87" t="s">
        <v>870</v>
      </c>
      <c r="C68" s="86"/>
      <c r="D68" s="366"/>
      <c r="E68" s="930">
        <v>1.1000000000000001</v>
      </c>
      <c r="F68" s="736">
        <v>13</v>
      </c>
      <c r="G68" s="737"/>
      <c r="H68" s="932">
        <v>27.57</v>
      </c>
      <c r="I68" s="932">
        <v>7.77</v>
      </c>
      <c r="J68" s="308">
        <v>2</v>
      </c>
      <c r="K68" s="627">
        <f>IF(AND(ISNUMBER($H$68),ISNUMBER($I$68)),($H$68+$I$68)*$AB$68,0)</f>
        <v>8.8350000000000009</v>
      </c>
      <c r="L68" s="392">
        <v>800</v>
      </c>
      <c r="M68" s="88"/>
      <c r="N68" s="358"/>
      <c r="O68" s="393">
        <f t="shared" si="20"/>
        <v>7.1839903846153838E-2</v>
      </c>
      <c r="P68" s="395">
        <f>IF($O$104=0,0,O68/$O$104)</f>
        <v>9.5520836166199177E-3</v>
      </c>
      <c r="R68" s="17"/>
      <c r="S68" s="257">
        <f t="shared" si="16"/>
        <v>3.8880769230769226E-2</v>
      </c>
      <c r="T68" s="257">
        <f t="shared" si="17"/>
        <v>2.1915384615384614E-2</v>
      </c>
      <c r="U68" s="257">
        <f t="shared" si="18"/>
        <v>1.1043750000000001E-2</v>
      </c>
      <c r="V68" s="257">
        <f t="shared" si="19"/>
        <v>0</v>
      </c>
      <c r="W68" s="257">
        <f t="shared" si="21"/>
        <v>0</v>
      </c>
      <c r="X68" s="217"/>
      <c r="Y68" s="609"/>
      <c r="Z68" s="88"/>
      <c r="AA68" s="367"/>
      <c r="AB68" s="620">
        <v>0.25</v>
      </c>
      <c r="AC68" s="611">
        <f>IF(L68*F68*AA68=0,0,AB68/(L68*E68*60/AA68/F68/3600+AB68))</f>
        <v>0</v>
      </c>
      <c r="AD68" s="612">
        <f>IF(E68=0,0,Z68*Y68*3600/E68/60*F68*AA68)*(1-AC68)*(1-N68)</f>
        <v>0</v>
      </c>
      <c r="AE68" s="88"/>
      <c r="AF68" s="612">
        <f t="shared" ref="AF68:AF89" si="23">AD68*AE68</f>
        <v>0</v>
      </c>
      <c r="AG68" s="613">
        <f t="shared" ref="AG68:AG89" si="24">AA68*(1-N68)*(1-AC68)</f>
        <v>0</v>
      </c>
      <c r="AH68" s="611">
        <f t="shared" si="22"/>
        <v>0</v>
      </c>
      <c r="AI68" s="462"/>
      <c r="AJ68" s="609"/>
      <c r="AK68" s="88"/>
      <c r="AL68" s="612">
        <f>IF(E68=0,0,AK68*AJ68*3600/E68/60*F68*AA68)*(1-AC68)*(1-N68)</f>
        <v>0</v>
      </c>
      <c r="AM68" s="88"/>
      <c r="AN68" s="615">
        <f>AL68*AM68</f>
        <v>0</v>
      </c>
      <c r="AO68" s="610"/>
      <c r="AP68" s="616">
        <f>IF(F68=0,0,+E68/F68)</f>
        <v>8.461538461538462E-2</v>
      </c>
      <c r="AQ68" s="617">
        <f>IF(E68=0,0,1/E68)</f>
        <v>0.90909090909090906</v>
      </c>
      <c r="AR68" s="617">
        <f t="shared" ref="AR68:AR89" si="25">AQ68*F68</f>
        <v>11.818181818181818</v>
      </c>
      <c r="AS68" s="618">
        <f>IF(E68=0,0,3600/E68/60*F68)</f>
        <v>709.09090909090901</v>
      </c>
      <c r="AT68" s="619">
        <f t="shared" ref="AT68:AT89" si="26">AS68*AA68</f>
        <v>0</v>
      </c>
    </row>
    <row r="69" spans="1:46" x14ac:dyDescent="0.2">
      <c r="A69" s="626">
        <v>4</v>
      </c>
      <c r="B69" s="87" t="s">
        <v>871</v>
      </c>
      <c r="C69" s="86"/>
      <c r="D69" s="366"/>
      <c r="E69" s="930">
        <v>1.5</v>
      </c>
      <c r="F69" s="736">
        <v>1</v>
      </c>
      <c r="G69" s="737"/>
      <c r="H69" s="932">
        <v>28.85</v>
      </c>
      <c r="I69" s="932">
        <v>8.42</v>
      </c>
      <c r="J69" s="308">
        <v>1</v>
      </c>
      <c r="K69" s="627">
        <f>IF(AND(ISNUMBER($H$69),ISNUMBER($I$69)),($H$69+$I$69)*$AB$69,0)</f>
        <v>55.905000000000001</v>
      </c>
      <c r="L69" s="392">
        <v>800</v>
      </c>
      <c r="M69" s="88"/>
      <c r="N69" s="358"/>
      <c r="O69" s="393">
        <f t="shared" si="20"/>
        <v>1.00163125</v>
      </c>
      <c r="P69" s="395">
        <f t="shared" ref="P69:P89" si="27">IF($O$104=0,0,O69/$O$104)</f>
        <v>0.13318037665402249</v>
      </c>
      <c r="R69" s="17"/>
      <c r="S69" s="257">
        <f t="shared" si="16"/>
        <v>0.72125000000000006</v>
      </c>
      <c r="T69" s="257">
        <f t="shared" si="17"/>
        <v>0.21050000000000002</v>
      </c>
      <c r="U69" s="257">
        <f t="shared" si="18"/>
        <v>6.9881250000000006E-2</v>
      </c>
      <c r="V69" s="257">
        <f t="shared" si="19"/>
        <v>0</v>
      </c>
      <c r="W69" s="257">
        <f t="shared" si="21"/>
        <v>0</v>
      </c>
      <c r="X69" s="217"/>
      <c r="Y69" s="609"/>
      <c r="Z69" s="88"/>
      <c r="AA69" s="367"/>
      <c r="AB69" s="620">
        <v>1.5</v>
      </c>
      <c r="AC69" s="611">
        <f>IF(L69*F69*AA69=0,0,AB69/(L69*E69*60/AA69/F69/3600+AB69))</f>
        <v>0</v>
      </c>
      <c r="AD69" s="612">
        <f>IF(E69=0,0,Z69*Y69*3600/E69/60*F69*AA69)*(1-AC69)*(1-N69)</f>
        <v>0</v>
      </c>
      <c r="AE69" s="88"/>
      <c r="AF69" s="612">
        <f t="shared" si="23"/>
        <v>0</v>
      </c>
      <c r="AG69" s="613">
        <f t="shared" si="24"/>
        <v>0</v>
      </c>
      <c r="AH69" s="611">
        <f t="shared" si="22"/>
        <v>0</v>
      </c>
      <c r="AI69" s="462"/>
      <c r="AJ69" s="609"/>
      <c r="AK69" s="88"/>
      <c r="AL69" s="612">
        <f>IF(E69=0,0,AK69*AJ69*3600/E69/60*F69*AA69)*(1-AC69)*(1-N69)</f>
        <v>0</v>
      </c>
      <c r="AM69" s="88"/>
      <c r="AN69" s="615"/>
      <c r="AO69" s="610"/>
      <c r="AP69" s="616">
        <f>IF(F69=0,0,+E69/F69)</f>
        <v>1.5</v>
      </c>
      <c r="AQ69" s="617">
        <f>IF(E69=0,0,1/E69)</f>
        <v>0.66666666666666663</v>
      </c>
      <c r="AR69" s="617">
        <f t="shared" si="25"/>
        <v>0.66666666666666663</v>
      </c>
      <c r="AS69" s="618">
        <f>IF(E69=0,0,3600/E69/60*F69)</f>
        <v>40</v>
      </c>
      <c r="AT69" s="621">
        <f t="shared" si="26"/>
        <v>0</v>
      </c>
    </row>
    <row r="70" spans="1:46" x14ac:dyDescent="0.2">
      <c r="A70" s="626">
        <v>5</v>
      </c>
      <c r="B70" s="87" t="s">
        <v>872</v>
      </c>
      <c r="C70" s="86"/>
      <c r="D70" s="366"/>
      <c r="E70" s="930">
        <v>0.33</v>
      </c>
      <c r="F70" s="736">
        <v>1</v>
      </c>
      <c r="G70" s="737"/>
      <c r="H70" s="932">
        <v>0</v>
      </c>
      <c r="I70" s="932">
        <v>6.6</v>
      </c>
      <c r="J70" s="308">
        <v>1</v>
      </c>
      <c r="K70" s="627">
        <f>IF(AND(ISNUMBER($H$70),ISNUMBER($I$70)),($H$70+$I$70)*$AB$70,0)</f>
        <v>0</v>
      </c>
      <c r="L70" s="392"/>
      <c r="M70" s="88"/>
      <c r="N70" s="358"/>
      <c r="O70" s="393">
        <f t="shared" si="20"/>
        <v>3.6299999999999999E-2</v>
      </c>
      <c r="P70" s="395">
        <f t="shared" si="27"/>
        <v>4.8265743231763357E-3</v>
      </c>
      <c r="R70" s="17"/>
      <c r="S70" s="257">
        <f t="shared" si="16"/>
        <v>0</v>
      </c>
      <c r="T70" s="257">
        <f t="shared" si="17"/>
        <v>3.6299999999999999E-2</v>
      </c>
      <c r="U70" s="257">
        <f t="shared" si="18"/>
        <v>0</v>
      </c>
      <c r="V70" s="257">
        <f t="shared" si="19"/>
        <v>0</v>
      </c>
      <c r="W70" s="257">
        <f t="shared" si="21"/>
        <v>0</v>
      </c>
      <c r="X70" s="217"/>
      <c r="Y70" s="609"/>
      <c r="Z70" s="88"/>
      <c r="AA70" s="367"/>
      <c r="AB70" s="620"/>
      <c r="AC70" s="611">
        <f t="shared" ref="AC70:AC89" si="28">IF(L70*F70*AA70=0,0,AB70/(L70*E70*60/AA70/F70/3600+AB70))</f>
        <v>0</v>
      </c>
      <c r="AD70" s="612">
        <f t="shared" ref="AD70:AD89" si="29">IF(E70=0,0,Z70*Y70*3600/E70/60*F70*AA70)*(1-AC70)*(1-N70)</f>
        <v>0</v>
      </c>
      <c r="AE70" s="88"/>
      <c r="AF70" s="612">
        <f t="shared" si="23"/>
        <v>0</v>
      </c>
      <c r="AG70" s="613">
        <f t="shared" si="24"/>
        <v>0</v>
      </c>
      <c r="AH70" s="611">
        <f t="shared" si="22"/>
        <v>0</v>
      </c>
      <c r="AI70" s="462"/>
      <c r="AJ70" s="609"/>
      <c r="AK70" s="88"/>
      <c r="AL70" s="612">
        <f t="shared" ref="AL70:AL89" si="30">IF(E70=0,0,AK70*AJ70*3600/E70/60*F70*AA70)*(1-AC70)*(1-N70)</f>
        <v>0</v>
      </c>
      <c r="AM70" s="88"/>
      <c r="AN70" s="615"/>
      <c r="AO70" s="610"/>
      <c r="AP70" s="616">
        <f t="shared" ref="AP70:AP89" si="31">IF(F70=0,0,+E70/F70)</f>
        <v>0.33</v>
      </c>
      <c r="AQ70" s="617">
        <f t="shared" ref="AQ70:AQ89" si="32">IF(E70=0,0,1/E70)</f>
        <v>3.0303030303030303</v>
      </c>
      <c r="AR70" s="617">
        <f t="shared" si="25"/>
        <v>3.0303030303030303</v>
      </c>
      <c r="AS70" s="618">
        <f t="shared" ref="AS70:AS89" si="33">IF(E70=0,0,3600/E70/60*F70)</f>
        <v>181.81818181818181</v>
      </c>
      <c r="AT70" s="621">
        <f t="shared" si="26"/>
        <v>0</v>
      </c>
    </row>
    <row r="71" spans="1:46" hidden="1" x14ac:dyDescent="0.2">
      <c r="A71" s="626">
        <v>6</v>
      </c>
      <c r="B71" s="87"/>
      <c r="C71" s="86"/>
      <c r="D71" s="366"/>
      <c r="E71" s="88"/>
      <c r="F71" s="736"/>
      <c r="G71" s="737"/>
      <c r="H71" s="89">
        <v>0</v>
      </c>
      <c r="I71" s="89">
        <v>0</v>
      </c>
      <c r="J71" s="308"/>
      <c r="K71" s="627">
        <f>IF(AND(ISNUMBER($H$71),ISNUMBER($I$71)),($H$71+$I$71)*$AB$71,0)</f>
        <v>0</v>
      </c>
      <c r="L71" s="392"/>
      <c r="M71" s="88"/>
      <c r="N71" s="358"/>
      <c r="O71" s="393">
        <f t="shared" si="20"/>
        <v>0</v>
      </c>
      <c r="P71" s="395">
        <f t="shared" si="27"/>
        <v>0</v>
      </c>
      <c r="R71" s="17"/>
      <c r="S71" s="257">
        <f t="shared" si="16"/>
        <v>0</v>
      </c>
      <c r="T71" s="257">
        <f t="shared" si="17"/>
        <v>0</v>
      </c>
      <c r="U71" s="257">
        <f t="shared" si="18"/>
        <v>0</v>
      </c>
      <c r="V71" s="257">
        <f t="shared" si="19"/>
        <v>0</v>
      </c>
      <c r="W71" s="257">
        <f t="shared" si="21"/>
        <v>0</v>
      </c>
      <c r="X71" s="217"/>
      <c r="Y71" s="609"/>
      <c r="Z71" s="88"/>
      <c r="AA71" s="367"/>
      <c r="AB71" s="620"/>
      <c r="AC71" s="611">
        <f t="shared" si="28"/>
        <v>0</v>
      </c>
      <c r="AD71" s="612">
        <f t="shared" si="29"/>
        <v>0</v>
      </c>
      <c r="AE71" s="88"/>
      <c r="AF71" s="612">
        <f t="shared" si="23"/>
        <v>0</v>
      </c>
      <c r="AG71" s="613">
        <f t="shared" si="24"/>
        <v>0</v>
      </c>
      <c r="AH71" s="611">
        <f t="shared" si="22"/>
        <v>0</v>
      </c>
      <c r="AI71" s="462"/>
      <c r="AJ71" s="609"/>
      <c r="AK71" s="88"/>
      <c r="AL71" s="612">
        <f t="shared" si="30"/>
        <v>0</v>
      </c>
      <c r="AM71" s="88"/>
      <c r="AN71" s="615"/>
      <c r="AO71" s="610"/>
      <c r="AP71" s="616">
        <f t="shared" si="31"/>
        <v>0</v>
      </c>
      <c r="AQ71" s="617">
        <f t="shared" si="32"/>
        <v>0</v>
      </c>
      <c r="AR71" s="617">
        <f t="shared" si="25"/>
        <v>0</v>
      </c>
      <c r="AS71" s="618">
        <f t="shared" si="33"/>
        <v>0</v>
      </c>
      <c r="AT71" s="621">
        <f t="shared" si="26"/>
        <v>0</v>
      </c>
    </row>
    <row r="72" spans="1:46" hidden="1" x14ac:dyDescent="0.2">
      <c r="A72" s="626">
        <v>7</v>
      </c>
      <c r="B72" s="87"/>
      <c r="C72" s="86"/>
      <c r="D72" s="366"/>
      <c r="E72" s="88"/>
      <c r="F72" s="736"/>
      <c r="G72" s="737"/>
      <c r="H72" s="89">
        <v>0</v>
      </c>
      <c r="I72" s="89">
        <v>0</v>
      </c>
      <c r="J72" s="308"/>
      <c r="K72" s="627">
        <f>IF(AND(ISNUMBER($H$72),ISNUMBER($I$72)),($H$72+$I$72)*$AB$72,0)</f>
        <v>0</v>
      </c>
      <c r="L72" s="392"/>
      <c r="M72" s="88"/>
      <c r="N72" s="358"/>
      <c r="O72" s="393">
        <f t="shared" si="20"/>
        <v>0</v>
      </c>
      <c r="P72" s="395">
        <f t="shared" si="27"/>
        <v>0</v>
      </c>
      <c r="R72" s="17"/>
      <c r="S72" s="257">
        <f t="shared" si="16"/>
        <v>0</v>
      </c>
      <c r="T72" s="257">
        <f t="shared" si="17"/>
        <v>0</v>
      </c>
      <c r="U72" s="257">
        <f t="shared" si="18"/>
        <v>0</v>
      </c>
      <c r="V72" s="257">
        <f t="shared" si="19"/>
        <v>0</v>
      </c>
      <c r="W72" s="257">
        <f t="shared" si="21"/>
        <v>0</v>
      </c>
      <c r="X72" s="217"/>
      <c r="Y72" s="609"/>
      <c r="Z72" s="88"/>
      <c r="AA72" s="367"/>
      <c r="AB72" s="620"/>
      <c r="AC72" s="611">
        <f t="shared" si="28"/>
        <v>0</v>
      </c>
      <c r="AD72" s="612">
        <f t="shared" si="29"/>
        <v>0</v>
      </c>
      <c r="AE72" s="88"/>
      <c r="AF72" s="612">
        <f t="shared" si="23"/>
        <v>0</v>
      </c>
      <c r="AG72" s="613">
        <f t="shared" si="24"/>
        <v>0</v>
      </c>
      <c r="AH72" s="611">
        <f t="shared" si="22"/>
        <v>0</v>
      </c>
      <c r="AI72" s="462"/>
      <c r="AJ72" s="609"/>
      <c r="AK72" s="88"/>
      <c r="AL72" s="612">
        <f t="shared" si="30"/>
        <v>0</v>
      </c>
      <c r="AM72" s="88"/>
      <c r="AN72" s="615"/>
      <c r="AO72" s="610"/>
      <c r="AP72" s="616">
        <f t="shared" si="31"/>
        <v>0</v>
      </c>
      <c r="AQ72" s="617">
        <f t="shared" si="32"/>
        <v>0</v>
      </c>
      <c r="AR72" s="617">
        <f t="shared" si="25"/>
        <v>0</v>
      </c>
      <c r="AS72" s="618">
        <f t="shared" si="33"/>
        <v>0</v>
      </c>
      <c r="AT72" s="621">
        <f t="shared" si="26"/>
        <v>0</v>
      </c>
    </row>
    <row r="73" spans="1:46" hidden="1" x14ac:dyDescent="0.2">
      <c r="A73" s="626">
        <v>8</v>
      </c>
      <c r="B73" s="87"/>
      <c r="C73" s="86"/>
      <c r="D73" s="366"/>
      <c r="E73" s="88"/>
      <c r="F73" s="736"/>
      <c r="G73" s="737"/>
      <c r="H73" s="89">
        <v>0</v>
      </c>
      <c r="I73" s="89">
        <v>0</v>
      </c>
      <c r="J73" s="308"/>
      <c r="K73" s="627">
        <f>IF(AND(ISNUMBER($H$73),ISNUMBER($I$73)),($H$73+$I$73)*$AB$73,0)</f>
        <v>0</v>
      </c>
      <c r="L73" s="392"/>
      <c r="M73" s="88"/>
      <c r="N73" s="358"/>
      <c r="O73" s="393">
        <f t="shared" si="20"/>
        <v>0</v>
      </c>
      <c r="P73" s="395">
        <f t="shared" si="27"/>
        <v>0</v>
      </c>
      <c r="R73" s="17"/>
      <c r="S73" s="257">
        <f t="shared" si="16"/>
        <v>0</v>
      </c>
      <c r="T73" s="257">
        <f t="shared" si="17"/>
        <v>0</v>
      </c>
      <c r="U73" s="257">
        <f t="shared" si="18"/>
        <v>0</v>
      </c>
      <c r="V73" s="257">
        <f t="shared" si="19"/>
        <v>0</v>
      </c>
      <c r="W73" s="257">
        <f t="shared" si="21"/>
        <v>0</v>
      </c>
      <c r="X73" s="217"/>
      <c r="Y73" s="609"/>
      <c r="Z73" s="88"/>
      <c r="AA73" s="367"/>
      <c r="AB73" s="620"/>
      <c r="AC73" s="611">
        <f t="shared" si="28"/>
        <v>0</v>
      </c>
      <c r="AD73" s="612">
        <f t="shared" si="29"/>
        <v>0</v>
      </c>
      <c r="AE73" s="88"/>
      <c r="AF73" s="612">
        <f t="shared" si="23"/>
        <v>0</v>
      </c>
      <c r="AG73" s="613">
        <f t="shared" si="24"/>
        <v>0</v>
      </c>
      <c r="AH73" s="611">
        <f t="shared" si="22"/>
        <v>0</v>
      </c>
      <c r="AI73" s="462"/>
      <c r="AJ73" s="609"/>
      <c r="AK73" s="88"/>
      <c r="AL73" s="612">
        <f t="shared" si="30"/>
        <v>0</v>
      </c>
      <c r="AM73" s="88"/>
      <c r="AN73" s="615"/>
      <c r="AO73" s="610"/>
      <c r="AP73" s="616">
        <f t="shared" si="31"/>
        <v>0</v>
      </c>
      <c r="AQ73" s="617">
        <f t="shared" si="32"/>
        <v>0</v>
      </c>
      <c r="AR73" s="617">
        <f t="shared" si="25"/>
        <v>0</v>
      </c>
      <c r="AS73" s="618">
        <f t="shared" si="33"/>
        <v>0</v>
      </c>
      <c r="AT73" s="621">
        <f t="shared" si="26"/>
        <v>0</v>
      </c>
    </row>
    <row r="74" spans="1:46" hidden="1" x14ac:dyDescent="0.2">
      <c r="A74" s="626">
        <v>9</v>
      </c>
      <c r="B74" s="87"/>
      <c r="C74" s="86"/>
      <c r="D74" s="366"/>
      <c r="E74" s="88"/>
      <c r="F74" s="736"/>
      <c r="G74" s="737"/>
      <c r="H74" s="89">
        <v>0</v>
      </c>
      <c r="I74" s="89">
        <v>0</v>
      </c>
      <c r="J74" s="308"/>
      <c r="K74" s="627">
        <f>IF(AND(ISNUMBER($H$74),ISNUMBER($I$74)),($H$74+$I$74)*$AB$74,0)</f>
        <v>0</v>
      </c>
      <c r="L74" s="392"/>
      <c r="M74" s="88"/>
      <c r="N74" s="358"/>
      <c r="O74" s="393">
        <f t="shared" si="20"/>
        <v>0</v>
      </c>
      <c r="P74" s="395">
        <f t="shared" si="27"/>
        <v>0</v>
      </c>
      <c r="R74" s="17"/>
      <c r="S74" s="257">
        <f t="shared" si="16"/>
        <v>0</v>
      </c>
      <c r="T74" s="257">
        <f t="shared" si="17"/>
        <v>0</v>
      </c>
      <c r="U74" s="257">
        <f t="shared" si="18"/>
        <v>0</v>
      </c>
      <c r="V74" s="257">
        <f t="shared" si="19"/>
        <v>0</v>
      </c>
      <c r="W74" s="257">
        <f t="shared" si="21"/>
        <v>0</v>
      </c>
      <c r="X74" s="217"/>
      <c r="Y74" s="609"/>
      <c r="Z74" s="88"/>
      <c r="AA74" s="367"/>
      <c r="AB74" s="620"/>
      <c r="AC74" s="611">
        <f t="shared" si="28"/>
        <v>0</v>
      </c>
      <c r="AD74" s="612">
        <f t="shared" si="29"/>
        <v>0</v>
      </c>
      <c r="AE74" s="88"/>
      <c r="AF74" s="612">
        <f t="shared" si="23"/>
        <v>0</v>
      </c>
      <c r="AG74" s="613">
        <f t="shared" si="24"/>
        <v>0</v>
      </c>
      <c r="AH74" s="611">
        <f t="shared" si="22"/>
        <v>0</v>
      </c>
      <c r="AI74" s="462"/>
      <c r="AJ74" s="609"/>
      <c r="AK74" s="88"/>
      <c r="AL74" s="612">
        <f t="shared" si="30"/>
        <v>0</v>
      </c>
      <c r="AM74" s="88"/>
      <c r="AN74" s="615"/>
      <c r="AO74" s="610"/>
      <c r="AP74" s="616">
        <f t="shared" si="31"/>
        <v>0</v>
      </c>
      <c r="AQ74" s="617">
        <f t="shared" si="32"/>
        <v>0</v>
      </c>
      <c r="AR74" s="617">
        <f t="shared" si="25"/>
        <v>0</v>
      </c>
      <c r="AS74" s="618">
        <f t="shared" si="33"/>
        <v>0</v>
      </c>
      <c r="AT74" s="621">
        <f t="shared" si="26"/>
        <v>0</v>
      </c>
    </row>
    <row r="75" spans="1:46" hidden="1" x14ac:dyDescent="0.2">
      <c r="A75" s="626">
        <v>10</v>
      </c>
      <c r="B75" s="87"/>
      <c r="C75" s="86"/>
      <c r="D75" s="366"/>
      <c r="E75" s="88"/>
      <c r="F75" s="736"/>
      <c r="G75" s="737"/>
      <c r="H75" s="89">
        <v>0</v>
      </c>
      <c r="I75" s="89">
        <v>0</v>
      </c>
      <c r="J75" s="308"/>
      <c r="K75" s="627">
        <f>IF(AND(ISNUMBER($H$75),ISNUMBER($I$75)),($H$75+$I$75)*$AB$75,0)</f>
        <v>0</v>
      </c>
      <c r="L75" s="392"/>
      <c r="M75" s="88"/>
      <c r="N75" s="358"/>
      <c r="O75" s="393">
        <f t="shared" si="20"/>
        <v>0</v>
      </c>
      <c r="P75" s="395">
        <f t="shared" si="27"/>
        <v>0</v>
      </c>
      <c r="R75" s="17"/>
      <c r="S75" s="257">
        <f t="shared" si="16"/>
        <v>0</v>
      </c>
      <c r="T75" s="257">
        <f t="shared" si="17"/>
        <v>0</v>
      </c>
      <c r="U75" s="257">
        <f t="shared" si="18"/>
        <v>0</v>
      </c>
      <c r="V75" s="257">
        <f t="shared" si="19"/>
        <v>0</v>
      </c>
      <c r="W75" s="257">
        <f t="shared" si="21"/>
        <v>0</v>
      </c>
      <c r="X75" s="217"/>
      <c r="Y75" s="609"/>
      <c r="Z75" s="88"/>
      <c r="AA75" s="367"/>
      <c r="AB75" s="620"/>
      <c r="AC75" s="611">
        <f t="shared" si="28"/>
        <v>0</v>
      </c>
      <c r="AD75" s="612">
        <f t="shared" si="29"/>
        <v>0</v>
      </c>
      <c r="AE75" s="88"/>
      <c r="AF75" s="612">
        <f t="shared" si="23"/>
        <v>0</v>
      </c>
      <c r="AG75" s="613">
        <f t="shared" si="24"/>
        <v>0</v>
      </c>
      <c r="AH75" s="611">
        <f t="shared" si="22"/>
        <v>0</v>
      </c>
      <c r="AI75" s="462"/>
      <c r="AJ75" s="609"/>
      <c r="AK75" s="88"/>
      <c r="AL75" s="612">
        <f t="shared" si="30"/>
        <v>0</v>
      </c>
      <c r="AM75" s="88"/>
      <c r="AN75" s="615"/>
      <c r="AO75" s="610"/>
      <c r="AP75" s="616">
        <f t="shared" si="31"/>
        <v>0</v>
      </c>
      <c r="AQ75" s="617">
        <f t="shared" si="32"/>
        <v>0</v>
      </c>
      <c r="AR75" s="617">
        <f t="shared" si="25"/>
        <v>0</v>
      </c>
      <c r="AS75" s="618">
        <f t="shared" si="33"/>
        <v>0</v>
      </c>
      <c r="AT75" s="621">
        <f t="shared" si="26"/>
        <v>0</v>
      </c>
    </row>
    <row r="76" spans="1:46" hidden="1" x14ac:dyDescent="0.2">
      <c r="A76" s="626">
        <v>11</v>
      </c>
      <c r="B76" s="87"/>
      <c r="C76" s="86"/>
      <c r="D76" s="366"/>
      <c r="E76" s="88"/>
      <c r="F76" s="736"/>
      <c r="G76" s="737"/>
      <c r="H76" s="89">
        <v>0</v>
      </c>
      <c r="I76" s="89">
        <v>0</v>
      </c>
      <c r="J76" s="308"/>
      <c r="K76" s="627">
        <f>IF(AND(ISNUMBER($H$76),ISNUMBER($I$76)),($H$76+$I$76)*$AB$76,0)</f>
        <v>0</v>
      </c>
      <c r="L76" s="392"/>
      <c r="M76" s="88"/>
      <c r="N76" s="358"/>
      <c r="O76" s="393">
        <f t="shared" si="20"/>
        <v>0</v>
      </c>
      <c r="P76" s="395">
        <f t="shared" si="27"/>
        <v>0</v>
      </c>
      <c r="R76" s="17"/>
      <c r="S76" s="257">
        <f t="shared" si="16"/>
        <v>0</v>
      </c>
      <c r="T76" s="257">
        <f t="shared" si="17"/>
        <v>0</v>
      </c>
      <c r="U76" s="257">
        <f t="shared" si="18"/>
        <v>0</v>
      </c>
      <c r="V76" s="257">
        <f t="shared" si="19"/>
        <v>0</v>
      </c>
      <c r="W76" s="257">
        <f t="shared" si="21"/>
        <v>0</v>
      </c>
      <c r="X76" s="217"/>
      <c r="Y76" s="609"/>
      <c r="Z76" s="88"/>
      <c r="AA76" s="367"/>
      <c r="AB76" s="620"/>
      <c r="AC76" s="611">
        <f t="shared" si="28"/>
        <v>0</v>
      </c>
      <c r="AD76" s="612">
        <f t="shared" si="29"/>
        <v>0</v>
      </c>
      <c r="AE76" s="88"/>
      <c r="AF76" s="612">
        <f t="shared" si="23"/>
        <v>0</v>
      </c>
      <c r="AG76" s="613">
        <f t="shared" si="24"/>
        <v>0</v>
      </c>
      <c r="AH76" s="611">
        <f t="shared" si="22"/>
        <v>0</v>
      </c>
      <c r="AI76" s="462"/>
      <c r="AJ76" s="609"/>
      <c r="AK76" s="88"/>
      <c r="AL76" s="612">
        <f t="shared" si="30"/>
        <v>0</v>
      </c>
      <c r="AM76" s="88"/>
      <c r="AN76" s="615"/>
      <c r="AO76" s="610"/>
      <c r="AP76" s="616">
        <f t="shared" si="31"/>
        <v>0</v>
      </c>
      <c r="AQ76" s="617">
        <f t="shared" si="32"/>
        <v>0</v>
      </c>
      <c r="AR76" s="617">
        <f t="shared" si="25"/>
        <v>0</v>
      </c>
      <c r="AS76" s="618">
        <f t="shared" si="33"/>
        <v>0</v>
      </c>
      <c r="AT76" s="621">
        <f t="shared" si="26"/>
        <v>0</v>
      </c>
    </row>
    <row r="77" spans="1:46" hidden="1" x14ac:dyDescent="0.2">
      <c r="A77" s="626">
        <v>12</v>
      </c>
      <c r="B77" s="87"/>
      <c r="C77" s="86"/>
      <c r="D77" s="366"/>
      <c r="E77" s="88"/>
      <c r="F77" s="736"/>
      <c r="G77" s="737"/>
      <c r="H77" s="89">
        <v>0</v>
      </c>
      <c r="I77" s="89">
        <v>0</v>
      </c>
      <c r="J77" s="308"/>
      <c r="K77" s="627">
        <f>IF(AND(ISNUMBER($H$77),ISNUMBER($I$77)),($H$77+$I$77)*$AB$77,0)</f>
        <v>0</v>
      </c>
      <c r="L77" s="392"/>
      <c r="M77" s="88"/>
      <c r="N77" s="358"/>
      <c r="O77" s="393">
        <f t="shared" si="20"/>
        <v>0</v>
      </c>
      <c r="P77" s="395">
        <f t="shared" si="27"/>
        <v>0</v>
      </c>
      <c r="R77" s="17"/>
      <c r="S77" s="257">
        <f t="shared" si="16"/>
        <v>0</v>
      </c>
      <c r="T77" s="257">
        <f t="shared" si="17"/>
        <v>0</v>
      </c>
      <c r="U77" s="257">
        <f t="shared" si="18"/>
        <v>0</v>
      </c>
      <c r="V77" s="257">
        <f t="shared" si="19"/>
        <v>0</v>
      </c>
      <c r="W77" s="257">
        <f t="shared" si="21"/>
        <v>0</v>
      </c>
      <c r="X77" s="217"/>
      <c r="Y77" s="609"/>
      <c r="Z77" s="88"/>
      <c r="AA77" s="367"/>
      <c r="AB77" s="620"/>
      <c r="AC77" s="611">
        <f t="shared" si="28"/>
        <v>0</v>
      </c>
      <c r="AD77" s="612">
        <f t="shared" si="29"/>
        <v>0</v>
      </c>
      <c r="AE77" s="88"/>
      <c r="AF77" s="612">
        <f t="shared" si="23"/>
        <v>0</v>
      </c>
      <c r="AG77" s="613">
        <f t="shared" si="24"/>
        <v>0</v>
      </c>
      <c r="AH77" s="611">
        <f t="shared" si="22"/>
        <v>0</v>
      </c>
      <c r="AI77" s="462"/>
      <c r="AJ77" s="609"/>
      <c r="AK77" s="88"/>
      <c r="AL77" s="612">
        <f t="shared" si="30"/>
        <v>0</v>
      </c>
      <c r="AM77" s="88"/>
      <c r="AN77" s="615">
        <f>AL77*AM77</f>
        <v>0</v>
      </c>
      <c r="AO77" s="610"/>
      <c r="AP77" s="616">
        <f t="shared" si="31"/>
        <v>0</v>
      </c>
      <c r="AQ77" s="617">
        <f t="shared" si="32"/>
        <v>0</v>
      </c>
      <c r="AR77" s="617">
        <f t="shared" si="25"/>
        <v>0</v>
      </c>
      <c r="AS77" s="618">
        <f t="shared" si="33"/>
        <v>0</v>
      </c>
      <c r="AT77" s="621">
        <f t="shared" si="26"/>
        <v>0</v>
      </c>
    </row>
    <row r="78" spans="1:46" hidden="1" x14ac:dyDescent="0.2">
      <c r="A78" s="626">
        <v>13</v>
      </c>
      <c r="B78" s="87"/>
      <c r="C78" s="86"/>
      <c r="D78" s="366"/>
      <c r="E78" s="88"/>
      <c r="F78" s="736"/>
      <c r="G78" s="737"/>
      <c r="H78" s="89">
        <v>0</v>
      </c>
      <c r="I78" s="89">
        <v>0</v>
      </c>
      <c r="J78" s="308"/>
      <c r="K78" s="627">
        <f>IF(AND(ISNUMBER($H$78),ISNUMBER($I$78)),($H$78+$I$78)*$AB$78,0)</f>
        <v>0</v>
      </c>
      <c r="L78" s="392"/>
      <c r="M78" s="88"/>
      <c r="N78" s="358"/>
      <c r="O78" s="393">
        <f t="shared" si="20"/>
        <v>0</v>
      </c>
      <c r="P78" s="395">
        <f t="shared" si="27"/>
        <v>0</v>
      </c>
      <c r="R78" s="16"/>
      <c r="S78" s="257">
        <f t="shared" si="16"/>
        <v>0</v>
      </c>
      <c r="T78" s="257">
        <f t="shared" si="17"/>
        <v>0</v>
      </c>
      <c r="U78" s="257">
        <f t="shared" si="18"/>
        <v>0</v>
      </c>
      <c r="V78" s="257">
        <f t="shared" si="19"/>
        <v>0</v>
      </c>
      <c r="W78" s="257">
        <f t="shared" si="21"/>
        <v>0</v>
      </c>
      <c r="X78" s="217"/>
      <c r="Y78" s="609"/>
      <c r="Z78" s="88"/>
      <c r="AA78" s="367"/>
      <c r="AB78" s="620"/>
      <c r="AC78" s="611">
        <f t="shared" si="28"/>
        <v>0</v>
      </c>
      <c r="AD78" s="612">
        <f t="shared" si="29"/>
        <v>0</v>
      </c>
      <c r="AE78" s="88"/>
      <c r="AF78" s="612">
        <f t="shared" si="23"/>
        <v>0</v>
      </c>
      <c r="AG78" s="613">
        <f t="shared" si="24"/>
        <v>0</v>
      </c>
      <c r="AH78" s="611">
        <f t="shared" si="22"/>
        <v>0</v>
      </c>
      <c r="AI78" s="462"/>
      <c r="AJ78" s="609"/>
      <c r="AK78" s="88"/>
      <c r="AL78" s="612">
        <f t="shared" si="30"/>
        <v>0</v>
      </c>
      <c r="AM78" s="88"/>
      <c r="AN78" s="615">
        <f>AL78*AM78</f>
        <v>0</v>
      </c>
      <c r="AO78" s="610"/>
      <c r="AP78" s="616">
        <f t="shared" si="31"/>
        <v>0</v>
      </c>
      <c r="AQ78" s="617">
        <f t="shared" si="32"/>
        <v>0</v>
      </c>
      <c r="AR78" s="617">
        <f t="shared" si="25"/>
        <v>0</v>
      </c>
      <c r="AS78" s="618">
        <f t="shared" si="33"/>
        <v>0</v>
      </c>
      <c r="AT78" s="621">
        <f t="shared" si="26"/>
        <v>0</v>
      </c>
    </row>
    <row r="79" spans="1:46" hidden="1" x14ac:dyDescent="0.2">
      <c r="A79" s="626">
        <v>14</v>
      </c>
      <c r="B79" s="87"/>
      <c r="C79" s="86"/>
      <c r="D79" s="366"/>
      <c r="E79" s="88"/>
      <c r="F79" s="736"/>
      <c r="G79" s="737"/>
      <c r="H79" s="89">
        <v>0</v>
      </c>
      <c r="I79" s="89">
        <v>0</v>
      </c>
      <c r="J79" s="308"/>
      <c r="K79" s="627">
        <f>IF(AND(ISNUMBER($H$79),ISNUMBER($I$79)),($H$79+$I$79)*$AB$79,0)</f>
        <v>0</v>
      </c>
      <c r="L79" s="392"/>
      <c r="M79" s="88"/>
      <c r="N79" s="358"/>
      <c r="O79" s="393">
        <f t="shared" si="20"/>
        <v>0</v>
      </c>
      <c r="P79" s="395">
        <f t="shared" si="27"/>
        <v>0</v>
      </c>
      <c r="R79" s="16"/>
      <c r="S79" s="257">
        <f t="shared" si="16"/>
        <v>0</v>
      </c>
      <c r="T79" s="257">
        <f t="shared" si="17"/>
        <v>0</v>
      </c>
      <c r="U79" s="257">
        <f t="shared" si="18"/>
        <v>0</v>
      </c>
      <c r="V79" s="257">
        <f t="shared" si="19"/>
        <v>0</v>
      </c>
      <c r="W79" s="257">
        <f t="shared" si="21"/>
        <v>0</v>
      </c>
      <c r="X79" s="217"/>
      <c r="Y79" s="609"/>
      <c r="Z79" s="88"/>
      <c r="AA79" s="367"/>
      <c r="AB79" s="620"/>
      <c r="AC79" s="611">
        <f t="shared" si="28"/>
        <v>0</v>
      </c>
      <c r="AD79" s="612">
        <f t="shared" si="29"/>
        <v>0</v>
      </c>
      <c r="AE79" s="88"/>
      <c r="AF79" s="612">
        <f t="shared" si="23"/>
        <v>0</v>
      </c>
      <c r="AG79" s="613">
        <f t="shared" si="24"/>
        <v>0</v>
      </c>
      <c r="AH79" s="611">
        <f t="shared" si="22"/>
        <v>0</v>
      </c>
      <c r="AI79" s="462"/>
      <c r="AJ79" s="609"/>
      <c r="AK79" s="88"/>
      <c r="AL79" s="612">
        <f t="shared" si="30"/>
        <v>0</v>
      </c>
      <c r="AM79" s="88"/>
      <c r="AN79" s="615">
        <f>AL79*AM79</f>
        <v>0</v>
      </c>
      <c r="AO79" s="610"/>
      <c r="AP79" s="616">
        <f t="shared" si="31"/>
        <v>0</v>
      </c>
      <c r="AQ79" s="617">
        <f t="shared" si="32"/>
        <v>0</v>
      </c>
      <c r="AR79" s="617">
        <f t="shared" si="25"/>
        <v>0</v>
      </c>
      <c r="AS79" s="618">
        <f t="shared" si="33"/>
        <v>0</v>
      </c>
      <c r="AT79" s="621">
        <f t="shared" si="26"/>
        <v>0</v>
      </c>
    </row>
    <row r="80" spans="1:46" hidden="1" x14ac:dyDescent="0.2">
      <c r="A80" s="626">
        <v>15</v>
      </c>
      <c r="B80" s="87"/>
      <c r="C80" s="86"/>
      <c r="D80" s="366"/>
      <c r="E80" s="88"/>
      <c r="F80" s="736"/>
      <c r="G80" s="737"/>
      <c r="H80" s="89">
        <v>0</v>
      </c>
      <c r="I80" s="89">
        <v>0</v>
      </c>
      <c r="J80" s="308"/>
      <c r="K80" s="627">
        <f>IF(AND(ISNUMBER($H$80),ISNUMBER($I$80)),($H$80+$I$80)*$AB$80,0)</f>
        <v>0</v>
      </c>
      <c r="L80" s="392"/>
      <c r="M80" s="88"/>
      <c r="N80" s="358"/>
      <c r="O80" s="393">
        <f t="shared" si="20"/>
        <v>0</v>
      </c>
      <c r="P80" s="395">
        <f t="shared" si="27"/>
        <v>0</v>
      </c>
      <c r="R80" s="16"/>
      <c r="S80" s="257">
        <f t="shared" si="16"/>
        <v>0</v>
      </c>
      <c r="T80" s="257">
        <f t="shared" si="17"/>
        <v>0</v>
      </c>
      <c r="U80" s="257">
        <f t="shared" si="18"/>
        <v>0</v>
      </c>
      <c r="V80" s="257">
        <f t="shared" si="19"/>
        <v>0</v>
      </c>
      <c r="W80" s="257">
        <f t="shared" si="21"/>
        <v>0</v>
      </c>
      <c r="X80" s="217"/>
      <c r="Y80" s="609"/>
      <c r="Z80" s="88"/>
      <c r="AA80" s="367"/>
      <c r="AB80" s="620"/>
      <c r="AC80" s="611">
        <f t="shared" si="28"/>
        <v>0</v>
      </c>
      <c r="AD80" s="612">
        <f t="shared" si="29"/>
        <v>0</v>
      </c>
      <c r="AE80" s="88"/>
      <c r="AF80" s="612">
        <f t="shared" si="23"/>
        <v>0</v>
      </c>
      <c r="AG80" s="613">
        <f t="shared" si="24"/>
        <v>0</v>
      </c>
      <c r="AH80" s="611">
        <f t="shared" si="22"/>
        <v>0</v>
      </c>
      <c r="AI80" s="462"/>
      <c r="AJ80" s="609"/>
      <c r="AK80" s="88"/>
      <c r="AL80" s="612">
        <f t="shared" si="30"/>
        <v>0</v>
      </c>
      <c r="AM80" s="88"/>
      <c r="AN80" s="615"/>
      <c r="AO80" s="610"/>
      <c r="AP80" s="616">
        <f t="shared" si="31"/>
        <v>0</v>
      </c>
      <c r="AQ80" s="617">
        <f t="shared" si="32"/>
        <v>0</v>
      </c>
      <c r="AR80" s="617">
        <f t="shared" si="25"/>
        <v>0</v>
      </c>
      <c r="AS80" s="618">
        <f t="shared" si="33"/>
        <v>0</v>
      </c>
      <c r="AT80" s="621">
        <f t="shared" si="26"/>
        <v>0</v>
      </c>
    </row>
    <row r="81" spans="1:46" hidden="1" x14ac:dyDescent="0.2">
      <c r="A81" s="626">
        <v>16</v>
      </c>
      <c r="B81" s="87"/>
      <c r="C81" s="86"/>
      <c r="D81" s="366"/>
      <c r="E81" s="88"/>
      <c r="F81" s="736"/>
      <c r="G81" s="737"/>
      <c r="H81" s="89">
        <v>0</v>
      </c>
      <c r="I81" s="89">
        <v>0</v>
      </c>
      <c r="J81" s="308"/>
      <c r="K81" s="627">
        <f>IF(AND(ISNUMBER($H$81),ISNUMBER($I$81)),($H$81+$I$81)*$AB$81,0)</f>
        <v>0</v>
      </c>
      <c r="L81" s="392"/>
      <c r="M81" s="88"/>
      <c r="N81" s="358"/>
      <c r="O81" s="393">
        <f t="shared" si="20"/>
        <v>0</v>
      </c>
      <c r="P81" s="395">
        <f t="shared" si="27"/>
        <v>0</v>
      </c>
      <c r="R81" s="16"/>
      <c r="S81" s="257">
        <f t="shared" si="16"/>
        <v>0</v>
      </c>
      <c r="T81" s="257">
        <f t="shared" si="17"/>
        <v>0</v>
      </c>
      <c r="U81" s="257">
        <f t="shared" si="18"/>
        <v>0</v>
      </c>
      <c r="V81" s="257">
        <f t="shared" si="19"/>
        <v>0</v>
      </c>
      <c r="W81" s="257">
        <f t="shared" si="21"/>
        <v>0</v>
      </c>
      <c r="X81" s="217"/>
      <c r="Y81" s="609"/>
      <c r="Z81" s="88"/>
      <c r="AA81" s="367"/>
      <c r="AB81" s="620"/>
      <c r="AC81" s="611">
        <f t="shared" si="28"/>
        <v>0</v>
      </c>
      <c r="AD81" s="612">
        <f t="shared" si="29"/>
        <v>0</v>
      </c>
      <c r="AE81" s="88"/>
      <c r="AF81" s="612">
        <f t="shared" si="23"/>
        <v>0</v>
      </c>
      <c r="AG81" s="613">
        <f t="shared" si="24"/>
        <v>0</v>
      </c>
      <c r="AH81" s="611">
        <f t="shared" si="22"/>
        <v>0</v>
      </c>
      <c r="AI81" s="462"/>
      <c r="AJ81" s="609"/>
      <c r="AK81" s="88"/>
      <c r="AL81" s="612">
        <f t="shared" si="30"/>
        <v>0</v>
      </c>
      <c r="AM81" s="88"/>
      <c r="AN81" s="615"/>
      <c r="AO81" s="610"/>
      <c r="AP81" s="616">
        <f t="shared" si="31"/>
        <v>0</v>
      </c>
      <c r="AQ81" s="617">
        <f t="shared" si="32"/>
        <v>0</v>
      </c>
      <c r="AR81" s="617">
        <f t="shared" si="25"/>
        <v>0</v>
      </c>
      <c r="AS81" s="618">
        <f t="shared" si="33"/>
        <v>0</v>
      </c>
      <c r="AT81" s="621">
        <f t="shared" si="26"/>
        <v>0</v>
      </c>
    </row>
    <row r="82" spans="1:46" hidden="1" x14ac:dyDescent="0.2">
      <c r="A82" s="626">
        <v>17</v>
      </c>
      <c r="B82" s="87"/>
      <c r="C82" s="86"/>
      <c r="D82" s="366"/>
      <c r="E82" s="88"/>
      <c r="F82" s="736"/>
      <c r="G82" s="737"/>
      <c r="H82" s="89">
        <v>0</v>
      </c>
      <c r="I82" s="89">
        <v>0</v>
      </c>
      <c r="J82" s="308"/>
      <c r="K82" s="627">
        <f>IF(AND(ISNUMBER($H$82),ISNUMBER($I$82)),($H$82+$I$82)*$AB$82,0)</f>
        <v>0</v>
      </c>
      <c r="L82" s="392"/>
      <c r="M82" s="88"/>
      <c r="N82" s="358"/>
      <c r="O82" s="393">
        <f t="shared" si="20"/>
        <v>0</v>
      </c>
      <c r="P82" s="395">
        <f t="shared" si="27"/>
        <v>0</v>
      </c>
      <c r="R82" s="16"/>
      <c r="S82" s="257">
        <f t="shared" si="16"/>
        <v>0</v>
      </c>
      <c r="T82" s="257">
        <f t="shared" si="17"/>
        <v>0</v>
      </c>
      <c r="U82" s="257">
        <f t="shared" si="18"/>
        <v>0</v>
      </c>
      <c r="V82" s="257">
        <f t="shared" si="19"/>
        <v>0</v>
      </c>
      <c r="W82" s="257">
        <f t="shared" si="21"/>
        <v>0</v>
      </c>
      <c r="X82" s="217"/>
      <c r="Y82" s="609"/>
      <c r="Z82" s="88"/>
      <c r="AA82" s="367"/>
      <c r="AB82" s="620"/>
      <c r="AC82" s="611">
        <f t="shared" si="28"/>
        <v>0</v>
      </c>
      <c r="AD82" s="612">
        <f t="shared" si="29"/>
        <v>0</v>
      </c>
      <c r="AE82" s="88"/>
      <c r="AF82" s="612">
        <f t="shared" si="23"/>
        <v>0</v>
      </c>
      <c r="AG82" s="613">
        <f t="shared" si="24"/>
        <v>0</v>
      </c>
      <c r="AH82" s="611">
        <f t="shared" si="22"/>
        <v>0</v>
      </c>
      <c r="AI82" s="462"/>
      <c r="AJ82" s="609"/>
      <c r="AK82" s="88"/>
      <c r="AL82" s="612">
        <f t="shared" si="30"/>
        <v>0</v>
      </c>
      <c r="AM82" s="88"/>
      <c r="AN82" s="615"/>
      <c r="AO82" s="610"/>
      <c r="AP82" s="616">
        <f t="shared" si="31"/>
        <v>0</v>
      </c>
      <c r="AQ82" s="617">
        <f t="shared" si="32"/>
        <v>0</v>
      </c>
      <c r="AR82" s="617">
        <f t="shared" si="25"/>
        <v>0</v>
      </c>
      <c r="AS82" s="618">
        <f t="shared" si="33"/>
        <v>0</v>
      </c>
      <c r="AT82" s="621">
        <f t="shared" si="26"/>
        <v>0</v>
      </c>
    </row>
    <row r="83" spans="1:46" hidden="1" x14ac:dyDescent="0.2">
      <c r="A83" s="626">
        <v>18</v>
      </c>
      <c r="B83" s="87"/>
      <c r="C83" s="86"/>
      <c r="D83" s="366"/>
      <c r="E83" s="88"/>
      <c r="F83" s="736"/>
      <c r="G83" s="737"/>
      <c r="H83" s="89">
        <v>0</v>
      </c>
      <c r="I83" s="89">
        <v>0</v>
      </c>
      <c r="J83" s="308"/>
      <c r="K83" s="627">
        <f>IF(AND(ISNUMBER($H$83),ISNUMBER($I$83)),($H$83+$I$83)*$AB$83,0)</f>
        <v>0</v>
      </c>
      <c r="L83" s="392"/>
      <c r="M83" s="88"/>
      <c r="N83" s="358"/>
      <c r="O83" s="393">
        <f t="shared" si="20"/>
        <v>0</v>
      </c>
      <c r="P83" s="395">
        <f t="shared" si="27"/>
        <v>0</v>
      </c>
      <c r="R83" s="16"/>
      <c r="S83" s="257">
        <f t="shared" si="16"/>
        <v>0</v>
      </c>
      <c r="T83" s="257">
        <f t="shared" si="17"/>
        <v>0</v>
      </c>
      <c r="U83" s="257">
        <f t="shared" si="18"/>
        <v>0</v>
      </c>
      <c r="V83" s="257">
        <f t="shared" si="19"/>
        <v>0</v>
      </c>
      <c r="W83" s="257">
        <f t="shared" si="21"/>
        <v>0</v>
      </c>
      <c r="X83" s="217"/>
      <c r="Y83" s="609"/>
      <c r="Z83" s="88"/>
      <c r="AA83" s="367"/>
      <c r="AB83" s="620"/>
      <c r="AC83" s="611">
        <f t="shared" si="28"/>
        <v>0</v>
      </c>
      <c r="AD83" s="612">
        <f t="shared" si="29"/>
        <v>0</v>
      </c>
      <c r="AE83" s="88"/>
      <c r="AF83" s="612">
        <f t="shared" si="23"/>
        <v>0</v>
      </c>
      <c r="AG83" s="613">
        <f t="shared" si="24"/>
        <v>0</v>
      </c>
      <c r="AH83" s="611">
        <f t="shared" si="22"/>
        <v>0</v>
      </c>
      <c r="AI83" s="462"/>
      <c r="AJ83" s="609"/>
      <c r="AK83" s="88"/>
      <c r="AL83" s="612">
        <f t="shared" si="30"/>
        <v>0</v>
      </c>
      <c r="AM83" s="88"/>
      <c r="AN83" s="615"/>
      <c r="AO83" s="610"/>
      <c r="AP83" s="616">
        <f t="shared" si="31"/>
        <v>0</v>
      </c>
      <c r="AQ83" s="617">
        <f t="shared" si="32"/>
        <v>0</v>
      </c>
      <c r="AR83" s="617">
        <f t="shared" si="25"/>
        <v>0</v>
      </c>
      <c r="AS83" s="618">
        <f t="shared" si="33"/>
        <v>0</v>
      </c>
      <c r="AT83" s="621">
        <f t="shared" si="26"/>
        <v>0</v>
      </c>
    </row>
    <row r="84" spans="1:46" hidden="1" x14ac:dyDescent="0.2">
      <c r="A84" s="626">
        <v>19</v>
      </c>
      <c r="B84" s="87"/>
      <c r="C84" s="86"/>
      <c r="D84" s="366"/>
      <c r="E84" s="88"/>
      <c r="F84" s="736"/>
      <c r="G84" s="737"/>
      <c r="H84" s="89">
        <v>0</v>
      </c>
      <c r="I84" s="89">
        <v>0</v>
      </c>
      <c r="J84" s="308"/>
      <c r="K84" s="627">
        <f>IF(AND(ISNUMBER($H$84),ISNUMBER($I$84)),($H$84+$I$84)*$AB$84,0)</f>
        <v>0</v>
      </c>
      <c r="L84" s="392"/>
      <c r="M84" s="88"/>
      <c r="N84" s="358"/>
      <c r="O84" s="393">
        <f t="shared" si="20"/>
        <v>0</v>
      </c>
      <c r="P84" s="395">
        <f t="shared" si="27"/>
        <v>0</v>
      </c>
      <c r="R84" s="16"/>
      <c r="S84" s="257">
        <f t="shared" si="16"/>
        <v>0</v>
      </c>
      <c r="T84" s="257">
        <f t="shared" si="17"/>
        <v>0</v>
      </c>
      <c r="U84" s="257">
        <f t="shared" si="18"/>
        <v>0</v>
      </c>
      <c r="V84" s="257">
        <f t="shared" si="19"/>
        <v>0</v>
      </c>
      <c r="W84" s="257">
        <f t="shared" si="21"/>
        <v>0</v>
      </c>
      <c r="X84" s="217"/>
      <c r="Y84" s="609"/>
      <c r="Z84" s="88"/>
      <c r="AA84" s="367"/>
      <c r="AB84" s="620"/>
      <c r="AC84" s="611">
        <f t="shared" si="28"/>
        <v>0</v>
      </c>
      <c r="AD84" s="612">
        <f t="shared" si="29"/>
        <v>0</v>
      </c>
      <c r="AE84" s="88"/>
      <c r="AF84" s="612">
        <f t="shared" si="23"/>
        <v>0</v>
      </c>
      <c r="AG84" s="613">
        <f t="shared" si="24"/>
        <v>0</v>
      </c>
      <c r="AH84" s="611">
        <f t="shared" si="22"/>
        <v>0</v>
      </c>
      <c r="AI84" s="462"/>
      <c r="AJ84" s="609"/>
      <c r="AK84" s="88"/>
      <c r="AL84" s="612">
        <f t="shared" si="30"/>
        <v>0</v>
      </c>
      <c r="AM84" s="88"/>
      <c r="AN84" s="615">
        <f t="shared" ref="AN84:AN89" si="34">AL84*AM84</f>
        <v>0</v>
      </c>
      <c r="AO84" s="610"/>
      <c r="AP84" s="616">
        <f t="shared" si="31"/>
        <v>0</v>
      </c>
      <c r="AQ84" s="617">
        <f t="shared" si="32"/>
        <v>0</v>
      </c>
      <c r="AR84" s="617">
        <f t="shared" si="25"/>
        <v>0</v>
      </c>
      <c r="AS84" s="618">
        <f t="shared" si="33"/>
        <v>0</v>
      </c>
      <c r="AT84" s="621">
        <f t="shared" si="26"/>
        <v>0</v>
      </c>
    </row>
    <row r="85" spans="1:46" hidden="1" x14ac:dyDescent="0.2">
      <c r="A85" s="626">
        <v>20</v>
      </c>
      <c r="B85" s="87"/>
      <c r="C85" s="86"/>
      <c r="D85" s="366"/>
      <c r="E85" s="88"/>
      <c r="F85" s="736"/>
      <c r="G85" s="737"/>
      <c r="H85" s="89">
        <v>0</v>
      </c>
      <c r="I85" s="89">
        <v>0</v>
      </c>
      <c r="J85" s="308"/>
      <c r="K85" s="627">
        <f>IF(AND(ISNUMBER($H$85),ISNUMBER($I$85)),($H$85+$I$85)*$AB$85,0)</f>
        <v>0</v>
      </c>
      <c r="L85" s="392"/>
      <c r="M85" s="88"/>
      <c r="N85" s="358"/>
      <c r="O85" s="393">
        <f t="shared" si="20"/>
        <v>0</v>
      </c>
      <c r="P85" s="395">
        <f t="shared" si="27"/>
        <v>0</v>
      </c>
      <c r="R85" s="16"/>
      <c r="S85" s="257">
        <f t="shared" si="16"/>
        <v>0</v>
      </c>
      <c r="T85" s="257">
        <f t="shared" si="17"/>
        <v>0</v>
      </c>
      <c r="U85" s="257">
        <f t="shared" si="18"/>
        <v>0</v>
      </c>
      <c r="V85" s="257">
        <f t="shared" si="19"/>
        <v>0</v>
      </c>
      <c r="W85" s="257">
        <f t="shared" si="21"/>
        <v>0</v>
      </c>
      <c r="X85" s="217"/>
      <c r="Y85" s="609"/>
      <c r="Z85" s="88"/>
      <c r="AA85" s="367"/>
      <c r="AB85" s="620"/>
      <c r="AC85" s="611">
        <f t="shared" si="28"/>
        <v>0</v>
      </c>
      <c r="AD85" s="612">
        <f t="shared" si="29"/>
        <v>0</v>
      </c>
      <c r="AE85" s="88"/>
      <c r="AF85" s="612">
        <f t="shared" si="23"/>
        <v>0</v>
      </c>
      <c r="AG85" s="613">
        <f t="shared" si="24"/>
        <v>0</v>
      </c>
      <c r="AH85" s="611">
        <f t="shared" si="22"/>
        <v>0</v>
      </c>
      <c r="AI85" s="462"/>
      <c r="AJ85" s="609"/>
      <c r="AK85" s="88"/>
      <c r="AL85" s="612">
        <f t="shared" si="30"/>
        <v>0</v>
      </c>
      <c r="AM85" s="88"/>
      <c r="AN85" s="615">
        <f t="shared" si="34"/>
        <v>0</v>
      </c>
      <c r="AO85" s="610"/>
      <c r="AP85" s="616">
        <f t="shared" si="31"/>
        <v>0</v>
      </c>
      <c r="AQ85" s="617">
        <f t="shared" si="32"/>
        <v>0</v>
      </c>
      <c r="AR85" s="617">
        <f t="shared" si="25"/>
        <v>0</v>
      </c>
      <c r="AS85" s="618">
        <f t="shared" si="33"/>
        <v>0</v>
      </c>
      <c r="AT85" s="621">
        <f t="shared" si="26"/>
        <v>0</v>
      </c>
    </row>
    <row r="86" spans="1:46" hidden="1" x14ac:dyDescent="0.2">
      <c r="A86" s="626">
        <v>21</v>
      </c>
      <c r="B86" s="87"/>
      <c r="C86" s="86"/>
      <c r="D86" s="366"/>
      <c r="E86" s="88"/>
      <c r="F86" s="736"/>
      <c r="G86" s="737"/>
      <c r="H86" s="89">
        <v>0</v>
      </c>
      <c r="I86" s="89">
        <v>0</v>
      </c>
      <c r="J86" s="308"/>
      <c r="K86" s="627">
        <f>IF(AND(ISNUMBER($H$86),ISNUMBER($I$86)),($H$86+$I$86)*$AB$86,0)</f>
        <v>0</v>
      </c>
      <c r="L86" s="392"/>
      <c r="M86" s="88"/>
      <c r="N86" s="358"/>
      <c r="O86" s="393">
        <f t="shared" si="20"/>
        <v>0</v>
      </c>
      <c r="P86" s="395">
        <f t="shared" si="27"/>
        <v>0</v>
      </c>
      <c r="R86" s="16"/>
      <c r="S86" s="257">
        <f t="shared" si="16"/>
        <v>0</v>
      </c>
      <c r="T86" s="257">
        <f t="shared" si="17"/>
        <v>0</v>
      </c>
      <c r="U86" s="257">
        <f t="shared" si="18"/>
        <v>0</v>
      </c>
      <c r="V86" s="257">
        <f t="shared" si="19"/>
        <v>0</v>
      </c>
      <c r="W86" s="257">
        <f t="shared" si="21"/>
        <v>0</v>
      </c>
      <c r="X86" s="217"/>
      <c r="Y86" s="609"/>
      <c r="Z86" s="88"/>
      <c r="AA86" s="367"/>
      <c r="AB86" s="620"/>
      <c r="AC86" s="611">
        <f t="shared" si="28"/>
        <v>0</v>
      </c>
      <c r="AD86" s="612">
        <f t="shared" si="29"/>
        <v>0</v>
      </c>
      <c r="AE86" s="88"/>
      <c r="AF86" s="612">
        <f t="shared" si="23"/>
        <v>0</v>
      </c>
      <c r="AG86" s="613">
        <f t="shared" si="24"/>
        <v>0</v>
      </c>
      <c r="AH86" s="611">
        <f t="shared" si="22"/>
        <v>0</v>
      </c>
      <c r="AI86" s="462"/>
      <c r="AJ86" s="609"/>
      <c r="AK86" s="88"/>
      <c r="AL86" s="612">
        <f t="shared" si="30"/>
        <v>0</v>
      </c>
      <c r="AM86" s="88"/>
      <c r="AN86" s="615">
        <f t="shared" si="34"/>
        <v>0</v>
      </c>
      <c r="AO86" s="610"/>
      <c r="AP86" s="616">
        <f t="shared" si="31"/>
        <v>0</v>
      </c>
      <c r="AQ86" s="617">
        <f t="shared" si="32"/>
        <v>0</v>
      </c>
      <c r="AR86" s="617">
        <f t="shared" si="25"/>
        <v>0</v>
      </c>
      <c r="AS86" s="618">
        <f t="shared" si="33"/>
        <v>0</v>
      </c>
      <c r="AT86" s="621">
        <f t="shared" si="26"/>
        <v>0</v>
      </c>
    </row>
    <row r="87" spans="1:46" hidden="1" x14ac:dyDescent="0.2">
      <c r="A87" s="626">
        <v>22</v>
      </c>
      <c r="B87" s="87"/>
      <c r="C87" s="86"/>
      <c r="D87" s="366"/>
      <c r="E87" s="88"/>
      <c r="F87" s="736"/>
      <c r="G87" s="737"/>
      <c r="H87" s="89">
        <v>0</v>
      </c>
      <c r="I87" s="89">
        <v>0</v>
      </c>
      <c r="J87" s="308"/>
      <c r="K87" s="627">
        <f>IF(AND(ISNUMBER($H$87),ISNUMBER($I$87)),($H$87+$I$87)*$AB$87,0)</f>
        <v>0</v>
      </c>
      <c r="L87" s="392"/>
      <c r="M87" s="88"/>
      <c r="N87" s="358"/>
      <c r="O87" s="393">
        <f t="shared" si="20"/>
        <v>0</v>
      </c>
      <c r="P87" s="395">
        <f t="shared" si="27"/>
        <v>0</v>
      </c>
      <c r="R87" s="16"/>
      <c r="S87" s="257">
        <f t="shared" si="16"/>
        <v>0</v>
      </c>
      <c r="T87" s="257">
        <f t="shared" si="17"/>
        <v>0</v>
      </c>
      <c r="U87" s="257">
        <f t="shared" si="18"/>
        <v>0</v>
      </c>
      <c r="V87" s="257">
        <f t="shared" si="19"/>
        <v>0</v>
      </c>
      <c r="W87" s="257">
        <f t="shared" si="21"/>
        <v>0</v>
      </c>
      <c r="X87" s="217"/>
      <c r="Y87" s="609"/>
      <c r="Z87" s="88"/>
      <c r="AA87" s="367"/>
      <c r="AB87" s="620"/>
      <c r="AC87" s="611">
        <f t="shared" si="28"/>
        <v>0</v>
      </c>
      <c r="AD87" s="612">
        <f t="shared" si="29"/>
        <v>0</v>
      </c>
      <c r="AE87" s="88"/>
      <c r="AF87" s="612">
        <f t="shared" si="23"/>
        <v>0</v>
      </c>
      <c r="AG87" s="613">
        <f t="shared" si="24"/>
        <v>0</v>
      </c>
      <c r="AH87" s="611">
        <f t="shared" si="22"/>
        <v>0</v>
      </c>
      <c r="AI87" s="462"/>
      <c r="AJ87" s="609"/>
      <c r="AK87" s="88"/>
      <c r="AL87" s="612">
        <f t="shared" si="30"/>
        <v>0</v>
      </c>
      <c r="AM87" s="88"/>
      <c r="AN87" s="615">
        <f t="shared" si="34"/>
        <v>0</v>
      </c>
      <c r="AO87" s="610"/>
      <c r="AP87" s="616">
        <f t="shared" si="31"/>
        <v>0</v>
      </c>
      <c r="AQ87" s="617">
        <f t="shared" si="32"/>
        <v>0</v>
      </c>
      <c r="AR87" s="617">
        <f t="shared" si="25"/>
        <v>0</v>
      </c>
      <c r="AS87" s="618">
        <f t="shared" si="33"/>
        <v>0</v>
      </c>
      <c r="AT87" s="621">
        <f t="shared" si="26"/>
        <v>0</v>
      </c>
    </row>
    <row r="88" spans="1:46" hidden="1" x14ac:dyDescent="0.2">
      <c r="A88" s="626">
        <v>23</v>
      </c>
      <c r="B88" s="87"/>
      <c r="C88" s="86"/>
      <c r="D88" s="366"/>
      <c r="E88" s="88"/>
      <c r="F88" s="736"/>
      <c r="G88" s="737"/>
      <c r="H88" s="89">
        <v>0</v>
      </c>
      <c r="I88" s="89">
        <v>0</v>
      </c>
      <c r="J88" s="308"/>
      <c r="K88" s="627">
        <f>IF(AND(ISNUMBER($H$88),ISNUMBER($I$88)),($H$88+$I$88)*$AB$88,0)</f>
        <v>0</v>
      </c>
      <c r="L88" s="392"/>
      <c r="M88" s="88"/>
      <c r="N88" s="358"/>
      <c r="O88" s="393">
        <f t="shared" si="20"/>
        <v>0</v>
      </c>
      <c r="P88" s="395">
        <f t="shared" si="27"/>
        <v>0</v>
      </c>
      <c r="R88" s="16"/>
      <c r="S88" s="257">
        <f t="shared" si="16"/>
        <v>0</v>
      </c>
      <c r="T88" s="257">
        <f t="shared" si="17"/>
        <v>0</v>
      </c>
      <c r="U88" s="257">
        <f t="shared" si="18"/>
        <v>0</v>
      </c>
      <c r="V88" s="257">
        <f t="shared" si="19"/>
        <v>0</v>
      </c>
      <c r="W88" s="257">
        <f t="shared" si="21"/>
        <v>0</v>
      </c>
      <c r="X88" s="217"/>
      <c r="Y88" s="609"/>
      <c r="Z88" s="88"/>
      <c r="AA88" s="367"/>
      <c r="AB88" s="620"/>
      <c r="AC88" s="611">
        <f t="shared" si="28"/>
        <v>0</v>
      </c>
      <c r="AD88" s="612">
        <f t="shared" si="29"/>
        <v>0</v>
      </c>
      <c r="AE88" s="88"/>
      <c r="AF88" s="612">
        <f t="shared" si="23"/>
        <v>0</v>
      </c>
      <c r="AG88" s="613">
        <f t="shared" si="24"/>
        <v>0</v>
      </c>
      <c r="AH88" s="611">
        <f t="shared" si="22"/>
        <v>0</v>
      </c>
      <c r="AI88" s="462"/>
      <c r="AJ88" s="609"/>
      <c r="AK88" s="88"/>
      <c r="AL88" s="612">
        <f t="shared" si="30"/>
        <v>0</v>
      </c>
      <c r="AM88" s="88"/>
      <c r="AN88" s="615">
        <f t="shared" si="34"/>
        <v>0</v>
      </c>
      <c r="AO88" s="610"/>
      <c r="AP88" s="616">
        <f t="shared" si="31"/>
        <v>0</v>
      </c>
      <c r="AQ88" s="617">
        <f t="shared" si="32"/>
        <v>0</v>
      </c>
      <c r="AR88" s="617">
        <f t="shared" si="25"/>
        <v>0</v>
      </c>
      <c r="AS88" s="618">
        <f t="shared" si="33"/>
        <v>0</v>
      </c>
      <c r="AT88" s="621">
        <f t="shared" si="26"/>
        <v>0</v>
      </c>
    </row>
    <row r="89" spans="1:46" hidden="1" x14ac:dyDescent="0.2">
      <c r="A89" s="626">
        <v>24</v>
      </c>
      <c r="B89" s="87"/>
      <c r="C89" s="86"/>
      <c r="D89" s="366"/>
      <c r="E89" s="88"/>
      <c r="F89" s="736"/>
      <c r="G89" s="737"/>
      <c r="H89" s="89">
        <v>0</v>
      </c>
      <c r="I89" s="89">
        <v>0</v>
      </c>
      <c r="J89" s="308"/>
      <c r="K89" s="627">
        <f>IF(AND(ISNUMBER($H$89),ISNUMBER($I$89)),($H$89+$I$89)*$AB$89,0)</f>
        <v>0</v>
      </c>
      <c r="L89" s="392"/>
      <c r="M89" s="88"/>
      <c r="N89" s="358"/>
      <c r="O89" s="393">
        <f t="shared" si="20"/>
        <v>0</v>
      </c>
      <c r="P89" s="395">
        <f t="shared" si="27"/>
        <v>0</v>
      </c>
      <c r="R89" s="16"/>
      <c r="S89" s="257">
        <f t="shared" si="16"/>
        <v>0</v>
      </c>
      <c r="T89" s="257">
        <f t="shared" si="17"/>
        <v>0</v>
      </c>
      <c r="U89" s="257">
        <f t="shared" si="18"/>
        <v>0</v>
      </c>
      <c r="V89" s="257">
        <f t="shared" si="19"/>
        <v>0</v>
      </c>
      <c r="W89" s="257">
        <f t="shared" si="21"/>
        <v>0</v>
      </c>
      <c r="X89" s="217"/>
      <c r="Y89" s="609"/>
      <c r="Z89" s="88"/>
      <c r="AA89" s="367"/>
      <c r="AB89" s="620"/>
      <c r="AC89" s="611">
        <f t="shared" si="28"/>
        <v>0</v>
      </c>
      <c r="AD89" s="612">
        <f t="shared" si="29"/>
        <v>0</v>
      </c>
      <c r="AE89" s="88"/>
      <c r="AF89" s="612">
        <f t="shared" si="23"/>
        <v>0</v>
      </c>
      <c r="AG89" s="613">
        <f t="shared" si="24"/>
        <v>0</v>
      </c>
      <c r="AH89" s="611">
        <f t="shared" si="22"/>
        <v>0</v>
      </c>
      <c r="AI89" s="462"/>
      <c r="AJ89" s="609"/>
      <c r="AK89" s="88"/>
      <c r="AL89" s="612">
        <f t="shared" si="30"/>
        <v>0</v>
      </c>
      <c r="AM89" s="88"/>
      <c r="AN89" s="615">
        <f t="shared" si="34"/>
        <v>0</v>
      </c>
      <c r="AO89" s="610"/>
      <c r="AP89" s="616">
        <f t="shared" si="31"/>
        <v>0</v>
      </c>
      <c r="AQ89" s="617">
        <f t="shared" si="32"/>
        <v>0</v>
      </c>
      <c r="AR89" s="617">
        <f t="shared" si="25"/>
        <v>0</v>
      </c>
      <c r="AS89" s="618">
        <f t="shared" si="33"/>
        <v>0</v>
      </c>
      <c r="AT89" s="621">
        <f t="shared" si="26"/>
        <v>0</v>
      </c>
    </row>
    <row r="90" spans="1:46" ht="4.5999999999999996" customHeight="1" x14ac:dyDescent="0.2">
      <c r="A90" s="10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49"/>
      <c r="P90" s="12"/>
      <c r="S90" s="237"/>
      <c r="T90" s="237"/>
      <c r="U90" s="237"/>
      <c r="V90" s="237"/>
      <c r="W90" s="237"/>
      <c r="X90" s="217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J90" s="18"/>
      <c r="AK90" s="18"/>
      <c r="AL90" s="18"/>
      <c r="AM90" s="18"/>
      <c r="AN90" s="18"/>
      <c r="AP90" s="18"/>
      <c r="AQ90" s="18"/>
      <c r="AR90" s="18"/>
      <c r="AS90" s="18"/>
      <c r="AT90" s="18"/>
    </row>
    <row r="91" spans="1:46" ht="13.6" x14ac:dyDescent="0.25">
      <c r="A91" s="397"/>
      <c r="B91" s="398" t="str">
        <f>VLOOKUP("sec2.5",translation,VLOOKUP(J2,languages,2,FALSE),FALSE)</f>
        <v>Section 2.5</v>
      </c>
      <c r="C91" s="399"/>
      <c r="D91" s="372" t="str">
        <f>VLOOKUP("poh",translation,VLOOKUP(J2,languages,2,FALSE),FALSE)</f>
        <v>Production Overhead</v>
      </c>
      <c r="E91" s="400"/>
      <c r="F91" s="400"/>
      <c r="G91" s="400"/>
      <c r="H91" s="400"/>
      <c r="I91" s="401" t="s">
        <v>105</v>
      </c>
      <c r="J91" s="749" t="s">
        <v>28</v>
      </c>
      <c r="K91" s="750"/>
      <c r="L91" s="402" t="s">
        <v>220</v>
      </c>
      <c r="M91" s="403">
        <v>20.53</v>
      </c>
      <c r="N91" s="303" t="s">
        <v>820</v>
      </c>
      <c r="O91" s="631">
        <f>$M$91/100*DL</f>
        <v>8.3468820999999999E-2</v>
      </c>
      <c r="P91" s="388">
        <f>IF($O$104=0,0,O91/$O$104)</f>
        <v>1.1098304909763133E-2</v>
      </c>
      <c r="S91" s="261"/>
      <c r="T91" s="751"/>
      <c r="U91" s="752"/>
      <c r="V91" s="262"/>
      <c r="W91" s="751"/>
      <c r="X91" s="753"/>
      <c r="Y91" s="51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</row>
    <row r="92" spans="1:46" ht="13.6" x14ac:dyDescent="0.25">
      <c r="A92" s="404"/>
      <c r="B92" s="405" t="str">
        <f>VLOOKUP("sec2.6",translation,VLOOKUP(J2,languages,2,FALSE),FALSE)</f>
        <v>Section 2.6</v>
      </c>
      <c r="C92" s="406"/>
      <c r="D92" s="407" t="str">
        <f>VLOOKUP("scrap2",translation,VLOOKUP(J2,languages,2,FALSE),FALSE)</f>
        <v>Scrap (Material &amp; Production)</v>
      </c>
      <c r="E92" s="408"/>
      <c r="F92" s="408"/>
      <c r="G92" s="408"/>
      <c r="H92" s="408"/>
      <c r="I92" s="409"/>
      <c r="J92" s="409" t="str">
        <f>VLOOKUP("info2",translation,VLOOKUP(J2,languages,2,FALSE),FALSE)</f>
        <v>Info only: already included in Material &amp; Production Totals</v>
      </c>
      <c r="K92" s="401"/>
      <c r="L92" s="401"/>
      <c r="M92" s="401"/>
      <c r="N92" s="410"/>
      <c r="O92" s="633">
        <f>T12+T35+W64</f>
        <v>9.8941000000000001E-2</v>
      </c>
      <c r="P92" s="375">
        <f>IF($O$104=0,0,O92/$O$104)</f>
        <v>1.3155539672434982E-2</v>
      </c>
      <c r="Y92" s="51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</row>
    <row r="93" spans="1:46" ht="4.5999999999999996" customHeight="1" x14ac:dyDescent="0.2">
      <c r="A93" s="411"/>
      <c r="B93" s="412"/>
      <c r="C93" s="412"/>
      <c r="D93" s="412"/>
      <c r="E93" s="412"/>
      <c r="F93" s="412"/>
      <c r="G93" s="412"/>
      <c r="H93" s="412"/>
      <c r="I93" s="412"/>
      <c r="J93" s="412"/>
      <c r="K93" s="412"/>
      <c r="L93" s="412"/>
      <c r="M93" s="412"/>
      <c r="N93" s="412"/>
      <c r="O93" s="634"/>
      <c r="P93" s="413"/>
      <c r="R93" s="1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/>
      <c r="AK93" s="35"/>
      <c r="AL93" s="35"/>
      <c r="AM93" s="35"/>
      <c r="AN93" s="35"/>
      <c r="AO93" s="35"/>
      <c r="AP93" s="35"/>
      <c r="AQ93" s="35"/>
      <c r="AR93" s="35"/>
      <c r="AS93" s="35"/>
      <c r="AT93" s="35"/>
    </row>
    <row r="94" spans="1:46" ht="14.3" thickBot="1" x14ac:dyDescent="0.3">
      <c r="A94" s="414"/>
      <c r="B94" s="415" t="str">
        <f>VLOOKUP("total_mc",translation,VLOOKUP(J2,languages,2,FALSE),FALSE)</f>
        <v>Total Manufactured Cost (Sections 2.1 - 2.6)</v>
      </c>
      <c r="C94" s="415"/>
      <c r="D94" s="415"/>
      <c r="E94" s="416"/>
      <c r="F94" s="416"/>
      <c r="G94" s="416"/>
      <c r="H94" s="416"/>
      <c r="I94" s="417"/>
      <c r="J94" s="418"/>
      <c r="K94" s="418"/>
      <c r="L94" s="418"/>
      <c r="M94" s="419"/>
      <c r="N94" s="419"/>
      <c r="O94" s="635">
        <f>O12+O35+O62+O64+O91</f>
        <v>6.8867972848461552</v>
      </c>
      <c r="P94" s="420">
        <f>IF($O$104=0,0,O94/$O$104)</f>
        <v>0.91569253289143138</v>
      </c>
      <c r="X94" s="19"/>
      <c r="Y94" s="35"/>
      <c r="Z94" s="35"/>
      <c r="AA94" s="35"/>
      <c r="AB94" s="43"/>
      <c r="AC94" s="43"/>
      <c r="AD94" s="44"/>
      <c r="AE94" s="45"/>
      <c r="AF94" s="35"/>
      <c r="AG94" s="35"/>
      <c r="AH94" s="35"/>
      <c r="AI94" s="35"/>
      <c r="AJ94"/>
      <c r="AK94" s="35"/>
      <c r="AL94" s="35"/>
      <c r="AM94" s="35"/>
      <c r="AN94" s="35"/>
      <c r="AO94" s="35"/>
      <c r="AP94" s="35"/>
      <c r="AQ94" s="35"/>
      <c r="AR94" s="35"/>
      <c r="AS94" s="35"/>
      <c r="AT94" s="35"/>
    </row>
    <row r="95" spans="1:46" s="17" customFormat="1" ht="4.5999999999999996" customHeight="1" thickBot="1" x14ac:dyDescent="0.25">
      <c r="A95" s="376"/>
      <c r="B95" s="378"/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636"/>
      <c r="P95" s="421"/>
      <c r="R95" s="15"/>
      <c r="S95" s="20"/>
      <c r="T95" s="20"/>
      <c r="U95" s="20"/>
      <c r="V95" s="20"/>
      <c r="W95" s="20"/>
      <c r="X95" s="19"/>
      <c r="Y95" s="35"/>
      <c r="Z95" s="36"/>
      <c r="AA95" s="36"/>
      <c r="AB95" s="36"/>
      <c r="AC95" s="36"/>
      <c r="AD95" s="36"/>
      <c r="AE95" s="46"/>
      <c r="AF95" s="36"/>
      <c r="AG95" s="36"/>
      <c r="AH95" s="35"/>
      <c r="AI95" s="35"/>
      <c r="AJ95"/>
      <c r="AK95" s="35"/>
      <c r="AL95" s="36"/>
      <c r="AM95" s="36"/>
      <c r="AN95" s="36"/>
      <c r="AO95" s="36"/>
      <c r="AP95" s="36"/>
      <c r="AQ95" s="36"/>
      <c r="AR95" s="36"/>
      <c r="AS95" s="36"/>
      <c r="AT95" s="36"/>
    </row>
    <row r="96" spans="1:46" ht="13.6" x14ac:dyDescent="0.25">
      <c r="A96" s="339"/>
      <c r="B96" s="341" t="str">
        <f>VLOOKUP("sec2.7",translation,VLOOKUP(J2,languages,2,FALSE),FALSE)</f>
        <v>Section 2.7</v>
      </c>
      <c r="C96" s="341"/>
      <c r="D96" s="342" t="str">
        <f>VLOOKUP("cost_other",translation,VLOOKUP(J2,languages,2,FALSE),FALSE)</f>
        <v>Other Costs / Overheads &amp; Profits</v>
      </c>
      <c r="E96" s="342"/>
      <c r="F96" s="343"/>
      <c r="G96" s="343"/>
      <c r="H96" s="343"/>
      <c r="I96" s="343"/>
      <c r="J96" s="343"/>
      <c r="K96" s="343"/>
      <c r="L96" s="343"/>
      <c r="M96" s="754"/>
      <c r="N96" s="755"/>
      <c r="O96" s="629">
        <f>SUM(O97:O103)</f>
        <v>0.63406483587039009</v>
      </c>
      <c r="P96" s="422">
        <f t="shared" ref="P96:P103" si="35">IF($O$104=0,0,O96/$O$104)</f>
        <v>8.4307467108568665E-2</v>
      </c>
      <c r="R96" s="21"/>
      <c r="X96" s="19"/>
      <c r="Y96" s="35"/>
      <c r="Z96" s="35"/>
      <c r="AA96" s="35"/>
      <c r="AB96" s="43"/>
      <c r="AC96" s="43"/>
      <c r="AD96" s="44"/>
      <c r="AE96" s="45"/>
      <c r="AF96" s="35"/>
      <c r="AG96" s="35"/>
      <c r="AH96" s="35"/>
      <c r="AI96" s="35"/>
      <c r="AJ96"/>
      <c r="AK96" s="35"/>
      <c r="AL96" s="35"/>
      <c r="AM96" s="35"/>
      <c r="AN96" s="35"/>
      <c r="AO96" s="35"/>
      <c r="AP96" s="35"/>
      <c r="AQ96" s="35"/>
      <c r="AR96" s="35"/>
      <c r="AS96" s="35"/>
      <c r="AT96" s="35"/>
    </row>
    <row r="97" spans="1:46" x14ac:dyDescent="0.2">
      <c r="A97" s="423" t="str">
        <f>VLOOKUP("goh",translation,VLOOKUP(J2,languages,2,FALSE),FALSE)</f>
        <v>General Overhead / SG&amp;A</v>
      </c>
      <c r="B97" s="424"/>
      <c r="C97" s="424"/>
      <c r="D97" s="424"/>
      <c r="E97" s="424"/>
      <c r="F97" s="425"/>
      <c r="G97" s="425"/>
      <c r="H97" s="426"/>
      <c r="I97" s="424"/>
      <c r="J97" s="427" t="s">
        <v>105</v>
      </c>
      <c r="K97" s="767" t="s">
        <v>274</v>
      </c>
      <c r="L97" s="769"/>
      <c r="M97" s="622">
        <v>1.54</v>
      </c>
      <c r="N97" s="624">
        <v>7.06</v>
      </c>
      <c r="O97" s="428">
        <f>($M$97+$N$97)/100*(MC+DL+Setup+POH)</f>
        <v>0.18108373460599997</v>
      </c>
      <c r="P97" s="395">
        <f t="shared" si="35"/>
        <v>2.4077523520501309E-2</v>
      </c>
      <c r="R97" s="21"/>
      <c r="S97"/>
      <c r="T97"/>
      <c r="U97"/>
      <c r="V97"/>
      <c r="W97"/>
      <c r="X97" s="19"/>
      <c r="Y97" s="51"/>
      <c r="Z97" s="35"/>
      <c r="AA97" s="35"/>
      <c r="AB97" s="35"/>
      <c r="AC97" s="43"/>
      <c r="AD97" s="35"/>
      <c r="AE97" s="35"/>
      <c r="AF97" s="35"/>
      <c r="AG97" s="35"/>
      <c r="AH97" s="35"/>
      <c r="AI97" s="35"/>
      <c r="AJ97"/>
      <c r="AK97" s="35"/>
      <c r="AL97" s="35"/>
      <c r="AM97" s="35"/>
      <c r="AN97" s="35"/>
      <c r="AO97" s="35"/>
      <c r="AP97" s="35"/>
      <c r="AQ97" s="35"/>
      <c r="AR97" s="35"/>
      <c r="AS97" s="35"/>
      <c r="AT97" s="35"/>
    </row>
    <row r="98" spans="1:46" x14ac:dyDescent="0.2">
      <c r="A98" s="423" t="str">
        <f>VLOOKUP("d&amp;d",translation,VLOOKUP(J2,languages,2,FALSE),FALSE)</f>
        <v>Engineering / Design &amp; Developement</v>
      </c>
      <c r="B98" s="424"/>
      <c r="C98" s="424"/>
      <c r="D98" s="424"/>
      <c r="E98" s="424"/>
      <c r="F98" s="424"/>
      <c r="G98" s="424"/>
      <c r="H98" s="424"/>
      <c r="I98" s="424"/>
      <c r="J98" s="429" t="s">
        <v>105</v>
      </c>
      <c r="K98" s="738" t="s">
        <v>274</v>
      </c>
      <c r="L98" s="770"/>
      <c r="M98" s="623">
        <v>0</v>
      </c>
      <c r="N98" s="304" t="s">
        <v>820</v>
      </c>
      <c r="O98" s="430">
        <f>($M$98)/100*(MC+DL+Setup+POH)</f>
        <v>0</v>
      </c>
      <c r="P98" s="395">
        <f t="shared" si="35"/>
        <v>0</v>
      </c>
      <c r="R98" s="21"/>
      <c r="S98"/>
      <c r="T98"/>
      <c r="U98"/>
      <c r="V98"/>
      <c r="W98"/>
      <c r="X98" s="19"/>
      <c r="Y98" s="51"/>
      <c r="Z98" s="35"/>
      <c r="AA98" s="35"/>
      <c r="AB98" s="35"/>
      <c r="AC98" s="43"/>
      <c r="AD98" s="44"/>
      <c r="AE98" s="35"/>
      <c r="AF98" s="35"/>
      <c r="AG98" s="35"/>
      <c r="AH98" s="35"/>
      <c r="AI98" s="35"/>
      <c r="AJ98" s="217"/>
      <c r="AK98" s="35"/>
      <c r="AL98" s="35"/>
      <c r="AM98" s="35"/>
      <c r="AN98" s="35"/>
      <c r="AO98" s="35"/>
      <c r="AP98" s="35"/>
      <c r="AQ98" s="35"/>
      <c r="AR98" s="35"/>
      <c r="AS98" s="35"/>
      <c r="AT98" s="35"/>
    </row>
    <row r="99" spans="1:46" x14ac:dyDescent="0.2">
      <c r="A99" s="423"/>
      <c r="B99" s="424"/>
      <c r="C99" s="424"/>
      <c r="D99" s="424"/>
      <c r="E99" s="771"/>
      <c r="F99" s="772"/>
      <c r="G99" s="772"/>
      <c r="H99" s="773"/>
      <c r="I99" s="424"/>
      <c r="J99" s="431" t="str">
        <f>VLOOKUP("amount",translation,VLOOKUP(J2,languages,2,FALSE),FALSE)&amp;" ["&amp;LEFT($D$7,3)&amp;"]"</f>
        <v>Amount [EUR]</v>
      </c>
      <c r="K99" s="432"/>
      <c r="L99" s="433" t="str">
        <f>VLOOKUP("qty3",translation,VLOOKUP(J2,languages,2,FALSE),FALSE)</f>
        <v>Quantity</v>
      </c>
      <c r="M99" s="774"/>
      <c r="N99" s="775"/>
      <c r="O99" s="434">
        <f>IF(M99=0,0,K99/M99)*PUC</f>
        <v>0</v>
      </c>
      <c r="P99" s="435">
        <f t="shared" si="35"/>
        <v>0</v>
      </c>
      <c r="R99" s="21"/>
      <c r="X99" s="19"/>
      <c r="Y99" s="35"/>
      <c r="Z99" s="35"/>
      <c r="AA99" s="35"/>
      <c r="AB99" s="35"/>
      <c r="AC99" s="43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</row>
    <row r="100" spans="1:46" ht="16.5" customHeight="1" x14ac:dyDescent="0.2">
      <c r="A100" s="423"/>
      <c r="B100" s="424"/>
      <c r="C100" s="424"/>
      <c r="D100" s="424"/>
      <c r="E100" s="771"/>
      <c r="F100" s="772"/>
      <c r="G100" s="772"/>
      <c r="H100" s="773"/>
      <c r="I100" s="424"/>
      <c r="J100" s="431" t="str">
        <f>VLOOKUP("amount",translation,VLOOKUP(J2,languages,2,FALSE),FALSE)&amp;" ["&amp;LEFT($D$7,3)&amp;"]"</f>
        <v>Amount [EUR]</v>
      </c>
      <c r="K100" s="432"/>
      <c r="L100" s="433" t="str">
        <f>VLOOKUP("qty3",translation,VLOOKUP(J2,languages,2,FALSE),FALSE)</f>
        <v>Quantity</v>
      </c>
      <c r="M100" s="774"/>
      <c r="N100" s="775"/>
      <c r="O100" s="434">
        <f>IF(M100=0,0,K100/M100)*PUC</f>
        <v>0</v>
      </c>
      <c r="P100" s="435">
        <f t="shared" si="35"/>
        <v>0</v>
      </c>
      <c r="R100" s="21"/>
      <c r="X100" s="19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</row>
    <row r="101" spans="1:46" ht="16.5" customHeight="1" x14ac:dyDescent="0.2">
      <c r="A101" s="436" t="str">
        <f>VLOOKUP("profit",translation,VLOOKUP(J2,languages,2,FALSE),FALSE)</f>
        <v>Profit (on Material &amp; Components)</v>
      </c>
      <c r="B101" s="424"/>
      <c r="C101" s="424"/>
      <c r="D101" s="424"/>
      <c r="E101" s="424"/>
      <c r="F101" s="424"/>
      <c r="G101" s="424"/>
      <c r="H101" s="424"/>
      <c r="I101" s="424"/>
      <c r="J101" s="429"/>
      <c r="K101" s="429"/>
      <c r="L101" s="437" t="str">
        <f>VLOOKUP("material_%",translation,VLOOKUP(J2,languages,2,FALSE),FALSE)</f>
        <v>% of Material &amp; Purchased Components</v>
      </c>
      <c r="M101" s="756"/>
      <c r="N101" s="757"/>
      <c r="O101" s="434">
        <f>M101*(O12+O35-T12-T35)</f>
        <v>0</v>
      </c>
      <c r="P101" s="435">
        <f t="shared" si="35"/>
        <v>0</v>
      </c>
      <c r="R101" s="21"/>
      <c r="X101" s="19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</row>
    <row r="102" spans="1:46" ht="16.5" customHeight="1" x14ac:dyDescent="0.2">
      <c r="A102" s="436" t="str">
        <f>VLOOKUP("profit2",translation,VLOOKUP(J2,languages,2,FALSE),FALSE)</f>
        <v>Profit (on Manufacturing)</v>
      </c>
      <c r="B102" s="424"/>
      <c r="C102" s="424"/>
      <c r="D102" s="424"/>
      <c r="E102" s="424"/>
      <c r="F102" s="424"/>
      <c r="G102" s="424"/>
      <c r="H102" s="424"/>
      <c r="I102" s="424"/>
      <c r="J102" s="429"/>
      <c r="K102" s="429"/>
      <c r="L102" s="438" t="str">
        <f>VLOOKUP("va_%",translation,VLOOKUP(J2,languages,2,FALSE),FALSE)</f>
        <v>% of Value Added + Overheads</v>
      </c>
      <c r="M102" s="756"/>
      <c r="N102" s="757"/>
      <c r="O102" s="434">
        <f>M102*(O64+POH+O97+O98)</f>
        <v>0</v>
      </c>
      <c r="P102" s="435">
        <f t="shared" si="35"/>
        <v>0</v>
      </c>
      <c r="R102" s="21"/>
      <c r="X102" s="19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</row>
    <row r="103" spans="1:46" ht="16.5" customHeight="1" thickBot="1" x14ac:dyDescent="0.25">
      <c r="A103" s="439"/>
      <c r="B103" s="424"/>
      <c r="C103" s="424"/>
      <c r="D103" s="424"/>
      <c r="E103" s="424"/>
      <c r="F103" s="424"/>
      <c r="G103" s="424"/>
      <c r="H103" s="440"/>
      <c r="I103" s="441"/>
      <c r="J103" s="441"/>
      <c r="K103" s="441"/>
      <c r="L103" s="441" t="str">
        <f>VLOOKUP("mc_%",translation,VLOOKUP(J2,languages,2,FALSE),FALSE)</f>
        <v>% of Manufacturing Cost + Overheads</v>
      </c>
      <c r="M103" s="305">
        <v>6.5</v>
      </c>
      <c r="N103" s="306" t="s">
        <v>820</v>
      </c>
      <c r="O103" s="442">
        <f>M103/100*(O94+O97+O98-O92)</f>
        <v>0.45298110126439012</v>
      </c>
      <c r="P103" s="443">
        <f t="shared" si="35"/>
        <v>6.0229943588067353E-2</v>
      </c>
      <c r="R103" s="21"/>
      <c r="Y103" s="35">
        <v>0</v>
      </c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65"/>
      <c r="AQ103" s="35"/>
      <c r="AR103" s="35"/>
      <c r="AS103" s="35"/>
      <c r="AT103" s="35"/>
    </row>
    <row r="104" spans="1:46" ht="14.3" thickBot="1" x14ac:dyDescent="0.3">
      <c r="A104" s="444"/>
      <c r="B104" s="444"/>
      <c r="C104" s="444"/>
      <c r="D104" s="444"/>
      <c r="E104" s="445"/>
      <c r="F104" s="445"/>
      <c r="G104" s="445"/>
      <c r="H104" s="445"/>
      <c r="I104" s="446"/>
      <c r="J104" s="447" t="str">
        <f>VLOOKUP("price",translation,VLOOKUP(J2,languages,2,FALSE),FALSE)&amp;" ["&amp;LEFT($D$7,3)&amp;F7&amp;"]"</f>
        <v>Base Price [EUR/pc]</v>
      </c>
      <c r="K104" s="448"/>
      <c r="L104" s="448"/>
      <c r="M104" s="758"/>
      <c r="N104" s="759"/>
      <c r="O104" s="637">
        <f>O94+O96</f>
        <v>7.5208621207165454</v>
      </c>
      <c r="P104" s="449">
        <v>1</v>
      </c>
      <c r="R104" s="21"/>
      <c r="S104" s="75"/>
      <c r="T104" s="76"/>
      <c r="Y104" s="51" t="str">
        <f>VLOOKUP("part_price1",translation,VLOOKUP(J2,languages,2,FALSE),FALSE)</f>
        <v>&lt;-- Part Price without packaging/logistics</v>
      </c>
      <c r="Z104" s="35"/>
      <c r="AA104" s="35"/>
      <c r="AB104" s="35"/>
      <c r="AC104" s="35"/>
      <c r="AD104" s="35"/>
      <c r="AE104" s="77"/>
      <c r="AF104" s="6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</row>
    <row r="105" spans="1:46" ht="4.5999999999999996" customHeight="1" thickBot="1" x14ac:dyDescent="0.25">
      <c r="A105" s="377"/>
      <c r="B105" s="378"/>
      <c r="C105" s="378"/>
      <c r="D105" s="378"/>
      <c r="E105" s="378"/>
      <c r="F105" s="377"/>
      <c r="G105" s="377"/>
      <c r="H105" s="377"/>
      <c r="I105" s="377"/>
      <c r="J105" s="377"/>
      <c r="K105" s="377"/>
      <c r="L105" s="377"/>
      <c r="M105" s="377"/>
      <c r="N105" s="377"/>
      <c r="O105" s="450"/>
      <c r="P105" s="377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</row>
    <row r="106" spans="1:46" ht="13.6" x14ac:dyDescent="0.25">
      <c r="A106" s="339"/>
      <c r="B106" s="341" t="str">
        <f>VLOOKUP("sec3",translation,VLOOKUP(J2,languages,2,FALSE),FALSE)</f>
        <v>Section 3</v>
      </c>
      <c r="C106" s="341"/>
      <c r="D106" s="342" t="str">
        <f>VLOOKUP("logistics",translation,VLOOKUP(J2,languages,2,FALSE),FALSE)</f>
        <v>Packaging &amp; Logistics</v>
      </c>
      <c r="E106" s="342"/>
      <c r="F106" s="343"/>
      <c r="G106" s="343"/>
      <c r="H106" s="343"/>
      <c r="I106" s="343"/>
      <c r="J106" s="343"/>
      <c r="K106" s="343"/>
      <c r="L106" s="343"/>
      <c r="M106" s="754"/>
      <c r="N106" s="760"/>
      <c r="O106" s="451"/>
      <c r="P106" s="452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</row>
    <row r="107" spans="1:46" ht="36" customHeight="1" x14ac:dyDescent="0.2">
      <c r="A107" s="453"/>
      <c r="B107" s="454"/>
      <c r="C107" s="454"/>
      <c r="D107" s="350" t="str">
        <f>VLOOKUP("length",translation,VLOOKUP(J2,languages,2,FALSE),FALSE)</f>
        <v>Length [mm]</v>
      </c>
      <c r="E107" s="350" t="str">
        <f>VLOOKUP("width",translation,VLOOKUP(J2,languages,2,FALSE),FALSE)</f>
        <v>Width [mm]</v>
      </c>
      <c r="F107" s="735" t="str">
        <f>VLOOKUP("height",translation,VLOOKUP(J2,languages,2,FALSE),FALSE)</f>
        <v>Height [mm]</v>
      </c>
      <c r="G107" s="746"/>
      <c r="H107" s="350" t="str">
        <f>VLOOKUP("pcs_box",translation,VLOOKUP(J2,languages,2,FALSE),FALSE)</f>
        <v>Pcs/box</v>
      </c>
      <c r="I107" s="350" t="str">
        <f>VLOOKUP("box_cost",translation,VLOOKUP(J2,languages,2,FALSE),FALSE)&amp;" ["&amp;LEFT($D$7,3)&amp;"]"</f>
        <v>Box Cost [EUR]</v>
      </c>
      <c r="J107" s="350" t="str">
        <f>VLOOKUP("box_cost_other",translation,VLOOKUP(J2,languages,2,FALSE),FALSE)&amp;" ["&amp;LEFT($D$7,3)&amp;"]"</f>
        <v>Other Box Cost [EUR]</v>
      </c>
      <c r="K107" s="350" t="str">
        <f>VLOOKUP("box_pallet",translation,VLOOKUP(J2,languages,2,FALSE),FALSE)</f>
        <v>Boxes /Pallet</v>
      </c>
      <c r="L107" s="350" t="str">
        <f>VLOOKUP("pallet_cost",translation,VLOOKUP(J2,languages,2,FALSE),FALSE)&amp;" ["&amp;LEFT($D$7,3)&amp;"]"</f>
        <v>Pallet Cost [EUR]</v>
      </c>
      <c r="M107" s="761"/>
      <c r="N107" s="762"/>
      <c r="O107" s="455" t="str">
        <f>VLOOKUP("total",translation,VLOOKUP(J2,languages,2,FALSE),FALSE)&amp;" ["&amp;LEFT($D$7,3)&amp;$F$7&amp;"]"</f>
        <v>Total [EUR/pc]</v>
      </c>
      <c r="P107" s="456"/>
      <c r="W107" s="3">
        <v>11</v>
      </c>
      <c r="Y107" s="590" t="str">
        <f>VLOOKUP("#loops",translation,VLOOKUP(J2,languages,2,FALSE),FALSE)</f>
        <v>No. of Loops</v>
      </c>
      <c r="Z107" s="590" t="str">
        <f>VLOOKUP("parts/pallet",translation,VLOOKUP(J2,languages,2,FALSE),FALSE)</f>
        <v>Parts/Pallet</v>
      </c>
      <c r="AA107" s="590" t="str">
        <f>VLOOKUP("part_wgt",translation,VLOOKUP(J2,languages,2,FALSE),FALSE)</f>
        <v>Part Wgt [g]</v>
      </c>
      <c r="AB107" s="590" t="str">
        <f>VLOOKUP("empty_box",translation,VLOOKUP(J2,languages,2,FALSE),FALSE)</f>
        <v>Empty Box [g]</v>
      </c>
      <c r="AC107" s="591" t="str">
        <f>VLOOKUP("full_box",translation,VLOOKUP(J2,languages,2,FALSE),FALSE)</f>
        <v>Full Box [kg]</v>
      </c>
      <c r="AD107" s="590" t="str">
        <f>VLOOKUP("pallet",translation,VLOOKUP(J2,languages,2,FALSE),FALSE)</f>
        <v>Pallet [kg]</v>
      </c>
      <c r="AE107" s="590" t="str">
        <f>VLOOKUP("pallet/w",translation,VLOOKUP(J2,languages,2,FALSE),FALSE)</f>
        <v>Pallet/week</v>
      </c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</row>
    <row r="108" spans="1:46" ht="13.6" x14ac:dyDescent="0.25">
      <c r="A108" s="457"/>
      <c r="B108" s="763" t="s">
        <v>160</v>
      </c>
      <c r="C108" s="764"/>
      <c r="D108" s="90"/>
      <c r="E108" s="90"/>
      <c r="F108" s="765"/>
      <c r="G108" s="766"/>
      <c r="H108" s="88"/>
      <c r="I108" s="88"/>
      <c r="J108" s="88"/>
      <c r="K108" s="88">
        <f>IF(D108*E108*F108=0,1,MAX(ROUNDDOWN(920/D108,0)*ROUNDDOWN(1200/E108,0),ROUNDDOWN(1200/D108,0)*ROUNDDOWN(920/E108,0))*ROUNDDOWN(840/F108,0))</f>
        <v>1</v>
      </c>
      <c r="L108" s="88"/>
      <c r="M108" s="767"/>
      <c r="N108" s="768"/>
      <c r="O108" s="638">
        <f>IF(H108=0,0,((I108+J108)/H108+L108/S108)*PUC)</f>
        <v>0</v>
      </c>
      <c r="P108" s="394">
        <f>IF($O$104=0,0,O108/$O$104)</f>
        <v>0</v>
      </c>
      <c r="R108" s="21"/>
      <c r="S108" s="3">
        <f>H108*K108</f>
        <v>0</v>
      </c>
      <c r="Y108" s="592"/>
      <c r="Z108" s="593">
        <f>H108*K108</f>
        <v>0</v>
      </c>
      <c r="AA108" s="776">
        <v>2500</v>
      </c>
      <c r="AB108" s="594"/>
      <c r="AC108" s="595">
        <f>(H108*$AA$108+AB108)/1000</f>
        <v>0</v>
      </c>
      <c r="AD108" s="596">
        <f>+AC108*K108+15</f>
        <v>15</v>
      </c>
      <c r="AE108" s="597">
        <f>IF(Z108=0,0,J4/Z108/48)</f>
        <v>0</v>
      </c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</row>
    <row r="109" spans="1:46" ht="14.3" thickBot="1" x14ac:dyDescent="0.3">
      <c r="A109" s="458"/>
      <c r="B109" s="778" t="s">
        <v>298</v>
      </c>
      <c r="C109" s="779"/>
      <c r="D109" s="90">
        <v>1200</v>
      </c>
      <c r="E109" s="90">
        <v>1000</v>
      </c>
      <c r="F109" s="765">
        <v>700</v>
      </c>
      <c r="G109" s="766"/>
      <c r="H109" s="88">
        <v>46</v>
      </c>
      <c r="I109" s="459">
        <v>80</v>
      </c>
      <c r="J109" s="459">
        <v>0</v>
      </c>
      <c r="K109" s="88">
        <v>1</v>
      </c>
      <c r="L109" s="459">
        <v>0</v>
      </c>
      <c r="M109" s="780"/>
      <c r="N109" s="781"/>
      <c r="O109" s="639">
        <f>IF(H109=0,0,(I109/H109/IF(Y109=0,50,Y109)+J109/H109+L109/S109)*PUC)</f>
        <v>3.4782608695652174E-2</v>
      </c>
      <c r="P109" s="460">
        <f>IF($O$104=0,0,O109/$O$104)</f>
        <v>4.6248166948629401E-3</v>
      </c>
      <c r="S109" s="3">
        <f>H109*K109</f>
        <v>46</v>
      </c>
      <c r="Y109" s="598">
        <v>50</v>
      </c>
      <c r="Z109" s="599">
        <f>+H109*K109</f>
        <v>46</v>
      </c>
      <c r="AA109" s="777"/>
      <c r="AB109" s="600"/>
      <c r="AC109" s="601">
        <f>(H109*$AA$108+AB109)/1000</f>
        <v>115</v>
      </c>
      <c r="AD109" s="596">
        <f>+AC109*K109+15</f>
        <v>130</v>
      </c>
      <c r="AE109" s="602">
        <f>IF(Z109=0,0,J4/Z109/48)</f>
        <v>3.6231884057971016</v>
      </c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</row>
    <row r="110" spans="1:46" ht="14.3" thickBot="1" x14ac:dyDescent="0.3">
      <c r="A110" s="461"/>
      <c r="B110" s="462"/>
      <c r="C110" s="462"/>
      <c r="D110" s="463"/>
      <c r="E110" s="463"/>
      <c r="F110" s="463"/>
      <c r="G110" s="463"/>
      <c r="H110" s="463"/>
      <c r="I110" s="462"/>
      <c r="J110" s="447" t="str">
        <f>VLOOKUP("price",translation,VLOOKUP(J2,languages,2,FALSE),FALSE)&amp;" "&amp;IF(M110="none",VLOOKUP("without",translation,VLOOKUP(J2,languages,2,FALSE),FALSE),VLOOKUP("with",translation,VLOOKUP(J2,languages,2,FALSE),FALSE))&amp;" " &amp;VLOOKUP("pack2",translation,VLOOKUP(J2,languages,2,FALSE),FALSE)</f>
        <v>Base Price with packaging</v>
      </c>
      <c r="K110" s="448"/>
      <c r="L110" s="464"/>
      <c r="M110" s="782" t="s">
        <v>298</v>
      </c>
      <c r="N110" s="783"/>
      <c r="O110" s="637">
        <f>O104+IF(M110="none",0,VLOOKUP(M110,B$108:O$109,14,0))</f>
        <v>7.5556447294121973</v>
      </c>
      <c r="P110" s="465"/>
      <c r="S110" s="3">
        <f>IF(K112="one-way",S108,IF(K112="returnable",S109,0))</f>
        <v>46</v>
      </c>
      <c r="T110" s="3">
        <f>IF($K112="one-way",H108,IF($K112="returnable",H109,0))</f>
        <v>46</v>
      </c>
      <c r="Y110" s="51" t="str">
        <f>VLOOKUP("part_price2",translation,VLOOKUP(J2,languages,2,FALSE),FALSE)</f>
        <v>&lt;-- Part Price with specified packaging</v>
      </c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35"/>
      <c r="AR110" s="35"/>
      <c r="AS110" s="35"/>
      <c r="AT110" s="35"/>
    </row>
    <row r="111" spans="1:46" s="2" customFormat="1" ht="29.25" customHeight="1" x14ac:dyDescent="0.2">
      <c r="A111" s="466"/>
      <c r="B111" s="467"/>
      <c r="C111" s="468" t="s">
        <v>749</v>
      </c>
      <c r="D111" s="469" t="str">
        <f>VLOOKUP("loc",translation,VLOOKUP(J2,languages,2,FALSE),FALSE)</f>
        <v>Location</v>
      </c>
      <c r="E111" s="470"/>
      <c r="F111" s="735" t="str">
        <f>"Transport ["&amp;LEFT($D$7,3)&amp;VLOOKUP("/pallet",translation,VLOOKUP(J2,languages,2,FALSE),FALSE)&amp;"]"</f>
        <v>Transport [EUR/pallet]</v>
      </c>
      <c r="G111" s="746"/>
      <c r="H111" s="350" t="str">
        <f>"Handling ["&amp;LEFT($D$7,3)&amp;VLOOKUP("/box",translation,VLOOKUP(J2,languages,2,FALSE),FALSE)&amp;"]"</f>
        <v>Handling [EUR/box]</v>
      </c>
      <c r="I111" s="350" t="str">
        <f>VLOOKUP("tax",translation,VLOOKUP(J2,languages,2,FALSE),FALSE)&amp;" ["&amp;LEFT($D$7,3)&amp;VLOOKUP("/pc",translation,VLOOKUP(J2,languages,2,FALSE),FALSE)&amp;"]"</f>
        <v>Taxes [EUR/pc]</v>
      </c>
      <c r="J111" s="350" t="str">
        <f>VLOOKUP("duties",translation,VLOOKUP(J2,languages,2,FALSE),FALSE)&amp;" ["&amp;LEFT($D$7,3)&amp;VLOOKUP("/pc",translation,VLOOKUP(J2,languages,2,FALSE),FALSE)&amp;"]"</f>
        <v>Duties [EUR/pc]</v>
      </c>
      <c r="K111" s="471" t="str">
        <f>VLOOKUP("pack_type",translation,VLOOKUP(J2,languages,2,FALSE),FALSE)</f>
        <v>Packaging Type</v>
      </c>
      <c r="L111" s="350" t="str">
        <f>VLOOKUP("stack",translation,VLOOKUP(J2,languages,2,FALSE),FALSE)</f>
        <v>Pallet Stackability</v>
      </c>
      <c r="M111" s="784" t="str">
        <f>VLOOKUP("frt_return",translation,VLOOKUP(J2,languages,2,FALSE),FALSE)</f>
        <v>Return Freight</v>
      </c>
      <c r="N111" s="785"/>
      <c r="O111" s="455" t="str">
        <f>VLOOKUP("total",translation,VLOOKUP(J2,languages,2,FALSE),FALSE)&amp;" ["&amp;LEFT($D$7,3)&amp;$F$7&amp;"]"</f>
        <v>Total [EUR/pc]</v>
      </c>
      <c r="P111" s="472"/>
      <c r="Q111" s="1"/>
      <c r="S111" s="23" t="s">
        <v>57</v>
      </c>
      <c r="T111" s="24" t="s">
        <v>58</v>
      </c>
      <c r="U111" s="24" t="s">
        <v>59</v>
      </c>
      <c r="V111" s="24" t="s">
        <v>60</v>
      </c>
      <c r="W111" s="4"/>
      <c r="Y111" s="35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</row>
    <row r="112" spans="1:46" ht="13.6" x14ac:dyDescent="0.25">
      <c r="A112" s="473">
        <v>1</v>
      </c>
      <c r="B112" s="474" t="str">
        <f>$D$6</f>
        <v>Munich</v>
      </c>
      <c r="C112" s="475" t="s">
        <v>873</v>
      </c>
      <c r="D112" s="786" t="s">
        <v>874</v>
      </c>
      <c r="E112" s="787"/>
      <c r="F112" s="788">
        <v>40</v>
      </c>
      <c r="G112" s="789"/>
      <c r="H112" s="476"/>
      <c r="I112" s="476"/>
      <c r="J112" s="476"/>
      <c r="K112" s="477" t="s">
        <v>298</v>
      </c>
      <c r="L112" s="475" t="s">
        <v>875</v>
      </c>
      <c r="M112" s="790"/>
      <c r="N112" s="789"/>
      <c r="O112" s="638">
        <f>IF(K112="none",0,IF(C112&lt;&gt;"FCA",F112/VLOOKUP(K112,$B$108:$S$109,18,0)+H112/VLOOKUP(K112,$B$108:$H$109,7,0)+I112+J112,0)*PUC)</f>
        <v>0.86956521739130432</v>
      </c>
      <c r="P112" s="356">
        <f>IF($O$104=0,0,O112/$O$104)</f>
        <v>0.1156204173715735</v>
      </c>
      <c r="S112" s="69">
        <f>IF(K112="none",0,VLOOKUP(K112,B$108:O$109,14,0)*PUC)</f>
        <v>3.4782608695652174E-2</v>
      </c>
      <c r="T112" s="69">
        <f>IF(K112="none",0,F112/VLOOKUP(K112,$B$108:$S$109,18,0)*PUC)</f>
        <v>0.86956521739130432</v>
      </c>
      <c r="U112" s="69">
        <f>IF(K112="none",0,H112/VLOOKUP(K112,$B$108:$H$109,7,0)*PUC)</f>
        <v>0</v>
      </c>
      <c r="V112" s="69">
        <f>(I112+J112)*PUC</f>
        <v>0</v>
      </c>
      <c r="Y112" s="51" t="str">
        <f>VLOOKUP("quot_opt",translation,VLOOKUP(J2,languages,2,FALSE),FALSE)</f>
        <v>&lt;-- Primary option for quotations</v>
      </c>
      <c r="Z112" s="35"/>
      <c r="AA112" s="35"/>
      <c r="AB112" s="35"/>
      <c r="AC112" s="35"/>
      <c r="AD112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</row>
    <row r="113" spans="1:46" ht="13.6" x14ac:dyDescent="0.25">
      <c r="A113" s="478">
        <v>2</v>
      </c>
      <c r="B113" s="474">
        <f>$F$6</f>
        <v>0</v>
      </c>
      <c r="C113" s="479"/>
      <c r="D113" s="791"/>
      <c r="E113" s="792"/>
      <c r="F113" s="788"/>
      <c r="G113" s="789"/>
      <c r="H113" s="90"/>
      <c r="I113" s="90"/>
      <c r="J113" s="90"/>
      <c r="K113" s="477" t="s">
        <v>211</v>
      </c>
      <c r="L113" s="88"/>
      <c r="M113" s="738"/>
      <c r="N113" s="770"/>
      <c r="O113" s="638">
        <f>IF(K113="none",0,IF(C113&lt;&gt;"FCA",F113/VLOOKUP(K113,$B$108:$S$109,18,0)+H113/VLOOKUP(K113,$B$108:$H$109,7,0)+I113+J113,0)*PUC)</f>
        <v>0</v>
      </c>
      <c r="P113" s="395">
        <f>IF($O$104=0,0,O113/$O$104)</f>
        <v>0</v>
      </c>
      <c r="S113" s="69">
        <f>IF(K113="none",0,VLOOKUP(K113,B$108:O$109,14,0)*PUC)</f>
        <v>0</v>
      </c>
      <c r="T113" s="69">
        <f>IF(K113="none",0,F113/VLOOKUP(K113,$B$108:$S$109,18,0)*PUC)</f>
        <v>0</v>
      </c>
      <c r="U113" s="69">
        <f>IF(K113="none",0,H113/VLOOKUP(K113,$B$108:$H$109,7,0)*PUC)</f>
        <v>0</v>
      </c>
      <c r="V113" s="69">
        <f>(I113+J113)*PUC</f>
        <v>0</v>
      </c>
      <c r="Y113" s="35"/>
      <c r="Z113" s="6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</row>
    <row r="114" spans="1:46" ht="14.3" thickBot="1" x14ac:dyDescent="0.3">
      <c r="A114" s="480">
        <v>3</v>
      </c>
      <c r="B114" s="657">
        <f>$G$6</f>
        <v>0</v>
      </c>
      <c r="C114" s="481"/>
      <c r="D114" s="793"/>
      <c r="E114" s="794"/>
      <c r="F114" s="788"/>
      <c r="G114" s="789"/>
      <c r="H114" s="90"/>
      <c r="I114" s="90"/>
      <c r="J114" s="90"/>
      <c r="K114" s="477" t="s">
        <v>211</v>
      </c>
      <c r="L114" s="88"/>
      <c r="M114" s="738"/>
      <c r="N114" s="770"/>
      <c r="O114" s="638">
        <f>IF(K114="none",0,IF(C114&lt;&gt;"FCA",F114/VLOOKUP(K114,$B$108:$S$109,18,0)+H114/VLOOKUP(K114,$B$108:$H$109,7,0)+I114+J114,0)*PUC)</f>
        <v>0</v>
      </c>
      <c r="P114" s="482">
        <f>IF($O$104=0,0,O114/$O$104)</f>
        <v>0</v>
      </c>
      <c r="S114" s="69">
        <f>IF(K114="none",0,VLOOKUP(K114,B$108:O$109,14,0)*PUC)</f>
        <v>0</v>
      </c>
      <c r="T114" s="69">
        <f>IF(K114="none",0,F114/VLOOKUP(K114,$B$108:$S$109,18,0)*PUC)</f>
        <v>0</v>
      </c>
      <c r="U114" s="69">
        <f>IF(K114="none",0,H114/VLOOKUP(K114,$B$108:$H$109,7,0)*PUC)</f>
        <v>0</v>
      </c>
      <c r="V114" s="69">
        <f>(I114+J114)*PUC</f>
        <v>0</v>
      </c>
      <c r="Y114" s="35"/>
      <c r="Z114" s="6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</row>
    <row r="115" spans="1:46" ht="4.5999999999999996" customHeight="1" thickBot="1" x14ac:dyDescent="0.3">
      <c r="A115" s="25"/>
      <c r="B115" s="26"/>
      <c r="C115" s="26"/>
      <c r="D115" s="27"/>
      <c r="E115" s="22"/>
      <c r="F115" s="22"/>
      <c r="G115" s="22"/>
      <c r="H115" s="22"/>
      <c r="I115" s="22"/>
      <c r="J115" s="25"/>
      <c r="K115" s="25"/>
      <c r="L115" s="25"/>
      <c r="M115" s="25"/>
      <c r="N115" s="25"/>
      <c r="O115" s="50"/>
      <c r="P115" s="2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</row>
    <row r="116" spans="1:46" ht="13.6" x14ac:dyDescent="0.2">
      <c r="A116" s="436" t="str">
        <f>VLOOKUP("supplier_ref",translation,VLOOKUP(J2,languages,2,FALSE),FALSE)</f>
        <v>Supplier Reference</v>
      </c>
      <c r="B116" s="424"/>
      <c r="C116" s="424"/>
      <c r="D116" s="795"/>
      <c r="E116" s="795"/>
      <c r="F116" s="796" t="str">
        <f>VLOOKUP("date",translation,VLOOKUP(J2,languages,2,FALSE),FALSE)</f>
        <v>Date</v>
      </c>
      <c r="G116" s="797"/>
      <c r="H116" s="798"/>
      <c r="I116" s="799"/>
      <c r="J116" s="483" t="str">
        <f>VLOOKUP("cbd_pricesummary",translation,VLOOKUP(J2,languages,2,FALSE),FALSE)</f>
        <v>Cost Breakdown Pricing Summary</v>
      </c>
      <c r="K116" s="484"/>
      <c r="L116" s="485"/>
      <c r="M116" s="485"/>
      <c r="N116" s="485"/>
      <c r="O116" s="486" t="str">
        <f>LEFT($D$7,3)&amp;F7</f>
        <v>EUR/pc</v>
      </c>
      <c r="P116" s="487"/>
      <c r="Y116" s="51" t="str">
        <f>VLOOKUP("part_price3",translation,VLOOKUP(J2,languages,2,FALSE),FALSE)</f>
        <v>&lt;-- Part Price including packaging/logistics</v>
      </c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</row>
    <row r="117" spans="1:46" ht="13.6" x14ac:dyDescent="0.25">
      <c r="A117" s="488"/>
      <c r="B117" s="424"/>
      <c r="C117" s="424"/>
      <c r="D117" s="489"/>
      <c r="E117" s="800" t="str">
        <f>VLOOKUP("prep_by",translation,VLOOKUP(J2,languages,2,FALSE),FALSE)</f>
        <v>Prepared by</v>
      </c>
      <c r="F117" s="801"/>
      <c r="G117" s="802"/>
      <c r="H117" s="803"/>
      <c r="I117" s="804"/>
      <c r="J117" s="805" t="str">
        <f>IF(C112="","",C112&amp;" "&amp;D112&amp;", "&amp;IF(K112="none",VLOOKUP("without",translation,VLOOKUP(J2,languages,2,FALSE),FALSE),K112)&amp;" "&amp;VLOOKUP("pack2",translation,VLOOKUP(J2,languages,2,FALSE),FALSE))</f>
        <v>DDP Hamburg, returnable packaging</v>
      </c>
      <c r="K117" s="806"/>
      <c r="L117" s="806"/>
      <c r="M117" s="806"/>
      <c r="N117" s="807"/>
      <c r="O117" s="640">
        <f>IF(C112=0,0,SUM(O$104,O112,IF(K112="none",0,VLOOKUP(K112,B$108:O$109,14,0))))</f>
        <v>8.425209946803502</v>
      </c>
      <c r="P117" s="490"/>
      <c r="S117" s="75"/>
      <c r="T117" s="76"/>
      <c r="Y117" s="51" t="str">
        <f>VLOOKUP("quot_opt",translation,VLOOKUP(J2,languages,2,FALSE),FALSE)</f>
        <v>&lt;-- Primary option for quotations</v>
      </c>
      <c r="Z117" s="35"/>
      <c r="AA117" s="35"/>
      <c r="AB117" s="35"/>
      <c r="AC117" s="35"/>
      <c r="AD117" s="35"/>
      <c r="AE117" s="94"/>
      <c r="AF117" s="134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</row>
    <row r="118" spans="1:46" x14ac:dyDescent="0.2">
      <c r="A118" s="808"/>
      <c r="B118" s="809"/>
      <c r="C118" s="809"/>
      <c r="D118" s="809"/>
      <c r="E118" s="809"/>
      <c r="F118" s="809"/>
      <c r="G118" s="809"/>
      <c r="H118" s="809"/>
      <c r="I118" s="810"/>
      <c r="J118" s="814" t="str">
        <f>IF(C113="","",C113&amp;" "&amp;D113&amp;", "&amp;IF(K113="none",VLOOKUP("without",translation,VLOOKUP(J2,languages,2,FALSE),FALSE),K113)&amp;" "&amp;VLOOKUP("pack2",translation,VLOOKUP(J2,languages,2,FALSE),FALSE))</f>
        <v/>
      </c>
      <c r="K118" s="815"/>
      <c r="L118" s="815"/>
      <c r="M118" s="815"/>
      <c r="N118" s="816"/>
      <c r="O118" s="641">
        <f>IF(C113=0,0,SUM(O$104,O113,IF(K113="none",0,VLOOKUP(K113,B$108:O$109,14,0))))</f>
        <v>0</v>
      </c>
      <c r="P118" s="491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</row>
    <row r="119" spans="1:46" ht="13.6" thickBot="1" x14ac:dyDescent="0.25">
      <c r="A119" s="811"/>
      <c r="B119" s="812"/>
      <c r="C119" s="812"/>
      <c r="D119" s="812"/>
      <c r="E119" s="812"/>
      <c r="F119" s="812"/>
      <c r="G119" s="812"/>
      <c r="H119" s="812"/>
      <c r="I119" s="813"/>
      <c r="J119" s="817" t="str">
        <f>IF(C114="","",C114&amp;" "&amp;D114&amp;", "&amp;IF(K114="none",VLOOKUP("without",translation,VLOOKUP(J2,languages,2,FALSE),FALSE),K114)&amp;" "&amp;VLOOKUP("pack2",translation,VLOOKUP(J2,languages,2,FALSE),FALSE))</f>
        <v/>
      </c>
      <c r="K119" s="818"/>
      <c r="L119" s="818"/>
      <c r="M119" s="818"/>
      <c r="N119" s="819"/>
      <c r="O119" s="642">
        <f>IF(C114=0,0,SUM(O$104,O114,IF(K114="none",0,VLOOKUP(K114,B$108:O$109,14,0))))</f>
        <v>0</v>
      </c>
      <c r="P119" s="492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</row>
    <row r="120" spans="1:46" ht="4.5999999999999996" customHeight="1" thickBot="1" x14ac:dyDescent="0.25">
      <c r="A120" s="493"/>
      <c r="B120" s="493"/>
      <c r="C120" s="493"/>
      <c r="D120" s="493"/>
      <c r="E120" s="493"/>
      <c r="F120" s="493"/>
      <c r="G120" s="493"/>
      <c r="H120" s="493"/>
      <c r="I120" s="493"/>
      <c r="J120" s="494"/>
      <c r="K120" s="494"/>
      <c r="L120" s="494"/>
      <c r="M120" s="494"/>
      <c r="N120" s="494"/>
      <c r="O120" s="495"/>
      <c r="P120" s="493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</row>
    <row r="121" spans="1:46" ht="13.6" x14ac:dyDescent="0.25">
      <c r="A121" s="339"/>
      <c r="B121" s="341" t="str">
        <f>VLOOKUP("sec4",translation,VLOOKUP(J2,languages,2,FALSE),FALSE)</f>
        <v>Section 4</v>
      </c>
      <c r="C121" s="341"/>
      <c r="D121" s="342" t="str">
        <f>VLOOKUP("invest",translation,VLOOKUP(J2,languages,2,FALSE),FALSE)</f>
        <v>Investment / Tooling</v>
      </c>
      <c r="E121" s="343"/>
      <c r="F121" s="343"/>
      <c r="G121" s="343"/>
      <c r="H121" s="343"/>
      <c r="I121" s="343"/>
      <c r="J121" s="496"/>
      <c r="K121" s="496"/>
      <c r="L121" s="496"/>
      <c r="M121" s="497" t="str">
        <f>LEFT($D$7,3)</f>
        <v>EUR</v>
      </c>
      <c r="N121" s="497"/>
      <c r="O121" s="498">
        <f>SUBTOTAL(109,O123:O130)</f>
        <v>85000</v>
      </c>
      <c r="P121" s="452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</row>
    <row r="122" spans="1:46" ht="49.6" customHeight="1" x14ac:dyDescent="0.2">
      <c r="A122" s="499"/>
      <c r="B122" s="728" t="str">
        <f>VLOOKUP("descr2",translation,VLOOKUP(J2,languages,2,FALSE),FALSE)</f>
        <v>Description</v>
      </c>
      <c r="C122" s="728"/>
      <c r="D122" s="728"/>
      <c r="E122" s="820"/>
      <c r="F122" s="350" t="str">
        <f>VLOOKUP("qty2",translation,VLOOKUP(J2,languages,2,FALSE),FALSE)</f>
        <v>Qty</v>
      </c>
      <c r="G122" s="350" t="str">
        <f>VLOOKUP("cav",translation,VLOOKUP(J2,languages,2,FALSE),FALSE)</f>
        <v>Pcs/cycle (cavities)</v>
      </c>
      <c r="H122" s="350" t="str">
        <f>VLOOKUP("lt",translation,VLOOKUP(J2,languages,2,FALSE),FALSE)</f>
        <v>Lead Time [weeks]</v>
      </c>
      <c r="I122" s="350" t="str">
        <f>VLOOKUP("fot2",translation,VLOOKUP(J2,languages,2,FALSE),FALSE)</f>
        <v>FOT [weeks]</v>
      </c>
      <c r="J122" s="350" t="str">
        <f>VLOOKUP("warranty",translation,VLOOKUP(J2,languages,2,FALSE),FALSE)</f>
        <v>Warranty [parts]</v>
      </c>
      <c r="K122" s="350" t="str">
        <f>VLOOKUP("tool_cap",translation,VLOOKUP(J2,languages,2,FALSE),FALSE)</f>
        <v>Tool Cap.</v>
      </c>
      <c r="L122" s="350" t="str">
        <f>VLOOKUP("mach_cap",translation,VLOOKUP(J2,languages,2,FALSE),FALSE)</f>
        <v>Maschine Cap. [/week]</v>
      </c>
      <c r="M122" s="735" t="str">
        <f>VLOOKUP("max_cap",translation,VLOOKUP(J2,languages,2,FALSE),FALSE)</f>
        <v>Max. Capacity [p.A.]</v>
      </c>
      <c r="N122" s="746"/>
      <c r="O122" s="350" t="str">
        <f>VLOOKUP("tool_cost",translation,VLOOKUP(J2,languages,2,FALSE),FALSE)&amp;" ["&amp;LEFT($D$7,3)&amp;"]"</f>
        <v>Tool Cost [EUR]</v>
      </c>
      <c r="P122" s="352"/>
      <c r="W122">
        <v>125</v>
      </c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</row>
    <row r="123" spans="1:46" x14ac:dyDescent="0.2">
      <c r="A123" s="353">
        <v>1</v>
      </c>
      <c r="B123" s="747" t="s">
        <v>876</v>
      </c>
      <c r="C123" s="821"/>
      <c r="D123" s="821"/>
      <c r="E123" s="822"/>
      <c r="F123" s="500">
        <v>1</v>
      </c>
      <c r="G123" s="500"/>
      <c r="H123" s="88"/>
      <c r="I123" s="392">
        <v>20</v>
      </c>
      <c r="J123" s="501">
        <v>150000</v>
      </c>
      <c r="K123" s="501"/>
      <c r="L123" s="501"/>
      <c r="M123" s="823"/>
      <c r="N123" s="824"/>
      <c r="O123" s="501">
        <v>85000</v>
      </c>
      <c r="P123" s="502"/>
      <c r="S123" s="3">
        <f t="shared" ref="S123:S130" si="36">F123*O123</f>
        <v>85000</v>
      </c>
      <c r="Y123" s="35"/>
      <c r="Z123" s="41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</row>
    <row r="124" spans="1:46" x14ac:dyDescent="0.2">
      <c r="A124" s="357">
        <v>2</v>
      </c>
      <c r="B124" s="747"/>
      <c r="C124" s="821"/>
      <c r="D124" s="821"/>
      <c r="E124" s="822"/>
      <c r="F124" s="500"/>
      <c r="G124" s="500"/>
      <c r="H124" s="88"/>
      <c r="I124" s="503"/>
      <c r="J124" s="501"/>
      <c r="K124" s="501"/>
      <c r="L124" s="501"/>
      <c r="M124" s="823"/>
      <c r="N124" s="824"/>
      <c r="O124" s="501"/>
      <c r="P124" s="504"/>
      <c r="S124" s="3">
        <f t="shared" si="36"/>
        <v>0</v>
      </c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</row>
    <row r="125" spans="1:46" ht="13.6" thickBot="1" x14ac:dyDescent="0.25">
      <c r="A125" s="357">
        <v>3</v>
      </c>
      <c r="B125" s="747"/>
      <c r="C125" s="821"/>
      <c r="D125" s="821"/>
      <c r="E125" s="822"/>
      <c r="F125" s="500"/>
      <c r="G125" s="500"/>
      <c r="H125" s="88"/>
      <c r="I125" s="503"/>
      <c r="J125" s="501"/>
      <c r="K125" s="501"/>
      <c r="L125" s="501"/>
      <c r="M125" s="823"/>
      <c r="N125" s="824"/>
      <c r="O125" s="501"/>
      <c r="P125" s="504"/>
      <c r="S125" s="3">
        <f t="shared" si="36"/>
        <v>0</v>
      </c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</row>
    <row r="126" spans="1:46" ht="13.6" hidden="1" customHeight="1" thickBot="1" x14ac:dyDescent="0.25">
      <c r="A126" s="357">
        <v>4</v>
      </c>
      <c r="B126" s="747"/>
      <c r="C126" s="821"/>
      <c r="D126" s="821"/>
      <c r="E126" s="822"/>
      <c r="F126" s="500"/>
      <c r="G126" s="500"/>
      <c r="H126" s="88"/>
      <c r="I126" s="503"/>
      <c r="J126" s="501"/>
      <c r="K126" s="501"/>
      <c r="L126" s="501"/>
      <c r="M126" s="823"/>
      <c r="N126" s="824"/>
      <c r="O126" s="501"/>
      <c r="P126" s="504"/>
      <c r="S126" s="3">
        <f t="shared" si="36"/>
        <v>0</v>
      </c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</row>
    <row r="127" spans="1:46" ht="13.6" hidden="1" customHeight="1" thickBot="1" x14ac:dyDescent="0.25">
      <c r="A127" s="357">
        <v>5</v>
      </c>
      <c r="B127" s="747"/>
      <c r="C127" s="821"/>
      <c r="D127" s="821"/>
      <c r="E127" s="822"/>
      <c r="F127" s="500"/>
      <c r="G127" s="500"/>
      <c r="H127" s="88"/>
      <c r="I127" s="503"/>
      <c r="J127" s="501"/>
      <c r="K127" s="501"/>
      <c r="L127" s="501"/>
      <c r="M127" s="823"/>
      <c r="N127" s="824"/>
      <c r="O127" s="501"/>
      <c r="P127" s="504"/>
      <c r="S127" s="3">
        <f t="shared" si="36"/>
        <v>0</v>
      </c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</row>
    <row r="128" spans="1:46" ht="13.6" hidden="1" customHeight="1" thickBot="1" x14ac:dyDescent="0.25">
      <c r="A128" s="357">
        <v>6</v>
      </c>
      <c r="B128" s="747"/>
      <c r="C128" s="821"/>
      <c r="D128" s="821"/>
      <c r="E128" s="822"/>
      <c r="F128" s="500"/>
      <c r="G128" s="500"/>
      <c r="H128" s="88"/>
      <c r="I128" s="503"/>
      <c r="J128" s="501"/>
      <c r="K128" s="501"/>
      <c r="L128" s="501"/>
      <c r="M128" s="823"/>
      <c r="N128" s="824"/>
      <c r="O128" s="501"/>
      <c r="P128" s="504"/>
      <c r="S128" s="3">
        <f t="shared" si="36"/>
        <v>0</v>
      </c>
      <c r="Y128" s="35"/>
      <c r="Z128" s="35"/>
      <c r="AA128" s="35"/>
      <c r="AB128" s="35"/>
      <c r="AC128" s="6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</row>
    <row r="129" spans="1:46" ht="13.6" hidden="1" customHeight="1" thickBot="1" x14ac:dyDescent="0.25">
      <c r="A129" s="357">
        <v>7</v>
      </c>
      <c r="B129" s="747"/>
      <c r="C129" s="821"/>
      <c r="D129" s="821"/>
      <c r="E129" s="822"/>
      <c r="F129" s="500"/>
      <c r="G129" s="500"/>
      <c r="H129" s="88"/>
      <c r="I129" s="503"/>
      <c r="J129" s="501"/>
      <c r="K129" s="501"/>
      <c r="L129" s="501"/>
      <c r="M129" s="823"/>
      <c r="N129" s="824"/>
      <c r="O129" s="501"/>
      <c r="P129" s="504"/>
      <c r="S129" s="3">
        <f t="shared" si="36"/>
        <v>0</v>
      </c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</row>
    <row r="130" spans="1:46" ht="13.6" hidden="1" customHeight="1" thickBot="1" x14ac:dyDescent="0.25">
      <c r="A130" s="357">
        <v>8</v>
      </c>
      <c r="B130" s="747"/>
      <c r="C130" s="821"/>
      <c r="D130" s="821"/>
      <c r="E130" s="822"/>
      <c r="F130" s="500"/>
      <c r="G130" s="500"/>
      <c r="H130" s="88"/>
      <c r="I130" s="503"/>
      <c r="J130" s="501"/>
      <c r="K130" s="501"/>
      <c r="L130" s="501"/>
      <c r="M130" s="823"/>
      <c r="N130" s="824"/>
      <c r="O130" s="501"/>
      <c r="P130" s="504"/>
      <c r="S130" s="3">
        <f t="shared" si="36"/>
        <v>0</v>
      </c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</row>
    <row r="131" spans="1:46" ht="5.3" customHeight="1" thickBot="1" x14ac:dyDescent="0.25">
      <c r="A131" s="505"/>
      <c r="B131" s="505"/>
      <c r="C131" s="505"/>
      <c r="D131" s="505"/>
      <c r="E131" s="505"/>
      <c r="F131" s="505"/>
      <c r="G131" s="505"/>
      <c r="H131" s="505"/>
      <c r="I131" s="505"/>
      <c r="J131" s="505"/>
      <c r="K131" s="505"/>
      <c r="L131" s="505"/>
      <c r="M131" s="505"/>
      <c r="N131" s="505"/>
      <c r="O131" s="505"/>
      <c r="P131" s="50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</row>
    <row r="132" spans="1:46" ht="13.6" x14ac:dyDescent="0.25">
      <c r="A132" s="339"/>
      <c r="B132" s="341" t="str">
        <f>VLOOKUP("sec5",translation,VLOOKUP(J2,languages,2,FALSE),FALSE)</f>
        <v>Section 5</v>
      </c>
      <c r="C132" s="341"/>
      <c r="D132" s="342" t="str">
        <f>VLOOKUP("pc_terms",translation,VLOOKUP(J2,languages,2,FALSE),FALSE)</f>
        <v>Productivity &amp; Commercial Terms</v>
      </c>
      <c r="E132" s="343"/>
      <c r="F132" s="343"/>
      <c r="G132" s="343"/>
      <c r="H132" s="343"/>
      <c r="I132" s="343"/>
      <c r="J132" s="343"/>
      <c r="K132" s="343"/>
      <c r="L132" s="343"/>
      <c r="M132" s="343"/>
      <c r="N132" s="343"/>
      <c r="O132" s="506"/>
      <c r="P132" s="452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</row>
    <row r="133" spans="1:46" x14ac:dyDescent="0.2">
      <c r="A133" s="507"/>
      <c r="B133" s="508" t="str">
        <f>VLOOKUP("pay_terms",translation,VLOOKUP(J2,languages,2,FALSE),FALSE)</f>
        <v>Payment terms</v>
      </c>
      <c r="C133" s="508"/>
      <c r="D133" s="508"/>
      <c r="E133" s="509"/>
      <c r="F133" s="509"/>
      <c r="G133" s="825" t="s">
        <v>851</v>
      </c>
      <c r="H133" s="826"/>
      <c r="I133" s="826"/>
      <c r="J133" s="826"/>
      <c r="K133" s="827"/>
      <c r="L133" s="509"/>
      <c r="M133" s="509"/>
      <c r="N133" s="509"/>
      <c r="O133" s="510"/>
      <c r="P133" s="511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</row>
    <row r="134" spans="1:46" x14ac:dyDescent="0.2">
      <c r="A134" s="507"/>
      <c r="B134" s="508" t="str">
        <f>VLOOKUP("tool_terms",translation,VLOOKUP(J2,languages,2,FALSE),FALSE)</f>
        <v>Tool payment terms</v>
      </c>
      <c r="C134" s="508"/>
      <c r="D134" s="508"/>
      <c r="E134" s="509"/>
      <c r="F134" s="509"/>
      <c r="G134" s="828" t="s">
        <v>851</v>
      </c>
      <c r="H134" s="829"/>
      <c r="I134" s="830"/>
      <c r="J134" s="830"/>
      <c r="K134" s="831"/>
      <c r="L134" s="509"/>
      <c r="M134" s="509"/>
      <c r="N134" s="509"/>
      <c r="O134" s="510"/>
      <c r="P134" s="511"/>
      <c r="Y134" s="35"/>
      <c r="Z134" s="6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</row>
    <row r="135" spans="1:46" ht="12.75" customHeight="1" x14ac:dyDescent="0.2">
      <c r="A135" s="507"/>
      <c r="B135" s="508" t="str">
        <f>VLOOKUP("sparepart_price",translation,VLOOKUP(J2,languages,2,FALSE),FALSE)</f>
        <v>Spare part pricing at serial price after EoP</v>
      </c>
      <c r="C135" s="508"/>
      <c r="D135" s="508"/>
      <c r="E135" s="509"/>
      <c r="F135" s="509"/>
      <c r="G135" s="832">
        <v>5</v>
      </c>
      <c r="H135" s="833"/>
      <c r="I135" s="512" t="str">
        <f>VLOOKUP("yr",translation,VLOOKUP(J2,languages,2,FALSE),FALSE)</f>
        <v>years</v>
      </c>
      <c r="J135" s="509"/>
      <c r="K135" s="509"/>
      <c r="L135" s="834" t="str">
        <f>B112&amp;CHAR(10)&amp;C112</f>
        <v>Munich
DDP</v>
      </c>
      <c r="M135" s="836" t="str">
        <f>B113&amp;CHAR(10)&amp;C113</f>
        <v xml:space="preserve">0
</v>
      </c>
      <c r="N135" s="837"/>
      <c r="O135" s="840"/>
      <c r="P135" s="511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</row>
    <row r="136" spans="1:46" x14ac:dyDescent="0.2">
      <c r="A136" s="507"/>
      <c r="B136" s="508" t="str">
        <f>VLOOKUP("tot_cap",translation,VLOOKUP(J2,languages,2,FALSE),FALSE)</f>
        <v>Overall committed capacity</v>
      </c>
      <c r="C136" s="508"/>
      <c r="D136" s="508"/>
      <c r="E136" s="509" t="str">
        <f>VLOOKUP("w",translation,VLOOKUP(J2,languages,2,FALSE),FALSE)</f>
        <v>[/week]</v>
      </c>
      <c r="F136" s="509"/>
      <c r="G136" s="842"/>
      <c r="H136" s="843"/>
      <c r="I136" s="513"/>
      <c r="J136" s="509"/>
      <c r="K136" s="509"/>
      <c r="L136" s="835"/>
      <c r="M136" s="838"/>
      <c r="N136" s="839"/>
      <c r="O136" s="841"/>
      <c r="P136" s="511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</row>
    <row r="137" spans="1:46" x14ac:dyDescent="0.2">
      <c r="A137" s="507"/>
      <c r="B137" s="508"/>
      <c r="C137" s="508"/>
      <c r="D137" s="508"/>
      <c r="E137" s="509" t="str">
        <f>VLOOKUP("y",translation,VLOOKUP(J2,languages,2,FALSE),FALSE)</f>
        <v>[/year]</v>
      </c>
      <c r="F137" s="509"/>
      <c r="G137" s="844"/>
      <c r="H137" s="845"/>
      <c r="I137" s="509"/>
      <c r="J137" s="514" t="str">
        <f>VLOOKUP("price",translation,VLOOKUP(J2,languages,2,FALSE),FALSE)</f>
        <v>Base Price</v>
      </c>
      <c r="K137" s="515" t="str">
        <f>VLOOKUP("package",translation,VLOOKUP(J2,languages,2,FALSE),FALSE)</f>
        <v>w/ Packaging</v>
      </c>
      <c r="L137" s="516" t="str">
        <f>VLOOKUP("trans",translation,VLOOKUP(J2,languages,2,FALSE),FALSE)</f>
        <v>w/ Logistics</v>
      </c>
      <c r="M137" s="846" t="str">
        <f>VLOOKUP("trans",translation,VLOOKUP(J2,languages,2,FALSE),FALSE)</f>
        <v>w/ Logistics</v>
      </c>
      <c r="N137" s="847"/>
      <c r="O137" s="514" t="str">
        <f>VLOOKUP("trans",translation,VLOOKUP(J2,languages,2,FALSE),FALSE)</f>
        <v>w/ Logistics</v>
      </c>
      <c r="P137" s="511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</row>
    <row r="138" spans="1:46" ht="13.6" x14ac:dyDescent="0.25">
      <c r="A138" s="507"/>
      <c r="B138" s="508"/>
      <c r="C138" s="508"/>
      <c r="D138" s="508"/>
      <c r="E138" s="509"/>
      <c r="F138" s="509"/>
      <c r="G138" s="509"/>
      <c r="H138" s="517"/>
      <c r="I138" s="518"/>
      <c r="J138" s="519" t="str">
        <f>"["&amp;LEFT($D$7,3)&amp;$F$7&amp;"]"</f>
        <v>[EUR/pc]</v>
      </c>
      <c r="K138" s="520" t="str">
        <f>"["&amp;LEFT($D$7,3)&amp;$F$7&amp;"]"</f>
        <v>[EUR/pc]</v>
      </c>
      <c r="L138" s="521" t="str">
        <f>"["&amp;LEFT($D$7,3)&amp;$F$7&amp;"]"</f>
        <v>[EUR/pc]</v>
      </c>
      <c r="M138" s="848" t="str">
        <f>"["&amp;LEFT($D$7,3)&amp;$F$7&amp;"]"</f>
        <v>[EUR/pc]</v>
      </c>
      <c r="N138" s="849"/>
      <c r="O138" s="519" t="str">
        <f>"["&amp;LEFT($D$7,3)&amp;$F$7&amp;"]"</f>
        <v>[EUR/pc]</v>
      </c>
      <c r="P138" s="511"/>
      <c r="U138" s="29"/>
      <c r="V138" s="1"/>
      <c r="W138" s="1"/>
      <c r="Y138" s="177"/>
      <c r="Z138" s="177"/>
      <c r="AA138" s="177"/>
      <c r="AB138" s="177"/>
      <c r="AC138" s="177"/>
      <c r="AD138" s="177"/>
      <c r="AE138" s="177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</row>
    <row r="139" spans="1:46" ht="12.75" customHeight="1" x14ac:dyDescent="0.25">
      <c r="A139" s="507"/>
      <c r="B139" s="508"/>
      <c r="C139" s="508"/>
      <c r="D139" s="508"/>
      <c r="E139" s="509"/>
      <c r="F139" s="509"/>
      <c r="G139" s="850" t="str">
        <f>VLOOKUP("y1",translation,VLOOKUP(J2,languages,2,FALSE),FALSE)</f>
        <v>Year</v>
      </c>
      <c r="H139" s="851"/>
      <c r="I139" s="522" t="s">
        <v>93</v>
      </c>
      <c r="J139" s="643">
        <f>O104</f>
        <v>7.5208621207165454</v>
      </c>
      <c r="K139" s="647">
        <f>O110</f>
        <v>7.5556447294121973</v>
      </c>
      <c r="L139" s="656">
        <f>O117</f>
        <v>8.425209946803502</v>
      </c>
      <c r="M139" s="852">
        <f>O118</f>
        <v>0</v>
      </c>
      <c r="N139" s="853"/>
      <c r="O139" s="643">
        <f>O119</f>
        <v>0</v>
      </c>
      <c r="P139" s="511"/>
      <c r="U139" s="29"/>
      <c r="V139" s="1"/>
      <c r="W139" s="1"/>
      <c r="Y139" s="177"/>
      <c r="Z139" s="177"/>
      <c r="AA139" s="177"/>
      <c r="AB139" s="177"/>
      <c r="AC139" s="177"/>
      <c r="AD139" s="177"/>
      <c r="AE139" s="177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</row>
    <row r="140" spans="1:46" ht="13.6" x14ac:dyDescent="0.25">
      <c r="A140" s="507"/>
      <c r="B140" s="508" t="str">
        <f>VLOOKUP("price_cbd",translation,VLOOKUP(J2,languages,2,FALSE),FALSE)</f>
        <v>Pricing acc. to breakdown</v>
      </c>
      <c r="C140" s="523"/>
      <c r="D140" s="508"/>
      <c r="E140" s="854" t="s">
        <v>94</v>
      </c>
      <c r="F140" s="855"/>
      <c r="G140" s="856"/>
      <c r="H140" s="857"/>
      <c r="I140" s="524"/>
      <c r="J140" s="644">
        <f>O104</f>
        <v>7.5208621207165454</v>
      </c>
      <c r="K140" s="648">
        <f>O110</f>
        <v>7.5556447294121973</v>
      </c>
      <c r="L140" s="655">
        <f>O117</f>
        <v>8.425209946803502</v>
      </c>
      <c r="M140" s="858">
        <f>O118</f>
        <v>0</v>
      </c>
      <c r="N140" s="859"/>
      <c r="O140" s="644">
        <f>O119</f>
        <v>0</v>
      </c>
      <c r="P140" s="511"/>
      <c r="S140" s="236">
        <f>MIN($J$5,1)</f>
        <v>1</v>
      </c>
      <c r="U140" s="1"/>
      <c r="V140" s="7"/>
      <c r="W140" s="7"/>
      <c r="X140" s="7"/>
      <c r="Y140" s="231"/>
      <c r="Z140" s="231"/>
      <c r="AA140" s="231"/>
      <c r="AB140" s="232"/>
      <c r="AC140" s="234"/>
      <c r="AD140" s="233"/>
      <c r="AE140" s="231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</row>
    <row r="141" spans="1:46" ht="13.6" x14ac:dyDescent="0.25">
      <c r="A141" s="507"/>
      <c r="B141" s="508" t="str">
        <f>VLOOKUP("price_neg",translation,VLOOKUP(J2,languages,2,FALSE),FALSE)</f>
        <v>Negotiated offer pricing</v>
      </c>
      <c r="C141" s="525"/>
      <c r="D141" s="508"/>
      <c r="E141" s="860" t="str">
        <f>VLOOKUP("y2",translation,VLOOKUP(J2,languages,2,FALSE),FALSE)</f>
        <v>Year 2</v>
      </c>
      <c r="F141" s="861"/>
      <c r="G141" s="862">
        <v>43281</v>
      </c>
      <c r="H141" s="863"/>
      <c r="I141" s="526">
        <v>0.03</v>
      </c>
      <c r="J141" s="645">
        <f t="shared" ref="J141:M144" si="37">J140*(1-$I141)</f>
        <v>7.2952362570950484</v>
      </c>
      <c r="K141" s="649">
        <f t="shared" si="37"/>
        <v>7.3289753875298311</v>
      </c>
      <c r="L141" s="650">
        <f t="shared" si="37"/>
        <v>8.1724536483993973</v>
      </c>
      <c r="M141" s="864">
        <f t="shared" si="37"/>
        <v>0</v>
      </c>
      <c r="N141" s="865"/>
      <c r="O141" s="651">
        <f>O140*(1-$I141)</f>
        <v>0</v>
      </c>
      <c r="P141" s="511"/>
      <c r="S141" s="236">
        <f>MIN(MAX($J$5-1,0),1)</f>
        <v>1</v>
      </c>
      <c r="U141" s="1"/>
      <c r="V141" s="30"/>
      <c r="W141" s="30"/>
      <c r="X141" s="30"/>
      <c r="Y141" s="177"/>
      <c r="Z141" s="177"/>
      <c r="AA141" s="177"/>
      <c r="AB141" s="177"/>
      <c r="AC141" s="177"/>
      <c r="AD141" s="177"/>
      <c r="AE141" s="177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</row>
    <row r="142" spans="1:46" ht="13.6" x14ac:dyDescent="0.25">
      <c r="A142" s="507"/>
      <c r="B142" s="508"/>
      <c r="C142" s="527"/>
      <c r="D142" s="527"/>
      <c r="E142" s="860" t="str">
        <f>VLOOKUP("y3",translation,VLOOKUP(J2,languages,2,FALSE),FALSE)</f>
        <v>Year 3</v>
      </c>
      <c r="F142" s="861"/>
      <c r="G142" s="866">
        <f>DATE(YEAR(G141)+1,MONTH(G141),DAY(G141))</f>
        <v>43646</v>
      </c>
      <c r="H142" s="867"/>
      <c r="I142" s="526">
        <v>0.01</v>
      </c>
      <c r="J142" s="646">
        <f t="shared" si="37"/>
        <v>7.2222838945240975</v>
      </c>
      <c r="K142" s="652">
        <f t="shared" si="37"/>
        <v>7.255685633654533</v>
      </c>
      <c r="L142" s="653">
        <f t="shared" si="37"/>
        <v>8.0907291119154028</v>
      </c>
      <c r="M142" s="864">
        <f t="shared" si="37"/>
        <v>0</v>
      </c>
      <c r="N142" s="865"/>
      <c r="O142" s="654">
        <f>O141*(1-$I142)</f>
        <v>0</v>
      </c>
      <c r="P142" s="511"/>
      <c r="S142" s="236">
        <f>MIN(MAX($J$5-2,0),1)</f>
        <v>1</v>
      </c>
      <c r="U142" s="1"/>
      <c r="V142" s="30"/>
      <c r="W142" s="30"/>
      <c r="X142" s="30"/>
      <c r="Y142" s="177"/>
      <c r="Z142" s="177"/>
      <c r="AA142" s="177"/>
      <c r="AB142" s="177"/>
      <c r="AC142" s="177"/>
      <c r="AD142" s="177"/>
      <c r="AE142" s="177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</row>
    <row r="143" spans="1:46" ht="13.6" x14ac:dyDescent="0.25">
      <c r="A143" s="507"/>
      <c r="B143" s="508"/>
      <c r="C143" s="527"/>
      <c r="D143" s="527"/>
      <c r="E143" s="860" t="str">
        <f>VLOOKUP("y4",translation,VLOOKUP(J2,languages,2,FALSE),FALSE)</f>
        <v>Year 4</v>
      </c>
      <c r="F143" s="861"/>
      <c r="G143" s="866">
        <f>DATE(YEAR(G142)+1,MONTH(G142),DAY(G142))</f>
        <v>44012</v>
      </c>
      <c r="H143" s="867"/>
      <c r="I143" s="526">
        <v>0.01</v>
      </c>
      <c r="J143" s="646">
        <f t="shared" si="37"/>
        <v>7.1500610555788562</v>
      </c>
      <c r="K143" s="652">
        <f t="shared" si="37"/>
        <v>7.1831287773179877</v>
      </c>
      <c r="L143" s="653">
        <f t="shared" si="37"/>
        <v>8.0098218207962493</v>
      </c>
      <c r="M143" s="864">
        <f t="shared" si="37"/>
        <v>0</v>
      </c>
      <c r="N143" s="865"/>
      <c r="O143" s="654">
        <f>O142*(1-$I143)</f>
        <v>0</v>
      </c>
      <c r="P143" s="511"/>
      <c r="S143" s="236">
        <f>MIN(MAX($J$5-3,0),1)</f>
        <v>1</v>
      </c>
      <c r="U143" s="1"/>
      <c r="V143" s="30"/>
      <c r="W143" s="30"/>
      <c r="X143" s="30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</row>
    <row r="144" spans="1:46" ht="13.6" x14ac:dyDescent="0.25">
      <c r="A144" s="507"/>
      <c r="B144" s="508"/>
      <c r="C144" s="527"/>
      <c r="D144" s="527"/>
      <c r="E144" s="882" t="str">
        <f>VLOOKUP("y5",translation,VLOOKUP(J2,languages,2,FALSE),FALSE)</f>
        <v>Year 5</v>
      </c>
      <c r="F144" s="883"/>
      <c r="G144" s="884">
        <f>DATE(YEAR(G143)+1,MONTH(G143),DAY(G143))</f>
        <v>44377</v>
      </c>
      <c r="H144" s="885"/>
      <c r="I144" s="528"/>
      <c r="J144" s="646">
        <f t="shared" si="37"/>
        <v>7.1500610555788562</v>
      </c>
      <c r="K144" s="652">
        <f t="shared" si="37"/>
        <v>7.1831287773179877</v>
      </c>
      <c r="L144" s="653">
        <f t="shared" si="37"/>
        <v>8.0098218207962493</v>
      </c>
      <c r="M144" s="864">
        <f t="shared" si="37"/>
        <v>0</v>
      </c>
      <c r="N144" s="865"/>
      <c r="O144" s="654">
        <f>O143*(1-$I144)</f>
        <v>0</v>
      </c>
      <c r="P144" s="511"/>
      <c r="S144" s="236">
        <f>MIN(MAX($J$5-4,0),1)</f>
        <v>1</v>
      </c>
      <c r="T144" s="2"/>
      <c r="U144" s="2"/>
      <c r="V144" s="2"/>
      <c r="W144" s="2"/>
      <c r="X144" s="2"/>
      <c r="Y144" s="47"/>
      <c r="Z144" s="47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</row>
    <row r="145" spans="1:46" ht="12.75" hidden="1" customHeight="1" x14ac:dyDescent="0.25">
      <c r="A145" s="507"/>
      <c r="B145" s="508"/>
      <c r="C145" s="527"/>
      <c r="D145" s="527"/>
      <c r="E145" s="529"/>
      <c r="F145" s="509"/>
      <c r="G145" s="509"/>
      <c r="H145" s="530" t="s">
        <v>136</v>
      </c>
      <c r="I145" s="531"/>
      <c r="J145" s="532"/>
      <c r="K145" s="533"/>
      <c r="L145" s="534"/>
      <c r="M145" s="886">
        <f>M144*(1-$I145)</f>
        <v>0</v>
      </c>
      <c r="N145" s="887"/>
      <c r="O145" s="535">
        <f>O144*(1-$I145)</f>
        <v>0</v>
      </c>
      <c r="P145" s="511"/>
      <c r="S145" s="32"/>
      <c r="T145" s="2"/>
      <c r="U145" s="2"/>
      <c r="V145" s="2"/>
      <c r="W145" s="2"/>
      <c r="X145" s="2"/>
      <c r="Y145" s="47"/>
      <c r="Z145" s="47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</row>
    <row r="146" spans="1:46" ht="3.75" customHeight="1" x14ac:dyDescent="0.2">
      <c r="A146" s="507"/>
      <c r="B146" s="508"/>
      <c r="C146" s="527"/>
      <c r="D146" s="527"/>
      <c r="E146" s="529"/>
      <c r="F146" s="509"/>
      <c r="G146" s="509"/>
      <c r="H146" s="536"/>
      <c r="I146" s="536"/>
      <c r="J146" s="536"/>
      <c r="K146" s="536"/>
      <c r="L146" s="537"/>
      <c r="M146" s="536"/>
      <c r="N146" s="538"/>
      <c r="O146" s="538"/>
      <c r="P146" s="511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</row>
    <row r="147" spans="1:46" x14ac:dyDescent="0.2">
      <c r="A147" s="507"/>
      <c r="B147" s="508" t="str">
        <f>VLOOKUP("tool_cbd",translation,VLOOKUP(J2,languages,2,FALSE),FALSE)</f>
        <v>Tooling acc. to breakdown (Section 4)</v>
      </c>
      <c r="C147" s="527"/>
      <c r="D147" s="527"/>
      <c r="E147" s="529"/>
      <c r="F147" s="509"/>
      <c r="G147" s="509"/>
      <c r="H147" s="509"/>
      <c r="I147" s="509" t="str">
        <f>LEFT($D$7,3)</f>
        <v>EUR</v>
      </c>
      <c r="J147" s="888">
        <f>O121</f>
        <v>85000</v>
      </c>
      <c r="K147" s="889"/>
      <c r="L147" s="889"/>
      <c r="M147" s="889"/>
      <c r="N147" s="889"/>
      <c r="O147" s="890"/>
      <c r="P147" s="511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</row>
    <row r="148" spans="1:46" ht="13.6" x14ac:dyDescent="0.25">
      <c r="A148" s="507"/>
      <c r="B148" s="508" t="str">
        <f>VLOOKUP("tool_neg",translation,VLOOKUP(J2,languages,2,FALSE),FALSE)</f>
        <v>Negotiated tooling amount</v>
      </c>
      <c r="C148" s="508"/>
      <c r="D148" s="508"/>
      <c r="E148" s="509"/>
      <c r="F148" s="509"/>
      <c r="G148" s="509"/>
      <c r="H148" s="509"/>
      <c r="I148" s="509" t="str">
        <f>LEFT($D$7,3)</f>
        <v>EUR</v>
      </c>
      <c r="J148" s="868">
        <f>$O$121</f>
        <v>85000</v>
      </c>
      <c r="K148" s="869"/>
      <c r="L148" s="869"/>
      <c r="M148" s="869"/>
      <c r="N148" s="869"/>
      <c r="O148" s="870"/>
      <c r="P148" s="511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</row>
    <row r="149" spans="1:46" ht="13.6" x14ac:dyDescent="0.25">
      <c r="A149" s="507"/>
      <c r="B149" s="508" t="str">
        <f>VLOOKUP("pay_add",translation,VLOOKUP(J2,languages,2,FALSE),FALSE)</f>
        <v>Additional (one time payment)</v>
      </c>
      <c r="C149" s="508"/>
      <c r="D149" s="508"/>
      <c r="E149" s="509"/>
      <c r="F149" s="509"/>
      <c r="G149" s="509"/>
      <c r="H149" s="509"/>
      <c r="I149" s="509" t="str">
        <f>LEFT($D$7,3)</f>
        <v>EUR</v>
      </c>
      <c r="J149" s="868"/>
      <c r="K149" s="869"/>
      <c r="L149" s="869"/>
      <c r="M149" s="869"/>
      <c r="N149" s="869"/>
      <c r="O149" s="870"/>
      <c r="P149" s="511"/>
      <c r="Y149" s="51" t="str">
        <f>VLOOKUP("pos_numb",translation,VLOOKUP(J2,languages,2,FALSE),FALSE)</f>
        <v>&lt;-- Enter as positive number</v>
      </c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</row>
    <row r="150" spans="1:46" ht="4.5999999999999996" customHeight="1" x14ac:dyDescent="0.2">
      <c r="A150" s="507"/>
      <c r="B150" s="508"/>
      <c r="C150" s="508"/>
      <c r="D150" s="508"/>
      <c r="E150" s="509"/>
      <c r="F150" s="509"/>
      <c r="G150" s="509"/>
      <c r="H150" s="509"/>
      <c r="I150" s="509"/>
      <c r="J150" s="509"/>
      <c r="K150" s="509"/>
      <c r="L150" s="509"/>
      <c r="M150" s="509"/>
      <c r="N150" s="509"/>
      <c r="O150" s="509"/>
      <c r="P150" s="511"/>
      <c r="Y150" s="51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</row>
    <row r="151" spans="1:46" ht="13.6" x14ac:dyDescent="0.25">
      <c r="A151" s="507"/>
      <c r="B151" s="539" t="str">
        <f>VLOOKUP("total",translation,VLOOKUP(J2,languages,2,FALSE),FALSE)&amp;" ["&amp;LEFT($D$7,3)&amp;"]"</f>
        <v>Total [EUR]</v>
      </c>
      <c r="C151" s="508"/>
      <c r="D151" s="508"/>
      <c r="E151" s="509"/>
      <c r="F151" s="509"/>
      <c r="G151" s="540" t="str">
        <f>VLOOKUP("lifetime2",translation,VLOOKUP(J2,languages,2,FALSE),FALSE)&amp;" "&amp;MIN(J5,5)&amp;" yrs"</f>
        <v>Lifetime 5 yrs</v>
      </c>
      <c r="H151" s="509"/>
      <c r="I151" s="509" t="str">
        <f>LEFT($D$7,3)</f>
        <v>EUR</v>
      </c>
      <c r="J151" s="541">
        <f>IF(J140=0,0,$J$4*SUMPRODUCT($S140:$S144,J140:J144)/PUC+$J$148-$J$149)</f>
        <v>375708.03506794723</v>
      </c>
      <c r="K151" s="541">
        <f>IF(K140=0,0,$J$4*SUMPRODUCT($S140:$S144,K140:K144)/PUC+$J$148-$J$149)</f>
        <v>377052.50644186034</v>
      </c>
      <c r="L151" s="541">
        <f>IF(L140=0,0,$J$4*SUMPRODUCT($S140:$S144,L140:L144)/PUC+$J$148-$J$149)</f>
        <v>410664.29078968638</v>
      </c>
      <c r="M151" s="871">
        <f>IF(M140=0,0,$J$4*SUMPRODUCT($S140:$S144,M140:M144)+$J$148-$J$149)/PUC</f>
        <v>0</v>
      </c>
      <c r="N151" s="872"/>
      <c r="O151" s="541">
        <f>IF(O140=0,0,$J$4*SUMPRODUCT($S140:$S144,O140:O144)+$J$148-$J$149)/PUC</f>
        <v>0</v>
      </c>
      <c r="P151" s="511"/>
      <c r="Y151" s="51" t="str">
        <f>VLOOKUP("max_lft",translation,VLOOKUP(J2,languages,2,FALSE),FALSE)</f>
        <v>&lt;-- Max lifetime limited to 5 years</v>
      </c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</row>
    <row r="152" spans="1:46" ht="12.75" customHeight="1" x14ac:dyDescent="0.2">
      <c r="A152" s="507"/>
      <c r="B152" s="508" t="str">
        <f>VLOOKUP("comments",translation,VLOOKUP(J2,languages,2,FALSE),FALSE)</f>
        <v>Additional comments/benefits if sourced</v>
      </c>
      <c r="C152" s="508"/>
      <c r="D152" s="508"/>
      <c r="E152" s="509"/>
      <c r="F152" s="509"/>
      <c r="G152" s="873"/>
      <c r="H152" s="874"/>
      <c r="I152" s="874"/>
      <c r="J152" s="874"/>
      <c r="K152" s="874"/>
      <c r="L152" s="874"/>
      <c r="M152" s="874"/>
      <c r="N152" s="874"/>
      <c r="O152" s="875"/>
      <c r="P152" s="511"/>
      <c r="R152"/>
      <c r="S152"/>
      <c r="T152"/>
      <c r="U152"/>
      <c r="V152"/>
      <c r="W152"/>
      <c r="X152"/>
      <c r="Y152" s="131"/>
      <c r="Z152" s="131"/>
      <c r="AA152" s="131"/>
      <c r="AB152" s="131"/>
      <c r="AC152" s="131"/>
      <c r="AD152" s="131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</row>
    <row r="153" spans="1:46" x14ac:dyDescent="0.2">
      <c r="A153" s="507"/>
      <c r="B153" s="508"/>
      <c r="C153" s="508"/>
      <c r="D153" s="508"/>
      <c r="E153" s="508"/>
      <c r="F153" s="508"/>
      <c r="G153" s="876"/>
      <c r="H153" s="877"/>
      <c r="I153" s="877"/>
      <c r="J153" s="877"/>
      <c r="K153" s="877"/>
      <c r="L153" s="877"/>
      <c r="M153" s="877"/>
      <c r="N153" s="877"/>
      <c r="O153" s="878"/>
      <c r="P153" s="511"/>
      <c r="R153"/>
      <c r="S153"/>
      <c r="T153"/>
      <c r="U153"/>
      <c r="V153"/>
      <c r="W153"/>
      <c r="X153"/>
      <c r="Y153" s="131"/>
      <c r="Z153" s="131"/>
      <c r="AA153" s="131"/>
      <c r="AB153" s="131"/>
      <c r="AC153" s="131"/>
      <c r="AD153" s="131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</row>
    <row r="154" spans="1:46" ht="3.75" customHeight="1" thickBot="1" x14ac:dyDescent="0.25">
      <c r="A154" s="542"/>
      <c r="B154" s="543"/>
      <c r="C154" s="543"/>
      <c r="D154" s="543"/>
      <c r="E154" s="543"/>
      <c r="F154" s="543"/>
      <c r="G154" s="543"/>
      <c r="H154" s="543"/>
      <c r="I154" s="543"/>
      <c r="J154" s="543"/>
      <c r="K154" s="543"/>
      <c r="L154" s="543"/>
      <c r="M154" s="543"/>
      <c r="N154" s="543"/>
      <c r="O154" s="543"/>
      <c r="P154" s="544"/>
      <c r="R154"/>
      <c r="S154"/>
      <c r="T154"/>
      <c r="U154"/>
      <c r="V154"/>
      <c r="W154"/>
      <c r="X154"/>
      <c r="Y154" s="131"/>
      <c r="Z154" s="131"/>
      <c r="AA154" s="131"/>
      <c r="AB154" s="131"/>
      <c r="AC154" s="131"/>
      <c r="AD154" s="131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</row>
    <row r="155" spans="1:46" ht="3.75" customHeight="1" thickBot="1" x14ac:dyDescent="0.25">
      <c r="A155" s="377"/>
      <c r="B155" s="377"/>
      <c r="C155" s="377"/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R155"/>
      <c r="S155"/>
      <c r="T155"/>
      <c r="U155"/>
      <c r="V155"/>
      <c r="W155"/>
      <c r="X155"/>
      <c r="Y155" s="131"/>
      <c r="Z155" s="131"/>
      <c r="AA155" s="131"/>
      <c r="AB155" s="131"/>
      <c r="AC155" s="131"/>
      <c r="AD155" s="131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</row>
    <row r="156" spans="1:46" ht="13.6" x14ac:dyDescent="0.25">
      <c r="A156" s="545"/>
      <c r="B156" s="546"/>
      <c r="C156" s="546"/>
      <c r="D156" s="546"/>
      <c r="E156" s="546"/>
      <c r="F156" s="547" t="str">
        <f>VLOOKUP("price_view",translation,VLOOKUP(J2,languages,2,FALSE),FALSE)&amp;": "&amp; N7&amp;" ("&amp;N8&amp;")"</f>
        <v>Pricing Overview: Housing ()</v>
      </c>
      <c r="G156" s="547"/>
      <c r="H156" s="548"/>
      <c r="I156" s="548"/>
      <c r="J156" s="548"/>
      <c r="K156" s="548"/>
      <c r="L156" s="549" t="str">
        <f>LEFT($D$7,3)</f>
        <v>EUR</v>
      </c>
      <c r="M156" s="548"/>
      <c r="N156" s="548"/>
      <c r="O156" s="548"/>
      <c r="P156" s="550"/>
      <c r="R156"/>
      <c r="S156"/>
      <c r="T156"/>
      <c r="U156"/>
      <c r="V156"/>
      <c r="W156"/>
      <c r="X156"/>
      <c r="Y156" s="131"/>
      <c r="Z156" s="131"/>
      <c r="AA156" s="131"/>
      <c r="AB156" s="131"/>
      <c r="AC156" s="131"/>
      <c r="AD156" s="131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</row>
    <row r="157" spans="1:46" ht="13.6" x14ac:dyDescent="0.25">
      <c r="A157" s="551"/>
      <c r="B157" s="552"/>
      <c r="C157" s="552"/>
      <c r="D157" s="552"/>
      <c r="E157" s="552"/>
      <c r="F157" s="182" t="str">
        <f>VLOOKUP("dmat",translation,VLOOKUP(J2,languages,2,FALSE),FALSE)</f>
        <v>Direct Material</v>
      </c>
      <c r="G157" s="182"/>
      <c r="H157" s="183"/>
      <c r="I157" s="183"/>
      <c r="J157" s="183"/>
      <c r="K157" s="183"/>
      <c r="L157" s="138">
        <f>SUM(L158:L160)</f>
        <v>4.6822314600000006</v>
      </c>
      <c r="M157" s="139">
        <f t="shared" ref="M157:M171" si="38">IF(AND(ISNUMBER($L$171),$L$171&gt;0),L157/$L$171,0)</f>
        <v>0.6225657892992178</v>
      </c>
      <c r="N157" s="553"/>
      <c r="O157" s="553"/>
      <c r="P157" s="554"/>
      <c r="R157"/>
      <c r="S157"/>
      <c r="T157"/>
      <c r="U157"/>
      <c r="V157"/>
      <c r="W157"/>
      <c r="X157"/>
      <c r="Y157" s="131"/>
      <c r="Z157" s="131"/>
      <c r="AA157" s="131"/>
      <c r="AB157" s="131"/>
      <c r="AC157" s="131"/>
      <c r="AD157" s="131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</row>
    <row r="158" spans="1:46" x14ac:dyDescent="0.2">
      <c r="A158" s="551"/>
      <c r="B158" s="552"/>
      <c r="C158" s="552"/>
      <c r="D158" s="552"/>
      <c r="E158" s="552"/>
      <c r="F158" s="555" t="str">
        <f>VLOOKUP("mat",translation,VLOOKUP(J2,languages,2,FALSE),FALSE)</f>
        <v>Material</v>
      </c>
      <c r="G158" s="555"/>
      <c r="H158" s="556"/>
      <c r="I158" s="556"/>
      <c r="J158" s="556"/>
      <c r="K158" s="556"/>
      <c r="L158" s="557">
        <f>(S12+U12)/PUC</f>
        <v>4.5900000000000007</v>
      </c>
      <c r="M158" s="558">
        <f t="shared" si="38"/>
        <v>0.61030237340795823</v>
      </c>
      <c r="N158" s="553"/>
      <c r="O158" s="553"/>
      <c r="P158" s="554"/>
      <c r="R158"/>
      <c r="S158"/>
      <c r="T158"/>
      <c r="U158"/>
      <c r="V158"/>
      <c r="W158"/>
      <c r="X158"/>
      <c r="Y158" s="131"/>
      <c r="Z158" s="131"/>
      <c r="AA158" s="131"/>
      <c r="AB158" s="131"/>
      <c r="AC158" s="131"/>
      <c r="AD158" s="131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</row>
    <row r="159" spans="1:46" x14ac:dyDescent="0.2">
      <c r="A159" s="551"/>
      <c r="B159" s="552"/>
      <c r="C159" s="552"/>
      <c r="D159" s="552"/>
      <c r="E159" s="552"/>
      <c r="F159" s="559" t="str">
        <f>VLOOKUP("purch_parts",translation,VLOOKUP(J2,languages,2,FALSE),FALSE)</f>
        <v>Purchased Parts</v>
      </c>
      <c r="G159" s="559"/>
      <c r="H159" s="560"/>
      <c r="I159" s="560"/>
      <c r="J159" s="560"/>
      <c r="K159" s="560"/>
      <c r="L159" s="561">
        <f>(S35+U35)/PUC</f>
        <v>0</v>
      </c>
      <c r="M159" s="562">
        <f t="shared" si="38"/>
        <v>0</v>
      </c>
      <c r="N159" s="553"/>
      <c r="O159" s="553"/>
      <c r="P159" s="554"/>
      <c r="R159"/>
      <c r="S159"/>
      <c r="T159"/>
      <c r="U159"/>
      <c r="V159"/>
      <c r="W159"/>
      <c r="X159"/>
      <c r="Y159" s="131"/>
      <c r="Z159" s="131"/>
      <c r="AA159" s="131"/>
      <c r="AB159" s="131"/>
      <c r="AC159" s="131"/>
      <c r="AD159" s="131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</row>
    <row r="160" spans="1:46" x14ac:dyDescent="0.2">
      <c r="A160" s="551"/>
      <c r="B160" s="552"/>
      <c r="C160" s="552"/>
      <c r="D160" s="552"/>
      <c r="E160" s="552"/>
      <c r="F160" s="559" t="str">
        <f>VLOOKUP("moh2",translation,VLOOKUP(J2,languages,2,FALSE),FALSE)</f>
        <v>Material OH</v>
      </c>
      <c r="G160" s="559"/>
      <c r="H160" s="560"/>
      <c r="I160" s="560"/>
      <c r="J160" s="560"/>
      <c r="K160" s="560"/>
      <c r="L160" s="561">
        <f>O62/PUC</f>
        <v>9.2231460000000015E-2</v>
      </c>
      <c r="M160" s="562">
        <f t="shared" si="38"/>
        <v>1.2263415891259514E-2</v>
      </c>
      <c r="N160" s="553"/>
      <c r="O160" s="553"/>
      <c r="P160" s="554"/>
      <c r="R160"/>
      <c r="S160"/>
      <c r="T160"/>
      <c r="U160"/>
      <c r="V160"/>
      <c r="W160"/>
      <c r="X160"/>
      <c r="Y160" s="131"/>
      <c r="Z160" s="131"/>
      <c r="AA160" s="131"/>
      <c r="AB160" s="131"/>
      <c r="AC160" s="131"/>
      <c r="AD160" s="131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</row>
    <row r="161" spans="1:70" ht="13.6" x14ac:dyDescent="0.25">
      <c r="A161" s="551"/>
      <c r="B161" s="552"/>
      <c r="C161" s="552"/>
      <c r="D161" s="552"/>
      <c r="E161" s="552"/>
      <c r="F161" s="184" t="str">
        <f>VLOOKUP("mc2",translation,VLOOKUP(J2,languages,2,FALSE),FALSE)</f>
        <v>Production Cost</v>
      </c>
      <c r="G161" s="185"/>
      <c r="H161" s="186"/>
      <c r="I161" s="186"/>
      <c r="J161" s="186"/>
      <c r="K161" s="186"/>
      <c r="L161" s="107">
        <f>SUM(L162:L166)</f>
        <v>2.1056248210000001</v>
      </c>
      <c r="M161" s="126">
        <f t="shared" si="38"/>
        <v>0.27997120386993618</v>
      </c>
      <c r="N161" s="553"/>
      <c r="O161" s="553"/>
      <c r="P161" s="554"/>
      <c r="R161"/>
      <c r="S161"/>
      <c r="T161"/>
      <c r="U161"/>
      <c r="V161"/>
      <c r="W161"/>
      <c r="X161"/>
      <c r="Y161" s="131"/>
      <c r="Z161" s="131"/>
      <c r="AA161" s="131"/>
      <c r="AB161" s="131"/>
      <c r="AC161" s="131"/>
      <c r="AD161" s="131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</row>
    <row r="162" spans="1:70" x14ac:dyDescent="0.2">
      <c r="A162" s="551"/>
      <c r="B162" s="552"/>
      <c r="C162" s="552"/>
      <c r="D162" s="552"/>
      <c r="E162" s="552"/>
      <c r="F162" s="563" t="str">
        <f>VLOOKUP("mach_cost2",translation,VLOOKUP(J2,languages,2,FALSE),FALSE)</f>
        <v>Machine Cost</v>
      </c>
      <c r="G162" s="563"/>
      <c r="H162" s="564"/>
      <c r="I162" s="564"/>
      <c r="J162" s="564"/>
      <c r="K162" s="564"/>
      <c r="L162" s="565">
        <f>S64/PUC</f>
        <v>1.4089609999999999</v>
      </c>
      <c r="M162" s="566">
        <f t="shared" si="38"/>
        <v>0.18734035780811548</v>
      </c>
      <c r="N162" s="553"/>
      <c r="O162" s="553"/>
      <c r="P162" s="554"/>
      <c r="R162"/>
      <c r="S162"/>
      <c r="T162"/>
      <c r="U162"/>
      <c r="V162"/>
      <c r="W162"/>
      <c r="X162"/>
      <c r="Y162" s="131"/>
      <c r="Z162" s="131"/>
      <c r="AA162" s="131"/>
      <c r="AB162" s="131"/>
      <c r="AC162" s="131"/>
      <c r="AD162" s="131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</row>
    <row r="163" spans="1:70" x14ac:dyDescent="0.2">
      <c r="A163" s="551"/>
      <c r="B163" s="552"/>
      <c r="C163" s="552"/>
      <c r="D163" s="552"/>
      <c r="E163" s="552"/>
      <c r="F163" s="567" t="str">
        <f>VLOOKUP("dl",translation,VLOOKUP(J2,languages,2,FALSE),FALSE)</f>
        <v>Direct Labour</v>
      </c>
      <c r="G163" s="567"/>
      <c r="H163" s="568"/>
      <c r="I163" s="568"/>
      <c r="J163" s="568"/>
      <c r="K163" s="568"/>
      <c r="L163" s="569">
        <f>T64/PUC</f>
        <v>0.40656999999999999</v>
      </c>
      <c r="M163" s="570">
        <f t="shared" si="38"/>
        <v>5.4058962082020379E-2</v>
      </c>
      <c r="N163" s="553"/>
      <c r="O163" s="553"/>
      <c r="P163" s="554"/>
      <c r="R163"/>
      <c r="S163"/>
      <c r="T163"/>
      <c r="U163"/>
      <c r="V163"/>
      <c r="W163"/>
      <c r="X163"/>
      <c r="Y163" s="131"/>
      <c r="Z163" s="131"/>
      <c r="AA163" s="131"/>
      <c r="AB163" s="131"/>
      <c r="AC163" s="131"/>
      <c r="AD163" s="131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</row>
    <row r="164" spans="1:70" x14ac:dyDescent="0.2">
      <c r="A164" s="551"/>
      <c r="B164" s="552"/>
      <c r="C164" s="552"/>
      <c r="D164" s="552"/>
      <c r="E164" s="552"/>
      <c r="F164" s="567" t="str">
        <f>VLOOKUP("poh2",translation,VLOOKUP(J2,languages,2,FALSE),FALSE)</f>
        <v>Production OH</v>
      </c>
      <c r="G164" s="567"/>
      <c r="H164" s="568"/>
      <c r="I164" s="568"/>
      <c r="J164" s="568"/>
      <c r="K164" s="568"/>
      <c r="L164" s="569">
        <f>O91/PUC</f>
        <v>8.3468820999999999E-2</v>
      </c>
      <c r="M164" s="570">
        <f t="shared" si="38"/>
        <v>1.1098304915438784E-2</v>
      </c>
      <c r="N164" s="553"/>
      <c r="O164" s="553"/>
      <c r="P164" s="554"/>
      <c r="R164"/>
      <c r="S164"/>
      <c r="T164"/>
      <c r="U164"/>
      <c r="V164"/>
      <c r="W164"/>
      <c r="X164"/>
      <c r="Y164" s="131"/>
      <c r="Z164" s="131"/>
      <c r="AA164" s="131"/>
      <c r="AB164" s="131"/>
      <c r="AC164" s="131"/>
      <c r="AD164" s="131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</row>
    <row r="165" spans="1:70" x14ac:dyDescent="0.2">
      <c r="A165" s="551"/>
      <c r="B165" s="552"/>
      <c r="C165" s="552"/>
      <c r="D165" s="552"/>
      <c r="E165" s="552"/>
      <c r="F165" s="567" t="str">
        <f>VLOOKUP("setup_cost2",translation,VLOOKUP(J2,languages,2,FALSE),FALSE)</f>
        <v>Setup Costs</v>
      </c>
      <c r="G165" s="567"/>
      <c r="H165" s="568"/>
      <c r="I165" s="568"/>
      <c r="J165" s="568"/>
      <c r="K165" s="568"/>
      <c r="L165" s="569">
        <f>U64/PUC</f>
        <v>0.206625</v>
      </c>
      <c r="M165" s="570">
        <f t="shared" si="38"/>
        <v>2.7473579064361518E-2</v>
      </c>
      <c r="N165" s="553"/>
      <c r="O165" s="553"/>
      <c r="P165" s="554"/>
      <c r="R165"/>
      <c r="S165"/>
      <c r="T165"/>
      <c r="U165"/>
      <c r="V165"/>
      <c r="W165"/>
      <c r="X165"/>
      <c r="Y165" s="131"/>
      <c r="Z165" s="131"/>
      <c r="AA165" s="131"/>
      <c r="AB165" s="131"/>
      <c r="AC165" s="131"/>
      <c r="AD165" s="131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</row>
    <row r="166" spans="1:70" x14ac:dyDescent="0.2">
      <c r="A166" s="551"/>
      <c r="B166" s="552"/>
      <c r="C166" s="552"/>
      <c r="D166" s="552"/>
      <c r="E166" s="552"/>
      <c r="F166" s="567" t="str">
        <f>VLOOKUP("tool_cost2",translation,VLOOKUP(J2,languages,2,FALSE),FALSE)</f>
        <v>Tooling Costs</v>
      </c>
      <c r="G166" s="567"/>
      <c r="H166" s="568"/>
      <c r="I166" s="568"/>
      <c r="J166" s="568"/>
      <c r="K166" s="568"/>
      <c r="L166" s="569">
        <f>V64/PUC</f>
        <v>0</v>
      </c>
      <c r="M166" s="570">
        <f t="shared" si="38"/>
        <v>0</v>
      </c>
      <c r="N166" s="553"/>
      <c r="O166" s="553"/>
      <c r="P166" s="554"/>
      <c r="R166"/>
      <c r="S166"/>
      <c r="T166"/>
      <c r="U166"/>
      <c r="V166"/>
      <c r="W166"/>
      <c r="X166"/>
      <c r="Y166" s="131"/>
      <c r="Z166" s="131"/>
      <c r="AA166" s="131"/>
      <c r="AB166" s="131"/>
      <c r="AC166" s="131"/>
      <c r="AD166" s="131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</row>
    <row r="167" spans="1:70" ht="13.6" x14ac:dyDescent="0.25">
      <c r="A167" s="551"/>
      <c r="B167" s="552"/>
      <c r="C167" s="552"/>
      <c r="D167" s="552"/>
      <c r="E167" s="552"/>
      <c r="F167" s="187" t="str">
        <f>VLOOKUP("scrap_cost2",translation,VLOOKUP(J2,languages,2,FALSE),FALSE)</f>
        <v>Scrap Costs</v>
      </c>
      <c r="G167" s="187"/>
      <c r="H167" s="188"/>
      <c r="I167" s="188"/>
      <c r="J167" s="188"/>
      <c r="K167" s="188"/>
      <c r="L167" s="142">
        <f>(O92)/PUC</f>
        <v>9.8941000000000001E-2</v>
      </c>
      <c r="M167" s="143">
        <f t="shared" si="38"/>
        <v>1.3155539679162699E-2</v>
      </c>
      <c r="N167" s="553"/>
      <c r="O167" s="553"/>
      <c r="P167" s="554"/>
      <c r="R167"/>
      <c r="S167"/>
      <c r="T167"/>
      <c r="U167"/>
      <c r="V167"/>
      <c r="W167"/>
      <c r="X167" s="128"/>
      <c r="Y167" s="35"/>
      <c r="Z167" s="35"/>
      <c r="AA167" s="131"/>
      <c r="AB167" s="131"/>
      <c r="AC167" s="131"/>
      <c r="AD167" s="131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</row>
    <row r="168" spans="1:70" ht="13.6" x14ac:dyDescent="0.25">
      <c r="A168" s="551"/>
      <c r="B168" s="552"/>
      <c r="C168" s="552"/>
      <c r="D168" s="552"/>
      <c r="E168" s="552"/>
      <c r="F168" s="189" t="str">
        <f>VLOOKUP("ohs",translation,VLOOKUP(J2,languages,2,FALSE),FALSE)</f>
        <v>Overheads (SG&amp;A;Eng)</v>
      </c>
      <c r="G168" s="189"/>
      <c r="H168" s="190"/>
      <c r="I168" s="190"/>
      <c r="J168" s="190"/>
      <c r="K168" s="190"/>
      <c r="L168" s="74">
        <f>(O97+O98)/PUC</f>
        <v>0.18108373460599997</v>
      </c>
      <c r="M168" s="127">
        <f t="shared" si="38"/>
        <v>2.4077523532814508E-2</v>
      </c>
      <c r="N168" s="553"/>
      <c r="O168" s="553"/>
      <c r="P168" s="554"/>
      <c r="R168"/>
      <c r="S168"/>
      <c r="T168"/>
      <c r="U168"/>
      <c r="V168"/>
      <c r="W168"/>
      <c r="X168" s="128"/>
      <c r="Y168" s="129" t="str">
        <f>"&lt;- "&amp;TEXT(IF($L$171&gt;0,SUM(L160,L162,L164:L166,L168:L170)/$L$171,0),"0%")&amp; " " &amp; VLOOKUP("contr",translation,VLOOKUP(J2,languages,2,FALSE),FALSE)</f>
        <v>&lt;- 32% Contribution Margin</v>
      </c>
      <c r="Z168" s="130"/>
      <c r="AA168" s="129"/>
      <c r="AB168"/>
      <c r="AC168"/>
      <c r="AD168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</row>
    <row r="169" spans="1:70" ht="13.6" x14ac:dyDescent="0.25">
      <c r="A169" s="551"/>
      <c r="B169" s="552"/>
      <c r="C169" s="552"/>
      <c r="D169" s="552"/>
      <c r="E169" s="552"/>
      <c r="F169" s="571" t="str">
        <f>VLOOKUP("special_cost",translation,VLOOKUP(J2,languages,2,FALSE),FALSE)</f>
        <v>Special Costs</v>
      </c>
      <c r="G169" s="571"/>
      <c r="H169" s="572"/>
      <c r="I169" s="572"/>
      <c r="J169" s="572"/>
      <c r="K169" s="572"/>
      <c r="L169" s="573">
        <f>(O99+O100)/PUC</f>
        <v>0</v>
      </c>
      <c r="M169" s="574">
        <f t="shared" si="38"/>
        <v>0</v>
      </c>
      <c r="N169" s="553"/>
      <c r="O169" s="553"/>
      <c r="P169" s="554"/>
      <c r="R169"/>
      <c r="S169"/>
      <c r="T169"/>
      <c r="U169"/>
      <c r="V169"/>
      <c r="W169"/>
      <c r="X169"/>
      <c r="Y169" s="129" t="str">
        <f>"&lt;- "&amp;TEXT(IF($L$171&gt;0,SUM(L168:L170)/$L$171,0),"0%")&amp;" "&amp; VLOOKUP("gross_margin",translation,VLOOKUP(J2,languages,2,FALSE),FALSE)</f>
        <v>&lt;- 8% Gross Margin</v>
      </c>
      <c r="Z169" s="130"/>
      <c r="AA169" s="129"/>
      <c r="AB169"/>
      <c r="AC169"/>
      <c r="AD169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</row>
    <row r="170" spans="1:70" ht="13.6" x14ac:dyDescent="0.25">
      <c r="A170" s="551"/>
      <c r="B170" s="552"/>
      <c r="C170" s="552"/>
      <c r="D170" s="552"/>
      <c r="E170" s="552"/>
      <c r="F170" s="191" t="str">
        <f>VLOOKUP("profit3",translation,VLOOKUP(J2,languages,2,FALSE),FALSE)</f>
        <v>Profit</v>
      </c>
      <c r="G170" s="191"/>
      <c r="H170" s="192"/>
      <c r="I170" s="192"/>
      <c r="J170" s="192"/>
      <c r="K170" s="192"/>
      <c r="L170" s="140">
        <f>(O101+O102+O103)/PUC</f>
        <v>0.45298110126439012</v>
      </c>
      <c r="M170" s="141">
        <f t="shared" si="38"/>
        <v>6.0229943618868832E-2</v>
      </c>
      <c r="N170" s="553"/>
      <c r="O170" s="553"/>
      <c r="P170" s="554"/>
      <c r="R170"/>
      <c r="S170"/>
      <c r="T170"/>
      <c r="U170"/>
      <c r="V170"/>
      <c r="W170"/>
      <c r="X170"/>
      <c r="Y170" s="131"/>
      <c r="Z170" s="131"/>
      <c r="AA170" s="131"/>
      <c r="AB170" s="131"/>
      <c r="AC170" s="131"/>
      <c r="AD170" s="131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</row>
    <row r="171" spans="1:70" ht="13.6" x14ac:dyDescent="0.25">
      <c r="A171" s="575"/>
      <c r="B171" s="552"/>
      <c r="C171" s="552"/>
      <c r="D171" s="552"/>
      <c r="E171" s="552"/>
      <c r="F171" s="193" t="str">
        <f>VLOOKUP("price2",translation,VLOOKUP(J2,languages,2,FALSE),FALSE)</f>
        <v>Pricing acc. to breakdown</v>
      </c>
      <c r="G171" s="193"/>
      <c r="H171" s="194"/>
      <c r="I171" s="194"/>
      <c r="J171" s="194"/>
      <c r="K171" s="194"/>
      <c r="L171" s="136">
        <f>SUM(L157,L161,L167,L168,L169,L170)</f>
        <v>7.5208621168703909</v>
      </c>
      <c r="M171" s="137">
        <f t="shared" si="38"/>
        <v>1</v>
      </c>
      <c r="N171" s="576"/>
      <c r="O171" s="577"/>
      <c r="P171" s="554"/>
      <c r="R171"/>
      <c r="S171"/>
      <c r="T171"/>
      <c r="U171"/>
      <c r="V171"/>
      <c r="W171"/>
      <c r="X171"/>
      <c r="Y171" s="35"/>
      <c r="Z171" s="35"/>
      <c r="AA171" s="131"/>
      <c r="AB171" s="131"/>
      <c r="AC171" s="131"/>
      <c r="AD171" s="131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</row>
    <row r="172" spans="1:70" x14ac:dyDescent="0.2">
      <c r="A172" s="551"/>
      <c r="B172" s="552"/>
      <c r="C172" s="552"/>
      <c r="D172" s="552"/>
      <c r="E172" s="552"/>
      <c r="F172" s="578" t="str">
        <f>VLOOKUP("pack",translation,VLOOKUP(J2,languages,2,FALSE),FALSE)&amp;" ("&amp;$K$112&amp;")"</f>
        <v>Packaging (returnable)</v>
      </c>
      <c r="G172" s="578"/>
      <c r="H172" s="579"/>
      <c r="I172" s="579"/>
      <c r="J172" s="579"/>
      <c r="K172" s="579"/>
      <c r="L172" s="580">
        <f>IF(K112="none",0,VLOOKUP(K112,B$108:O$109,14,0)/PUC)</f>
        <v>3.4782608695652174E-2</v>
      </c>
      <c r="M172" s="581"/>
      <c r="N172" s="553"/>
      <c r="O172" s="553"/>
      <c r="P172" s="554"/>
      <c r="R172"/>
      <c r="S172"/>
      <c r="T172"/>
      <c r="U172"/>
      <c r="V172"/>
      <c r="W172"/>
      <c r="X172"/>
      <c r="Y172" s="131"/>
      <c r="Z172" s="131"/>
      <c r="AA172" s="131"/>
      <c r="AB172" s="131"/>
      <c r="AC172" s="131"/>
      <c r="AD172" s="131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</row>
    <row r="173" spans="1:70" x14ac:dyDescent="0.2">
      <c r="A173" s="551"/>
      <c r="B173" s="552"/>
      <c r="C173" s="552"/>
      <c r="D173" s="552"/>
      <c r="E173" s="552"/>
      <c r="F173" s="578" t="str">
        <f>VLOOKUP("logi",translation,VLOOKUP(J2,languages,2,FALSE),FALSE)&amp;" ("&amp;$C$112&amp;" "&amp;$D$112&amp;")"</f>
        <v>Logistics (DDP Hamburg)</v>
      </c>
      <c r="G173" s="578"/>
      <c r="H173" s="579"/>
      <c r="I173" s="579"/>
      <c r="J173" s="579"/>
      <c r="K173" s="579"/>
      <c r="L173" s="582">
        <f>O112/PUC</f>
        <v>0.86956521739130432</v>
      </c>
      <c r="M173" s="581"/>
      <c r="N173" s="553"/>
      <c r="O173" s="553"/>
      <c r="P173" s="554"/>
      <c r="R173"/>
      <c r="S173"/>
      <c r="T173"/>
      <c r="U173"/>
      <c r="V173"/>
      <c r="W173"/>
      <c r="X173"/>
      <c r="Y173" s="131"/>
      <c r="Z173" s="131"/>
      <c r="AA173" s="131"/>
      <c r="AB173" s="131"/>
      <c r="AC173" s="131"/>
      <c r="AD173" s="131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</row>
    <row r="174" spans="1:70" ht="13.6" x14ac:dyDescent="0.25">
      <c r="A174" s="575"/>
      <c r="B174" s="552"/>
      <c r="C174" s="552"/>
      <c r="D174" s="552"/>
      <c r="E174" s="552"/>
      <c r="F174" s="879" t="str">
        <f>VLOOKUP("final",translation,VLOOKUP(J2,languages,2,FALSE),FALSE)&amp;" ("&amp;J117&amp;")"</f>
        <v>Final Price (DDP Hamburg, returnable packaging)</v>
      </c>
      <c r="G174" s="880"/>
      <c r="H174" s="880"/>
      <c r="I174" s="880"/>
      <c r="J174" s="880"/>
      <c r="K174" s="881"/>
      <c r="L174" s="583">
        <f>SUM(L171:L173)</f>
        <v>8.4252099429573466</v>
      </c>
      <c r="M174" s="581"/>
      <c r="N174" s="553"/>
      <c r="O174" s="584"/>
      <c r="P174" s="585"/>
      <c r="R174"/>
      <c r="S174"/>
      <c r="T174"/>
      <c r="U174"/>
      <c r="V174"/>
      <c r="W174"/>
      <c r="X174"/>
      <c r="Y174" s="131"/>
      <c r="Z174" s="131"/>
      <c r="AA174" s="131"/>
      <c r="AB174" s="131"/>
      <c r="AC174" s="131"/>
      <c r="AD174" s="131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</row>
    <row r="175" spans="1:70" ht="5.95" customHeight="1" thickBot="1" x14ac:dyDescent="0.25">
      <c r="A175" s="542"/>
      <c r="B175" s="543"/>
      <c r="C175" s="543"/>
      <c r="D175" s="543"/>
      <c r="E175" s="543"/>
      <c r="F175" s="586"/>
      <c r="G175" s="586"/>
      <c r="H175" s="586"/>
      <c r="I175" s="587"/>
      <c r="J175" s="586"/>
      <c r="K175" s="586"/>
      <c r="L175" s="586"/>
      <c r="M175" s="586"/>
      <c r="N175" s="586"/>
      <c r="O175" s="588"/>
      <c r="P175" s="589"/>
      <c r="R175"/>
      <c r="S175"/>
      <c r="T175"/>
      <c r="U175"/>
      <c r="V175"/>
      <c r="W175"/>
      <c r="X175"/>
      <c r="Y175" s="131"/>
      <c r="Z175" s="131"/>
      <c r="AA175" s="131"/>
      <c r="AB175" s="131"/>
      <c r="AC175" s="131"/>
      <c r="AD175" s="131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</row>
    <row r="176" spans="1:70" ht="14.3" thickBot="1" x14ac:dyDescent="0.3">
      <c r="O176" s="28"/>
      <c r="S176" s="291" t="s">
        <v>791</v>
      </c>
      <c r="T176" s="1"/>
      <c r="V176" s="79"/>
      <c r="W176" s="7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</row>
    <row r="177" spans="5:70" x14ac:dyDescent="0.2">
      <c r="O177" s="28"/>
      <c r="R177" s="1"/>
      <c r="S177" s="292" t="s">
        <v>81</v>
      </c>
      <c r="T177" s="1"/>
      <c r="U177" s="1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</row>
    <row r="178" spans="5:70" x14ac:dyDescent="0.2">
      <c r="O178" s="28"/>
      <c r="S178" s="293" t="s">
        <v>82</v>
      </c>
      <c r="T178" s="1"/>
      <c r="V178" s="79"/>
      <c r="W178" s="7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</row>
    <row r="179" spans="5:70" x14ac:dyDescent="0.2">
      <c r="S179" s="293" t="s">
        <v>83</v>
      </c>
      <c r="T179" s="1"/>
      <c r="V179" s="79"/>
      <c r="W179" s="7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</row>
    <row r="180" spans="5:70" x14ac:dyDescent="0.2">
      <c r="S180" s="293" t="s">
        <v>84</v>
      </c>
      <c r="T180" s="1"/>
      <c r="V180" s="79"/>
      <c r="W180" s="7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</row>
    <row r="181" spans="5:70" ht="13.6" x14ac:dyDescent="0.25">
      <c r="E181" s="29"/>
      <c r="S181" s="293" t="s">
        <v>85</v>
      </c>
      <c r="T181" s="1"/>
      <c r="V181" s="79"/>
      <c r="W181" s="7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</row>
    <row r="182" spans="5:70" x14ac:dyDescent="0.2">
      <c r="F182" s="7"/>
      <c r="G182" s="7"/>
      <c r="S182" s="293" t="s">
        <v>86</v>
      </c>
      <c r="T182" s="1"/>
      <c r="V182" s="79"/>
      <c r="W182" s="7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</row>
    <row r="183" spans="5:70" x14ac:dyDescent="0.2">
      <c r="F183" s="30"/>
      <c r="G183" s="30"/>
      <c r="H183" s="7"/>
      <c r="I183" s="7"/>
      <c r="S183" s="293" t="s">
        <v>87</v>
      </c>
      <c r="T183" s="1"/>
      <c r="V183" s="79"/>
      <c r="W183" s="7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</row>
    <row r="184" spans="5:70" x14ac:dyDescent="0.2">
      <c r="F184" s="30"/>
      <c r="G184" s="30"/>
      <c r="H184" s="30"/>
      <c r="I184" s="30"/>
      <c r="S184" s="293" t="s">
        <v>88</v>
      </c>
      <c r="T184" s="1"/>
      <c r="V184" s="79"/>
      <c r="W184" s="7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</row>
    <row r="185" spans="5:70" x14ac:dyDescent="0.2">
      <c r="F185" s="30"/>
      <c r="G185" s="30"/>
      <c r="H185" s="30"/>
      <c r="I185" s="30"/>
      <c r="S185" s="293" t="s">
        <v>89</v>
      </c>
      <c r="V185" s="79"/>
      <c r="W185" s="7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</row>
    <row r="186" spans="5:70" x14ac:dyDescent="0.2">
      <c r="H186" s="30"/>
      <c r="I186" s="30"/>
      <c r="S186" s="293" t="s">
        <v>90</v>
      </c>
      <c r="V186" s="79"/>
      <c r="W186" s="7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</row>
    <row r="187" spans="5:70" x14ac:dyDescent="0.2">
      <c r="S187" s="293" t="s">
        <v>99</v>
      </c>
      <c r="V187" s="79"/>
      <c r="W187" s="7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</row>
    <row r="188" spans="5:70" ht="13.6" thickBot="1" x14ac:dyDescent="0.25">
      <c r="S188" s="294" t="s">
        <v>91</v>
      </c>
      <c r="V188" s="79"/>
      <c r="W188" s="7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</row>
    <row r="189" spans="5:70" ht="14.3" thickBot="1" x14ac:dyDescent="0.3">
      <c r="S189" s="295" t="s">
        <v>792</v>
      </c>
      <c r="V189" s="79"/>
      <c r="W189" s="7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</row>
    <row r="190" spans="5:70" x14ac:dyDescent="0.2">
      <c r="S190" s="296" t="s">
        <v>793</v>
      </c>
      <c r="V190" s="79"/>
      <c r="W190" s="7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</row>
    <row r="191" spans="5:70" x14ac:dyDescent="0.2">
      <c r="S191" s="297" t="s">
        <v>794</v>
      </c>
      <c r="V191" s="79"/>
      <c r="W191" s="7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</row>
    <row r="192" spans="5:70" x14ac:dyDescent="0.2">
      <c r="S192" s="297" t="s">
        <v>795</v>
      </c>
      <c r="V192" s="79"/>
      <c r="W192" s="7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</row>
    <row r="193" spans="19:70" x14ac:dyDescent="0.2">
      <c r="S193" s="297" t="s">
        <v>796</v>
      </c>
      <c r="V193" s="79"/>
      <c r="W193" s="7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</row>
    <row r="194" spans="19:70" x14ac:dyDescent="0.2">
      <c r="S194" s="297" t="s">
        <v>797</v>
      </c>
      <c r="V194" s="79"/>
      <c r="W194" s="7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</row>
    <row r="195" spans="19:70" x14ac:dyDescent="0.2">
      <c r="S195" s="298" t="s">
        <v>798</v>
      </c>
      <c r="V195" s="79"/>
      <c r="W195" s="7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</row>
    <row r="196" spans="19:70" x14ac:dyDescent="0.2">
      <c r="S196" s="298" t="s">
        <v>799</v>
      </c>
      <c r="V196" s="79"/>
      <c r="W196" s="7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</row>
    <row r="197" spans="19:70" x14ac:dyDescent="0.2">
      <c r="S197" s="298" t="s">
        <v>800</v>
      </c>
      <c r="V197" s="79"/>
      <c r="W197" s="7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</row>
    <row r="198" spans="19:70" x14ac:dyDescent="0.2">
      <c r="S198" s="298" t="s">
        <v>801</v>
      </c>
      <c r="V198" s="79"/>
      <c r="W198" s="7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</row>
    <row r="199" spans="19:70" ht="13.6" thickBot="1" x14ac:dyDescent="0.25">
      <c r="S199" s="299" t="s">
        <v>802</v>
      </c>
      <c r="V199" s="79"/>
      <c r="W199" s="7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</row>
    <row r="200" spans="19:70" x14ac:dyDescent="0.2">
      <c r="V200" s="79"/>
      <c r="W200" s="7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</row>
    <row r="201" spans="19:70" x14ac:dyDescent="0.2">
      <c r="V201" s="79"/>
      <c r="W201" s="7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</row>
    <row r="202" spans="19:70" x14ac:dyDescent="0.2">
      <c r="V202" s="79"/>
      <c r="W202" s="7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</row>
    <row r="203" spans="19:70" x14ac:dyDescent="0.2">
      <c r="V203" s="79"/>
      <c r="W203" s="7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</row>
    <row r="204" spans="19:70" x14ac:dyDescent="0.2">
      <c r="V204" s="79"/>
      <c r="W204" s="7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</row>
    <row r="205" spans="19:70" x14ac:dyDescent="0.2">
      <c r="V205" s="79"/>
      <c r="W205" s="7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</row>
    <row r="206" spans="19:70" x14ac:dyDescent="0.2">
      <c r="V206" s="79"/>
      <c r="W206" s="7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</row>
    <row r="207" spans="19:70" x14ac:dyDescent="0.2">
      <c r="V207" s="79"/>
      <c r="W207" s="7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</row>
    <row r="208" spans="19:70" x14ac:dyDescent="0.2">
      <c r="V208" s="79"/>
      <c r="W208" s="7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</row>
    <row r="209" spans="22:70" x14ac:dyDescent="0.2">
      <c r="V209" s="79"/>
      <c r="W209" s="7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</row>
    <row r="210" spans="22:70" x14ac:dyDescent="0.2">
      <c r="V210" s="79"/>
      <c r="W210" s="7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</row>
    <row r="211" spans="22:70" x14ac:dyDescent="0.2">
      <c r="V211" s="79"/>
      <c r="W211" s="7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</row>
    <row r="212" spans="22:70" x14ac:dyDescent="0.2">
      <c r="V212" s="79"/>
      <c r="W212" s="7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</row>
    <row r="213" spans="22:70" x14ac:dyDescent="0.2">
      <c r="V213" s="79"/>
      <c r="W213" s="7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</row>
    <row r="214" spans="22:70" x14ac:dyDescent="0.2">
      <c r="V214" s="79"/>
      <c r="W214" s="7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</row>
    <row r="215" spans="22:70" x14ac:dyDescent="0.2">
      <c r="V215" s="79"/>
      <c r="W215" s="7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</row>
    <row r="216" spans="22:70" x14ac:dyDescent="0.2">
      <c r="V216" s="79"/>
      <c r="W216" s="7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</row>
    <row r="217" spans="22:70" x14ac:dyDescent="0.2">
      <c r="V217" s="79"/>
      <c r="W217" s="7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</row>
    <row r="218" spans="22:70" x14ac:dyDescent="0.2">
      <c r="V218" s="79"/>
      <c r="W218" s="7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</row>
    <row r="219" spans="22:70" x14ac:dyDescent="0.2">
      <c r="V219" s="79"/>
      <c r="W219" s="7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</row>
    <row r="220" spans="22:70" x14ac:dyDescent="0.2">
      <c r="V220" s="79"/>
      <c r="W220" s="7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</row>
    <row r="221" spans="22:70" x14ac:dyDescent="0.2">
      <c r="V221" s="79"/>
      <c r="W221" s="7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</row>
    <row r="222" spans="22:70" x14ac:dyDescent="0.2">
      <c r="V222" s="79"/>
      <c r="W222" s="7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</row>
    <row r="223" spans="22:70" x14ac:dyDescent="0.2">
      <c r="V223" s="79"/>
      <c r="W223" s="7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</row>
    <row r="224" spans="22:70" x14ac:dyDescent="0.2">
      <c r="V224" s="79"/>
      <c r="W224" s="7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</row>
    <row r="225" spans="22:70" x14ac:dyDescent="0.2">
      <c r="V225" s="79"/>
      <c r="W225" s="7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</row>
    <row r="226" spans="22:70" x14ac:dyDescent="0.2">
      <c r="V226" s="79"/>
      <c r="W226" s="7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</row>
    <row r="227" spans="22:70" x14ac:dyDescent="0.2">
      <c r="V227" s="79"/>
      <c r="W227" s="7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</row>
    <row r="228" spans="22:70" x14ac:dyDescent="0.2">
      <c r="V228" s="79"/>
      <c r="W228" s="7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</row>
    <row r="229" spans="22:70" x14ac:dyDescent="0.2">
      <c r="V229" s="79"/>
      <c r="W229" s="7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</row>
    <row r="230" spans="22:70" x14ac:dyDescent="0.2">
      <c r="V230" s="79"/>
      <c r="W230" s="7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</row>
    <row r="231" spans="22:70" x14ac:dyDescent="0.2">
      <c r="V231" s="79"/>
      <c r="W231" s="7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</row>
    <row r="232" spans="22:70" x14ac:dyDescent="0.2">
      <c r="V232" s="79"/>
      <c r="W232" s="7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</row>
    <row r="233" spans="22:70" x14ac:dyDescent="0.2">
      <c r="V233" s="79"/>
      <c r="W233" s="7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</row>
    <row r="234" spans="22:70" x14ac:dyDescent="0.2">
      <c r="V234" s="79"/>
      <c r="W234" s="7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</row>
    <row r="235" spans="22:70" x14ac:dyDescent="0.2">
      <c r="V235" s="79"/>
      <c r="W235" s="7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</row>
    <row r="236" spans="22:70" x14ac:dyDescent="0.2">
      <c r="V236" s="79"/>
      <c r="W236" s="7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</row>
    <row r="237" spans="22:70" x14ac:dyDescent="0.2">
      <c r="V237" s="79"/>
      <c r="W237" s="7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</row>
    <row r="238" spans="22:70" x14ac:dyDescent="0.2">
      <c r="V238" s="79"/>
      <c r="W238" s="7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</row>
    <row r="239" spans="22:70" x14ac:dyDescent="0.2">
      <c r="V239" s="79"/>
      <c r="W239" s="7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</row>
    <row r="240" spans="22:70" x14ac:dyDescent="0.2">
      <c r="V240" s="79"/>
      <c r="W240" s="7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</row>
    <row r="241" spans="22:70" x14ac:dyDescent="0.2">
      <c r="V241" s="79"/>
      <c r="W241" s="7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</row>
    <row r="242" spans="22:70" x14ac:dyDescent="0.2">
      <c r="V242" s="79"/>
      <c r="W242" s="7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</row>
    <row r="243" spans="22:70" x14ac:dyDescent="0.2">
      <c r="V243" s="79"/>
      <c r="W243" s="7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</row>
    <row r="244" spans="22:70" x14ac:dyDescent="0.2">
      <c r="V244" s="79"/>
      <c r="W244" s="7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</row>
    <row r="245" spans="22:70" x14ac:dyDescent="0.2">
      <c r="V245" s="79"/>
      <c r="W245" s="7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</row>
    <row r="246" spans="22:70" x14ac:dyDescent="0.2">
      <c r="V246" s="79"/>
      <c r="W246" s="7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</row>
    <row r="247" spans="22:70" x14ac:dyDescent="0.2">
      <c r="V247" s="79"/>
      <c r="W247" s="7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</row>
    <row r="248" spans="22:70" x14ac:dyDescent="0.2">
      <c r="V248" s="79"/>
      <c r="W248" s="7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</row>
    <row r="249" spans="22:70" x14ac:dyDescent="0.2">
      <c r="V249" s="79"/>
      <c r="W249" s="7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</row>
    <row r="250" spans="22:70" x14ac:dyDescent="0.2">
      <c r="V250" s="79"/>
      <c r="W250" s="7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</row>
    <row r="251" spans="22:70" x14ac:dyDescent="0.2">
      <c r="V251" s="79"/>
      <c r="W251" s="7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</row>
    <row r="252" spans="22:70" x14ac:dyDescent="0.2">
      <c r="V252" s="79"/>
      <c r="W252" s="7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</row>
    <row r="253" spans="22:70" x14ac:dyDescent="0.2">
      <c r="V253" s="79"/>
      <c r="W253" s="7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</row>
    <row r="254" spans="22:70" x14ac:dyDescent="0.2">
      <c r="V254" s="79"/>
      <c r="W254" s="7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</row>
    <row r="255" spans="22:70" x14ac:dyDescent="0.2">
      <c r="V255" s="79"/>
      <c r="W255" s="7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</row>
    <row r="256" spans="22:70" x14ac:dyDescent="0.2">
      <c r="V256" s="79"/>
      <c r="W256" s="7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</row>
    <row r="257" spans="22:70" x14ac:dyDescent="0.2">
      <c r="V257" s="79"/>
      <c r="W257" s="7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</row>
    <row r="258" spans="22:70" x14ac:dyDescent="0.2">
      <c r="V258" s="79"/>
      <c r="W258" s="7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</row>
    <row r="259" spans="22:70" x14ac:dyDescent="0.2">
      <c r="V259" s="79"/>
      <c r="W259" s="7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</row>
    <row r="260" spans="22:70" x14ac:dyDescent="0.2">
      <c r="V260" s="79"/>
      <c r="W260" s="7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</row>
    <row r="261" spans="22:70" x14ac:dyDescent="0.2">
      <c r="V261" s="79"/>
      <c r="W261" s="7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</row>
    <row r="262" spans="22:70" x14ac:dyDescent="0.2">
      <c r="V262" s="79"/>
      <c r="W262" s="7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</row>
    <row r="263" spans="22:70" x14ac:dyDescent="0.2">
      <c r="V263" s="79"/>
      <c r="W263" s="7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</row>
    <row r="264" spans="22:70" x14ac:dyDescent="0.2">
      <c r="V264" s="79"/>
      <c r="W264" s="7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</row>
    <row r="265" spans="22:70" x14ac:dyDescent="0.2">
      <c r="V265" s="79"/>
      <c r="W265" s="7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</row>
    <row r="266" spans="22:70" x14ac:dyDescent="0.2">
      <c r="V266" s="79"/>
      <c r="W266" s="7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</row>
    <row r="267" spans="22:70" x14ac:dyDescent="0.2">
      <c r="V267" s="79"/>
      <c r="W267" s="7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</row>
    <row r="268" spans="22:70" x14ac:dyDescent="0.2">
      <c r="V268" s="79"/>
      <c r="W268" s="7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</row>
    <row r="269" spans="22:70" x14ac:dyDescent="0.2">
      <c r="V269" s="79"/>
      <c r="W269" s="7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</row>
    <row r="270" spans="22:70" x14ac:dyDescent="0.2">
      <c r="V270" s="79"/>
      <c r="W270" s="7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</row>
    <row r="271" spans="22:70" x14ac:dyDescent="0.2">
      <c r="V271" s="79"/>
      <c r="W271" s="7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</row>
    <row r="272" spans="22:70" x14ac:dyDescent="0.2">
      <c r="V272" s="79"/>
      <c r="W272" s="7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</row>
    <row r="273" spans="22:70" x14ac:dyDescent="0.2">
      <c r="V273" s="79"/>
      <c r="W273" s="7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</row>
    <row r="274" spans="22:70" x14ac:dyDescent="0.2">
      <c r="V274" s="79"/>
      <c r="W274" s="7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</row>
    <row r="275" spans="22:70" x14ac:dyDescent="0.2">
      <c r="V275" s="79"/>
      <c r="W275" s="7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</row>
    <row r="276" spans="22:70" x14ac:dyDescent="0.2">
      <c r="V276" s="79"/>
      <c r="W276" s="7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</row>
    <row r="277" spans="22:70" x14ac:dyDescent="0.2">
      <c r="V277" s="79"/>
      <c r="W277" s="7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</row>
    <row r="278" spans="22:70" x14ac:dyDescent="0.2">
      <c r="V278" s="79"/>
      <c r="W278" s="7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</row>
    <row r="279" spans="22:70" x14ac:dyDescent="0.2">
      <c r="V279" s="79"/>
      <c r="W279" s="7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</row>
    <row r="280" spans="22:70" x14ac:dyDescent="0.2">
      <c r="V280" s="79"/>
      <c r="W280" s="7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</row>
    <row r="281" spans="22:70" x14ac:dyDescent="0.2">
      <c r="V281" s="79"/>
      <c r="W281" s="7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</row>
    <row r="282" spans="22:70" x14ac:dyDescent="0.2">
      <c r="V282" s="79"/>
      <c r="W282" s="7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</row>
    <row r="283" spans="22:70" x14ac:dyDescent="0.2">
      <c r="V283" s="79"/>
      <c r="W283" s="7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</row>
    <row r="284" spans="22:70" x14ac:dyDescent="0.2">
      <c r="V284" s="79"/>
      <c r="W284" s="7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</row>
    <row r="285" spans="22:70" x14ac:dyDescent="0.2">
      <c r="V285" s="79"/>
      <c r="W285" s="7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</row>
    <row r="286" spans="22:70" x14ac:dyDescent="0.2">
      <c r="V286" s="79"/>
      <c r="W286" s="7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</row>
    <row r="287" spans="22:70" x14ac:dyDescent="0.2">
      <c r="V287" s="79"/>
      <c r="W287" s="7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</row>
    <row r="288" spans="22:70" x14ac:dyDescent="0.2">
      <c r="V288" s="79"/>
      <c r="W288" s="7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</row>
    <row r="289" spans="22:70" x14ac:dyDescent="0.2">
      <c r="V289" s="79"/>
      <c r="W289" s="7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</row>
    <row r="290" spans="22:70" x14ac:dyDescent="0.2">
      <c r="V290" s="79"/>
      <c r="W290" s="7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</row>
    <row r="291" spans="22:70" x14ac:dyDescent="0.2">
      <c r="V291" s="79"/>
      <c r="W291" s="7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</row>
    <row r="292" spans="22:70" x14ac:dyDescent="0.2">
      <c r="V292" s="79"/>
      <c r="W292" s="7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</row>
    <row r="293" spans="22:70" x14ac:dyDescent="0.2">
      <c r="V293" s="79"/>
      <c r="W293" s="7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</row>
    <row r="294" spans="22:70" x14ac:dyDescent="0.2">
      <c r="V294" s="79"/>
      <c r="W294" s="7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</row>
    <row r="295" spans="22:70" x14ac:dyDescent="0.2">
      <c r="V295" s="79"/>
      <c r="W295" s="7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</row>
    <row r="296" spans="22:70" x14ac:dyDescent="0.2">
      <c r="V296" s="79"/>
      <c r="W296" s="7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</row>
    <row r="297" spans="22:70" x14ac:dyDescent="0.2">
      <c r="V297" s="79"/>
      <c r="W297" s="7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</row>
    <row r="298" spans="22:70" x14ac:dyDescent="0.2">
      <c r="V298" s="79"/>
      <c r="W298" s="7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</row>
    <row r="299" spans="22:70" x14ac:dyDescent="0.2">
      <c r="V299" s="79"/>
      <c r="W299" s="7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</row>
    <row r="300" spans="22:70" x14ac:dyDescent="0.2">
      <c r="V300" s="79"/>
      <c r="W300" s="7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</row>
    <row r="301" spans="22:70" x14ac:dyDescent="0.2">
      <c r="V301" s="79"/>
      <c r="W301" s="7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</row>
    <row r="302" spans="22:70" x14ac:dyDescent="0.2">
      <c r="V302" s="79"/>
      <c r="W302" s="7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</row>
    <row r="303" spans="22:70" x14ac:dyDescent="0.2">
      <c r="V303" s="79"/>
      <c r="W303" s="7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</row>
    <row r="304" spans="22:70" x14ac:dyDescent="0.2">
      <c r="V304" s="79"/>
      <c r="W304" s="7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</row>
    <row r="305" spans="22:70" x14ac:dyDescent="0.2">
      <c r="V305" s="79"/>
      <c r="W305" s="7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</row>
    <row r="306" spans="22:70" x14ac:dyDescent="0.2">
      <c r="V306" s="79"/>
      <c r="W306" s="7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</row>
    <row r="307" spans="22:70" x14ac:dyDescent="0.2">
      <c r="V307" s="79"/>
      <c r="W307" s="7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</row>
    <row r="308" spans="22:70" x14ac:dyDescent="0.2">
      <c r="V308" s="79"/>
      <c r="W308" s="7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</row>
    <row r="309" spans="22:70" x14ac:dyDescent="0.2">
      <c r="V309" s="79"/>
      <c r="W309" s="7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</row>
    <row r="310" spans="22:70" x14ac:dyDescent="0.2">
      <c r="V310" s="79"/>
      <c r="W310" s="7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</row>
    <row r="311" spans="22:70" x14ac:dyDescent="0.2">
      <c r="V311" s="79"/>
      <c r="W311" s="7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</row>
    <row r="312" spans="22:70" x14ac:dyDescent="0.2">
      <c r="V312" s="79"/>
      <c r="W312" s="7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</row>
    <row r="313" spans="22:70" x14ac:dyDescent="0.2">
      <c r="V313" s="79"/>
      <c r="W313" s="7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</row>
    <row r="314" spans="22:70" x14ac:dyDescent="0.2">
      <c r="V314" s="79"/>
      <c r="W314" s="7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</row>
    <row r="315" spans="22:70" x14ac:dyDescent="0.2">
      <c r="V315" s="79"/>
      <c r="W315" s="7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</row>
    <row r="316" spans="22:70" x14ac:dyDescent="0.2">
      <c r="V316" s="79"/>
      <c r="W316" s="7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</row>
    <row r="317" spans="22:70" x14ac:dyDescent="0.2">
      <c r="V317" s="79"/>
      <c r="W317" s="7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</row>
    <row r="318" spans="22:70" x14ac:dyDescent="0.2">
      <c r="V318" s="79"/>
      <c r="W318" s="7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</row>
    <row r="319" spans="22:70" x14ac:dyDescent="0.2">
      <c r="V319" s="79"/>
      <c r="W319" s="7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</row>
    <row r="320" spans="22:70" x14ac:dyDescent="0.2">
      <c r="V320" s="79"/>
      <c r="W320" s="7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</row>
    <row r="321" spans="22:70" x14ac:dyDescent="0.2">
      <c r="V321" s="79"/>
      <c r="W321" s="7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</row>
    <row r="322" spans="22:70" x14ac:dyDescent="0.2">
      <c r="V322" s="79"/>
      <c r="W322" s="7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</row>
    <row r="323" spans="22:70" x14ac:dyDescent="0.2">
      <c r="V323" s="79"/>
      <c r="W323" s="7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</row>
    <row r="324" spans="22:70" x14ac:dyDescent="0.2">
      <c r="V324" s="79"/>
      <c r="W324" s="7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</row>
    <row r="325" spans="22:70" x14ac:dyDescent="0.2">
      <c r="V325" s="79"/>
      <c r="W325" s="7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</row>
    <row r="326" spans="22:70" x14ac:dyDescent="0.2">
      <c r="V326" s="79"/>
      <c r="W326" s="7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</row>
    <row r="327" spans="22:70" x14ac:dyDescent="0.2">
      <c r="V327" s="79"/>
      <c r="W327" s="7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</row>
    <row r="328" spans="22:70" x14ac:dyDescent="0.2">
      <c r="V328" s="79"/>
      <c r="W328" s="7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</row>
    <row r="329" spans="22:70" x14ac:dyDescent="0.2">
      <c r="V329" s="79"/>
      <c r="W329" s="7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</row>
    <row r="330" spans="22:70" x14ac:dyDescent="0.2">
      <c r="V330" s="79"/>
      <c r="W330" s="7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</row>
    <row r="331" spans="22:70" x14ac:dyDescent="0.2">
      <c r="V331" s="79"/>
      <c r="W331" s="7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</row>
    <row r="332" spans="22:70" x14ac:dyDescent="0.2">
      <c r="V332" s="79"/>
      <c r="W332" s="7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</row>
  </sheetData>
  <sheetProtection formatCells="0"/>
  <protectedRanges>
    <protectedRange sqref="J2" name="Sprache"/>
  </protectedRanges>
  <dataConsolidate/>
  <mergeCells count="214"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J149:O149"/>
    <mergeCell ref="M151:N151"/>
    <mergeCell ref="G152:O153"/>
    <mergeCell ref="F174:K174"/>
    <mergeCell ref="E144:F144"/>
    <mergeCell ref="G144:H144"/>
    <mergeCell ref="M144:N144"/>
    <mergeCell ref="M145:N145"/>
    <mergeCell ref="J147:O147"/>
    <mergeCell ref="J148:O148"/>
    <mergeCell ref="E141:F141"/>
    <mergeCell ref="G141:H141"/>
    <mergeCell ref="M141:N141"/>
    <mergeCell ref="E142:F142"/>
    <mergeCell ref="G142:H142"/>
    <mergeCell ref="M142:N142"/>
    <mergeCell ref="E143:F143"/>
    <mergeCell ref="G143:H143"/>
    <mergeCell ref="M143:N143"/>
    <mergeCell ref="O135:O136"/>
    <mergeCell ref="G136:H136"/>
    <mergeCell ref="G137:H137"/>
    <mergeCell ref="M137:N137"/>
    <mergeCell ref="M138:N138"/>
    <mergeCell ref="G139:H139"/>
    <mergeCell ref="M139:N139"/>
    <mergeCell ref="E140:F140"/>
    <mergeCell ref="G140:H140"/>
    <mergeCell ref="M140:N140"/>
    <mergeCell ref="B129:E129"/>
    <mergeCell ref="M129:N129"/>
    <mergeCell ref="B130:E130"/>
    <mergeCell ref="M130:N130"/>
    <mergeCell ref="G133:K133"/>
    <mergeCell ref="G134:K134"/>
    <mergeCell ref="G135:H135"/>
    <mergeCell ref="L135:L136"/>
    <mergeCell ref="M135:N136"/>
    <mergeCell ref="B124:E124"/>
    <mergeCell ref="M124:N124"/>
    <mergeCell ref="B125:E125"/>
    <mergeCell ref="M125:N125"/>
    <mergeCell ref="B126:E126"/>
    <mergeCell ref="M126:N126"/>
    <mergeCell ref="B127:E127"/>
    <mergeCell ref="M127:N127"/>
    <mergeCell ref="B128:E128"/>
    <mergeCell ref="M128:N128"/>
    <mergeCell ref="E117:G117"/>
    <mergeCell ref="H117:I117"/>
    <mergeCell ref="J117:N117"/>
    <mergeCell ref="A118:I119"/>
    <mergeCell ref="J118:N118"/>
    <mergeCell ref="J119:N119"/>
    <mergeCell ref="B122:E122"/>
    <mergeCell ref="M122:N122"/>
    <mergeCell ref="B123:E123"/>
    <mergeCell ref="M123:N123"/>
    <mergeCell ref="D113:E113"/>
    <mergeCell ref="F113:G113"/>
    <mergeCell ref="M113:N113"/>
    <mergeCell ref="D114:E114"/>
    <mergeCell ref="F114:G114"/>
    <mergeCell ref="M114:N114"/>
    <mergeCell ref="D116:E116"/>
    <mergeCell ref="F116:G116"/>
    <mergeCell ref="H116:I116"/>
    <mergeCell ref="AA108:AA109"/>
    <mergeCell ref="B109:C109"/>
    <mergeCell ref="F109:G109"/>
    <mergeCell ref="M109:N109"/>
    <mergeCell ref="M110:N110"/>
    <mergeCell ref="F111:G111"/>
    <mergeCell ref="M111:N111"/>
    <mergeCell ref="D112:E112"/>
    <mergeCell ref="F112:G112"/>
    <mergeCell ref="M112:N112"/>
    <mergeCell ref="M102:N102"/>
    <mergeCell ref="M104:N104"/>
    <mergeCell ref="M106:N106"/>
    <mergeCell ref="F107:G107"/>
    <mergeCell ref="M107:N107"/>
    <mergeCell ref="B108:C108"/>
    <mergeCell ref="F108:G108"/>
    <mergeCell ref="M108:N108"/>
    <mergeCell ref="K97:L97"/>
    <mergeCell ref="K98:L98"/>
    <mergeCell ref="E99:H99"/>
    <mergeCell ref="M99:N99"/>
    <mergeCell ref="E100:H100"/>
    <mergeCell ref="M100:N100"/>
    <mergeCell ref="M101:N101"/>
    <mergeCell ref="F86:G86"/>
    <mergeCell ref="F87:G87"/>
    <mergeCell ref="F88:G88"/>
    <mergeCell ref="F89:G89"/>
    <mergeCell ref="J91:K91"/>
    <mergeCell ref="T91:U91"/>
    <mergeCell ref="W91:X91"/>
    <mergeCell ref="M96:N9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E59:F59"/>
    <mergeCell ref="E60:F60"/>
    <mergeCell ref="T62:U62"/>
    <mergeCell ref="B65:C65"/>
    <mergeCell ref="F65:G65"/>
    <mergeCell ref="B66:C66"/>
    <mergeCell ref="F66:G66"/>
    <mergeCell ref="B67:C67"/>
    <mergeCell ref="F67:G67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32:F32"/>
    <mergeCell ref="E33:F33"/>
    <mergeCell ref="B36:C36"/>
    <mergeCell ref="E36:F36"/>
    <mergeCell ref="H36:I36"/>
    <mergeCell ref="E37:F37"/>
    <mergeCell ref="E38:F38"/>
    <mergeCell ref="E39:F39"/>
    <mergeCell ref="E40:F40"/>
    <mergeCell ref="B32:D32"/>
    <mergeCell ref="B33:D33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U7:V7"/>
    <mergeCell ref="J8:K8"/>
    <mergeCell ref="N8:P8"/>
    <mergeCell ref="D9:K10"/>
    <mergeCell ref="L9:M9"/>
    <mergeCell ref="N9:P9"/>
    <mergeCell ref="L10:M10"/>
    <mergeCell ref="N10:P10"/>
    <mergeCell ref="B13:C13"/>
    <mergeCell ref="E13:F13"/>
    <mergeCell ref="E1:K1"/>
    <mergeCell ref="D4:G4"/>
    <mergeCell ref="D5:G5"/>
    <mergeCell ref="J6:K6"/>
    <mergeCell ref="N6:P6"/>
    <mergeCell ref="D7:E7"/>
    <mergeCell ref="F7:G7"/>
    <mergeCell ref="J7:K7"/>
    <mergeCell ref="N7:P7"/>
    <mergeCell ref="D6:E6"/>
    <mergeCell ref="L1:P5"/>
    <mergeCell ref="A1:D1"/>
  </mergeCells>
  <conditionalFormatting sqref="M110:N110">
    <cfRule type="expression" dxfId="106" priority="14" stopIfTrue="1">
      <formula>$M$110="none"</formula>
    </cfRule>
  </conditionalFormatting>
  <conditionalFormatting sqref="K112:K113">
    <cfRule type="expression" dxfId="105" priority="13" stopIfTrue="1">
      <formula>$K112="none"</formula>
    </cfRule>
  </conditionalFormatting>
  <conditionalFormatting sqref="F112:J114 M112:N114">
    <cfRule type="expression" dxfId="104" priority="12">
      <formula>$C112="FCA"</formula>
    </cfRule>
  </conditionalFormatting>
  <conditionalFormatting sqref="K114">
    <cfRule type="expression" dxfId="103" priority="11" stopIfTrue="1">
      <formula>$K114="none"</formula>
    </cfRule>
  </conditionalFormatting>
  <conditionalFormatting sqref="J141:O145">
    <cfRule type="expression" dxfId="102" priority="10">
      <formula>$S141=0</formula>
    </cfRule>
  </conditionalFormatting>
  <conditionalFormatting sqref="AH67:AH69">
    <cfRule type="cellIs" dxfId="101" priority="8" stopIfTrue="1" operator="lessThan">
      <formula>0.1</formula>
    </cfRule>
    <cfRule type="cellIs" dxfId="100" priority="9" stopIfTrue="1" operator="lessThan">
      <formula>0.2</formula>
    </cfRule>
  </conditionalFormatting>
  <conditionalFormatting sqref="AH70:AH89">
    <cfRule type="cellIs" dxfId="99" priority="6" stopIfTrue="1" operator="lessThan">
      <formula>0.1</formula>
    </cfRule>
    <cfRule type="cellIs" dxfId="98" priority="7" stopIfTrue="1" operator="lessThan">
      <formula>0.2</formula>
    </cfRule>
  </conditionalFormatting>
  <conditionalFormatting sqref="AH66">
    <cfRule type="cellIs" dxfId="97" priority="4" stopIfTrue="1" operator="lessThan">
      <formula>0.1</formula>
    </cfRule>
    <cfRule type="cellIs" dxfId="96" priority="5" stopIfTrue="1" operator="lessThan">
      <formula>0.2</formula>
    </cfRule>
  </conditionalFormatting>
  <conditionalFormatting sqref="M91">
    <cfRule type="expression" dxfId="95" priority="3">
      <formula>$J$91="Value Added"</formula>
    </cfRule>
  </conditionalFormatting>
  <conditionalFormatting sqref="M97:N97">
    <cfRule type="expression" dxfId="94" priority="2">
      <formula>$K$97="Manufactured Cost"</formula>
    </cfRule>
  </conditionalFormatting>
  <conditionalFormatting sqref="M98">
    <cfRule type="expression" dxfId="93" priority="1">
      <formula>$K$98="Manufactured Cost"</formula>
    </cfRule>
  </conditionalFormatting>
  <dataValidations count="21">
    <dataValidation type="list" allowBlank="1" showInputMessage="1" showErrorMessage="1" sqref="W6" xr:uid="{00000000-0002-0000-0000-000000000000}">
      <formula1>"Yes, No"</formula1>
    </dataValidation>
    <dataValidation type="list" allowBlank="1" showInputMessage="1" showErrorMessage="1" sqref="Z153" xr:uid="{00000000-0002-0000-0000-000001000000}">
      <formula1>"High, Medium, Low"</formula1>
    </dataValidation>
    <dataValidation type="list" allowBlank="1" showInputMessage="1" showErrorMessage="1" sqref="K112:K113" xr:uid="{00000000-0002-0000-0000-000002000000}">
      <formula1>"none,one-way,returnable"</formula1>
    </dataValidation>
    <dataValidation type="list" allowBlank="1" showInputMessage="1" showErrorMessage="1" sqref="M112:M114" xr:uid="{00000000-0002-0000-0000-000003000000}">
      <formula1>"included, excluded, n/a"</formula1>
    </dataValidation>
    <dataValidation type="list" allowBlank="1" showInputMessage="1" showErrorMessage="1" sqref="L112:L114" xr:uid="{00000000-0002-0000-0000-000004000000}">
      <formula1>"None, 2-high, 3-high"</formula1>
    </dataValidation>
    <dataValidation type="list" allowBlank="1" showInputMessage="1" showErrorMessage="1" sqref="C112:C114" xr:uid="{00000000-0002-0000-0000-000005000000}">
      <formula1>"FCA,DAP,DDP,DDU"</formula1>
    </dataValidation>
    <dataValidation type="date" allowBlank="1" showInputMessage="1" showErrorMessage="1" sqref="J6:K8" xr:uid="{00000000-0002-0000-0000-000006000000}">
      <formula1>36526</formula1>
      <formula2>73050</formula2>
    </dataValidation>
    <dataValidation type="whole" operator="greaterThan" allowBlank="1" showInputMessage="1" showErrorMessage="1" sqref="J4:K4" xr:uid="{00000000-0002-0000-0000-000007000000}">
      <formula1>0</formula1>
    </dataValidation>
    <dataValidation allowBlank="1" showInputMessage="1" showErrorMessage="1" promptTitle="Fixed Value" prompt="Enter" sqref="V62" xr:uid="{00000000-0002-0000-0000-000008000000}"/>
    <dataValidation type="list" allowBlank="1" showInputMessage="1" showErrorMessage="1" sqref="F7:G7" xr:uid="{00000000-0002-0000-0000-000009000000}">
      <formula1>"/pc,/10,/100,/1000"</formula1>
    </dataValidation>
    <dataValidation type="decimal" operator="greaterThanOrEqual" allowBlank="1" showInputMessage="1" showErrorMessage="1" sqref="J5 J148:O149 J140:O140 G135:H137 H140:H141 G140:G144" xr:uid="{00000000-0002-0000-0000-00000A000000}">
      <formula1>0</formula1>
    </dataValidation>
    <dataValidation type="decimal" allowBlank="1" showInputMessage="1" showErrorMessage="1" sqref="I141:I145" xr:uid="{00000000-0002-0000-0000-00000B000000}">
      <formula1>0</formula1>
      <formula2>1</formula2>
    </dataValidation>
    <dataValidation type="decimal" operator="notBetween" showInputMessage="1" showErrorMessage="1" sqref="F112:J114" xr:uid="{00000000-0002-0000-0000-00000C000000}">
      <formula1>0</formula1>
      <formula2>0</formula2>
    </dataValidation>
    <dataValidation type="list" allowBlank="1" showInputMessage="1" showErrorMessage="1" sqref="J91:K91" xr:uid="{00000000-0002-0000-0000-00000D000000}">
      <formula1>"Direct Labour, Value Added"</formula1>
    </dataValidation>
    <dataValidation type="list" allowBlank="1" showInputMessage="1" showErrorMessage="1" sqref="K97:L98" xr:uid="{00000000-0002-0000-0000-00000E000000}">
      <formula1>"Manufactured Cost, Value Added"</formula1>
    </dataValidation>
    <dataValidation type="list" allowBlank="1" showInputMessage="1" showErrorMessage="1" sqref="M13 M36" xr:uid="{00000000-0002-0000-0000-00000F000000}">
      <formula1>$U$3:$U$4</formula1>
    </dataValidation>
    <dataValidation type="list" showInputMessage="1" showErrorMessage="1" sqref="E7" xr:uid="{00000000-0002-0000-0000-000010000000}">
      <formula1>$S$190:$S$199</formula1>
    </dataValidation>
    <dataValidation type="list" allowBlank="1" showInputMessage="1" showErrorMessage="1" sqref="U7:V7" xr:uid="{00000000-0002-0000-0000-000011000000}">
      <formula1>$S$176:$S$187</formula1>
    </dataValidation>
    <dataValidation type="list" allowBlank="1" showInputMessage="1" showErrorMessage="1" sqref="M110:N110" xr:uid="{00000000-0002-0000-0000-000012000000}">
      <formula1>"one-way, returnable,none"</formula1>
    </dataValidation>
    <dataValidation type="list" operator="notBetween" showInputMessage="1" showErrorMessage="1" sqref="K114" xr:uid="{00000000-0002-0000-0000-000013000000}">
      <formula1>"none,one-way,returnable"</formula1>
    </dataValidation>
    <dataValidation type="decimal" errorStyle="warning" operator="greaterThanOrEqual" allowBlank="1" showInputMessage="1" showErrorMessage="1" errorTitle="Gross&lt;Net" error="EN: The 'Gross Amount' is smaller than the 'Net Amount'!_x000a_DE: Das Brutto-Gewicht ist kleinre als das Netto-Gewicht!" sqref="I14:I33" xr:uid="{00000000-0002-0000-0000-000014000000}">
      <formula1>H14</formula1>
    </dataValidation>
  </dataValidations>
  <printOptions horizontalCentered="1"/>
  <pageMargins left="0.59055118110236227" right="0.39370078740157483" top="0.59055118110236227" bottom="0.47244094488188981" header="0.39370078740157483" footer="0.31496062992125984"/>
  <pageSetup paperSize="9" fitToHeight="0" orientation="portrait" r:id="rId1"/>
  <headerFooter>
    <oddFooter xml:space="preserve">&amp;LVersion 1.01&amp;CCALC4XL GmbH&amp;RPrinted: &amp;D </oddFooter>
  </headerFooter>
  <rowBreaks count="1" manualBreakCount="1">
    <brk id="9" max="16383" man="1"/>
  </rowBreaks>
  <drawing r:id="rId2"/>
  <legacyDrawing r:id="rId3"/>
  <controls>
    <mc:AlternateContent xmlns:mc="http://schemas.openxmlformats.org/markup-compatibility/2006">
      <mc:Choice Requires="x14">
        <control shapeId="5513283" r:id="rId4" name="orderSection24">
          <controlPr defaultSize="0" autoLine="0" r:id="rId5">
            <anchor moveWithCells="1">
              <from>
                <xdr:col>0</xdr:col>
                <xdr:colOff>0</xdr:colOff>
                <xdr:row>64</xdr:row>
                <xdr:rowOff>388189</xdr:rowOff>
              </from>
              <to>
                <xdr:col>1</xdr:col>
                <xdr:colOff>69011</xdr:colOff>
                <xdr:row>65</xdr:row>
                <xdr:rowOff>17253</xdr:rowOff>
              </to>
            </anchor>
          </controlPr>
        </control>
      </mc:Choice>
      <mc:Fallback>
        <control shapeId="5513283" r:id="rId4" name="orderSection24"/>
      </mc:Fallback>
    </mc:AlternateContent>
    <mc:AlternateContent xmlns:mc="http://schemas.openxmlformats.org/markup-compatibility/2006">
      <mc:Choice Requires="x14">
        <control shapeId="5513218" r:id="rId6" name="cmdCopySheet">
          <controlPr defaultSize="0" autoLine="0" r:id="rId7">
            <anchor moveWithCells="1">
              <from>
                <xdr:col>24</xdr:col>
                <xdr:colOff>25879</xdr:colOff>
                <xdr:row>0</xdr:row>
                <xdr:rowOff>94891</xdr:rowOff>
              </from>
              <to>
                <xdr:col>25</xdr:col>
                <xdr:colOff>51758</xdr:colOff>
                <xdr:row>0</xdr:row>
                <xdr:rowOff>448574</xdr:rowOff>
              </to>
            </anchor>
          </controlPr>
        </control>
      </mc:Choice>
      <mc:Fallback>
        <control shapeId="5513218" r:id="rId6" name="cmdCopySheet"/>
      </mc:Fallback>
    </mc:AlternateContent>
    <mc:AlternateContent xmlns:mc="http://schemas.openxmlformats.org/markup-compatibility/2006">
      <mc:Choice Requires="x14">
        <control shapeId="5513219" r:id="rId8" name="SpinButton1">
          <controlPr defaultSize="0" autoLine="0" r:id="rId9">
            <anchor moveWithCells="1">
              <from>
                <xdr:col>17</xdr:col>
                <xdr:colOff>129396</xdr:colOff>
                <xdr:row>12</xdr:row>
                <xdr:rowOff>129396</xdr:rowOff>
              </from>
              <to>
                <xdr:col>17</xdr:col>
                <xdr:colOff>379562</xdr:colOff>
                <xdr:row>14</xdr:row>
                <xdr:rowOff>43132</xdr:rowOff>
              </to>
            </anchor>
          </controlPr>
        </control>
      </mc:Choice>
      <mc:Fallback>
        <control shapeId="5513219" r:id="rId8" name="SpinButton1"/>
      </mc:Fallback>
    </mc:AlternateContent>
    <mc:AlternateContent xmlns:mc="http://schemas.openxmlformats.org/markup-compatibility/2006">
      <mc:Choice Requires="x14">
        <control shapeId="5513220" r:id="rId10" name="SpinButton2">
          <controlPr defaultSize="0" autoLine="0" r:id="rId11">
            <anchor moveWithCells="1">
              <from>
                <xdr:col>17</xdr:col>
                <xdr:colOff>112143</xdr:colOff>
                <xdr:row>35</xdr:row>
                <xdr:rowOff>163902</xdr:rowOff>
              </from>
              <to>
                <xdr:col>17</xdr:col>
                <xdr:colOff>370936</xdr:colOff>
                <xdr:row>37</xdr:row>
                <xdr:rowOff>155275</xdr:rowOff>
              </to>
            </anchor>
          </controlPr>
        </control>
      </mc:Choice>
      <mc:Fallback>
        <control shapeId="5513220" r:id="rId10" name="SpinButton2"/>
      </mc:Fallback>
    </mc:AlternateContent>
    <mc:AlternateContent xmlns:mc="http://schemas.openxmlformats.org/markup-compatibility/2006">
      <mc:Choice Requires="x14">
        <control shapeId="5513221" r:id="rId12" name="SpinButton3">
          <controlPr defaultSize="0" autoLine="0" r:id="rId9">
            <anchor moveWithCells="1">
              <from>
                <xdr:col>17</xdr:col>
                <xdr:colOff>129396</xdr:colOff>
                <xdr:row>64</xdr:row>
                <xdr:rowOff>207034</xdr:rowOff>
              </from>
              <to>
                <xdr:col>17</xdr:col>
                <xdr:colOff>379562</xdr:colOff>
                <xdr:row>65</xdr:row>
                <xdr:rowOff>86264</xdr:rowOff>
              </to>
            </anchor>
          </controlPr>
        </control>
      </mc:Choice>
      <mc:Fallback>
        <control shapeId="5513221" r:id="rId12" name="SpinButton3"/>
      </mc:Fallback>
    </mc:AlternateContent>
    <mc:AlternateContent xmlns:mc="http://schemas.openxmlformats.org/markup-compatibility/2006">
      <mc:Choice Requires="x14">
        <control shapeId="5513222" r:id="rId13" name="SpinButton4">
          <controlPr defaultSize="0" autoLine="0" r:id="rId14">
            <anchor moveWithCells="1">
              <from>
                <xdr:col>17</xdr:col>
                <xdr:colOff>181155</xdr:colOff>
                <xdr:row>122</xdr:row>
                <xdr:rowOff>17253</xdr:rowOff>
              </from>
              <to>
                <xdr:col>17</xdr:col>
                <xdr:colOff>422694</xdr:colOff>
                <xdr:row>130</xdr:row>
                <xdr:rowOff>8626</xdr:rowOff>
              </to>
            </anchor>
          </controlPr>
        </control>
      </mc:Choice>
      <mc:Fallback>
        <control shapeId="5513222" r:id="rId13" name="SpinButton4"/>
      </mc:Fallback>
    </mc:AlternateContent>
    <mc:AlternateContent xmlns:mc="http://schemas.openxmlformats.org/markup-compatibility/2006">
      <mc:Choice Requires="x14">
        <control shapeId="5513224" r:id="rId15" name="CmdClearSheet">
          <controlPr defaultSize="0" autoLine="0" r:id="rId16">
            <anchor moveWithCells="1">
              <from>
                <xdr:col>24</xdr:col>
                <xdr:colOff>0</xdr:colOff>
                <xdr:row>1</xdr:row>
                <xdr:rowOff>60385</xdr:rowOff>
              </from>
              <to>
                <xdr:col>25</xdr:col>
                <xdr:colOff>25879</xdr:colOff>
                <xdr:row>3</xdr:row>
                <xdr:rowOff>112143</xdr:rowOff>
              </to>
            </anchor>
          </controlPr>
        </control>
      </mc:Choice>
      <mc:Fallback>
        <control shapeId="5513224" r:id="rId15" name="CmdClearSheet"/>
      </mc:Fallback>
    </mc:AlternateContent>
    <mc:AlternateContent xmlns:mc="http://schemas.openxmlformats.org/markup-compatibility/2006">
      <mc:Choice Requires="x14">
        <control shapeId="5513271" r:id="rId17" name="cmdPartPicture">
          <controlPr defaultSize="0" autoLine="0" r:id="rId18">
            <anchor moveWithCells="1">
              <from>
                <xdr:col>12</xdr:col>
                <xdr:colOff>112143</xdr:colOff>
                <xdr:row>0</xdr:row>
                <xdr:rowOff>215660</xdr:rowOff>
              </from>
              <to>
                <xdr:col>13</xdr:col>
                <xdr:colOff>370936</xdr:colOff>
                <xdr:row>3</xdr:row>
                <xdr:rowOff>51758</xdr:rowOff>
              </to>
            </anchor>
          </controlPr>
        </control>
      </mc:Choice>
      <mc:Fallback>
        <control shapeId="5513271" r:id="rId17" name="cmdPartPictur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60104-BE1D-4A59-822A-E34DC7523FC5}">
  <sheetPr codeName="Sheet6">
    <pageSetUpPr autoPageBreaks="0"/>
  </sheetPr>
  <dimension ref="A1:BR332"/>
  <sheetViews>
    <sheetView showGridLines="0" showZeros="0" zoomScaleNormal="100" zoomScaleSheetLayoutView="55" workbookViewId="0">
      <pane ySplit="10" topLeftCell="A107" activePane="bottomLeft" state="frozen"/>
      <selection pane="bottomLeft" activeCell="F113" sqref="F113:G113"/>
    </sheetView>
  </sheetViews>
  <sheetFormatPr defaultColWidth="11.375" defaultRowHeight="12.9" x14ac:dyDescent="0.2"/>
  <cols>
    <col min="1" max="1" width="3.75" style="1" customWidth="1"/>
    <col min="2" max="2" width="11.75" style="1" customWidth="1"/>
    <col min="3" max="3" width="8.75" style="1" customWidth="1"/>
    <col min="4" max="4" width="7.25" style="1" customWidth="1"/>
    <col min="5" max="5" width="7" style="1" customWidth="1"/>
    <col min="6" max="6" width="6.875" style="1" customWidth="1"/>
    <col min="7" max="7" width="7.25" style="1" customWidth="1"/>
    <col min="8" max="8" width="9" style="1" customWidth="1"/>
    <col min="9" max="9" width="9.25" style="1" customWidth="1"/>
    <col min="10" max="10" width="9.75" style="1" customWidth="1"/>
    <col min="11" max="11" width="10" style="1" customWidth="1"/>
    <col min="12" max="12" width="12.625" style="1" customWidth="1"/>
    <col min="13" max="13" width="9" style="1" customWidth="1"/>
    <col min="14" max="14" width="8.375" style="1" customWidth="1"/>
    <col min="15" max="15" width="10.125" style="1" customWidth="1"/>
    <col min="16" max="16" width="6" style="1" customWidth="1"/>
    <col min="17" max="17" width="1.75" style="1" customWidth="1"/>
    <col min="18" max="18" width="16.875" style="2" customWidth="1"/>
    <col min="19" max="19" width="6.125" style="3" hidden="1" customWidth="1"/>
    <col min="20" max="20" width="8.625" style="3" hidden="1" customWidth="1"/>
    <col min="21" max="21" width="9.25" style="3" hidden="1" customWidth="1"/>
    <col min="22" max="22" width="13.25" style="3" hidden="1" customWidth="1"/>
    <col min="23" max="23" width="24.25" style="3" hidden="1" customWidth="1"/>
    <col min="24" max="24" width="21.875" style="1" hidden="1" customWidth="1"/>
    <col min="25" max="25" width="11.875" style="1" customWidth="1"/>
    <col min="26" max="26" width="9.25" style="1" customWidth="1"/>
    <col min="27" max="27" width="7.875" style="1" customWidth="1"/>
    <col min="28" max="28" width="7.125" style="1" bestFit="1" customWidth="1"/>
    <col min="29" max="29" width="7.125" style="1" customWidth="1"/>
    <col min="30" max="30" width="8.75" style="1" customWidth="1"/>
    <col min="31" max="31" width="6.875" style="1" customWidth="1"/>
    <col min="32" max="32" width="8" style="1" customWidth="1"/>
    <col min="33" max="33" width="5.75" style="1" customWidth="1"/>
    <col min="34" max="34" width="8.25" style="1" customWidth="1"/>
    <col min="35" max="35" width="1.75" style="1" customWidth="1"/>
    <col min="36" max="36" width="9" style="1" customWidth="1"/>
    <col min="37" max="37" width="8" style="1" customWidth="1"/>
    <col min="38" max="38" width="8.75" style="1" customWidth="1"/>
    <col min="39" max="39" width="6.75" style="1" hidden="1" customWidth="1"/>
    <col min="40" max="40" width="8.75" style="1" hidden="1" customWidth="1"/>
    <col min="41" max="41" width="1.75" style="1" customWidth="1"/>
    <col min="42" max="42" width="6" style="1" customWidth="1"/>
    <col min="43" max="43" width="4.75" style="1" customWidth="1"/>
    <col min="44" max="44" width="5.75" style="1" customWidth="1"/>
    <col min="45" max="45" width="5.875" style="1" customWidth="1"/>
    <col min="46" max="46" width="7.75" style="1" customWidth="1"/>
    <col min="47" max="47" width="11.125" style="1" customWidth="1"/>
    <col min="48" max="16384" width="11.375" style="1"/>
  </cols>
  <sheetData>
    <row r="1" spans="1:46" ht="47.25" customHeight="1" x14ac:dyDescent="0.25">
      <c r="A1" s="703"/>
      <c r="B1" s="704"/>
      <c r="C1" s="704"/>
      <c r="D1" s="705"/>
      <c r="E1" s="669" t="s">
        <v>880</v>
      </c>
      <c r="F1" s="670"/>
      <c r="G1" s="670"/>
      <c r="H1" s="670"/>
      <c r="I1" s="670"/>
      <c r="J1" s="670"/>
      <c r="K1" s="671"/>
      <c r="L1" s="694"/>
      <c r="M1" s="695"/>
      <c r="N1" s="695"/>
      <c r="O1" s="695"/>
      <c r="P1" s="696"/>
      <c r="Q1" s="53"/>
      <c r="R1" s="78"/>
      <c r="S1" s="237"/>
      <c r="T1" s="238"/>
      <c r="U1" s="237"/>
      <c r="V1" s="237"/>
      <c r="W1" s="267" t="s">
        <v>137</v>
      </c>
      <c r="X1" s="239"/>
      <c r="Y1" s="132"/>
      <c r="Z1" s="36"/>
      <c r="AA1" s="37"/>
      <c r="AB1" s="36"/>
      <c r="AC1" s="54"/>
      <c r="AD1" s="36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</row>
    <row r="2" spans="1:46" s="6" customFormat="1" ht="10.55" customHeight="1" x14ac:dyDescent="0.2">
      <c r="A2" s="70" t="str">
        <f ca="1">CELL("Filename",A2)</f>
        <v>https://d.docs.live.net/4c7d4790709b1d71/WEBSITE PICS/[Diecasting Example_forUserWithoutCALC4XL.xlsx]Poland</v>
      </c>
      <c r="B2" s="71"/>
      <c r="C2" s="71"/>
      <c r="D2" s="71"/>
      <c r="E2" s="71"/>
      <c r="F2" s="71"/>
      <c r="G2" s="71"/>
      <c r="H2" s="5"/>
      <c r="I2" s="31"/>
      <c r="J2" s="307" t="str">
        <f>A!$J$2</f>
        <v>en</v>
      </c>
      <c r="K2" s="178" t="s">
        <v>219</v>
      </c>
      <c r="L2" s="697"/>
      <c r="M2" s="698"/>
      <c r="N2" s="698"/>
      <c r="O2" s="698"/>
      <c r="P2" s="699"/>
      <c r="R2" s="81"/>
      <c r="S2" s="240">
        <f>IF(O117&gt;10000,9999,PUC)</f>
        <v>1</v>
      </c>
      <c r="T2" s="241"/>
      <c r="U2" s="242"/>
      <c r="V2" s="241"/>
      <c r="W2" s="241"/>
      <c r="X2" s="239"/>
      <c r="Y2" s="38"/>
      <c r="Z2" s="38"/>
      <c r="AA2" s="38"/>
      <c r="AB2" s="36"/>
      <c r="AC2" s="36"/>
      <c r="AD2" s="82"/>
      <c r="AE2" s="81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</row>
    <row r="3" spans="1:46" s="53" customFormat="1" ht="13.6" x14ac:dyDescent="0.25">
      <c r="A3" s="309"/>
      <c r="B3" s="310" t="str">
        <f>VLOOKUP("sec1",translation,VLOOKUP(J2,languages,2,FALSE),FALSE)</f>
        <v>Section 1</v>
      </c>
      <c r="C3" s="310"/>
      <c r="D3" s="311" t="str">
        <f>VLOOKUP("buyer",translation,VLOOKUP(J2,languages,2,FALSE),FALSE)</f>
        <v>Details Buyer Section</v>
      </c>
      <c r="E3" s="312"/>
      <c r="F3" s="312"/>
      <c r="G3" s="312"/>
      <c r="H3" s="322"/>
      <c r="I3" s="323"/>
      <c r="J3" s="324" t="str">
        <f>VLOOKUP("avrg",translation,VLOOKUP(J2,languages,2,FALSE),FALSE)</f>
        <v>Average</v>
      </c>
      <c r="K3" s="325" t="str">
        <f>VLOOKUP("pk",translation,VLOOKUP(J2,languages,2,FALSE),FALSE)</f>
        <v>Peak</v>
      </c>
      <c r="L3" s="697"/>
      <c r="M3" s="698"/>
      <c r="N3" s="698"/>
      <c r="O3" s="698"/>
      <c r="P3" s="699"/>
      <c r="Q3" s="64"/>
      <c r="R3" s="83"/>
      <c r="S3" s="243">
        <f>IF(F7="/pc",1,IF(F7="/10",10,IF(F7="/100",100,IF(F7="/1000",1000))))</f>
        <v>1</v>
      </c>
      <c r="T3" s="238"/>
      <c r="U3" s="244" t="str">
        <f>"Frt In "&amp;CHAR(10)&amp;"[%]"</f>
        <v>Frt In 
[%]</v>
      </c>
      <c r="V3" s="238"/>
      <c r="W3" s="238"/>
      <c r="X3" s="245"/>
      <c r="Y3" s="54"/>
      <c r="Z3" s="54"/>
      <c r="AA3" s="54"/>
      <c r="AB3" s="54"/>
      <c r="AC3" s="36"/>
      <c r="AD3" s="68"/>
      <c r="AE3" s="23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</row>
    <row r="4" spans="1:46" ht="12.75" customHeight="1" x14ac:dyDescent="0.2">
      <c r="A4" s="313" t="str">
        <f>VLOOKUP("quot",translation,VLOOKUP(J2,languages,2,FALSE),FALSE)</f>
        <v>Quotation No. /Rev</v>
      </c>
      <c r="B4" s="314"/>
      <c r="C4" s="314"/>
      <c r="D4" s="672"/>
      <c r="E4" s="673"/>
      <c r="F4" s="674"/>
      <c r="G4" s="675"/>
      <c r="H4" s="316"/>
      <c r="I4" s="326" t="str">
        <f>VLOOKUP("an_qty",translation,VLOOKUP(J2,languages,2,FALSE),FALSE)</f>
        <v>Est. Annual Qty</v>
      </c>
      <c r="J4" s="331">
        <v>8000</v>
      </c>
      <c r="K4" s="332"/>
      <c r="L4" s="697"/>
      <c r="M4" s="698"/>
      <c r="N4" s="698"/>
      <c r="O4" s="698"/>
      <c r="P4" s="699"/>
      <c r="R4" s="84"/>
      <c r="S4" s="246">
        <v>1</v>
      </c>
      <c r="T4" s="237"/>
      <c r="U4" s="244" t="str">
        <f>"Frt In "&amp;CHAR(10)&amp;"[/UoM]"</f>
        <v>Frt In 
[/UoM]</v>
      </c>
      <c r="V4" s="237"/>
      <c r="W4" s="238"/>
      <c r="X4" s="245"/>
      <c r="Y4" s="36"/>
      <c r="Z4" s="36"/>
      <c r="AA4" s="36"/>
      <c r="AB4" s="36"/>
      <c r="AC4" s="54"/>
      <c r="AD4" s="36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</row>
    <row r="5" spans="1:46" ht="12.75" customHeight="1" x14ac:dyDescent="0.2">
      <c r="A5" s="313" t="str">
        <f>VLOOKUP("jh_buyer",translation,VLOOKUP(J2,languages,2,FALSE),FALSE)</f>
        <v>Buyer</v>
      </c>
      <c r="B5" s="314"/>
      <c r="C5" s="314"/>
      <c r="D5" s="676"/>
      <c r="E5" s="677"/>
      <c r="F5" s="677"/>
      <c r="G5" s="678"/>
      <c r="H5" s="327"/>
      <c r="I5" s="328" t="str">
        <f>VLOOKUP("lifetime",translation,VLOOKUP(J2,languages,2,FALSE),FALSE)</f>
        <v>Estimated Lifetime</v>
      </c>
      <c r="J5" s="333">
        <v>7</v>
      </c>
      <c r="K5" s="314" t="str">
        <f>VLOOKUP("yr",translation,VLOOKUP(J2,languages,2,FALSE),FALSE)</f>
        <v>years</v>
      </c>
      <c r="L5" s="700"/>
      <c r="M5" s="701"/>
      <c r="N5" s="701"/>
      <c r="O5" s="701"/>
      <c r="P5" s="702"/>
      <c r="R5" s="84"/>
      <c r="S5" s="237"/>
      <c r="T5" s="237"/>
      <c r="U5" s="244" t="str">
        <f>"Frt In "&amp;CHAR(10)&amp;"["&amp;LEFT(D$7,3)&amp;"]"</f>
        <v>Frt In 
[EUR]</v>
      </c>
      <c r="V5" s="237"/>
      <c r="W5" s="238" t="s">
        <v>847</v>
      </c>
      <c r="X5" s="247"/>
      <c r="Y5" s="36"/>
      <c r="Z5" s="36"/>
      <c r="AA5" s="36"/>
      <c r="AB5" s="54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>
        <v>1</v>
      </c>
      <c r="AN5" s="36">
        <v>1</v>
      </c>
      <c r="AO5" s="35"/>
      <c r="AP5" s="35"/>
      <c r="AQ5" s="35"/>
      <c r="AR5" s="35"/>
      <c r="AS5" s="35"/>
      <c r="AT5" s="35"/>
    </row>
    <row r="6" spans="1:46" ht="12.75" customHeight="1" x14ac:dyDescent="0.2">
      <c r="A6" s="315" t="str">
        <f>VLOOKUP("jh_loc",translation,VLOOKUP(J2,languages,2,FALSE),FALSE)</f>
        <v>Location</v>
      </c>
      <c r="B6" s="314"/>
      <c r="C6" s="316"/>
      <c r="D6" s="692" t="s">
        <v>864</v>
      </c>
      <c r="E6" s="693"/>
      <c r="F6" s="320"/>
      <c r="G6" s="321"/>
      <c r="H6" s="316"/>
      <c r="I6" s="316" t="str">
        <f>VLOOKUP("sop",translation,VLOOKUP(J2,languages,2,FALSE),FALSE)</f>
        <v>Start of Production</v>
      </c>
      <c r="J6" s="679"/>
      <c r="K6" s="680"/>
      <c r="L6" s="334" t="str">
        <f>VLOOKUP("supplier",translation,VLOOKUP(J2,languages,2,FALSE),FALSE)</f>
        <v>Supplier</v>
      </c>
      <c r="M6" s="202"/>
      <c r="N6" s="681"/>
      <c r="O6" s="682"/>
      <c r="P6" s="683"/>
      <c r="R6" s="78"/>
      <c r="S6" s="217" t="s">
        <v>53</v>
      </c>
      <c r="T6" s="237"/>
      <c r="U6" s="237"/>
      <c r="V6" s="237"/>
      <c r="W6" s="248" t="s">
        <v>846</v>
      </c>
      <c r="X6" s="249" t="b">
        <v>0</v>
      </c>
      <c r="Y6" s="36"/>
      <c r="Z6" s="264"/>
      <c r="AA6" s="264"/>
      <c r="AB6" s="264"/>
      <c r="AC6" s="264"/>
      <c r="AD6" s="265"/>
      <c r="AE6" s="265"/>
      <c r="AF6" s="265"/>
      <c r="AG6" s="265"/>
      <c r="AH6" s="80"/>
      <c r="AI6" s="36"/>
      <c r="AJ6" s="36"/>
      <c r="AK6" s="36"/>
      <c r="AL6" s="36"/>
      <c r="AM6" s="35"/>
      <c r="AN6" s="35"/>
      <c r="AO6" s="35"/>
      <c r="AP6" s="35"/>
      <c r="AQ6" s="35"/>
      <c r="AR6" s="35"/>
      <c r="AS6" s="35"/>
      <c r="AT6" s="133"/>
    </row>
    <row r="7" spans="1:46" ht="12.75" customHeight="1" x14ac:dyDescent="0.2">
      <c r="A7" s="313" t="str">
        <f>VLOOKUP("currency",translation,VLOOKUP(J2,languages,2,FALSE),FALSE)</f>
        <v>Currency</v>
      </c>
      <c r="B7" s="314"/>
      <c r="C7" s="317"/>
      <c r="D7" s="684" t="s">
        <v>877</v>
      </c>
      <c r="E7" s="685"/>
      <c r="F7" s="686" t="s">
        <v>178</v>
      </c>
      <c r="G7" s="687"/>
      <c r="H7" s="316"/>
      <c r="I7" s="316" t="str">
        <f>VLOOKUP("ppap",translation,VLOOKUP(J2,languages,2,FALSE),FALSE)</f>
        <v>PPAP Date</v>
      </c>
      <c r="J7" s="679"/>
      <c r="K7" s="688"/>
      <c r="L7" s="335"/>
      <c r="M7" s="336" t="str">
        <f>VLOOKUP("descr",translation,VLOOKUP(J2,languages,2,FALSE),FALSE)</f>
        <v>Description</v>
      </c>
      <c r="N7" s="689" t="s">
        <v>862</v>
      </c>
      <c r="O7" s="690"/>
      <c r="P7" s="691"/>
      <c r="R7" s="78"/>
      <c r="S7" s="237" t="s">
        <v>56</v>
      </c>
      <c r="T7" s="237"/>
      <c r="U7" s="706" t="s">
        <v>92</v>
      </c>
      <c r="V7" s="707"/>
      <c r="W7" s="248" t="str">
        <f>IF(X7=TRUE,"Yes","No")</f>
        <v>No</v>
      </c>
      <c r="X7" s="249" t="b">
        <v>0</v>
      </c>
      <c r="Y7" s="36"/>
      <c r="Z7" s="264"/>
      <c r="AA7" s="264"/>
      <c r="AB7" s="264"/>
      <c r="AC7" s="264"/>
      <c r="AD7" s="265"/>
      <c r="AE7" s="265"/>
      <c r="AF7" s="265"/>
      <c r="AG7" s="265"/>
      <c r="AH7" s="80"/>
      <c r="AI7" s="36"/>
      <c r="AJ7" s="36"/>
      <c r="AK7" s="36"/>
      <c r="AL7" s="36"/>
      <c r="AM7" s="35"/>
      <c r="AN7" s="35"/>
      <c r="AO7" s="35"/>
      <c r="AP7" s="35"/>
      <c r="AQ7" s="35"/>
      <c r="AR7" s="35"/>
      <c r="AS7" s="35"/>
      <c r="AT7" s="133"/>
    </row>
    <row r="8" spans="1:46" ht="12.75" customHeight="1" x14ac:dyDescent="0.2">
      <c r="A8" s="315"/>
      <c r="B8" s="314"/>
      <c r="C8" s="317"/>
      <c r="D8" s="329"/>
      <c r="E8" s="329"/>
      <c r="F8" s="329"/>
      <c r="G8" s="329"/>
      <c r="H8" s="329"/>
      <c r="I8" s="330" t="str">
        <f>VLOOKUP("fot",translation,VLOOKUP(J2,languages,2,FALSE),FALSE)</f>
        <v>FOT Date</v>
      </c>
      <c r="J8" s="708"/>
      <c r="K8" s="709"/>
      <c r="L8" s="337"/>
      <c r="M8" s="338" t="str">
        <f>VLOOKUP("partno",translation,VLOOKUP(J2,languages,2,FALSE),FALSE)</f>
        <v>Part No.</v>
      </c>
      <c r="N8" s="710"/>
      <c r="O8" s="711"/>
      <c r="P8" s="712"/>
      <c r="R8" s="78"/>
      <c r="S8" s="217" t="s">
        <v>42</v>
      </c>
      <c r="T8" s="237"/>
      <c r="U8" s="250" t="b">
        <v>1</v>
      </c>
      <c r="V8" s="251" t="s">
        <v>165</v>
      </c>
      <c r="W8" s="237" t="str">
        <f>IF(V8=6,"Yes","No")</f>
        <v>No</v>
      </c>
      <c r="X8" s="249"/>
      <c r="Y8" s="36"/>
      <c r="Z8" s="264"/>
      <c r="AA8" s="264"/>
      <c r="AB8" s="264"/>
      <c r="AC8" s="264"/>
      <c r="AD8" s="264"/>
      <c r="AE8" s="264"/>
      <c r="AF8" s="264"/>
      <c r="AG8" s="264"/>
      <c r="AH8" s="36"/>
      <c r="AI8" s="36"/>
      <c r="AJ8" s="36"/>
      <c r="AK8" s="36"/>
      <c r="AL8" s="36"/>
      <c r="AM8" s="35"/>
      <c r="AN8" s="35"/>
      <c r="AO8" s="35"/>
      <c r="AP8" s="35"/>
      <c r="AQ8" s="35"/>
      <c r="AR8" s="35"/>
      <c r="AS8" s="35"/>
      <c r="AT8" s="35"/>
    </row>
    <row r="9" spans="1:46" ht="12.75" customHeight="1" x14ac:dyDescent="0.2">
      <c r="A9" s="318" t="str">
        <f>VLOOKUP("info",translation,VLOOKUP(J2,languages,2,FALSE),FALSE)</f>
        <v>Additional Information</v>
      </c>
      <c r="B9" s="314"/>
      <c r="C9" s="316"/>
      <c r="D9" s="713"/>
      <c r="E9" s="714"/>
      <c r="F9" s="714"/>
      <c r="G9" s="714"/>
      <c r="H9" s="714"/>
      <c r="I9" s="714"/>
      <c r="J9" s="714"/>
      <c r="K9" s="715"/>
      <c r="L9" s="719" t="str">
        <f>VLOOKUP("drawing",translation,VLOOKUP(J2,languages,2,FALSE),FALSE)</f>
        <v>Drawing</v>
      </c>
      <c r="M9" s="720"/>
      <c r="N9" s="710"/>
      <c r="O9" s="721"/>
      <c r="P9" s="722"/>
      <c r="R9" s="78"/>
      <c r="S9" s="217"/>
      <c r="T9" s="237"/>
      <c r="U9" s="250"/>
      <c r="V9" s="252"/>
      <c r="W9" s="237" t="s">
        <v>850</v>
      </c>
      <c r="X9" s="245" t="s">
        <v>849</v>
      </c>
      <c r="Y9" s="36"/>
      <c r="Z9" s="264"/>
      <c r="AA9" s="264"/>
      <c r="AB9" s="264"/>
      <c r="AC9" s="264"/>
      <c r="AD9" s="264"/>
      <c r="AE9" s="264"/>
      <c r="AF9" s="264"/>
      <c r="AG9" s="264"/>
      <c r="AH9" s="36"/>
      <c r="AI9" s="36"/>
      <c r="AJ9" s="36"/>
      <c r="AK9" s="36"/>
      <c r="AL9" s="36"/>
      <c r="AM9" s="35"/>
      <c r="AN9" s="35"/>
      <c r="AO9" s="35"/>
      <c r="AP9" s="35"/>
      <c r="AQ9" s="35"/>
      <c r="AR9" s="35"/>
      <c r="AS9" s="35"/>
      <c r="AT9" s="35"/>
    </row>
    <row r="10" spans="1:46" ht="12.75" customHeight="1" thickBot="1" x14ac:dyDescent="0.25">
      <c r="A10" s="318"/>
      <c r="B10" s="314"/>
      <c r="C10" s="319"/>
      <c r="D10" s="716"/>
      <c r="E10" s="717"/>
      <c r="F10" s="717"/>
      <c r="G10" s="717"/>
      <c r="H10" s="717"/>
      <c r="I10" s="717"/>
      <c r="J10" s="717"/>
      <c r="K10" s="718"/>
      <c r="L10" s="723" t="str">
        <f>VLOOKUP("project",translation,VLOOKUP(J2,languages,2,FALSE),FALSE)</f>
        <v>Project/Customer</v>
      </c>
      <c r="M10" s="724"/>
      <c r="N10" s="725" t="s">
        <v>863</v>
      </c>
      <c r="O10" s="726"/>
      <c r="P10" s="727"/>
      <c r="S10" s="237" t="s">
        <v>54</v>
      </c>
      <c r="T10" s="237"/>
      <c r="U10" s="237"/>
      <c r="V10" s="252">
        <f>W13+W36+W65</f>
        <v>125</v>
      </c>
      <c r="W10" s="252">
        <f>W13+W36+W65+W122</f>
        <v>250</v>
      </c>
      <c r="X10" s="247"/>
      <c r="Y10" s="36"/>
      <c r="Z10" s="264"/>
      <c r="AA10" s="264"/>
      <c r="AB10" s="264"/>
      <c r="AC10" s="264"/>
      <c r="AD10" s="264"/>
      <c r="AE10" s="264"/>
      <c r="AF10" s="264"/>
      <c r="AG10" s="264"/>
      <c r="AH10" s="36"/>
      <c r="AI10" s="36"/>
      <c r="AJ10" s="36"/>
      <c r="AK10" s="36"/>
      <c r="AL10" s="36"/>
      <c r="AM10" s="35"/>
      <c r="AN10" s="35"/>
      <c r="AO10" s="35"/>
      <c r="AP10" s="35"/>
      <c r="AQ10" s="35"/>
      <c r="AR10" s="35"/>
      <c r="AS10" s="35"/>
      <c r="AT10" s="35"/>
    </row>
    <row r="11" spans="1:46" ht="4.5999999999999996" customHeight="1" thickBot="1" x14ac:dyDescent="0.25">
      <c r="A11" s="33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34"/>
      <c r="S11" s="237"/>
      <c r="T11" s="237"/>
      <c r="U11" s="253" t="str">
        <f>IF(RIGHT(M$13,2)="%]","P","A")</f>
        <v>P</v>
      </c>
      <c r="V11" s="237"/>
      <c r="W11" s="237"/>
      <c r="X11" s="217"/>
      <c r="Y11" s="35"/>
      <c r="Z11" s="264"/>
      <c r="AA11" s="264"/>
      <c r="AB11" s="264"/>
      <c r="AC11" s="264"/>
      <c r="AD11" s="266"/>
      <c r="AE11" s="264"/>
      <c r="AF11" s="264"/>
      <c r="AG11" s="264"/>
      <c r="AH11" s="36"/>
      <c r="AI11" s="36"/>
      <c r="AJ11" s="36"/>
      <c r="AK11" s="36"/>
      <c r="AL11" s="36"/>
      <c r="AM11" s="35"/>
      <c r="AN11" s="35"/>
      <c r="AO11" s="35"/>
      <c r="AP11" s="35"/>
      <c r="AQ11" s="35"/>
      <c r="AR11" s="35"/>
      <c r="AS11" s="35"/>
      <c r="AT11" s="35"/>
    </row>
    <row r="12" spans="1:46" ht="13.6" x14ac:dyDescent="0.25">
      <c r="A12" s="339"/>
      <c r="B12" s="340" t="str">
        <f>VLOOKUP("sec2.1",translation,VLOOKUP(J2,languages,2,FALSE),FALSE)</f>
        <v>Section 2.1</v>
      </c>
      <c r="C12" s="341"/>
      <c r="D12" s="342" t="str">
        <f>VLOOKUP("material",translation,VLOOKUP(J2,languages,2,FALSE),FALSE)</f>
        <v>Raw Material</v>
      </c>
      <c r="E12" s="343"/>
      <c r="F12" s="343"/>
      <c r="G12" s="343"/>
      <c r="H12" s="343"/>
      <c r="I12" s="344"/>
      <c r="J12" s="344"/>
      <c r="K12" s="343"/>
      <c r="L12" s="343"/>
      <c r="M12" s="345">
        <f>U12</f>
        <v>9.8532293435482643E-16</v>
      </c>
      <c r="N12" s="345">
        <f>T12</f>
        <v>9.1800000000000007E-2</v>
      </c>
      <c r="O12" s="629">
        <f>SUBTOTAL(109,O14:O33)</f>
        <v>4.6818000000000008</v>
      </c>
      <c r="P12" s="346">
        <f>IF($O$104=0,0,O12/$O$104)</f>
        <v>0.62250842055776778</v>
      </c>
      <c r="S12" s="254">
        <f>SUBTOTAL(109,S14:S33)</f>
        <v>4.59</v>
      </c>
      <c r="T12" s="254">
        <f>SUBTOTAL(109,T14:T33)</f>
        <v>9.1800000000000007E-2</v>
      </c>
      <c r="U12" s="254">
        <f>SUBTOTAL(109,U14:U33)</f>
        <v>9.8532293435482643E-16</v>
      </c>
      <c r="V12" s="254">
        <f>SUBTOTAL(109,V14:V33)</f>
        <v>4.6818000000000008</v>
      </c>
      <c r="W12" s="254"/>
      <c r="X12" s="217"/>
      <c r="Y12" s="35"/>
      <c r="Z12" s="264"/>
      <c r="AA12" s="264"/>
      <c r="AB12" s="264"/>
      <c r="AC12" s="264"/>
      <c r="AD12" s="264"/>
      <c r="AE12" s="264"/>
      <c r="AF12" s="264"/>
      <c r="AG12" s="264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5"/>
    </row>
    <row r="13" spans="1:46" ht="32.299999999999997" customHeight="1" x14ac:dyDescent="0.2">
      <c r="A13" s="347"/>
      <c r="B13" s="728" t="str">
        <f>VLOOKUP("descr2",translation,VLOOKUP(J2,languages,2,FALSE),FALSE)</f>
        <v>Description</v>
      </c>
      <c r="C13" s="728"/>
      <c r="D13" s="659"/>
      <c r="E13" s="729" t="str">
        <f>VLOOKUP("spec",translation,VLOOKUP(J2,languages,2,FALSE),FALSE)</f>
        <v>Specification</v>
      </c>
      <c r="F13" s="730"/>
      <c r="G13" s="349" t="str">
        <f>VLOOKUP("uom",translation,VLOOKUP(J2,languages,2,FALSE),FALSE)</f>
        <v>UoM</v>
      </c>
      <c r="H13" s="660" t="str">
        <f>VLOOKUP("nweight",translation,VLOOKUP(J2,languages,2,FALSE),FALSE)</f>
        <v>Net Amount</v>
      </c>
      <c r="I13" s="660" t="str">
        <f>VLOOKUP("bweight",translation,VLOOKUP(J2,languages,2,FALSE),FALSE)</f>
        <v>Gross Amount</v>
      </c>
      <c r="J13" s="660" t="str">
        <f>VLOOKUP("qty1",translation,VLOOKUP(J2,languages,2,FALSE),FALSE)</f>
        <v>Qty (optional)</v>
      </c>
      <c r="K13" s="660" t="str">
        <f>VLOOKUP("ucost",translation,VLOOKUP(J2,languages,2,FALSE),FALSE) &amp; " ["&amp;LEFT($D$7,3)&amp;"]"</f>
        <v>Unit Cost [EUR]</v>
      </c>
      <c r="L13" s="660" t="str">
        <f>VLOOKUP("resale",translation,VLOOKUP(J2,languages,2,FALSE),FALSE)&amp;" ["&amp;LEFT($D$7,3)&amp;VLOOKUP("/UoM",translation,VLOOKUP(J2,languages,2,FALSE),FALSE)&amp;"]"</f>
        <v>Refund [EUR/UoM]</v>
      </c>
      <c r="M13" s="351" t="s">
        <v>193</v>
      </c>
      <c r="N13" s="660" t="str">
        <f>VLOOKUP("scrap",translation,VLOOKUP(J2,languages,2,FALSE),FALSE)</f>
        <v>Scrap [%]</v>
      </c>
      <c r="O13" s="660" t="str">
        <f>VLOOKUP("total",translation,VLOOKUP(J2,languages,2,FALSE),FALSE)&amp;" ["&amp;LEFT($D$7,3)&amp;$F$7&amp;"]"</f>
        <v>Total [EUR/pc]</v>
      </c>
      <c r="P13" s="352"/>
      <c r="S13" s="255" t="s">
        <v>13</v>
      </c>
      <c r="T13" s="255" t="s">
        <v>14</v>
      </c>
      <c r="U13" s="255" t="s">
        <v>15</v>
      </c>
      <c r="V13" s="255" t="s">
        <v>16</v>
      </c>
      <c r="W13" s="256">
        <v>16</v>
      </c>
      <c r="X13" s="217"/>
      <c r="Y13" s="35"/>
      <c r="Z13" s="264"/>
      <c r="AA13" s="264"/>
      <c r="AB13" s="264"/>
      <c r="AC13" s="264"/>
      <c r="AD13" s="264"/>
      <c r="AE13" s="264"/>
      <c r="AF13" s="264"/>
      <c r="AG13" s="264"/>
      <c r="AH13" s="36"/>
      <c r="AI13" s="36"/>
      <c r="AJ13" s="36"/>
      <c r="AK13" s="36"/>
      <c r="AL13" s="36"/>
      <c r="AM13" s="35"/>
      <c r="AN13" s="35"/>
      <c r="AO13" s="35"/>
      <c r="AP13" s="35"/>
      <c r="AQ13" s="35"/>
      <c r="AR13" s="35"/>
      <c r="AS13" s="35"/>
      <c r="AT13" s="35"/>
    </row>
    <row r="14" spans="1:46" x14ac:dyDescent="0.2">
      <c r="A14" s="353">
        <v>1</v>
      </c>
      <c r="B14" s="891" t="s">
        <v>867</v>
      </c>
      <c r="C14" s="892"/>
      <c r="D14" s="893"/>
      <c r="E14" s="731" t="s">
        <v>865</v>
      </c>
      <c r="F14" s="732"/>
      <c r="G14" s="88" t="s">
        <v>866</v>
      </c>
      <c r="H14" s="90">
        <v>2.5</v>
      </c>
      <c r="I14" s="90">
        <v>2.7</v>
      </c>
      <c r="J14" s="90"/>
      <c r="K14" s="90">
        <v>1.7</v>
      </c>
      <c r="L14" s="90">
        <v>0</v>
      </c>
      <c r="M14" s="218"/>
      <c r="N14" s="354">
        <v>0.02</v>
      </c>
      <c r="O14" s="355">
        <f>IF(J14="",1,J14)*(I14*(1+N14)*(K14+IF(RIGHT(M$13,2)="%]",(K14*M14),M14)-L14)+H14*L14)*PUC</f>
        <v>4.6818000000000008</v>
      </c>
      <c r="P14" s="356">
        <f t="shared" ref="P14:P33" si="0">IF($O$104=0,0,O14/$O$104)</f>
        <v>0.62250842055776778</v>
      </c>
      <c r="S14" s="257">
        <f>IF(J14="",1,J14)*(I14*(K14-L14)+(H14*L14))*PUC</f>
        <v>4.59</v>
      </c>
      <c r="T14" s="257">
        <f>IF(J14="",1,J14)*(K14+IF(RIGHT(M$13,2)="%]",(K14*M14),M14)-L14)*(I14*N14)*PUC</f>
        <v>9.1800000000000007E-2</v>
      </c>
      <c r="U14" s="257">
        <f>V14-S14-T14</f>
        <v>9.8532293435482643E-16</v>
      </c>
      <c r="V14" s="257">
        <f>IF(J14="",1,J14)*(I14*(1+N14)*(K14+IF(RIGHT(M$13,2)="%]",(K14*M14),M14)-L14)+H14*L14)*PUC</f>
        <v>4.6818000000000008</v>
      </c>
      <c r="W14" s="258"/>
      <c r="X14" s="217"/>
      <c r="Y14" s="40"/>
      <c r="Z14" s="264"/>
      <c r="AA14" s="264"/>
      <c r="AB14" s="264"/>
      <c r="AC14" s="264"/>
      <c r="AD14" s="264"/>
      <c r="AE14" s="264"/>
      <c r="AF14" s="266"/>
      <c r="AG14" s="264"/>
      <c r="AH14" s="54"/>
      <c r="AI14" s="36"/>
      <c r="AJ14" s="36"/>
      <c r="AK14" s="36"/>
      <c r="AL14" s="36"/>
      <c r="AM14" s="41"/>
      <c r="AN14" s="41"/>
      <c r="AO14" s="41"/>
      <c r="AP14" s="41"/>
      <c r="AQ14" s="41"/>
      <c r="AR14" s="41"/>
      <c r="AS14" s="41"/>
      <c r="AT14" s="41"/>
    </row>
    <row r="15" spans="1:46" x14ac:dyDescent="0.2">
      <c r="A15" s="357">
        <v>2</v>
      </c>
      <c r="B15" s="738"/>
      <c r="C15" s="739"/>
      <c r="D15" s="740"/>
      <c r="E15" s="731"/>
      <c r="F15" s="732"/>
      <c r="G15" s="88"/>
      <c r="H15" s="90"/>
      <c r="I15" s="90"/>
      <c r="J15" s="90"/>
      <c r="K15" s="90"/>
      <c r="L15" s="90"/>
      <c r="M15" s="218"/>
      <c r="N15" s="358"/>
      <c r="O15" s="355">
        <f>IF(J15="",1,J15)*(I15*(1+N15)*(K15+IF(RIGHT(M$13,2)="%]",(K15*M15),M15)-L15)+H15*L15)*PUC</f>
        <v>0</v>
      </c>
      <c r="P15" s="356">
        <f t="shared" si="0"/>
        <v>0</v>
      </c>
      <c r="S15" s="257">
        <f>IF(J15="",1,J15)*(I15*(K15-L15)+(H15*L15))*PUC</f>
        <v>0</v>
      </c>
      <c r="T15" s="257">
        <f>IF(J15="",1,J15)*(K15+IF(RIGHT(M$13,2)="%]",(K15*M15),M15)-L15)*(I15*N15)*PUC</f>
        <v>0</v>
      </c>
      <c r="U15" s="257">
        <f t="shared" ref="U15:U33" si="1">V15-S15-T15</f>
        <v>0</v>
      </c>
      <c r="V15" s="257">
        <f>IF(J15="",1,J15)*(I15*(1+N15)*(K15+IF(RIGHT(M$13,2)="%]",(K15*M15),M15)-L15)+H15*L15)*PUC</f>
        <v>0</v>
      </c>
      <c r="W15" s="258"/>
      <c r="X15" s="217"/>
      <c r="Y15" s="40"/>
      <c r="Z15" s="264"/>
      <c r="AA15" s="264"/>
      <c r="AB15" s="264"/>
      <c r="AC15" s="264"/>
      <c r="AD15" s="264"/>
      <c r="AE15" s="264"/>
      <c r="AF15" s="264"/>
      <c r="AG15" s="264"/>
      <c r="AH15" s="36"/>
      <c r="AI15" s="36"/>
      <c r="AJ15" s="36"/>
      <c r="AK15" s="36"/>
      <c r="AL15" s="36"/>
      <c r="AM15" s="41"/>
      <c r="AN15" s="41"/>
      <c r="AO15" s="41"/>
      <c r="AP15" s="41"/>
      <c r="AQ15" s="41"/>
      <c r="AR15" s="41"/>
      <c r="AS15" s="41"/>
      <c r="AT15" s="41"/>
    </row>
    <row r="16" spans="1:46" x14ac:dyDescent="0.2">
      <c r="A16" s="357">
        <v>3</v>
      </c>
      <c r="B16" s="738"/>
      <c r="C16" s="739"/>
      <c r="D16" s="740"/>
      <c r="E16" s="731"/>
      <c r="F16" s="733"/>
      <c r="G16" s="88"/>
      <c r="H16" s="90"/>
      <c r="I16" s="90"/>
      <c r="J16" s="90"/>
      <c r="K16" s="90"/>
      <c r="L16" s="90"/>
      <c r="M16" s="218"/>
      <c r="N16" s="358"/>
      <c r="O16" s="355">
        <f>IF(J16="",1,J16)*(I16*(1+N16)*(K16+IF(RIGHT(M$13,2)="%]",(K16*M16),M16)-L16)+H16*L16)*PUC</f>
        <v>0</v>
      </c>
      <c r="P16" s="356">
        <f t="shared" si="0"/>
        <v>0</v>
      </c>
      <c r="S16" s="257">
        <f>IF(J16="",1,J16)*(I16*(K16-L16)+(H16*L16))*PUC</f>
        <v>0</v>
      </c>
      <c r="T16" s="257">
        <f>IF(J16="",1,J16)*(K16+IF(RIGHT(M$13,2)="%]",(K16*M16),M16)-L16)*(I16*N16)*PUC</f>
        <v>0</v>
      </c>
      <c r="U16" s="257">
        <f t="shared" si="1"/>
        <v>0</v>
      </c>
      <c r="V16" s="257">
        <f>IF(J16="",1,J16)*(I16*(1+N16)*(K16+IF(RIGHT(M$13,2)="%]",(K16*M16),M16)-L16)+H16*L16)*PUC</f>
        <v>0</v>
      </c>
      <c r="W16" s="258"/>
      <c r="X16" s="217"/>
      <c r="Y16" s="40"/>
      <c r="Z16" s="264"/>
      <c r="AA16" s="264"/>
      <c r="AB16" s="264"/>
      <c r="AC16" s="264"/>
      <c r="AD16" s="264"/>
      <c r="AE16" s="264"/>
      <c r="AF16" s="264"/>
      <c r="AG16" s="264"/>
      <c r="AH16" s="36"/>
      <c r="AI16" s="36"/>
      <c r="AJ16" s="36"/>
      <c r="AK16" s="36"/>
      <c r="AL16" s="36"/>
      <c r="AM16" s="41"/>
      <c r="AN16" s="41"/>
      <c r="AO16" s="41"/>
      <c r="AP16" s="41"/>
      <c r="AQ16" s="41"/>
      <c r="AR16" s="41"/>
      <c r="AS16" s="41"/>
      <c r="AT16" s="41"/>
    </row>
    <row r="17" spans="1:46" ht="12.75" hidden="1" customHeight="1" x14ac:dyDescent="0.2">
      <c r="A17" s="357">
        <v>4</v>
      </c>
      <c r="B17" s="738"/>
      <c r="C17" s="739"/>
      <c r="D17" s="740"/>
      <c r="E17" s="731"/>
      <c r="F17" s="733"/>
      <c r="G17" s="88"/>
      <c r="H17" s="90"/>
      <c r="I17" s="90"/>
      <c r="J17" s="90"/>
      <c r="K17" s="90"/>
      <c r="L17" s="90"/>
      <c r="M17" s="218"/>
      <c r="N17" s="358"/>
      <c r="O17" s="355">
        <f>IF(J17="",1,J17)*(I17*(1+N17)*(K17+IF(RIGHT(M$13,2)="%]",(K17*M17),M17)-L17)+H17*L17)*PUC</f>
        <v>0</v>
      </c>
      <c r="P17" s="356">
        <f t="shared" si="0"/>
        <v>0</v>
      </c>
      <c r="S17" s="257">
        <f>IF(J17="",1,J17)*(I17*(K17-L17)+(H17*L17))*PUC</f>
        <v>0</v>
      </c>
      <c r="T17" s="257">
        <f>IF(J17="",1,J17)*(K17+IF(RIGHT(M$13,2)="%]",(K17*M17),M17)-L17)*(I17*N17)*PUC</f>
        <v>0</v>
      </c>
      <c r="U17" s="257">
        <f t="shared" si="1"/>
        <v>0</v>
      </c>
      <c r="V17" s="257">
        <f>IF(J17="",1,J17)*(I17*(1+N17)*(K17+IF(RIGHT(M$13,2)="%]",(K17*M17),M17)-L17)+H17*L17)*PUC</f>
        <v>0</v>
      </c>
      <c r="W17" s="258"/>
      <c r="X17" s="217"/>
      <c r="Y17" s="40"/>
      <c r="Z17" s="264"/>
      <c r="AA17" s="264"/>
      <c r="AB17" s="264"/>
      <c r="AC17" s="264"/>
      <c r="AD17" s="264"/>
      <c r="AE17" s="264"/>
      <c r="AF17" s="264"/>
      <c r="AG17" s="264"/>
      <c r="AH17" s="36"/>
      <c r="AI17" s="36"/>
      <c r="AJ17" s="36"/>
      <c r="AK17" s="36"/>
      <c r="AL17" s="36"/>
      <c r="AM17" s="41"/>
      <c r="AN17" s="41"/>
      <c r="AO17" s="41"/>
      <c r="AP17" s="41"/>
      <c r="AQ17" s="41"/>
      <c r="AR17" s="41"/>
      <c r="AS17" s="41"/>
      <c r="AT17" s="41"/>
    </row>
    <row r="18" spans="1:46" ht="12.75" hidden="1" customHeight="1" x14ac:dyDescent="0.2">
      <c r="A18" s="357">
        <v>5</v>
      </c>
      <c r="B18" s="738"/>
      <c r="C18" s="739"/>
      <c r="D18" s="740"/>
      <c r="E18" s="731"/>
      <c r="F18" s="733"/>
      <c r="G18" s="88"/>
      <c r="H18" s="90"/>
      <c r="I18" s="90"/>
      <c r="J18" s="90"/>
      <c r="K18" s="90"/>
      <c r="L18" s="90"/>
      <c r="M18" s="218"/>
      <c r="N18" s="358"/>
      <c r="O18" s="355">
        <f t="shared" ref="O18:O30" si="2">IF(J18="",1,J18)*(I18*(1+N18)*(K18+IF(RIGHT(M$13,2)="%]",(K18*M18),M18)-L18)+H18*L18)*PUC</f>
        <v>0</v>
      </c>
      <c r="P18" s="356">
        <f t="shared" si="0"/>
        <v>0</v>
      </c>
      <c r="S18" s="257">
        <f t="shared" ref="S18:S30" si="3">IF(J18="",1,J18)*(I18*(K18-L18)+(H18*L18))*PUC</f>
        <v>0</v>
      </c>
      <c r="T18" s="257">
        <f t="shared" ref="T18:T30" si="4">IF(J18="",1,J18)*(K18+IF(RIGHT(M$13,2)="%]",(K18*M18),M18)-L18)*(I18*N18)*PUC</f>
        <v>0</v>
      </c>
      <c r="U18" s="257">
        <f t="shared" si="1"/>
        <v>0</v>
      </c>
      <c r="V18" s="257">
        <f t="shared" ref="V18:V30" si="5">IF(J18="",1,J18)*(I18*(1+N18)*(K18+IF(RIGHT(M$13,2)="%]",(K18*M18),M18)-L18)+H18*L18)*PUC</f>
        <v>0</v>
      </c>
      <c r="W18" s="258"/>
      <c r="X18" s="217"/>
      <c r="Y18" s="40"/>
      <c r="Z18" s="264"/>
      <c r="AA18" s="264"/>
      <c r="AB18" s="264"/>
      <c r="AC18" s="264"/>
      <c r="AD18" s="264"/>
      <c r="AE18" s="264"/>
      <c r="AF18" s="264"/>
      <c r="AG18" s="264"/>
      <c r="AH18" s="54"/>
      <c r="AI18" s="36"/>
      <c r="AJ18" s="36"/>
      <c r="AK18" s="36"/>
      <c r="AL18" s="36"/>
      <c r="AM18" s="41"/>
      <c r="AN18" s="41"/>
      <c r="AO18" s="41"/>
      <c r="AP18" s="41"/>
      <c r="AQ18" s="41"/>
      <c r="AR18" s="41"/>
      <c r="AS18" s="41"/>
      <c r="AT18" s="41"/>
    </row>
    <row r="19" spans="1:46" ht="12.75" hidden="1" customHeight="1" x14ac:dyDescent="0.2">
      <c r="A19" s="357">
        <v>6</v>
      </c>
      <c r="B19" s="738"/>
      <c r="C19" s="739"/>
      <c r="D19" s="740"/>
      <c r="E19" s="731"/>
      <c r="F19" s="733"/>
      <c r="G19" s="88"/>
      <c r="H19" s="90"/>
      <c r="I19" s="90"/>
      <c r="J19" s="90"/>
      <c r="K19" s="90"/>
      <c r="L19" s="90"/>
      <c r="M19" s="218"/>
      <c r="N19" s="358"/>
      <c r="O19" s="355">
        <f t="shared" si="2"/>
        <v>0</v>
      </c>
      <c r="P19" s="356">
        <f t="shared" si="0"/>
        <v>0</v>
      </c>
      <c r="S19" s="257">
        <f t="shared" si="3"/>
        <v>0</v>
      </c>
      <c r="T19" s="257">
        <f t="shared" si="4"/>
        <v>0</v>
      </c>
      <c r="U19" s="257">
        <f t="shared" si="1"/>
        <v>0</v>
      </c>
      <c r="V19" s="257">
        <f t="shared" si="5"/>
        <v>0</v>
      </c>
      <c r="W19" s="258"/>
      <c r="X19" s="217"/>
      <c r="Y19" s="40"/>
      <c r="Z19" s="264"/>
      <c r="AA19" s="264"/>
      <c r="AB19" s="264"/>
      <c r="AC19" s="264"/>
      <c r="AD19" s="264"/>
      <c r="AE19" s="264"/>
      <c r="AF19" s="264"/>
      <c r="AG19" s="264"/>
      <c r="AH19" s="36"/>
      <c r="AI19" s="36"/>
      <c r="AJ19" s="36"/>
      <c r="AK19" s="36"/>
      <c r="AL19" s="36"/>
      <c r="AM19" s="41"/>
      <c r="AN19" s="41"/>
      <c r="AO19" s="41"/>
      <c r="AP19" s="41"/>
      <c r="AQ19" s="41"/>
      <c r="AR19" s="41"/>
      <c r="AS19" s="41"/>
      <c r="AT19" s="41"/>
    </row>
    <row r="20" spans="1:46" ht="12.75" hidden="1" customHeight="1" x14ac:dyDescent="0.2">
      <c r="A20" s="357">
        <v>7</v>
      </c>
      <c r="B20" s="738"/>
      <c r="C20" s="739"/>
      <c r="D20" s="740"/>
      <c r="E20" s="731"/>
      <c r="F20" s="733"/>
      <c r="G20" s="88"/>
      <c r="H20" s="90"/>
      <c r="I20" s="90"/>
      <c r="J20" s="90"/>
      <c r="K20" s="90"/>
      <c r="L20" s="90"/>
      <c r="M20" s="218"/>
      <c r="N20" s="358"/>
      <c r="O20" s="355">
        <f t="shared" si="2"/>
        <v>0</v>
      </c>
      <c r="P20" s="356">
        <f t="shared" si="0"/>
        <v>0</v>
      </c>
      <c r="S20" s="257">
        <f t="shared" si="3"/>
        <v>0</v>
      </c>
      <c r="T20" s="257">
        <f t="shared" si="4"/>
        <v>0</v>
      </c>
      <c r="U20" s="257">
        <f t="shared" si="1"/>
        <v>0</v>
      </c>
      <c r="V20" s="257">
        <f t="shared" si="5"/>
        <v>0</v>
      </c>
      <c r="W20" s="258"/>
      <c r="X20" s="217"/>
      <c r="Y20" s="42"/>
      <c r="Z20" s="264"/>
      <c r="AA20" s="264"/>
      <c r="AB20" s="264"/>
      <c r="AC20" s="264"/>
      <c r="AD20" s="264"/>
      <c r="AE20" s="264"/>
      <c r="AF20" s="264"/>
      <c r="AG20" s="264"/>
      <c r="AH20" s="36"/>
      <c r="AI20" s="36"/>
      <c r="AJ20" s="36"/>
      <c r="AK20" s="36"/>
      <c r="AL20" s="36"/>
      <c r="AM20" s="42"/>
      <c r="AN20" s="42"/>
      <c r="AO20" s="42"/>
      <c r="AP20" s="42"/>
      <c r="AQ20" s="42"/>
      <c r="AR20" s="42"/>
      <c r="AS20" s="42"/>
      <c r="AT20" s="42"/>
    </row>
    <row r="21" spans="1:46" ht="12.75" hidden="1" customHeight="1" x14ac:dyDescent="0.2">
      <c r="A21" s="357">
        <v>8</v>
      </c>
      <c r="B21" s="738"/>
      <c r="C21" s="739"/>
      <c r="D21" s="740"/>
      <c r="E21" s="731"/>
      <c r="F21" s="733"/>
      <c r="G21" s="88"/>
      <c r="H21" s="90"/>
      <c r="I21" s="90"/>
      <c r="J21" s="90"/>
      <c r="K21" s="90"/>
      <c r="L21" s="90"/>
      <c r="M21" s="218"/>
      <c r="N21" s="358"/>
      <c r="O21" s="355">
        <f t="shared" si="2"/>
        <v>0</v>
      </c>
      <c r="P21" s="356">
        <f t="shared" si="0"/>
        <v>0</v>
      </c>
      <c r="S21" s="257">
        <f t="shared" si="3"/>
        <v>0</v>
      </c>
      <c r="T21" s="257">
        <f t="shared" si="4"/>
        <v>0</v>
      </c>
      <c r="U21" s="257">
        <f t="shared" si="1"/>
        <v>0</v>
      </c>
      <c r="V21" s="257">
        <f t="shared" si="5"/>
        <v>0</v>
      </c>
      <c r="W21" s="258"/>
      <c r="X21" s="217"/>
      <c r="Y21" s="42"/>
      <c r="Z21" s="264"/>
      <c r="AA21" s="264"/>
      <c r="AB21" s="264"/>
      <c r="AC21" s="264"/>
      <c r="AD21" s="264"/>
      <c r="AE21" s="264"/>
      <c r="AF21" s="264"/>
      <c r="AG21" s="264"/>
      <c r="AH21" s="36"/>
      <c r="AI21" s="36"/>
      <c r="AJ21" s="36"/>
      <c r="AK21" s="36"/>
      <c r="AL21" s="36"/>
      <c r="AM21" s="42"/>
      <c r="AN21" s="42"/>
      <c r="AO21" s="42"/>
      <c r="AP21" s="42"/>
      <c r="AQ21" s="42"/>
      <c r="AR21" s="42"/>
      <c r="AS21" s="42"/>
      <c r="AT21" s="42"/>
    </row>
    <row r="22" spans="1:46" ht="12.75" hidden="1" customHeight="1" x14ac:dyDescent="0.2">
      <c r="A22" s="357">
        <v>9</v>
      </c>
      <c r="B22" s="738"/>
      <c r="C22" s="739"/>
      <c r="D22" s="740"/>
      <c r="E22" s="731"/>
      <c r="F22" s="733"/>
      <c r="G22" s="88"/>
      <c r="H22" s="90"/>
      <c r="I22" s="90"/>
      <c r="J22" s="90"/>
      <c r="K22" s="90"/>
      <c r="L22" s="90"/>
      <c r="M22" s="218"/>
      <c r="N22" s="358"/>
      <c r="O22" s="355">
        <f t="shared" si="2"/>
        <v>0</v>
      </c>
      <c r="P22" s="356">
        <f t="shared" si="0"/>
        <v>0</v>
      </c>
      <c r="S22" s="257">
        <f t="shared" si="3"/>
        <v>0</v>
      </c>
      <c r="T22" s="257">
        <f t="shared" si="4"/>
        <v>0</v>
      </c>
      <c r="U22" s="257">
        <f t="shared" si="1"/>
        <v>0</v>
      </c>
      <c r="V22" s="257">
        <f t="shared" si="5"/>
        <v>0</v>
      </c>
      <c r="W22" s="258"/>
      <c r="X22" s="217"/>
      <c r="Y22" s="42"/>
      <c r="Z22" s="264"/>
      <c r="AA22" s="264"/>
      <c r="AB22" s="264"/>
      <c r="AC22" s="264"/>
      <c r="AD22" s="264"/>
      <c r="AE22" s="264"/>
      <c r="AF22" s="264"/>
      <c r="AG22" s="264"/>
      <c r="AH22" s="36"/>
      <c r="AI22" s="36"/>
      <c r="AJ22" s="36"/>
      <c r="AK22" s="36"/>
      <c r="AL22" s="36"/>
      <c r="AM22" s="42"/>
      <c r="AN22" s="42"/>
      <c r="AO22" s="42"/>
      <c r="AP22" s="42"/>
      <c r="AQ22" s="42"/>
      <c r="AR22" s="42"/>
      <c r="AS22" s="42"/>
      <c r="AT22" s="42"/>
    </row>
    <row r="23" spans="1:46" ht="12.75" hidden="1" customHeight="1" x14ac:dyDescent="0.2">
      <c r="A23" s="357">
        <v>10</v>
      </c>
      <c r="B23" s="738"/>
      <c r="C23" s="739"/>
      <c r="D23" s="740"/>
      <c r="E23" s="731"/>
      <c r="F23" s="733"/>
      <c r="G23" s="88"/>
      <c r="H23" s="90"/>
      <c r="I23" s="90"/>
      <c r="J23" s="90"/>
      <c r="K23" s="90"/>
      <c r="L23" s="90"/>
      <c r="M23" s="218"/>
      <c r="N23" s="358"/>
      <c r="O23" s="355">
        <f t="shared" si="2"/>
        <v>0</v>
      </c>
      <c r="P23" s="356">
        <f t="shared" si="0"/>
        <v>0</v>
      </c>
      <c r="S23" s="257">
        <f t="shared" si="3"/>
        <v>0</v>
      </c>
      <c r="T23" s="257">
        <f t="shared" si="4"/>
        <v>0</v>
      </c>
      <c r="U23" s="257">
        <f t="shared" si="1"/>
        <v>0</v>
      </c>
      <c r="V23" s="257">
        <f t="shared" si="5"/>
        <v>0</v>
      </c>
      <c r="W23" s="258"/>
      <c r="X23" s="217"/>
      <c r="Y23" s="42"/>
      <c r="Z23" s="264"/>
      <c r="AA23" s="264"/>
      <c r="AB23" s="264"/>
      <c r="AC23" s="264"/>
      <c r="AD23" s="264"/>
      <c r="AE23" s="264"/>
      <c r="AF23" s="264"/>
      <c r="AG23" s="264"/>
      <c r="AH23" s="36"/>
      <c r="AI23" s="36"/>
      <c r="AJ23" s="36"/>
      <c r="AK23" s="36"/>
      <c r="AL23" s="36"/>
      <c r="AM23" s="42"/>
      <c r="AN23" s="42"/>
      <c r="AO23" s="42"/>
      <c r="AP23" s="42"/>
      <c r="AQ23" s="42"/>
      <c r="AR23" s="42"/>
      <c r="AS23" s="42"/>
      <c r="AT23" s="42"/>
    </row>
    <row r="24" spans="1:46" ht="12.75" hidden="1" customHeight="1" x14ac:dyDescent="0.2">
      <c r="A24" s="357">
        <v>11</v>
      </c>
      <c r="B24" s="738"/>
      <c r="C24" s="739"/>
      <c r="D24" s="740"/>
      <c r="E24" s="731"/>
      <c r="F24" s="733"/>
      <c r="G24" s="88"/>
      <c r="H24" s="90"/>
      <c r="I24" s="90"/>
      <c r="J24" s="90"/>
      <c r="K24" s="90"/>
      <c r="L24" s="90"/>
      <c r="M24" s="218"/>
      <c r="N24" s="358"/>
      <c r="O24" s="355">
        <f>IF(J24="",1,J24)*(I24*(1+N24)*(K24+IF(RIGHT(M$13,2)="%]",(K24*M24),M24)-L24)+H24*L24)*PUC</f>
        <v>0</v>
      </c>
      <c r="P24" s="356">
        <f t="shared" si="0"/>
        <v>0</v>
      </c>
      <c r="S24" s="257">
        <f>IF(J24="",1,J24)*(I24*(K24-L24)+(H24*L24))*PUC</f>
        <v>0</v>
      </c>
      <c r="T24" s="257">
        <f>IF(J24="",1,J24)*(K24+IF(RIGHT(M$13,2)="%]",(K24*M24),M24)-L24)*(I24*N24)*PUC</f>
        <v>0</v>
      </c>
      <c r="U24" s="257">
        <f t="shared" si="1"/>
        <v>0</v>
      </c>
      <c r="V24" s="257">
        <f>IF(J24="",1,J24)*(I24*(1+N24)*(K24+IF(RIGHT(M$13,2)="%]",(K24*M24),M24)-L24)+H24*L24)*PUC</f>
        <v>0</v>
      </c>
      <c r="W24" s="258"/>
      <c r="X24" s="217"/>
      <c r="Y24" s="42"/>
      <c r="Z24" s="264"/>
      <c r="AA24" s="264"/>
      <c r="AB24" s="264"/>
      <c r="AC24" s="264"/>
      <c r="AD24" s="264"/>
      <c r="AE24" s="264"/>
      <c r="AF24" s="264"/>
      <c r="AG24" s="264"/>
      <c r="AH24" s="36"/>
      <c r="AI24" s="36"/>
      <c r="AJ24" s="36"/>
      <c r="AK24" s="36"/>
      <c r="AL24" s="36"/>
      <c r="AM24" s="42"/>
      <c r="AN24" s="42"/>
      <c r="AO24" s="42"/>
      <c r="AP24" s="42"/>
      <c r="AQ24" s="42"/>
      <c r="AR24" s="42"/>
      <c r="AS24" s="42"/>
      <c r="AT24" s="42"/>
    </row>
    <row r="25" spans="1:46" ht="12.75" hidden="1" customHeight="1" x14ac:dyDescent="0.2">
      <c r="A25" s="357">
        <v>12</v>
      </c>
      <c r="B25" s="738"/>
      <c r="C25" s="739"/>
      <c r="D25" s="740"/>
      <c r="E25" s="731"/>
      <c r="F25" s="733"/>
      <c r="G25" s="88"/>
      <c r="H25" s="90"/>
      <c r="I25" s="90"/>
      <c r="J25" s="90"/>
      <c r="K25" s="90"/>
      <c r="L25" s="90"/>
      <c r="M25" s="218"/>
      <c r="N25" s="358"/>
      <c r="O25" s="355">
        <f>IF(J25="",1,J25)*(I25*(1+N25)*(K25+IF(RIGHT(M$13,2)="%]",(K25*M25),M25)-L25)+H25*L25)*PUC</f>
        <v>0</v>
      </c>
      <c r="P25" s="356">
        <f t="shared" si="0"/>
        <v>0</v>
      </c>
      <c r="S25" s="257">
        <f>IF(J25="",1,J25)*(I25*(K25-L25)+(H25*L25))*PUC</f>
        <v>0</v>
      </c>
      <c r="T25" s="257">
        <f>IF(J25="",1,J25)*(K25+IF(RIGHT(M$13,2)="%]",(K25*M25),M25)-L25)*(I25*N25)*PUC</f>
        <v>0</v>
      </c>
      <c r="U25" s="257">
        <f t="shared" si="1"/>
        <v>0</v>
      </c>
      <c r="V25" s="257">
        <f>IF(J25="",1,J25)*(I25*(1+N25)*(K25+IF(RIGHT(M$13,2)="%]",(K25*M25),M25)-L25)+H25*L25)*PUC</f>
        <v>0</v>
      </c>
      <c r="W25" s="258"/>
      <c r="X25" s="217"/>
      <c r="Y25" s="42"/>
      <c r="Z25" s="264"/>
      <c r="AA25" s="264"/>
      <c r="AB25" s="264"/>
      <c r="AC25" s="264"/>
      <c r="AD25" s="264"/>
      <c r="AE25" s="264"/>
      <c r="AF25" s="264"/>
      <c r="AG25" s="264"/>
      <c r="AH25" s="36"/>
      <c r="AI25" s="36"/>
      <c r="AJ25" s="36"/>
      <c r="AK25" s="36"/>
      <c r="AL25" s="36"/>
      <c r="AM25" s="42"/>
      <c r="AN25" s="42"/>
      <c r="AO25" s="42"/>
      <c r="AP25" s="42"/>
      <c r="AQ25" s="42"/>
      <c r="AR25" s="42"/>
      <c r="AS25" s="42"/>
      <c r="AT25" s="42"/>
    </row>
    <row r="26" spans="1:46" ht="12.75" hidden="1" customHeight="1" x14ac:dyDescent="0.2">
      <c r="A26" s="357">
        <v>13</v>
      </c>
      <c r="B26" s="738"/>
      <c r="C26" s="739"/>
      <c r="D26" s="740"/>
      <c r="E26" s="731"/>
      <c r="F26" s="733"/>
      <c r="G26" s="88"/>
      <c r="H26" s="90"/>
      <c r="I26" s="90"/>
      <c r="J26" s="90"/>
      <c r="K26" s="90"/>
      <c r="L26" s="90"/>
      <c r="M26" s="218"/>
      <c r="N26" s="358"/>
      <c r="O26" s="355">
        <f>IF(J26="",1,J26)*(I26*(1+N26)*(K26+IF(RIGHT(M$13,2)="%]",(K26*M26),M26)-L26)+H26*L26)*PUC</f>
        <v>0</v>
      </c>
      <c r="P26" s="356">
        <f t="shared" si="0"/>
        <v>0</v>
      </c>
      <c r="S26" s="257">
        <f>IF(J26="",1,J26)*(I26*(K26-L26)+(H26*L26))*PUC</f>
        <v>0</v>
      </c>
      <c r="T26" s="257">
        <f>IF(J26="",1,J26)*(K26+IF(RIGHT(M$13,2)="%]",(K26*M26),M26)-L26)*(I26*N26)*PUC</f>
        <v>0</v>
      </c>
      <c r="U26" s="257">
        <f t="shared" si="1"/>
        <v>0</v>
      </c>
      <c r="V26" s="257">
        <f>IF(J26="",1,J26)*(I26*(1+N26)*(K26+IF(RIGHT(M$13,2)="%]",(K26*M26),M26)-L26)+H26*L26)*PUC</f>
        <v>0</v>
      </c>
      <c r="W26" s="258"/>
      <c r="X26" s="217"/>
      <c r="Y26" s="42"/>
      <c r="Z26" s="264"/>
      <c r="AA26" s="264"/>
      <c r="AB26" s="264"/>
      <c r="AC26" s="264"/>
      <c r="AD26" s="264"/>
      <c r="AE26" s="264"/>
      <c r="AF26" s="264"/>
      <c r="AG26" s="264"/>
      <c r="AH26" s="36"/>
      <c r="AI26" s="36"/>
      <c r="AJ26" s="36"/>
      <c r="AK26" s="36"/>
      <c r="AL26" s="36"/>
      <c r="AM26" s="42"/>
      <c r="AN26" s="42"/>
      <c r="AO26" s="42"/>
      <c r="AP26" s="42"/>
      <c r="AQ26" s="42"/>
      <c r="AR26" s="42"/>
      <c r="AS26" s="42"/>
      <c r="AT26" s="42"/>
    </row>
    <row r="27" spans="1:46" ht="12.75" hidden="1" customHeight="1" x14ac:dyDescent="0.2">
      <c r="A27" s="357">
        <v>14</v>
      </c>
      <c r="B27" s="738"/>
      <c r="C27" s="739"/>
      <c r="D27" s="740"/>
      <c r="E27" s="731"/>
      <c r="F27" s="733"/>
      <c r="G27" s="88"/>
      <c r="H27" s="90"/>
      <c r="I27" s="90"/>
      <c r="J27" s="90"/>
      <c r="K27" s="90"/>
      <c r="L27" s="90"/>
      <c r="M27" s="218"/>
      <c r="N27" s="358"/>
      <c r="O27" s="355">
        <f>IF(J27="",1,J27)*(I27*(1+N27)*(K27+IF(RIGHT(M$13,2)="%]",(K27*M27),M27)-L27)+H27*L27)*PUC</f>
        <v>0</v>
      </c>
      <c r="P27" s="356">
        <f t="shared" si="0"/>
        <v>0</v>
      </c>
      <c r="S27" s="257">
        <f>IF(J27="",1,J27)*(I27*(K27-L27)+(H27*L27))*PUC</f>
        <v>0</v>
      </c>
      <c r="T27" s="257">
        <f>IF(J27="",1,J27)*(K27+IF(RIGHT(M$13,2)="%]",(K27*M27),M27)-L27)*(I27*N27)*PUC</f>
        <v>0</v>
      </c>
      <c r="U27" s="257">
        <f t="shared" si="1"/>
        <v>0</v>
      </c>
      <c r="V27" s="257">
        <f>IF(J27="",1,J27)*(I27*(1+N27)*(K27+IF(RIGHT(M$13,2)="%]",(K27*M27),M27)-L27)+H27*L27)*PUC</f>
        <v>0</v>
      </c>
      <c r="W27" s="258"/>
      <c r="X27" s="217"/>
      <c r="Y27" s="42"/>
      <c r="Z27" s="264"/>
      <c r="AA27" s="264"/>
      <c r="AB27" s="264"/>
      <c r="AC27" s="264"/>
      <c r="AD27" s="264"/>
      <c r="AE27" s="264"/>
      <c r="AF27" s="264"/>
      <c r="AG27" s="264"/>
      <c r="AH27" s="36"/>
      <c r="AI27" s="36"/>
      <c r="AJ27" s="36"/>
      <c r="AK27" s="36"/>
      <c r="AL27" s="36"/>
      <c r="AM27" s="42"/>
      <c r="AN27" s="42"/>
      <c r="AO27" s="42"/>
      <c r="AP27" s="42"/>
      <c r="AQ27" s="42"/>
      <c r="AR27" s="42"/>
      <c r="AS27" s="42"/>
      <c r="AT27" s="42"/>
    </row>
    <row r="28" spans="1:46" ht="12.75" hidden="1" customHeight="1" x14ac:dyDescent="0.2">
      <c r="A28" s="357">
        <v>15</v>
      </c>
      <c r="B28" s="738"/>
      <c r="C28" s="739"/>
      <c r="D28" s="740"/>
      <c r="E28" s="731"/>
      <c r="F28" s="733"/>
      <c r="G28" s="88"/>
      <c r="H28" s="90"/>
      <c r="I28" s="90"/>
      <c r="J28" s="90"/>
      <c r="K28" s="90"/>
      <c r="L28" s="90"/>
      <c r="M28" s="218"/>
      <c r="N28" s="358"/>
      <c r="O28" s="355">
        <f>IF(J28="",1,J28)*(I28*(1+N28)*(K28+IF(RIGHT(M$13,2)="%]",(K28*M28),M28)-L28)+H28*L28)*PUC</f>
        <v>0</v>
      </c>
      <c r="P28" s="356">
        <f t="shared" si="0"/>
        <v>0</v>
      </c>
      <c r="S28" s="257">
        <f>IF(J28="",1,J28)*(I28*(K28-L28)+(H28*L28))*PUC</f>
        <v>0</v>
      </c>
      <c r="T28" s="257">
        <f>IF(J28="",1,J28)*(K28+IF(RIGHT(M$13,2)="%]",(K28*M28),M28)-L28)*(I28*N28)*PUC</f>
        <v>0</v>
      </c>
      <c r="U28" s="257">
        <f t="shared" si="1"/>
        <v>0</v>
      </c>
      <c r="V28" s="257">
        <f>IF(J28="",1,J28)*(I28*(1+N28)*(K28+IF(RIGHT(M$13,2)="%]",(K28*M28),M28)-L28)+H28*L28)*PUC</f>
        <v>0</v>
      </c>
      <c r="W28" s="258"/>
      <c r="X28" s="217"/>
      <c r="Y28" s="42"/>
      <c r="Z28" s="264"/>
      <c r="AA28" s="264"/>
      <c r="AB28" s="264"/>
      <c r="AC28" s="264"/>
      <c r="AD28" s="264"/>
      <c r="AE28" s="264"/>
      <c r="AF28" s="264"/>
      <c r="AG28" s="264"/>
      <c r="AH28" s="36"/>
      <c r="AI28" s="36"/>
      <c r="AJ28" s="36"/>
      <c r="AK28" s="36"/>
      <c r="AL28" s="36"/>
      <c r="AM28" s="42"/>
      <c r="AN28" s="42"/>
      <c r="AO28" s="42"/>
      <c r="AP28" s="42"/>
      <c r="AQ28" s="42"/>
      <c r="AR28" s="42"/>
      <c r="AS28" s="42"/>
      <c r="AT28" s="42"/>
    </row>
    <row r="29" spans="1:46" ht="12.75" hidden="1" customHeight="1" x14ac:dyDescent="0.2">
      <c r="A29" s="357">
        <v>16</v>
      </c>
      <c r="B29" s="738"/>
      <c r="C29" s="739"/>
      <c r="D29" s="740"/>
      <c r="E29" s="731"/>
      <c r="F29" s="733"/>
      <c r="G29" s="88"/>
      <c r="H29" s="90"/>
      <c r="I29" s="90"/>
      <c r="J29" s="90"/>
      <c r="K29" s="90"/>
      <c r="L29" s="90"/>
      <c r="M29" s="218"/>
      <c r="N29" s="358"/>
      <c r="O29" s="355">
        <f t="shared" si="2"/>
        <v>0</v>
      </c>
      <c r="P29" s="356">
        <f t="shared" si="0"/>
        <v>0</v>
      </c>
      <c r="S29" s="257">
        <f t="shared" si="3"/>
        <v>0</v>
      </c>
      <c r="T29" s="257">
        <f t="shared" si="4"/>
        <v>0</v>
      </c>
      <c r="U29" s="257">
        <f t="shared" si="1"/>
        <v>0</v>
      </c>
      <c r="V29" s="257">
        <f t="shared" si="5"/>
        <v>0</v>
      </c>
      <c r="W29" s="258"/>
      <c r="X29" s="217"/>
      <c r="Y29" s="42"/>
      <c r="Z29" s="264"/>
      <c r="AA29" s="264"/>
      <c r="AB29" s="264"/>
      <c r="AC29" s="264"/>
      <c r="AD29" s="264"/>
      <c r="AE29" s="264"/>
      <c r="AF29" s="264"/>
      <c r="AG29" s="264"/>
      <c r="AH29" s="36"/>
      <c r="AI29" s="36"/>
      <c r="AJ29" s="36"/>
      <c r="AK29" s="36"/>
      <c r="AL29" s="36"/>
      <c r="AM29" s="42"/>
      <c r="AN29" s="42"/>
      <c r="AO29" s="42"/>
      <c r="AP29" s="42"/>
      <c r="AQ29" s="42"/>
      <c r="AR29" s="42"/>
      <c r="AS29" s="42"/>
      <c r="AT29" s="42"/>
    </row>
    <row r="30" spans="1:46" ht="12.75" hidden="1" customHeight="1" x14ac:dyDescent="0.2">
      <c r="A30" s="357">
        <v>17</v>
      </c>
      <c r="B30" s="738"/>
      <c r="C30" s="739"/>
      <c r="D30" s="740"/>
      <c r="E30" s="731"/>
      <c r="F30" s="733"/>
      <c r="G30" s="88"/>
      <c r="H30" s="90"/>
      <c r="I30" s="90"/>
      <c r="J30" s="90"/>
      <c r="K30" s="90"/>
      <c r="L30" s="90"/>
      <c r="M30" s="218"/>
      <c r="N30" s="358"/>
      <c r="O30" s="355">
        <f t="shared" si="2"/>
        <v>0</v>
      </c>
      <c r="P30" s="356">
        <f t="shared" si="0"/>
        <v>0</v>
      </c>
      <c r="S30" s="257">
        <f t="shared" si="3"/>
        <v>0</v>
      </c>
      <c r="T30" s="257">
        <f t="shared" si="4"/>
        <v>0</v>
      </c>
      <c r="U30" s="257">
        <f t="shared" si="1"/>
        <v>0</v>
      </c>
      <c r="V30" s="257">
        <f t="shared" si="5"/>
        <v>0</v>
      </c>
      <c r="W30" s="258"/>
      <c r="X30" s="217"/>
      <c r="Y30" s="42"/>
      <c r="Z30" s="264"/>
      <c r="AA30" s="264"/>
      <c r="AB30" s="264"/>
      <c r="AC30" s="264"/>
      <c r="AD30" s="264"/>
      <c r="AE30" s="264"/>
      <c r="AF30" s="264"/>
      <c r="AG30" s="264"/>
      <c r="AH30" s="36"/>
      <c r="AI30" s="36"/>
      <c r="AJ30" s="36"/>
      <c r="AK30" s="36"/>
      <c r="AL30" s="36"/>
      <c r="AM30" s="42"/>
      <c r="AN30" s="42"/>
      <c r="AO30" s="42"/>
      <c r="AP30" s="42"/>
      <c r="AQ30" s="42"/>
      <c r="AR30" s="42"/>
      <c r="AS30" s="42"/>
      <c r="AT30" s="42"/>
    </row>
    <row r="31" spans="1:46" ht="12.75" hidden="1" customHeight="1" x14ac:dyDescent="0.2">
      <c r="A31" s="357">
        <v>18</v>
      </c>
      <c r="B31" s="738"/>
      <c r="C31" s="739"/>
      <c r="D31" s="740"/>
      <c r="E31" s="731"/>
      <c r="F31" s="733"/>
      <c r="G31" s="88"/>
      <c r="H31" s="90"/>
      <c r="I31" s="90"/>
      <c r="J31" s="90"/>
      <c r="K31" s="90"/>
      <c r="L31" s="90"/>
      <c r="M31" s="218"/>
      <c r="N31" s="358"/>
      <c r="O31" s="355">
        <f>IF(J31="",1,J31)*(I31*(1+N31)*(K31+IF(RIGHT(M$13,2)="%]",(K31*M31),M31)-L31)+H31*L31)*PUC</f>
        <v>0</v>
      </c>
      <c r="P31" s="356">
        <f t="shared" si="0"/>
        <v>0</v>
      </c>
      <c r="S31" s="257">
        <f>IF(J31="",1,J31)*(I31*(K31-L31)+(H31*L31))*PUC</f>
        <v>0</v>
      </c>
      <c r="T31" s="257">
        <f>IF(J31="",1,J31)*(K31+IF(RIGHT(M$13,2)="%]",(K31*M31),M31)-L31)*(I31*N31)*PUC</f>
        <v>0</v>
      </c>
      <c r="U31" s="257">
        <f t="shared" si="1"/>
        <v>0</v>
      </c>
      <c r="V31" s="257">
        <f>IF(J31="",1,J31)*(I31*(1+N31)*(K31+IF(RIGHT(M$13,2)="%]",(K31*M31),M31)-L31)+H31*L31)*PUC</f>
        <v>0</v>
      </c>
      <c r="W31" s="258"/>
      <c r="X31" s="217"/>
      <c r="Y31" s="42"/>
      <c r="Z31" s="264"/>
      <c r="AA31" s="264"/>
      <c r="AB31" s="264"/>
      <c r="AC31" s="264"/>
      <c r="AD31" s="264"/>
      <c r="AE31" s="264"/>
      <c r="AF31" s="264"/>
      <c r="AG31" s="264"/>
      <c r="AH31" s="36"/>
      <c r="AI31" s="36"/>
      <c r="AJ31" s="36"/>
      <c r="AK31" s="36"/>
      <c r="AL31" s="36"/>
      <c r="AM31" s="42"/>
      <c r="AN31" s="42"/>
      <c r="AO31" s="42"/>
      <c r="AP31" s="42"/>
      <c r="AQ31" s="42"/>
      <c r="AR31" s="42"/>
      <c r="AS31" s="42"/>
      <c r="AT31" s="42"/>
    </row>
    <row r="32" spans="1:46" ht="12.75" hidden="1" customHeight="1" x14ac:dyDescent="0.2">
      <c r="A32" s="357">
        <v>19</v>
      </c>
      <c r="B32" s="738"/>
      <c r="C32" s="739"/>
      <c r="D32" s="740"/>
      <c r="E32" s="731"/>
      <c r="F32" s="733"/>
      <c r="G32" s="88"/>
      <c r="H32" s="90"/>
      <c r="I32" s="90"/>
      <c r="J32" s="90"/>
      <c r="K32" s="90"/>
      <c r="L32" s="90"/>
      <c r="M32" s="218"/>
      <c r="N32" s="358"/>
      <c r="O32" s="355">
        <f>IF(J32="",1,J32)*(I32*(1+N32)*(K32+IF(RIGHT(M$13,2)="%]",(K32*M32),M32)-L32)+H32*L32)*PUC</f>
        <v>0</v>
      </c>
      <c r="P32" s="356">
        <f t="shared" si="0"/>
        <v>0</v>
      </c>
      <c r="S32" s="257">
        <f>IF(J32="",1,J32)*(I32*(K32-L32)+(H32*L32))*PUC</f>
        <v>0</v>
      </c>
      <c r="T32" s="257">
        <f>IF(J32="",1,J32)*(K32+IF(RIGHT(M$13,2)="%]",(K32*M32),M32)-L32)*(I32*N32)*PUC</f>
        <v>0</v>
      </c>
      <c r="U32" s="257">
        <f t="shared" si="1"/>
        <v>0</v>
      </c>
      <c r="V32" s="257">
        <f>IF(J32="",1,J32)*(I32*(1+N32)*(K32+IF(RIGHT(M$13,2)="%]",(K32*M32),M32)-L32)+H32*L32)*PUC</f>
        <v>0</v>
      </c>
      <c r="W32" s="258"/>
      <c r="X32" s="217"/>
      <c r="Y32" s="42"/>
      <c r="Z32" s="264"/>
      <c r="AA32" s="264"/>
      <c r="AB32" s="264"/>
      <c r="AC32" s="264"/>
      <c r="AD32" s="264"/>
      <c r="AE32" s="264"/>
      <c r="AF32" s="264"/>
      <c r="AG32" s="264"/>
      <c r="AH32" s="36"/>
      <c r="AI32" s="36"/>
      <c r="AJ32" s="36"/>
      <c r="AK32" s="36"/>
      <c r="AL32" s="36"/>
      <c r="AM32" s="42"/>
      <c r="AN32" s="42"/>
      <c r="AO32" s="42"/>
      <c r="AP32" s="42"/>
      <c r="AQ32" s="42"/>
      <c r="AR32" s="42"/>
      <c r="AS32" s="42"/>
      <c r="AT32" s="42"/>
    </row>
    <row r="33" spans="1:46" ht="12.75" hidden="1" customHeight="1" x14ac:dyDescent="0.2">
      <c r="A33" s="357">
        <v>20</v>
      </c>
      <c r="B33" s="741"/>
      <c r="C33" s="742"/>
      <c r="D33" s="743"/>
      <c r="E33" s="731"/>
      <c r="F33" s="733"/>
      <c r="G33" s="88"/>
      <c r="H33" s="90"/>
      <c r="I33" s="90"/>
      <c r="J33" s="90"/>
      <c r="K33" s="90"/>
      <c r="L33" s="90"/>
      <c r="M33" s="218"/>
      <c r="N33" s="358"/>
      <c r="O33" s="355">
        <f>IF(J33="",1,J33)*(I33*(1+N33)*(K33+IF(RIGHT(M$13,2)="%]",(K33*M33),M33)-L33)+H33*L33)*PUC</f>
        <v>0</v>
      </c>
      <c r="P33" s="356">
        <f t="shared" si="0"/>
        <v>0</v>
      </c>
      <c r="S33" s="257">
        <f>IF(J33="",1,J33)*(I33*(K33-L33)+(H33*L33))*PUC</f>
        <v>0</v>
      </c>
      <c r="T33" s="257">
        <f>IF(J33="",1,J33)*(K33+IF(RIGHT(M$13,2)="%]",(K33*M33),M33)-L33)*(I33*N33)*PUC</f>
        <v>0</v>
      </c>
      <c r="U33" s="257">
        <f t="shared" si="1"/>
        <v>0</v>
      </c>
      <c r="V33" s="257">
        <f>IF(J33="",1,J33)*(I33*(1+N33)*(K33+IF(RIGHT(M$13,2)="%]",(K33*M33),M33)-L33)+H33*L33)*PUC</f>
        <v>0</v>
      </c>
      <c r="W33" s="258"/>
      <c r="X33" s="217"/>
      <c r="Y33" s="42"/>
      <c r="Z33" s="264"/>
      <c r="AA33" s="264"/>
      <c r="AB33" s="264"/>
      <c r="AC33" s="264"/>
      <c r="AD33" s="264"/>
      <c r="AE33" s="264"/>
      <c r="AF33" s="264"/>
      <c r="AG33" s="264"/>
      <c r="AH33" s="36"/>
      <c r="AI33" s="36"/>
      <c r="AJ33" s="36"/>
      <c r="AK33" s="36"/>
      <c r="AL33" s="36"/>
      <c r="AM33" s="42"/>
      <c r="AN33" s="42"/>
      <c r="AO33" s="42"/>
      <c r="AP33" s="42"/>
      <c r="AQ33" s="42"/>
      <c r="AR33" s="42"/>
      <c r="AS33" s="42"/>
      <c r="AT33" s="42"/>
    </row>
    <row r="34" spans="1:46" ht="3.75" customHeight="1" x14ac:dyDescent="0.2">
      <c r="A34" s="10"/>
      <c r="B34" s="8"/>
      <c r="C34" s="8"/>
      <c r="D34" s="8"/>
      <c r="E34" s="8"/>
      <c r="F34" s="8"/>
      <c r="G34" s="8"/>
      <c r="H34" s="8"/>
      <c r="I34" s="8"/>
      <c r="J34" s="8"/>
      <c r="K34" s="8"/>
      <c r="L34" s="9"/>
      <c r="M34" s="9"/>
      <c r="N34" s="9"/>
      <c r="O34" s="48"/>
      <c r="P34" s="12"/>
      <c r="S34" s="237"/>
      <c r="T34" s="237"/>
      <c r="U34" s="253" t="str">
        <f>IF(RIGHT(M$36,2)="%]","P","A")</f>
        <v>P</v>
      </c>
      <c r="V34" s="237"/>
      <c r="W34" s="259"/>
      <c r="X34" s="217"/>
      <c r="Y34" s="42"/>
      <c r="Z34" s="264"/>
      <c r="AA34" s="264"/>
      <c r="AB34" s="264"/>
      <c r="AC34" s="264"/>
      <c r="AD34" s="264"/>
      <c r="AE34" s="264"/>
      <c r="AF34" s="264"/>
      <c r="AG34" s="264"/>
      <c r="AH34" s="36"/>
      <c r="AI34" s="36"/>
      <c r="AJ34" s="36"/>
      <c r="AK34" s="36"/>
      <c r="AL34" s="36"/>
      <c r="AM34" s="42"/>
      <c r="AN34" s="42"/>
      <c r="AO34" s="42"/>
      <c r="AP34" s="42"/>
      <c r="AQ34" s="42"/>
      <c r="AR34" s="42"/>
      <c r="AS34" s="42"/>
      <c r="AT34" s="42"/>
    </row>
    <row r="35" spans="1:46" ht="13.6" x14ac:dyDescent="0.25">
      <c r="A35" s="309"/>
      <c r="B35" s="359" t="str">
        <f>VLOOKUP("sec2.2",translation,VLOOKUP(J2,languages,2,FALSE),FALSE)</f>
        <v>Section 2.2</v>
      </c>
      <c r="C35" s="359"/>
      <c r="D35" s="360" t="str">
        <f>VLOOKUP("purch_comp",translation,VLOOKUP(J2,languages,2,FALSE),FALSE)</f>
        <v>Purchased Components (&amp; Outsourced Processes)</v>
      </c>
      <c r="E35" s="361"/>
      <c r="F35" s="361"/>
      <c r="G35" s="361"/>
      <c r="H35" s="361"/>
      <c r="I35" s="361"/>
      <c r="J35" s="361"/>
      <c r="K35" s="361"/>
      <c r="L35" s="362"/>
      <c r="M35" s="345">
        <f>U35</f>
        <v>0</v>
      </c>
      <c r="N35" s="345">
        <f>T35</f>
        <v>0</v>
      </c>
      <c r="O35" s="630">
        <f>SUBTOTAL(109,O37:O60)</f>
        <v>0</v>
      </c>
      <c r="P35" s="363">
        <f>IF($O$104=0,0,O35/$O$104)</f>
        <v>0</v>
      </c>
      <c r="S35" s="254">
        <f>SUBTOTAL(109,S37:S60)</f>
        <v>0</v>
      </c>
      <c r="T35" s="254">
        <f>SUBTOTAL(109,T37:T60)</f>
        <v>0</v>
      </c>
      <c r="U35" s="254">
        <f>SUBTOTAL(109,U37:U60)</f>
        <v>0</v>
      </c>
      <c r="V35" s="254">
        <f>SUBTOTAL(109,V37:V60)</f>
        <v>0</v>
      </c>
      <c r="W35" s="254">
        <v>4</v>
      </c>
      <c r="X35" s="217"/>
      <c r="Y35" s="42"/>
      <c r="Z35" s="264"/>
      <c r="AA35" s="264"/>
      <c r="AB35" s="264"/>
      <c r="AC35" s="264"/>
      <c r="AD35" s="264"/>
      <c r="AE35" s="264"/>
      <c r="AF35" s="264"/>
      <c r="AG35" s="264"/>
      <c r="AH35" s="36"/>
      <c r="AI35" s="36"/>
      <c r="AJ35" s="36"/>
      <c r="AK35" s="36"/>
      <c r="AL35" s="36"/>
      <c r="AM35" s="42"/>
      <c r="AN35" s="42"/>
      <c r="AO35" s="42"/>
      <c r="AP35" s="42"/>
      <c r="AQ35" s="42"/>
      <c r="AR35" s="42"/>
      <c r="AS35" s="42"/>
      <c r="AT35" s="42"/>
    </row>
    <row r="36" spans="1:46" ht="27" customHeight="1" x14ac:dyDescent="0.2">
      <c r="A36" s="347"/>
      <c r="B36" s="728" t="str">
        <f>VLOOKUP("descr2",translation,VLOOKUP(J2,languages,2,FALSE),FALSE)</f>
        <v>Description</v>
      </c>
      <c r="C36" s="728"/>
      <c r="D36" s="659"/>
      <c r="E36" s="728" t="str">
        <f>VLOOKUP("part_numb",translation,VLOOKUP(J2,languages,2,FALSE),FALSE)</f>
        <v>Part Number</v>
      </c>
      <c r="F36" s="734"/>
      <c r="G36" s="364" t="str">
        <f>VLOOKUP("uom",translation,VLOOKUP(J2,languages,2,FALSE),FALSE)</f>
        <v>UoM</v>
      </c>
      <c r="H36" s="735" t="str">
        <f>VLOOKUP("sub_supplier",translation,VLOOKUP(J2,languages,2,FALSE),FALSE)</f>
        <v>Sub-Supplier Name</v>
      </c>
      <c r="I36" s="734"/>
      <c r="J36" s="660" t="str">
        <f>VLOOKUP("qty2",translation,VLOOKUP(J2,languages,2,FALSE),FALSE)</f>
        <v>Qty</v>
      </c>
      <c r="K36" s="660" t="str">
        <f>VLOOKUP("ucost",translation,VLOOKUP(J2,languages,2,FALSE),FALSE)&amp;" ["&amp;LEFT($D$7,3)&amp;"]"</f>
        <v>Unit Cost [EUR]</v>
      </c>
      <c r="L36" s="660"/>
      <c r="M36" s="351" t="s">
        <v>193</v>
      </c>
      <c r="N36" s="660" t="str">
        <f>VLOOKUP("scrap",translation,VLOOKUP(J2,languages,2,FALSE),FALSE)</f>
        <v>Scrap [%]</v>
      </c>
      <c r="O36" s="365" t="str">
        <f>VLOOKUP("total",translation,VLOOKUP(J2,languages,2,FALSE),FALSE)&amp;" ["&amp;LEFT($D$7,3)&amp;$F$7&amp;"]"</f>
        <v>Total [EUR/pc]</v>
      </c>
      <c r="P36" s="352"/>
      <c r="S36" s="255" t="s">
        <v>13</v>
      </c>
      <c r="T36" s="255" t="s">
        <v>14</v>
      </c>
      <c r="U36" s="255" t="s">
        <v>15</v>
      </c>
      <c r="V36" s="255" t="s">
        <v>16</v>
      </c>
      <c r="W36" s="256">
        <v>39</v>
      </c>
      <c r="X36" s="217"/>
      <c r="Y36" s="42"/>
      <c r="Z36" s="264"/>
      <c r="AA36" s="264"/>
      <c r="AB36" s="264"/>
      <c r="AC36" s="264"/>
      <c r="AD36" s="264"/>
      <c r="AE36" s="264"/>
      <c r="AF36" s="264"/>
      <c r="AG36" s="264"/>
      <c r="AH36" s="36"/>
      <c r="AI36" s="36"/>
      <c r="AJ36" s="36"/>
      <c r="AK36" s="36"/>
      <c r="AL36" s="36"/>
      <c r="AM36" s="42"/>
      <c r="AN36" s="42"/>
      <c r="AO36" s="42"/>
      <c r="AP36" s="42"/>
      <c r="AQ36" s="42"/>
      <c r="AR36" s="42"/>
      <c r="AS36" s="42"/>
      <c r="AT36" s="42"/>
    </row>
    <row r="37" spans="1:46" x14ac:dyDescent="0.2">
      <c r="A37" s="353">
        <v>1</v>
      </c>
      <c r="B37" s="661"/>
      <c r="C37" s="91"/>
      <c r="D37" s="92"/>
      <c r="E37" s="736"/>
      <c r="F37" s="737"/>
      <c r="G37" s="93"/>
      <c r="H37" s="658"/>
      <c r="I37" s="664"/>
      <c r="J37" s="88"/>
      <c r="K37" s="90"/>
      <c r="L37" s="366"/>
      <c r="M37" s="367"/>
      <c r="N37" s="368"/>
      <c r="O37" s="369">
        <f>J37*(K37+IF(RIGHT(M$36,2)="%]",(K37*M37),M37))*(1+N37)*PUC</f>
        <v>0</v>
      </c>
      <c r="P37" s="356">
        <f t="shared" ref="P37:P60" si="6">IF($O$104=0,0,O37/$O$104)</f>
        <v>0</v>
      </c>
      <c r="S37" s="257">
        <f t="shared" ref="S37:S60" si="7">J37*K37*PUC</f>
        <v>0</v>
      </c>
      <c r="T37" s="257">
        <f t="shared" ref="T37:T60" si="8">J37*K37*(1+M37)*N37*PUC</f>
        <v>0</v>
      </c>
      <c r="U37" s="257">
        <f t="shared" ref="U37:U60" si="9">V37-S37-T37</f>
        <v>0</v>
      </c>
      <c r="V37" s="257">
        <f t="shared" ref="V37:V60" si="10">J37*(K37+IF(RIGHT(M$36,2)="%]",(K37*M37),M37))*(1+N37)*PUC</f>
        <v>0</v>
      </c>
      <c r="W37" s="258"/>
      <c r="X37" s="217"/>
      <c r="Y37" s="40"/>
      <c r="Z37" s="264"/>
      <c r="AA37" s="264"/>
      <c r="AB37" s="264"/>
      <c r="AC37" s="264"/>
      <c r="AD37" s="264"/>
      <c r="AE37" s="264"/>
      <c r="AF37" s="264"/>
      <c r="AG37" s="264"/>
      <c r="AH37" s="36"/>
      <c r="AI37" s="36"/>
      <c r="AJ37" s="36"/>
      <c r="AK37" s="36"/>
      <c r="AL37" s="36"/>
      <c r="AM37" s="41"/>
      <c r="AN37" s="41"/>
      <c r="AO37" s="41"/>
      <c r="AP37" s="41"/>
      <c r="AQ37" s="41"/>
      <c r="AR37" s="41"/>
      <c r="AS37" s="41"/>
      <c r="AT37" s="41"/>
    </row>
    <row r="38" spans="1:46" x14ac:dyDescent="0.2">
      <c r="A38" s="357">
        <v>2</v>
      </c>
      <c r="B38" s="661"/>
      <c r="C38" s="91"/>
      <c r="D38" s="92"/>
      <c r="E38" s="736"/>
      <c r="F38" s="737"/>
      <c r="G38" s="93"/>
      <c r="H38" s="658"/>
      <c r="I38" s="664"/>
      <c r="J38" s="88"/>
      <c r="K38" s="90"/>
      <c r="L38" s="366"/>
      <c r="M38" s="367"/>
      <c r="N38" s="368"/>
      <c r="O38" s="369">
        <f t="shared" ref="O38:O60" si="11">J38*(K38+IF(RIGHT(M$36,2)="%]",(K38*M38),M38))*(1+N38)*PUC</f>
        <v>0</v>
      </c>
      <c r="P38" s="356">
        <f t="shared" si="6"/>
        <v>0</v>
      </c>
      <c r="S38" s="257">
        <f t="shared" si="7"/>
        <v>0</v>
      </c>
      <c r="T38" s="257">
        <f t="shared" si="8"/>
        <v>0</v>
      </c>
      <c r="U38" s="257">
        <f t="shared" si="9"/>
        <v>0</v>
      </c>
      <c r="V38" s="257">
        <f t="shared" si="10"/>
        <v>0</v>
      </c>
      <c r="W38" s="258"/>
      <c r="X38" s="217"/>
      <c r="Y38" s="40"/>
      <c r="Z38" s="264"/>
      <c r="AA38" s="264"/>
      <c r="AB38" s="264"/>
      <c r="AC38" s="264"/>
      <c r="AD38" s="264"/>
      <c r="AE38" s="264"/>
      <c r="AF38" s="264"/>
      <c r="AG38" s="264"/>
      <c r="AH38" s="36"/>
      <c r="AI38" s="36"/>
      <c r="AJ38" s="36"/>
      <c r="AK38" s="36"/>
      <c r="AL38" s="36"/>
      <c r="AM38" s="41"/>
      <c r="AN38" s="41"/>
      <c r="AO38" s="41"/>
      <c r="AP38" s="41"/>
      <c r="AQ38" s="41"/>
      <c r="AR38" s="41"/>
      <c r="AS38" s="41"/>
      <c r="AT38" s="41"/>
    </row>
    <row r="39" spans="1:46" x14ac:dyDescent="0.2">
      <c r="A39" s="357">
        <v>3</v>
      </c>
      <c r="B39" s="661"/>
      <c r="C39" s="91"/>
      <c r="D39" s="92"/>
      <c r="E39" s="736"/>
      <c r="F39" s="737"/>
      <c r="G39" s="93"/>
      <c r="H39" s="658"/>
      <c r="I39" s="664"/>
      <c r="J39" s="88"/>
      <c r="K39" s="90"/>
      <c r="L39" s="366"/>
      <c r="M39" s="367"/>
      <c r="N39" s="368"/>
      <c r="O39" s="369">
        <f t="shared" si="11"/>
        <v>0</v>
      </c>
      <c r="P39" s="356">
        <f t="shared" si="6"/>
        <v>0</v>
      </c>
      <c r="S39" s="257">
        <f t="shared" si="7"/>
        <v>0</v>
      </c>
      <c r="T39" s="257">
        <f t="shared" si="8"/>
        <v>0</v>
      </c>
      <c r="U39" s="257">
        <f t="shared" si="9"/>
        <v>0</v>
      </c>
      <c r="V39" s="257">
        <f t="shared" si="10"/>
        <v>0</v>
      </c>
      <c r="W39" s="258"/>
      <c r="X39" s="217"/>
      <c r="Y39" s="40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41"/>
      <c r="AN39" s="41"/>
      <c r="AO39" s="41"/>
      <c r="AP39" s="41"/>
      <c r="AQ39" s="41"/>
      <c r="AR39" s="41"/>
      <c r="AS39" s="41"/>
      <c r="AT39" s="41"/>
    </row>
    <row r="40" spans="1:46" ht="12.75" hidden="1" customHeight="1" x14ac:dyDescent="0.2">
      <c r="A40" s="357">
        <v>4</v>
      </c>
      <c r="B40" s="661"/>
      <c r="C40" s="91"/>
      <c r="D40" s="92"/>
      <c r="E40" s="736"/>
      <c r="F40" s="737"/>
      <c r="G40" s="93"/>
      <c r="H40" s="658"/>
      <c r="I40" s="664"/>
      <c r="J40" s="88"/>
      <c r="K40" s="90"/>
      <c r="L40" s="366"/>
      <c r="M40" s="367"/>
      <c r="N40" s="368"/>
      <c r="O40" s="369">
        <f t="shared" si="11"/>
        <v>0</v>
      </c>
      <c r="P40" s="356">
        <f t="shared" si="6"/>
        <v>0</v>
      </c>
      <c r="S40" s="257">
        <f t="shared" si="7"/>
        <v>0</v>
      </c>
      <c r="T40" s="257">
        <f t="shared" si="8"/>
        <v>0</v>
      </c>
      <c r="U40" s="257">
        <f t="shared" si="9"/>
        <v>0</v>
      </c>
      <c r="V40" s="257">
        <f t="shared" si="10"/>
        <v>0</v>
      </c>
      <c r="W40" s="258"/>
      <c r="X40" s="217"/>
      <c r="Y40" s="40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</row>
    <row r="41" spans="1:46" ht="12.75" hidden="1" customHeight="1" x14ac:dyDescent="0.2">
      <c r="A41" s="357">
        <v>5</v>
      </c>
      <c r="B41" s="661"/>
      <c r="C41" s="91"/>
      <c r="D41" s="92"/>
      <c r="E41" s="736"/>
      <c r="F41" s="737"/>
      <c r="G41" s="93"/>
      <c r="H41" s="658"/>
      <c r="I41" s="664"/>
      <c r="J41" s="88"/>
      <c r="K41" s="90"/>
      <c r="L41" s="366"/>
      <c r="M41" s="367"/>
      <c r="N41" s="368"/>
      <c r="O41" s="369">
        <f t="shared" si="11"/>
        <v>0</v>
      </c>
      <c r="P41" s="356">
        <f t="shared" si="6"/>
        <v>0</v>
      </c>
      <c r="S41" s="257">
        <f t="shared" si="7"/>
        <v>0</v>
      </c>
      <c r="T41" s="257">
        <f t="shared" si="8"/>
        <v>0</v>
      </c>
      <c r="U41" s="257">
        <f t="shared" si="9"/>
        <v>0</v>
      </c>
      <c r="V41" s="257">
        <f t="shared" si="10"/>
        <v>0</v>
      </c>
      <c r="W41" s="258"/>
      <c r="X41" s="217"/>
      <c r="Y41" s="40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</row>
    <row r="42" spans="1:46" ht="12.75" hidden="1" customHeight="1" x14ac:dyDescent="0.2">
      <c r="A42" s="357">
        <v>6</v>
      </c>
      <c r="B42" s="661"/>
      <c r="C42" s="91"/>
      <c r="D42" s="92"/>
      <c r="E42" s="736"/>
      <c r="F42" s="737"/>
      <c r="G42" s="93"/>
      <c r="H42" s="658"/>
      <c r="I42" s="664"/>
      <c r="J42" s="88"/>
      <c r="K42" s="90"/>
      <c r="L42" s="366"/>
      <c r="M42" s="367"/>
      <c r="N42" s="368"/>
      <c r="O42" s="369">
        <f t="shared" si="11"/>
        <v>0</v>
      </c>
      <c r="P42" s="356">
        <f t="shared" si="6"/>
        <v>0</v>
      </c>
      <c r="S42" s="257">
        <f t="shared" si="7"/>
        <v>0</v>
      </c>
      <c r="T42" s="257">
        <f t="shared" si="8"/>
        <v>0</v>
      </c>
      <c r="U42" s="257">
        <f t="shared" si="9"/>
        <v>0</v>
      </c>
      <c r="V42" s="257">
        <f t="shared" si="10"/>
        <v>0</v>
      </c>
      <c r="W42" s="258"/>
      <c r="X42" s="217"/>
      <c r="Y42" s="4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</row>
    <row r="43" spans="1:46" ht="12.75" hidden="1" customHeight="1" x14ac:dyDescent="0.2">
      <c r="A43" s="357">
        <v>7</v>
      </c>
      <c r="B43" s="661"/>
      <c r="C43" s="91"/>
      <c r="D43" s="92"/>
      <c r="E43" s="736"/>
      <c r="F43" s="737"/>
      <c r="G43" s="93"/>
      <c r="H43" s="658"/>
      <c r="I43" s="664"/>
      <c r="J43" s="88"/>
      <c r="K43" s="90"/>
      <c r="L43" s="366"/>
      <c r="M43" s="367"/>
      <c r="N43" s="368"/>
      <c r="O43" s="369">
        <f t="shared" si="11"/>
        <v>0</v>
      </c>
      <c r="P43" s="356">
        <f t="shared" si="6"/>
        <v>0</v>
      </c>
      <c r="S43" s="257">
        <f t="shared" si="7"/>
        <v>0</v>
      </c>
      <c r="T43" s="257">
        <f t="shared" si="8"/>
        <v>0</v>
      </c>
      <c r="U43" s="257">
        <f t="shared" si="9"/>
        <v>0</v>
      </c>
      <c r="V43" s="257">
        <f t="shared" si="10"/>
        <v>0</v>
      </c>
      <c r="W43" s="258"/>
      <c r="X43" s="217"/>
      <c r="Y43" s="40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</row>
    <row r="44" spans="1:46" ht="12.75" hidden="1" customHeight="1" x14ac:dyDescent="0.2">
      <c r="A44" s="357">
        <v>8</v>
      </c>
      <c r="B44" s="661"/>
      <c r="C44" s="91"/>
      <c r="D44" s="92"/>
      <c r="E44" s="736"/>
      <c r="F44" s="737"/>
      <c r="G44" s="93"/>
      <c r="H44" s="658"/>
      <c r="I44" s="664"/>
      <c r="J44" s="88"/>
      <c r="K44" s="90"/>
      <c r="L44" s="366"/>
      <c r="M44" s="367"/>
      <c r="N44" s="368"/>
      <c r="O44" s="369">
        <f t="shared" si="11"/>
        <v>0</v>
      </c>
      <c r="P44" s="356">
        <f t="shared" si="6"/>
        <v>0</v>
      </c>
      <c r="S44" s="257">
        <f t="shared" si="7"/>
        <v>0</v>
      </c>
      <c r="T44" s="257">
        <f t="shared" si="8"/>
        <v>0</v>
      </c>
      <c r="U44" s="257">
        <f t="shared" si="9"/>
        <v>0</v>
      </c>
      <c r="V44" s="257">
        <f t="shared" si="10"/>
        <v>0</v>
      </c>
      <c r="W44" s="258"/>
      <c r="X44" s="217"/>
      <c r="Y44" s="40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</row>
    <row r="45" spans="1:46" ht="12.75" hidden="1" customHeight="1" x14ac:dyDescent="0.2">
      <c r="A45" s="357">
        <v>9</v>
      </c>
      <c r="B45" s="661"/>
      <c r="C45" s="91"/>
      <c r="D45" s="92"/>
      <c r="E45" s="736"/>
      <c r="F45" s="737"/>
      <c r="G45" s="93"/>
      <c r="H45" s="658"/>
      <c r="I45" s="664"/>
      <c r="J45" s="88"/>
      <c r="K45" s="90"/>
      <c r="L45" s="366"/>
      <c r="M45" s="367"/>
      <c r="N45" s="368"/>
      <c r="O45" s="369">
        <f t="shared" si="11"/>
        <v>0</v>
      </c>
      <c r="P45" s="356">
        <f t="shared" si="6"/>
        <v>0</v>
      </c>
      <c r="S45" s="257">
        <f t="shared" si="7"/>
        <v>0</v>
      </c>
      <c r="T45" s="257">
        <f t="shared" si="8"/>
        <v>0</v>
      </c>
      <c r="U45" s="257">
        <f t="shared" si="9"/>
        <v>0</v>
      </c>
      <c r="V45" s="257">
        <f t="shared" si="10"/>
        <v>0</v>
      </c>
      <c r="W45" s="258"/>
      <c r="X45" s="217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</row>
    <row r="46" spans="1:46" ht="12.75" hidden="1" customHeight="1" x14ac:dyDescent="0.2">
      <c r="A46" s="357">
        <v>10</v>
      </c>
      <c r="B46" s="661"/>
      <c r="C46" s="91"/>
      <c r="D46" s="92"/>
      <c r="E46" s="736"/>
      <c r="F46" s="737"/>
      <c r="G46" s="93"/>
      <c r="H46" s="658"/>
      <c r="I46" s="664"/>
      <c r="J46" s="88"/>
      <c r="K46" s="90"/>
      <c r="L46" s="366"/>
      <c r="M46" s="367"/>
      <c r="N46" s="368"/>
      <c r="O46" s="369">
        <f t="shared" ref="O46:O51" si="12">J46*(K46+IF(RIGHT(M$36,2)="%]",(K46*M46),M46))*(1+N46)*PUC</f>
        <v>0</v>
      </c>
      <c r="P46" s="356">
        <f t="shared" si="6"/>
        <v>0</v>
      </c>
      <c r="S46" s="257">
        <f t="shared" ref="S46:S51" si="13">J46*K46*PUC</f>
        <v>0</v>
      </c>
      <c r="T46" s="257">
        <f t="shared" ref="T46:T51" si="14">J46*K46*(1+M46)*N46*PUC</f>
        <v>0</v>
      </c>
      <c r="U46" s="257">
        <f t="shared" si="9"/>
        <v>0</v>
      </c>
      <c r="V46" s="257">
        <f t="shared" ref="V46:V51" si="15">J46*(K46+IF(RIGHT(M$36,2)="%]",(K46*M46),M46))*(1+N46)*PUC</f>
        <v>0</v>
      </c>
      <c r="W46" s="258"/>
      <c r="X46" s="217"/>
      <c r="Y46" s="40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</row>
    <row r="47" spans="1:46" ht="12.75" hidden="1" customHeight="1" x14ac:dyDescent="0.2">
      <c r="A47" s="357">
        <v>11</v>
      </c>
      <c r="B47" s="661"/>
      <c r="C47" s="91"/>
      <c r="D47" s="92"/>
      <c r="E47" s="736"/>
      <c r="F47" s="737"/>
      <c r="G47" s="93"/>
      <c r="H47" s="658"/>
      <c r="I47" s="664"/>
      <c r="J47" s="88"/>
      <c r="K47" s="90"/>
      <c r="L47" s="366"/>
      <c r="M47" s="367"/>
      <c r="N47" s="368"/>
      <c r="O47" s="369">
        <f t="shared" si="12"/>
        <v>0</v>
      </c>
      <c r="P47" s="356">
        <f t="shared" si="6"/>
        <v>0</v>
      </c>
      <c r="S47" s="257">
        <f t="shared" si="13"/>
        <v>0</v>
      </c>
      <c r="T47" s="257">
        <f t="shared" si="14"/>
        <v>0</v>
      </c>
      <c r="U47" s="257">
        <f t="shared" si="9"/>
        <v>0</v>
      </c>
      <c r="V47" s="257">
        <f t="shared" si="15"/>
        <v>0</v>
      </c>
      <c r="W47" s="258"/>
      <c r="X47" s="217"/>
      <c r="Y47" s="40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</row>
    <row r="48" spans="1:46" ht="12.75" hidden="1" customHeight="1" x14ac:dyDescent="0.2">
      <c r="A48" s="357">
        <v>12</v>
      </c>
      <c r="B48" s="661"/>
      <c r="C48" s="91"/>
      <c r="D48" s="92"/>
      <c r="E48" s="736"/>
      <c r="F48" s="737"/>
      <c r="G48" s="93"/>
      <c r="H48" s="658"/>
      <c r="I48" s="664"/>
      <c r="J48" s="88"/>
      <c r="K48" s="90"/>
      <c r="L48" s="366"/>
      <c r="M48" s="367"/>
      <c r="N48" s="368"/>
      <c r="O48" s="369">
        <f t="shared" si="12"/>
        <v>0</v>
      </c>
      <c r="P48" s="356">
        <f t="shared" si="6"/>
        <v>0</v>
      </c>
      <c r="S48" s="257">
        <f t="shared" si="13"/>
        <v>0</v>
      </c>
      <c r="T48" s="257">
        <f t="shared" si="14"/>
        <v>0</v>
      </c>
      <c r="U48" s="257">
        <f t="shared" si="9"/>
        <v>0</v>
      </c>
      <c r="V48" s="257">
        <f t="shared" si="15"/>
        <v>0</v>
      </c>
      <c r="W48" s="258"/>
      <c r="X48" s="217"/>
      <c r="Y48" s="40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</row>
    <row r="49" spans="1:46" ht="12.75" hidden="1" customHeight="1" x14ac:dyDescent="0.2">
      <c r="A49" s="357">
        <v>13</v>
      </c>
      <c r="B49" s="661"/>
      <c r="C49" s="91"/>
      <c r="D49" s="92"/>
      <c r="E49" s="736"/>
      <c r="F49" s="737"/>
      <c r="G49" s="93"/>
      <c r="H49" s="658"/>
      <c r="I49" s="664"/>
      <c r="J49" s="88"/>
      <c r="K49" s="90"/>
      <c r="L49" s="366"/>
      <c r="M49" s="367"/>
      <c r="N49" s="368"/>
      <c r="O49" s="369">
        <f t="shared" si="12"/>
        <v>0</v>
      </c>
      <c r="P49" s="356">
        <f t="shared" si="6"/>
        <v>0</v>
      </c>
      <c r="S49" s="257">
        <f t="shared" si="13"/>
        <v>0</v>
      </c>
      <c r="T49" s="257">
        <f t="shared" si="14"/>
        <v>0</v>
      </c>
      <c r="U49" s="257">
        <f t="shared" si="9"/>
        <v>0</v>
      </c>
      <c r="V49" s="257">
        <f t="shared" si="15"/>
        <v>0</v>
      </c>
      <c r="W49" s="258"/>
      <c r="X49" s="217"/>
      <c r="Y49" s="40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</row>
    <row r="50" spans="1:46" ht="12.75" hidden="1" customHeight="1" x14ac:dyDescent="0.2">
      <c r="A50" s="357">
        <v>14</v>
      </c>
      <c r="B50" s="661"/>
      <c r="C50" s="91"/>
      <c r="D50" s="92"/>
      <c r="E50" s="736"/>
      <c r="F50" s="737"/>
      <c r="G50" s="93"/>
      <c r="H50" s="658"/>
      <c r="I50" s="664"/>
      <c r="J50" s="88"/>
      <c r="K50" s="90"/>
      <c r="L50" s="366"/>
      <c r="M50" s="367"/>
      <c r="N50" s="368"/>
      <c r="O50" s="369">
        <f t="shared" si="12"/>
        <v>0</v>
      </c>
      <c r="P50" s="356">
        <f t="shared" si="6"/>
        <v>0</v>
      </c>
      <c r="S50" s="257">
        <f t="shared" si="13"/>
        <v>0</v>
      </c>
      <c r="T50" s="257">
        <f t="shared" si="14"/>
        <v>0</v>
      </c>
      <c r="U50" s="257">
        <f t="shared" si="9"/>
        <v>0</v>
      </c>
      <c r="V50" s="257">
        <f t="shared" si="15"/>
        <v>0</v>
      </c>
      <c r="W50" s="258"/>
      <c r="X50" s="217"/>
      <c r="Y50" s="40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</row>
    <row r="51" spans="1:46" ht="12.75" hidden="1" customHeight="1" x14ac:dyDescent="0.2">
      <c r="A51" s="357">
        <v>15</v>
      </c>
      <c r="B51" s="661"/>
      <c r="C51" s="91"/>
      <c r="D51" s="92"/>
      <c r="E51" s="736"/>
      <c r="F51" s="737"/>
      <c r="G51" s="93"/>
      <c r="H51" s="658"/>
      <c r="I51" s="664"/>
      <c r="J51" s="88"/>
      <c r="K51" s="90"/>
      <c r="L51" s="366"/>
      <c r="M51" s="367"/>
      <c r="N51" s="368"/>
      <c r="O51" s="369">
        <f t="shared" si="12"/>
        <v>0</v>
      </c>
      <c r="P51" s="356">
        <f t="shared" si="6"/>
        <v>0</v>
      </c>
      <c r="S51" s="257">
        <f t="shared" si="13"/>
        <v>0</v>
      </c>
      <c r="T51" s="257">
        <f t="shared" si="14"/>
        <v>0</v>
      </c>
      <c r="U51" s="257">
        <f t="shared" si="9"/>
        <v>0</v>
      </c>
      <c r="V51" s="257">
        <f t="shared" si="15"/>
        <v>0</v>
      </c>
      <c r="W51" s="258"/>
      <c r="X51" s="217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</row>
    <row r="52" spans="1:46" ht="12.75" hidden="1" customHeight="1" x14ac:dyDescent="0.2">
      <c r="A52" s="357">
        <v>16</v>
      </c>
      <c r="B52" s="661"/>
      <c r="C52" s="91"/>
      <c r="D52" s="92"/>
      <c r="E52" s="736"/>
      <c r="F52" s="737"/>
      <c r="G52" s="93"/>
      <c r="H52" s="658"/>
      <c r="I52" s="664"/>
      <c r="J52" s="88"/>
      <c r="K52" s="90"/>
      <c r="L52" s="366"/>
      <c r="M52" s="367"/>
      <c r="N52" s="368"/>
      <c r="O52" s="369">
        <f t="shared" si="11"/>
        <v>0</v>
      </c>
      <c r="P52" s="356">
        <f t="shared" si="6"/>
        <v>0</v>
      </c>
      <c r="S52" s="257">
        <f t="shared" si="7"/>
        <v>0</v>
      </c>
      <c r="T52" s="257">
        <f t="shared" si="8"/>
        <v>0</v>
      </c>
      <c r="U52" s="257">
        <f t="shared" si="9"/>
        <v>0</v>
      </c>
      <c r="V52" s="257">
        <f t="shared" si="10"/>
        <v>0</v>
      </c>
      <c r="W52" s="258"/>
      <c r="X52" s="217"/>
      <c r="Y52" s="40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</row>
    <row r="53" spans="1:46" ht="12.75" hidden="1" customHeight="1" x14ac:dyDescent="0.2">
      <c r="A53" s="357">
        <v>17</v>
      </c>
      <c r="B53" s="661"/>
      <c r="C53" s="91"/>
      <c r="D53" s="92"/>
      <c r="E53" s="736"/>
      <c r="F53" s="737"/>
      <c r="G53" s="93"/>
      <c r="H53" s="658"/>
      <c r="I53" s="664"/>
      <c r="J53" s="88"/>
      <c r="K53" s="90"/>
      <c r="L53" s="366"/>
      <c r="M53" s="367"/>
      <c r="N53" s="368"/>
      <c r="O53" s="369">
        <f t="shared" si="11"/>
        <v>0</v>
      </c>
      <c r="P53" s="356">
        <f t="shared" si="6"/>
        <v>0</v>
      </c>
      <c r="S53" s="257">
        <f t="shared" si="7"/>
        <v>0</v>
      </c>
      <c r="T53" s="257">
        <f t="shared" si="8"/>
        <v>0</v>
      </c>
      <c r="U53" s="257">
        <f t="shared" si="9"/>
        <v>0</v>
      </c>
      <c r="V53" s="257">
        <f t="shared" si="10"/>
        <v>0</v>
      </c>
      <c r="W53" s="258"/>
      <c r="X53" s="217"/>
      <c r="Y53" s="40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</row>
    <row r="54" spans="1:46" ht="12.75" hidden="1" customHeight="1" x14ac:dyDescent="0.2">
      <c r="A54" s="357">
        <v>18</v>
      </c>
      <c r="B54" s="661"/>
      <c r="C54" s="91"/>
      <c r="D54" s="92"/>
      <c r="E54" s="736"/>
      <c r="F54" s="737"/>
      <c r="G54" s="93"/>
      <c r="H54" s="658"/>
      <c r="I54" s="664"/>
      <c r="J54" s="88"/>
      <c r="K54" s="90"/>
      <c r="L54" s="366"/>
      <c r="M54" s="367"/>
      <c r="N54" s="368"/>
      <c r="O54" s="369">
        <f t="shared" si="11"/>
        <v>0</v>
      </c>
      <c r="P54" s="356">
        <f t="shared" si="6"/>
        <v>0</v>
      </c>
      <c r="S54" s="257">
        <f t="shared" si="7"/>
        <v>0</v>
      </c>
      <c r="T54" s="257">
        <f t="shared" si="8"/>
        <v>0</v>
      </c>
      <c r="U54" s="257">
        <f t="shared" si="9"/>
        <v>0</v>
      </c>
      <c r="V54" s="257">
        <f t="shared" si="10"/>
        <v>0</v>
      </c>
      <c r="W54" s="258"/>
      <c r="X54" s="217"/>
      <c r="Y54" s="40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</row>
    <row r="55" spans="1:46" ht="12.75" hidden="1" customHeight="1" x14ac:dyDescent="0.2">
      <c r="A55" s="357">
        <v>19</v>
      </c>
      <c r="B55" s="661"/>
      <c r="C55" s="91"/>
      <c r="D55" s="92"/>
      <c r="E55" s="736"/>
      <c r="F55" s="737"/>
      <c r="G55" s="93"/>
      <c r="H55" s="658"/>
      <c r="I55" s="664"/>
      <c r="J55" s="88"/>
      <c r="K55" s="90"/>
      <c r="L55" s="366"/>
      <c r="M55" s="367"/>
      <c r="N55" s="368"/>
      <c r="O55" s="369">
        <f t="shared" si="11"/>
        <v>0</v>
      </c>
      <c r="P55" s="356">
        <f t="shared" si="6"/>
        <v>0</v>
      </c>
      <c r="S55" s="257">
        <f t="shared" si="7"/>
        <v>0</v>
      </c>
      <c r="T55" s="257">
        <f t="shared" si="8"/>
        <v>0</v>
      </c>
      <c r="U55" s="257">
        <f t="shared" si="9"/>
        <v>0</v>
      </c>
      <c r="V55" s="257">
        <f t="shared" si="10"/>
        <v>0</v>
      </c>
      <c r="W55" s="258"/>
      <c r="X55" s="217"/>
      <c r="Y55" s="40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</row>
    <row r="56" spans="1:46" ht="12.75" hidden="1" customHeight="1" x14ac:dyDescent="0.2">
      <c r="A56" s="357">
        <v>20</v>
      </c>
      <c r="B56" s="661"/>
      <c r="C56" s="91"/>
      <c r="D56" s="92"/>
      <c r="E56" s="736"/>
      <c r="F56" s="737"/>
      <c r="G56" s="93"/>
      <c r="H56" s="658"/>
      <c r="I56" s="664"/>
      <c r="J56" s="88"/>
      <c r="K56" s="90"/>
      <c r="L56" s="366"/>
      <c r="M56" s="367"/>
      <c r="N56" s="368"/>
      <c r="O56" s="369">
        <f t="shared" si="11"/>
        <v>0</v>
      </c>
      <c r="P56" s="356">
        <f t="shared" si="6"/>
        <v>0</v>
      </c>
      <c r="S56" s="257">
        <f t="shared" si="7"/>
        <v>0</v>
      </c>
      <c r="T56" s="257">
        <f t="shared" si="8"/>
        <v>0</v>
      </c>
      <c r="U56" s="257">
        <f t="shared" si="9"/>
        <v>0</v>
      </c>
      <c r="V56" s="257">
        <f t="shared" si="10"/>
        <v>0</v>
      </c>
      <c r="W56" s="258"/>
      <c r="X56" s="217"/>
      <c r="Y56" s="40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</row>
    <row r="57" spans="1:46" ht="12.75" hidden="1" customHeight="1" x14ac:dyDescent="0.2">
      <c r="A57" s="357">
        <v>21</v>
      </c>
      <c r="B57" s="661"/>
      <c r="C57" s="91"/>
      <c r="D57" s="92"/>
      <c r="E57" s="736"/>
      <c r="F57" s="737"/>
      <c r="G57" s="93"/>
      <c r="H57" s="658"/>
      <c r="I57" s="664"/>
      <c r="J57" s="88"/>
      <c r="K57" s="90"/>
      <c r="L57" s="366"/>
      <c r="M57" s="367"/>
      <c r="N57" s="368"/>
      <c r="O57" s="369">
        <f t="shared" si="11"/>
        <v>0</v>
      </c>
      <c r="P57" s="356">
        <f t="shared" si="6"/>
        <v>0</v>
      </c>
      <c r="S57" s="257">
        <f t="shared" si="7"/>
        <v>0</v>
      </c>
      <c r="T57" s="257">
        <f t="shared" si="8"/>
        <v>0</v>
      </c>
      <c r="U57" s="257">
        <f t="shared" si="9"/>
        <v>0</v>
      </c>
      <c r="V57" s="257">
        <f t="shared" si="10"/>
        <v>0</v>
      </c>
      <c r="W57" s="258"/>
      <c r="X57" s="217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</row>
    <row r="58" spans="1:46" ht="12.75" hidden="1" customHeight="1" x14ac:dyDescent="0.2">
      <c r="A58" s="357">
        <v>22</v>
      </c>
      <c r="B58" s="661"/>
      <c r="C58" s="91"/>
      <c r="D58" s="92"/>
      <c r="E58" s="736"/>
      <c r="F58" s="737"/>
      <c r="G58" s="93"/>
      <c r="H58" s="658"/>
      <c r="I58" s="664"/>
      <c r="J58" s="88"/>
      <c r="K58" s="90"/>
      <c r="L58" s="366"/>
      <c r="M58" s="367"/>
      <c r="N58" s="368"/>
      <c r="O58" s="369">
        <f t="shared" si="11"/>
        <v>0</v>
      </c>
      <c r="P58" s="356">
        <f t="shared" si="6"/>
        <v>0</v>
      </c>
      <c r="S58" s="257">
        <f t="shared" si="7"/>
        <v>0</v>
      </c>
      <c r="T58" s="257">
        <f t="shared" si="8"/>
        <v>0</v>
      </c>
      <c r="U58" s="257">
        <f t="shared" si="9"/>
        <v>0</v>
      </c>
      <c r="V58" s="257">
        <f t="shared" si="10"/>
        <v>0</v>
      </c>
      <c r="W58" s="258"/>
      <c r="X58" s="217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</row>
    <row r="59" spans="1:46" ht="12.75" hidden="1" customHeight="1" x14ac:dyDescent="0.2">
      <c r="A59" s="357">
        <v>23</v>
      </c>
      <c r="B59" s="661"/>
      <c r="C59" s="91"/>
      <c r="D59" s="92"/>
      <c r="E59" s="736"/>
      <c r="F59" s="737"/>
      <c r="G59" s="93"/>
      <c r="H59" s="658"/>
      <c r="I59" s="664"/>
      <c r="J59" s="88"/>
      <c r="K59" s="90"/>
      <c r="L59" s="366"/>
      <c r="M59" s="367"/>
      <c r="N59" s="368"/>
      <c r="O59" s="369">
        <f t="shared" si="11"/>
        <v>0</v>
      </c>
      <c r="P59" s="356">
        <f t="shared" si="6"/>
        <v>0</v>
      </c>
      <c r="S59" s="257">
        <f t="shared" si="7"/>
        <v>0</v>
      </c>
      <c r="T59" s="257">
        <f t="shared" si="8"/>
        <v>0</v>
      </c>
      <c r="U59" s="257">
        <f t="shared" si="9"/>
        <v>0</v>
      </c>
      <c r="V59" s="257">
        <f t="shared" si="10"/>
        <v>0</v>
      </c>
      <c r="W59" s="258"/>
      <c r="X59" s="217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133"/>
    </row>
    <row r="60" spans="1:46" ht="12.75" hidden="1" customHeight="1" x14ac:dyDescent="0.2">
      <c r="A60" s="357">
        <v>24</v>
      </c>
      <c r="B60" s="661"/>
      <c r="C60" s="91"/>
      <c r="D60" s="92"/>
      <c r="E60" s="736"/>
      <c r="F60" s="737"/>
      <c r="G60" s="93"/>
      <c r="H60" s="658"/>
      <c r="I60" s="664"/>
      <c r="J60" s="88"/>
      <c r="K60" s="90"/>
      <c r="L60" s="366"/>
      <c r="M60" s="367"/>
      <c r="N60" s="368"/>
      <c r="O60" s="369">
        <f t="shared" si="11"/>
        <v>0</v>
      </c>
      <c r="P60" s="356">
        <f t="shared" si="6"/>
        <v>0</v>
      </c>
      <c r="S60" s="257">
        <f t="shared" si="7"/>
        <v>0</v>
      </c>
      <c r="T60" s="257">
        <f t="shared" si="8"/>
        <v>0</v>
      </c>
      <c r="U60" s="257">
        <f t="shared" si="9"/>
        <v>0</v>
      </c>
      <c r="V60" s="257">
        <f t="shared" si="10"/>
        <v>0</v>
      </c>
      <c r="W60" s="258"/>
      <c r="X60" s="217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133"/>
    </row>
    <row r="61" spans="1:46" ht="4.5999999999999996" customHeight="1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49"/>
      <c r="P61" s="12"/>
      <c r="S61" s="237"/>
      <c r="T61" s="237"/>
      <c r="U61" s="237"/>
      <c r="V61" s="237"/>
      <c r="W61" s="237"/>
      <c r="X61" s="217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</row>
    <row r="62" spans="1:46" ht="13.6" x14ac:dyDescent="0.25">
      <c r="A62" s="370"/>
      <c r="B62" s="371" t="str">
        <f>VLOOKUP("sec2.3",translation,VLOOKUP(J2,languages,2,FALSE),FALSE)</f>
        <v>Section 2.3</v>
      </c>
      <c r="C62" s="371"/>
      <c r="D62" s="372" t="str">
        <f>VLOOKUP("moh",translation,VLOOKUP(J2,languages,2,FALSE),FALSE)</f>
        <v>Material &amp; Purchased Components Overhead</v>
      </c>
      <c r="E62" s="373"/>
      <c r="F62" s="373"/>
      <c r="G62" s="373"/>
      <c r="H62" s="373"/>
      <c r="I62" s="373"/>
      <c r="J62" s="373"/>
      <c r="K62" s="374"/>
      <c r="L62" s="374" t="str">
        <f>VLOOKUP("sec2_%",translation,VLOOKUP(J2,languages,2,FALSE),FALSE)</f>
        <v>% of Section 2.1, 2.2</v>
      </c>
      <c r="M62" s="302">
        <v>1.97</v>
      </c>
      <c r="N62" s="301" t="s">
        <v>820</v>
      </c>
      <c r="O62" s="631">
        <f>M62/100*(O12+O35)</f>
        <v>9.2231460000000015E-2</v>
      </c>
      <c r="P62" s="375">
        <f>IF($O$104=0,0,O62/$O$104)</f>
        <v>1.2263415884988025E-2</v>
      </c>
      <c r="S62" s="260"/>
      <c r="T62" s="744"/>
      <c r="U62" s="745"/>
      <c r="V62" s="237"/>
      <c r="W62" s="237"/>
      <c r="X62" s="217"/>
      <c r="Y62" s="51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</row>
    <row r="63" spans="1:46" ht="4.5999999999999996" customHeight="1" x14ac:dyDescent="0.2">
      <c r="A63" s="376"/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8"/>
      <c r="N63" s="378"/>
      <c r="O63" s="379"/>
      <c r="P63" s="380"/>
      <c r="S63" s="237"/>
      <c r="T63" s="237"/>
      <c r="U63" s="237"/>
      <c r="V63" s="237"/>
      <c r="W63" s="237"/>
      <c r="X63" s="217"/>
    </row>
    <row r="64" spans="1:46" ht="13.6" x14ac:dyDescent="0.25">
      <c r="A64" s="370"/>
      <c r="B64" s="371" t="str">
        <f>VLOOKUP("sec2.4",translation,VLOOKUP(J2,languages,2,FALSE),FALSE)</f>
        <v>Section 2.4</v>
      </c>
      <c r="C64" s="371"/>
      <c r="D64" s="372" t="str">
        <f>VLOOKUP("prod",translation,VLOOKUP(J2,languages,2,FALSE),FALSE)</f>
        <v>Production</v>
      </c>
      <c r="E64" s="373"/>
      <c r="F64" s="381"/>
      <c r="G64" s="382" t="s">
        <v>128</v>
      </c>
      <c r="H64" s="383">
        <f>MC</f>
        <v>1.4089609999999999</v>
      </c>
      <c r="I64" s="384" t="s">
        <v>129</v>
      </c>
      <c r="J64" s="385">
        <f>DL</f>
        <v>0.40656999999999999</v>
      </c>
      <c r="K64" s="386" t="s">
        <v>130</v>
      </c>
      <c r="L64" s="383">
        <f>Setup</f>
        <v>0.206625</v>
      </c>
      <c r="M64" s="387">
        <f>ROUND(TM,3)</f>
        <v>0</v>
      </c>
      <c r="N64" s="345">
        <f>ROUND(W64,3)</f>
        <v>7.0000000000000001E-3</v>
      </c>
      <c r="O64" s="632">
        <f>SUBTOTAL(109,O66:O89)</f>
        <v>2.0292970038461542</v>
      </c>
      <c r="P64" s="388">
        <f>IF($O$104=0,0,O64/$O$104)</f>
        <v>0.2698223915389123</v>
      </c>
      <c r="S64" s="254">
        <f>ROUND(SUBTOTAL(109,S66:S89),6)</f>
        <v>1.4089609999999999</v>
      </c>
      <c r="T64" s="254">
        <f>ROUND(SUBTOTAL(109,T66:T89),6)</f>
        <v>0.40656999999999999</v>
      </c>
      <c r="U64" s="254">
        <f>ROUND(SUBTOTAL(109,U66:U89),6)</f>
        <v>0.206625</v>
      </c>
      <c r="V64" s="254">
        <f>ROUND(SUBTOTAL(109,V66:V89),6)</f>
        <v>0</v>
      </c>
      <c r="W64" s="254">
        <f>ROUND(SUBTOTAL(109,W66:W89),6)</f>
        <v>7.1409999999999998E-3</v>
      </c>
      <c r="X64" s="217"/>
      <c r="Y64" s="13" t="str">
        <f>VLOOKUP("std_cap",translation,VLOOKUP(Poland!J2,languages,2,FALSE),FALSE)</f>
        <v>Std Capacity Calculation (for Contract review)</v>
      </c>
      <c r="AJ64" s="13" t="str">
        <f>VLOOKUP("m_cap",translation,VLOOKUP(J2,languages,2,FALSE),FALSE)</f>
        <v>Max Capacity</v>
      </c>
      <c r="AP64" s="72" t="str">
        <f>VLOOKUP("ct_conv",translation,VLOOKUP(J2,languages,2,FALSE),FALSE)</f>
        <v>Cycle time conversions</v>
      </c>
    </row>
    <row r="65" spans="1:46" ht="48.1" customHeight="1" x14ac:dyDescent="0.2">
      <c r="A65" s="347"/>
      <c r="B65" s="735" t="str">
        <f>VLOOKUP("process",translation,VLOOKUP(J2,languages,2,FALSE),FALSE)</f>
        <v>Process Desciption</v>
      </c>
      <c r="C65" s="735"/>
      <c r="D65" s="660" t="str">
        <f>VLOOKUP("mach_type",translation,VLOOKUP(J2,languages,2,FALSE),FALSE)</f>
        <v>Maschine Type</v>
      </c>
      <c r="E65" s="660" t="str">
        <f>VLOOKUP("ct",translation,VLOOKUP(J2,languages,2,FALSE),FALSE)</f>
        <v>Cycle Time [min]</v>
      </c>
      <c r="F65" s="735" t="str">
        <f>VLOOKUP("cav",translation,VLOOKUP(J2,languages,2,FALSE),FALSE)</f>
        <v>Pcs/cycle (cavities)</v>
      </c>
      <c r="G65" s="746"/>
      <c r="H65" s="660" t="str">
        <f>VLOOKUP("mach_hr",translation,VLOOKUP(J2,languages,2,FALSE),FALSE)&amp;" ["&amp;LEFT($D$7,3)&amp;VLOOKUP("/hr",translation,VLOOKUP(J2,languages,2,FALSE),FALSE)&amp;"]"</f>
        <v>Machine [EUR/hr]</v>
      </c>
      <c r="I65" s="660" t="str">
        <f>VLOOKUP("op_hr",translation,VLOOKUP(J2,languages,2,FALSE),FALSE)&amp;" ["&amp;LEFT($D$7,3)&amp;VLOOKUP("/hr",translation,VLOOKUP(J2,languages,2,FALSE),FALSE)&amp;"]"</f>
        <v>Operator [EUR/hr]</v>
      </c>
      <c r="J65" s="660" t="str">
        <f>VLOOKUP("#op",translation,VLOOKUP(J2,languages,2,FALSE),FALSE)</f>
        <v>No. Of Operators</v>
      </c>
      <c r="K65" s="389" t="str">
        <f>VLOOKUP("setup_cost",translation,VLOOKUP(J2,languages,2,FALSE),FALSE)&amp;" ["&amp;LEFT($D$7,3)&amp;VLOOKUP("/batch",translation,VLOOKUP(J2,languages,2,FALSE),FALSE)&amp;"]"</f>
        <v>Setup Cost [EUR/batch]</v>
      </c>
      <c r="L65" s="660" t="str">
        <f>VLOOKUP("batch",translation,VLOOKUP(J2,languages,2,FALSE),FALSE)</f>
        <v>Production Batch Size</v>
      </c>
      <c r="M65" s="660" t="str">
        <f>VLOOKUP("tool_maint",translation,VLOOKUP(J2,languages,2,FALSE),FALSE)&amp;" ["&amp;LEFT($D$7,3)&amp;VLOOKUP("/part",translation,VLOOKUP(J2,languages,2,FALSE),FALSE)&amp;"]"</f>
        <v>Tool Maint. [EUR/part]</v>
      </c>
      <c r="N65" s="660" t="str">
        <f>VLOOKUP("scrap",translation,VLOOKUP(J2,languages,2,FALSE),FALSE)</f>
        <v>Scrap [%]</v>
      </c>
      <c r="O65" s="390" t="str">
        <f>VLOOKUP("total",translation,VLOOKUP(J2,languages,2,FALSE),FALSE)&amp;" ["&amp;LEFT($D$7,3)&amp;$F$7&amp;"]"</f>
        <v>Total [EUR/pc]</v>
      </c>
      <c r="P65" s="391"/>
      <c r="R65" s="14"/>
      <c r="S65" s="255" t="s">
        <v>21</v>
      </c>
      <c r="T65" s="255" t="s">
        <v>22</v>
      </c>
      <c r="U65" s="255" t="s">
        <v>23</v>
      </c>
      <c r="V65" s="255" t="s">
        <v>24</v>
      </c>
      <c r="W65" s="256">
        <v>70</v>
      </c>
      <c r="X65" s="217"/>
      <c r="Y65" s="389" t="str">
        <f>VLOOKUP("h/s",translation,VLOOKUP(J2,languages,2,FALSE),FALSE)</f>
        <v>Hrs/shift</v>
      </c>
      <c r="Z65" s="660" t="str">
        <f>VLOOKUP("s/w",translation,VLOOKUP(J2,languages,2,FALSE),FALSE)</f>
        <v>Shifts/week</v>
      </c>
      <c r="AA65" s="603" t="str">
        <f>VLOOKUP("oper_eff",translation,VLOOKUP(J2,languages,2,FALSE),FALSE)</f>
        <v>Utilization ratio</v>
      </c>
      <c r="AB65" s="389" t="str">
        <f>VLOOKUP("setup_time",translation,VLOOKUP(J2,languages,2,FALSE),FALSE)</f>
        <v>Setup [hrs]</v>
      </c>
      <c r="AC65" s="591" t="str">
        <f>VLOOKUP("setup_loss",translation,VLOOKUP(J2,languages,2,FALSE),FALSE)</f>
        <v>Setup Loss</v>
      </c>
      <c r="AD65" s="389" t="str">
        <f>VLOOKUP("week_cap",translation,VLOOKUP(J2,languages,2,FALSE),FALSE)</f>
        <v>Weekly Capacity (pc)</v>
      </c>
      <c r="AE65" s="660" t="str">
        <f>VLOOKUP("w/y",translation,VLOOKUP(J2,languages,2,FALSE),FALSE)</f>
        <v>Weeks/year</v>
      </c>
      <c r="AF65" s="591" t="str">
        <f>VLOOKUP("an_cap",translation,VLOOKUP(J2,languages,2,FALSE),FALSE)</f>
        <v>Annual Capacity (pc)</v>
      </c>
      <c r="AG65" s="389" t="str">
        <f>VLOOKUP("oee",translation,VLOOKUP(J2,languages,2,FALSE),FALSE)</f>
        <v>Calc O.E.E.</v>
      </c>
      <c r="AH65" s="591" t="str">
        <f>VLOOKUP("cap_margin",translation,VLOOKUP(J2,languages,2,FALSE),FALSE)</f>
        <v>Necessary Capacity (%)</v>
      </c>
      <c r="AI65" s="278"/>
      <c r="AJ65" s="389" t="str">
        <f>VLOOKUP("h/s",translation,VLOOKUP(J2,languages,2,FALSE),FALSE)</f>
        <v>Hrs/shift</v>
      </c>
      <c r="AK65" s="660" t="str">
        <f>VLOOKUP("s/w",translation,VLOOKUP(J2,languages,2,FALSE),FALSE)</f>
        <v>Shifts/week</v>
      </c>
      <c r="AL65" s="604" t="str">
        <f>VLOOKUP("week_cap",translation,VLOOKUP(J2,languages,2,FALSE),FALSE)</f>
        <v>Weekly Capacity (pc)</v>
      </c>
      <c r="AM65" s="605" t="s">
        <v>25</v>
      </c>
      <c r="AN65" s="606" t="s">
        <v>62</v>
      </c>
      <c r="AO65" s="607"/>
      <c r="AP65" s="608" t="s">
        <v>26</v>
      </c>
      <c r="AQ65" s="665" t="s">
        <v>27</v>
      </c>
      <c r="AR65" s="660" t="str">
        <f>VLOOKUP("pcs/min",translation,VLOOKUP(J2,languages,2,FALSE),FALSE)</f>
        <v>Pcs/min</v>
      </c>
      <c r="AS65" s="660" t="str">
        <f>VLOOKUP("pcs/hr",translation,VLOOKUP(J2,languages,2,FALSE),FALSE)</f>
        <v>Pcs/hr</v>
      </c>
      <c r="AT65" s="590" t="str">
        <f>VLOOKUP("pcs/hr_eff",translation,VLOOKUP(J2,languages,2,FALSE),FALSE)</f>
        <v>Pcs/hr (incl Eff.)</v>
      </c>
    </row>
    <row r="66" spans="1:46" x14ac:dyDescent="0.2">
      <c r="A66" s="626">
        <v>1</v>
      </c>
      <c r="B66" s="747" t="s">
        <v>868</v>
      </c>
      <c r="C66" s="748"/>
      <c r="D66" s="366">
        <v>2600</v>
      </c>
      <c r="E66" s="88">
        <v>0.93</v>
      </c>
      <c r="F66" s="736">
        <v>1</v>
      </c>
      <c r="G66" s="737"/>
      <c r="H66" s="89">
        <v>41.86</v>
      </c>
      <c r="I66" s="89">
        <v>8.42</v>
      </c>
      <c r="J66" s="663">
        <v>0.5</v>
      </c>
      <c r="K66" s="627">
        <f>IF(AND(ISNUMBER($H$66),ISNUMBER($I$66)),($H$66+$I$66)*$AB$66,0)</f>
        <v>100.56</v>
      </c>
      <c r="L66" s="392">
        <v>800</v>
      </c>
      <c r="M66" s="88"/>
      <c r="N66" s="354">
        <v>0.01</v>
      </c>
      <c r="O66" s="393">
        <f>(IF(F66=0,0,(E66*60/3600*J66*I66+E66*60/3600*H66)/F66*(1+N66))+IF(L66=0,0,K66/L66)+M66)*PUC</f>
        <v>0.84692585000000009</v>
      </c>
      <c r="P66" s="395">
        <f>IF($O$104=0,0,O66/$O$104)</f>
        <v>0.11261020829874085</v>
      </c>
      <c r="R66" s="16"/>
      <c r="S66" s="257">
        <f t="shared" ref="S66:S89" si="16">IF(F66=0,0,(E66*60/3600*H66)/F66)*PUC</f>
        <v>0.64883000000000002</v>
      </c>
      <c r="T66" s="257">
        <f t="shared" ref="T66:T89" si="17">IF(F66=0,0,(E66*60/3600*J66*I66)/F66)*PUC</f>
        <v>6.5255000000000007E-2</v>
      </c>
      <c r="U66" s="257">
        <f t="shared" ref="U66:U89" si="18">IF(L66=0,0,K66/L66)*PUC</f>
        <v>0.12570000000000001</v>
      </c>
      <c r="V66" s="257">
        <f t="shared" ref="V66:V89" si="19">M66*PUC</f>
        <v>0</v>
      </c>
      <c r="W66" s="257">
        <f>N66*(S66+T66)</f>
        <v>7.1408500000000007E-3</v>
      </c>
      <c r="X66" s="217"/>
      <c r="Y66" s="609">
        <v>7.5</v>
      </c>
      <c r="Z66" s="88">
        <v>10</v>
      </c>
      <c r="AA66" s="367">
        <v>0.85</v>
      </c>
      <c r="AB66" s="396">
        <v>2</v>
      </c>
      <c r="AC66" s="611">
        <f>IF(L66*F66*AA66=0,0,AB66/(L66*E66*60/AA66/F66/3600+AB66))</f>
        <v>0.12056737588652482</v>
      </c>
      <c r="AD66" s="612">
        <f>IF(E66=0,0,Z66*Y66*3600/E66/60*F66*AA66)*(1-AC66)*(1-N66)</f>
        <v>3580.8510638297867</v>
      </c>
      <c r="AE66" s="88">
        <v>48</v>
      </c>
      <c r="AF66" s="612">
        <f>AD66*AE66</f>
        <v>171880.85106382976</v>
      </c>
      <c r="AG66" s="613">
        <f>AA66*(1-N66)*(1-AC66)</f>
        <v>0.74004255319148937</v>
      </c>
      <c r="AH66" s="614">
        <f>IF($J$4*AD66=0,0,100/AF66*($J$4-1))</f>
        <v>4.6538052089522681</v>
      </c>
      <c r="AI66" s="462"/>
      <c r="AJ66" s="609"/>
      <c r="AK66" s="88"/>
      <c r="AL66" s="612">
        <f>IF(E66=0,0,AK66*AJ66*3600/E66/60*F66*AA66)*(1-AC66)*(1-N66)</f>
        <v>0</v>
      </c>
      <c r="AM66" s="88"/>
      <c r="AN66" s="615">
        <f>AL66*AM66</f>
        <v>0</v>
      </c>
      <c r="AO66" s="610"/>
      <c r="AP66" s="616">
        <f>IF(F66=0,0,+E66/F66)</f>
        <v>0.93</v>
      </c>
      <c r="AQ66" s="617">
        <f>IF(E66=0,0,1/E66)</f>
        <v>1.075268817204301</v>
      </c>
      <c r="AR66" s="617">
        <f>AQ66*F66</f>
        <v>1.075268817204301</v>
      </c>
      <c r="AS66" s="618">
        <f>IF(E66=0,0,3600/E66/60*F66)</f>
        <v>64.516129032258064</v>
      </c>
      <c r="AT66" s="619">
        <f>AS66*AA66</f>
        <v>54.838709677419352</v>
      </c>
    </row>
    <row r="67" spans="1:46" x14ac:dyDescent="0.2">
      <c r="A67" s="626">
        <v>2</v>
      </c>
      <c r="B67" s="747" t="s">
        <v>869</v>
      </c>
      <c r="C67" s="748"/>
      <c r="D67" s="366"/>
      <c r="E67" s="88">
        <v>0.66</v>
      </c>
      <c r="F67" s="736">
        <v>1</v>
      </c>
      <c r="G67" s="737"/>
      <c r="H67" s="89">
        <v>0</v>
      </c>
      <c r="I67" s="89">
        <v>6.6</v>
      </c>
      <c r="J67" s="663">
        <v>1</v>
      </c>
      <c r="K67" s="627">
        <f>IF(AND(ISNUMBER($H$67),ISNUMBER($I$67)),($H$67+$I$67)*$AB$67,0)</f>
        <v>0</v>
      </c>
      <c r="L67" s="392"/>
      <c r="M67" s="88"/>
      <c r="N67" s="354"/>
      <c r="O67" s="393">
        <f t="shared" ref="O67:O89" si="20">(IF(F67=0,0,(E67*60/3600*J67*I67+E67*60/3600*H67)/F67*(1+N67))+IF(L67=0,0,K67/L67)+M67)*PUC</f>
        <v>7.2599999999999998E-2</v>
      </c>
      <c r="P67" s="395">
        <f>IF($O$104=0,0,O67/$O$104)</f>
        <v>9.6531486463526713E-3</v>
      </c>
      <c r="R67" s="16"/>
      <c r="S67" s="257">
        <f t="shared" si="16"/>
        <v>0</v>
      </c>
      <c r="T67" s="257">
        <f t="shared" si="17"/>
        <v>7.2599999999999998E-2</v>
      </c>
      <c r="U67" s="257">
        <f t="shared" si="18"/>
        <v>0</v>
      </c>
      <c r="V67" s="257">
        <f t="shared" si="19"/>
        <v>0</v>
      </c>
      <c r="W67" s="257">
        <f t="shared" ref="W67:W89" si="21">N67*(S67+T67)</f>
        <v>0</v>
      </c>
      <c r="X67" s="217"/>
      <c r="Y67" s="609"/>
      <c r="Z67" s="88"/>
      <c r="AA67" s="367"/>
      <c r="AB67" s="396">
        <v>0</v>
      </c>
      <c r="AC67" s="611">
        <f>IF(L67*F67*AA67=0,0,AB67/(L67*E67*60/AA67/F67/3600+AB67))</f>
        <v>0</v>
      </c>
      <c r="AD67" s="612">
        <f>IF(E67=0,0,Z67*Y67*3600/E67/60*F67*AA67)*(1-AC67)*(1-N67)</f>
        <v>0</v>
      </c>
      <c r="AE67" s="88"/>
      <c r="AF67" s="612">
        <f>AD67*AE67</f>
        <v>0</v>
      </c>
      <c r="AG67" s="613">
        <f>AA67*(1-N67)*(1-AC67)</f>
        <v>0</v>
      </c>
      <c r="AH67" s="614">
        <f t="shared" ref="AH67:AH89" si="22">IF($J$4*AD67=0,0,100/AF67*($J$4-1))</f>
        <v>0</v>
      </c>
      <c r="AI67" s="462"/>
      <c r="AJ67" s="609"/>
      <c r="AK67" s="88"/>
      <c r="AL67" s="612">
        <f>IF(E67=0,0,AK67*AJ67*3600/E67/60*F67*AA67)*(1-AC67)*(1-N67)</f>
        <v>0</v>
      </c>
      <c r="AM67" s="88"/>
      <c r="AN67" s="615">
        <f>AL67*AM67</f>
        <v>0</v>
      </c>
      <c r="AO67" s="610"/>
      <c r="AP67" s="616">
        <f>IF(F67=0,0,+E67/F67)</f>
        <v>0.66</v>
      </c>
      <c r="AQ67" s="617">
        <f>IF(E67=0,0,1/E67)</f>
        <v>1.5151515151515151</v>
      </c>
      <c r="AR67" s="617">
        <f>AQ67*F67</f>
        <v>1.5151515151515151</v>
      </c>
      <c r="AS67" s="618">
        <f>IF(E67=0,0,3600/E67/60*F67)</f>
        <v>90.909090909090907</v>
      </c>
      <c r="AT67" s="619">
        <f>AS67*AA67</f>
        <v>0</v>
      </c>
    </row>
    <row r="68" spans="1:46" x14ac:dyDescent="0.2">
      <c r="A68" s="626">
        <v>3</v>
      </c>
      <c r="B68" s="661" t="s">
        <v>870</v>
      </c>
      <c r="C68" s="664"/>
      <c r="D68" s="366"/>
      <c r="E68" s="88">
        <v>1.1000000000000001</v>
      </c>
      <c r="F68" s="736">
        <v>13</v>
      </c>
      <c r="G68" s="737"/>
      <c r="H68" s="89">
        <v>27.57</v>
      </c>
      <c r="I68" s="89">
        <v>7.77</v>
      </c>
      <c r="J68" s="663">
        <v>2</v>
      </c>
      <c r="K68" s="627">
        <f>IF(AND(ISNUMBER($H$68),ISNUMBER($I$68)),($H$68+$I$68)*$AB$68,0)</f>
        <v>8.8350000000000009</v>
      </c>
      <c r="L68" s="392">
        <v>800</v>
      </c>
      <c r="M68" s="88"/>
      <c r="N68" s="358"/>
      <c r="O68" s="393">
        <f t="shared" si="20"/>
        <v>7.1839903846153838E-2</v>
      </c>
      <c r="P68" s="395">
        <f>IF($O$104=0,0,O68/$O$104)</f>
        <v>9.5520836166199177E-3</v>
      </c>
      <c r="R68" s="17"/>
      <c r="S68" s="257">
        <f t="shared" si="16"/>
        <v>3.8880769230769226E-2</v>
      </c>
      <c r="T68" s="257">
        <f t="shared" si="17"/>
        <v>2.1915384615384614E-2</v>
      </c>
      <c r="U68" s="257">
        <f t="shared" si="18"/>
        <v>1.1043750000000001E-2</v>
      </c>
      <c r="V68" s="257">
        <f t="shared" si="19"/>
        <v>0</v>
      </c>
      <c r="W68" s="257">
        <f t="shared" si="21"/>
        <v>0</v>
      </c>
      <c r="X68" s="217"/>
      <c r="Y68" s="609"/>
      <c r="Z68" s="88"/>
      <c r="AA68" s="367"/>
      <c r="AB68" s="620">
        <v>0.25</v>
      </c>
      <c r="AC68" s="611">
        <f>IF(L68*F68*AA68=0,0,AB68/(L68*E68*60/AA68/F68/3600+AB68))</f>
        <v>0</v>
      </c>
      <c r="AD68" s="612">
        <f>IF(E68=0,0,Z68*Y68*3600/E68/60*F68*AA68)*(1-AC68)*(1-N68)</f>
        <v>0</v>
      </c>
      <c r="AE68" s="88"/>
      <c r="AF68" s="612">
        <f t="shared" ref="AF68:AF89" si="23">AD68*AE68</f>
        <v>0</v>
      </c>
      <c r="AG68" s="613">
        <f t="shared" ref="AG68:AG89" si="24">AA68*(1-N68)*(1-AC68)</f>
        <v>0</v>
      </c>
      <c r="AH68" s="611">
        <f t="shared" si="22"/>
        <v>0</v>
      </c>
      <c r="AI68" s="462"/>
      <c r="AJ68" s="609"/>
      <c r="AK68" s="88"/>
      <c r="AL68" s="612">
        <f>IF(E68=0,0,AK68*AJ68*3600/E68/60*F68*AA68)*(1-AC68)*(1-N68)</f>
        <v>0</v>
      </c>
      <c r="AM68" s="88"/>
      <c r="AN68" s="615">
        <f>AL68*AM68</f>
        <v>0</v>
      </c>
      <c r="AO68" s="610"/>
      <c r="AP68" s="616">
        <f>IF(F68=0,0,+E68/F68)</f>
        <v>8.461538461538462E-2</v>
      </c>
      <c r="AQ68" s="617">
        <f>IF(E68=0,0,1/E68)</f>
        <v>0.90909090909090906</v>
      </c>
      <c r="AR68" s="617">
        <f t="shared" ref="AR68:AR89" si="25">AQ68*F68</f>
        <v>11.818181818181818</v>
      </c>
      <c r="AS68" s="618">
        <f>IF(E68=0,0,3600/E68/60*F68)</f>
        <v>709.09090909090901</v>
      </c>
      <c r="AT68" s="619">
        <f t="shared" ref="AT68:AT89" si="26">AS68*AA68</f>
        <v>0</v>
      </c>
    </row>
    <row r="69" spans="1:46" x14ac:dyDescent="0.2">
      <c r="A69" s="626">
        <v>4</v>
      </c>
      <c r="B69" s="661" t="s">
        <v>871</v>
      </c>
      <c r="C69" s="664"/>
      <c r="D69" s="366"/>
      <c r="E69" s="88">
        <v>1.5</v>
      </c>
      <c r="F69" s="736">
        <v>1</v>
      </c>
      <c r="G69" s="737"/>
      <c r="H69" s="89">
        <v>28.85</v>
      </c>
      <c r="I69" s="89">
        <v>8.42</v>
      </c>
      <c r="J69" s="663">
        <v>1</v>
      </c>
      <c r="K69" s="627">
        <f>IF(AND(ISNUMBER($H$69),ISNUMBER($I$69)),($H$69+$I$69)*$AB$69,0)</f>
        <v>55.905000000000001</v>
      </c>
      <c r="L69" s="392">
        <v>800</v>
      </c>
      <c r="M69" s="88"/>
      <c r="N69" s="358"/>
      <c r="O69" s="393">
        <f t="shared" si="20"/>
        <v>1.00163125</v>
      </c>
      <c r="P69" s="395">
        <f t="shared" ref="P69:P89" si="27">IF($O$104=0,0,O69/$O$104)</f>
        <v>0.13318037665402249</v>
      </c>
      <c r="R69" s="17"/>
      <c r="S69" s="257">
        <f t="shared" si="16"/>
        <v>0.72125000000000006</v>
      </c>
      <c r="T69" s="257">
        <f t="shared" si="17"/>
        <v>0.21050000000000002</v>
      </c>
      <c r="U69" s="257">
        <f t="shared" si="18"/>
        <v>6.9881250000000006E-2</v>
      </c>
      <c r="V69" s="257">
        <f t="shared" si="19"/>
        <v>0</v>
      </c>
      <c r="W69" s="257">
        <f t="shared" si="21"/>
        <v>0</v>
      </c>
      <c r="X69" s="217"/>
      <c r="Y69" s="609"/>
      <c r="Z69" s="88"/>
      <c r="AA69" s="367"/>
      <c r="AB69" s="620">
        <v>1.5</v>
      </c>
      <c r="AC69" s="611">
        <f>IF(L69*F69*AA69=0,0,AB69/(L69*E69*60/AA69/F69/3600+AB69))</f>
        <v>0</v>
      </c>
      <c r="AD69" s="612">
        <f>IF(E69=0,0,Z69*Y69*3600/E69/60*F69*AA69)*(1-AC69)*(1-N69)</f>
        <v>0</v>
      </c>
      <c r="AE69" s="88"/>
      <c r="AF69" s="612">
        <f t="shared" si="23"/>
        <v>0</v>
      </c>
      <c r="AG69" s="613">
        <f t="shared" si="24"/>
        <v>0</v>
      </c>
      <c r="AH69" s="611">
        <f t="shared" si="22"/>
        <v>0</v>
      </c>
      <c r="AI69" s="462"/>
      <c r="AJ69" s="609"/>
      <c r="AK69" s="88"/>
      <c r="AL69" s="612">
        <f>IF(E69=0,0,AK69*AJ69*3600/E69/60*F69*AA69)*(1-AC69)*(1-N69)</f>
        <v>0</v>
      </c>
      <c r="AM69" s="88"/>
      <c r="AN69" s="615"/>
      <c r="AO69" s="610"/>
      <c r="AP69" s="616">
        <f>IF(F69=0,0,+E69/F69)</f>
        <v>1.5</v>
      </c>
      <c r="AQ69" s="617">
        <f>IF(E69=0,0,1/E69)</f>
        <v>0.66666666666666663</v>
      </c>
      <c r="AR69" s="617">
        <f t="shared" si="25"/>
        <v>0.66666666666666663</v>
      </c>
      <c r="AS69" s="618">
        <f>IF(E69=0,0,3600/E69/60*F69)</f>
        <v>40</v>
      </c>
      <c r="AT69" s="621">
        <f t="shared" si="26"/>
        <v>0</v>
      </c>
    </row>
    <row r="70" spans="1:46" x14ac:dyDescent="0.2">
      <c r="A70" s="626">
        <v>5</v>
      </c>
      <c r="B70" s="661" t="s">
        <v>872</v>
      </c>
      <c r="C70" s="664"/>
      <c r="D70" s="366"/>
      <c r="E70" s="88">
        <v>0.33</v>
      </c>
      <c r="F70" s="736">
        <v>1</v>
      </c>
      <c r="G70" s="737"/>
      <c r="H70" s="89">
        <v>0</v>
      </c>
      <c r="I70" s="89">
        <v>6.6</v>
      </c>
      <c r="J70" s="663">
        <v>1</v>
      </c>
      <c r="K70" s="627">
        <f>IF(AND(ISNUMBER($H$70),ISNUMBER($I$70)),($H$70+$I$70)*$AB$70,0)</f>
        <v>0</v>
      </c>
      <c r="L70" s="392"/>
      <c r="M70" s="88"/>
      <c r="N70" s="358"/>
      <c r="O70" s="393">
        <f t="shared" si="20"/>
        <v>3.6299999999999999E-2</v>
      </c>
      <c r="P70" s="395">
        <f t="shared" si="27"/>
        <v>4.8265743231763357E-3</v>
      </c>
      <c r="R70" s="17"/>
      <c r="S70" s="257">
        <f t="shared" si="16"/>
        <v>0</v>
      </c>
      <c r="T70" s="257">
        <f t="shared" si="17"/>
        <v>3.6299999999999999E-2</v>
      </c>
      <c r="U70" s="257">
        <f t="shared" si="18"/>
        <v>0</v>
      </c>
      <c r="V70" s="257">
        <f t="shared" si="19"/>
        <v>0</v>
      </c>
      <c r="W70" s="257">
        <f t="shared" si="21"/>
        <v>0</v>
      </c>
      <c r="X70" s="217"/>
      <c r="Y70" s="609"/>
      <c r="Z70" s="88"/>
      <c r="AA70" s="367"/>
      <c r="AB70" s="620"/>
      <c r="AC70" s="611">
        <f t="shared" ref="AC70:AC89" si="28">IF(L70*F70*AA70=0,0,AB70/(L70*E70*60/AA70/F70/3600+AB70))</f>
        <v>0</v>
      </c>
      <c r="AD70" s="612">
        <f t="shared" ref="AD70:AD89" si="29">IF(E70=0,0,Z70*Y70*3600/E70/60*F70*AA70)*(1-AC70)*(1-N70)</f>
        <v>0</v>
      </c>
      <c r="AE70" s="88"/>
      <c r="AF70" s="612">
        <f t="shared" si="23"/>
        <v>0</v>
      </c>
      <c r="AG70" s="613">
        <f t="shared" si="24"/>
        <v>0</v>
      </c>
      <c r="AH70" s="611">
        <f t="shared" si="22"/>
        <v>0</v>
      </c>
      <c r="AI70" s="462"/>
      <c r="AJ70" s="609"/>
      <c r="AK70" s="88"/>
      <c r="AL70" s="612">
        <f t="shared" ref="AL70:AL89" si="30">IF(E70=0,0,AK70*AJ70*3600/E70/60*F70*AA70)*(1-AC70)*(1-N70)</f>
        <v>0</v>
      </c>
      <c r="AM70" s="88"/>
      <c r="AN70" s="615"/>
      <c r="AO70" s="610"/>
      <c r="AP70" s="616">
        <f t="shared" ref="AP70:AP89" si="31">IF(F70=0,0,+E70/F70)</f>
        <v>0.33</v>
      </c>
      <c r="AQ70" s="617">
        <f t="shared" ref="AQ70:AQ89" si="32">IF(E70=0,0,1/E70)</f>
        <v>3.0303030303030303</v>
      </c>
      <c r="AR70" s="617">
        <f t="shared" si="25"/>
        <v>3.0303030303030303</v>
      </c>
      <c r="AS70" s="618">
        <f t="shared" ref="AS70:AS89" si="33">IF(E70=0,0,3600/E70/60*F70)</f>
        <v>181.81818181818181</v>
      </c>
      <c r="AT70" s="621">
        <f t="shared" si="26"/>
        <v>0</v>
      </c>
    </row>
    <row r="71" spans="1:46" hidden="1" x14ac:dyDescent="0.2">
      <c r="A71" s="626">
        <v>6</v>
      </c>
      <c r="B71" s="661"/>
      <c r="C71" s="664"/>
      <c r="D71" s="366"/>
      <c r="E71" s="88"/>
      <c r="F71" s="736"/>
      <c r="G71" s="737"/>
      <c r="H71" s="89">
        <v>0</v>
      </c>
      <c r="I71" s="89">
        <v>0</v>
      </c>
      <c r="J71" s="663"/>
      <c r="K71" s="627">
        <f>IF(AND(ISNUMBER($H$71),ISNUMBER($I$71)),($H$71+$I$71)*$AB$71,0)</f>
        <v>0</v>
      </c>
      <c r="L71" s="392"/>
      <c r="M71" s="88"/>
      <c r="N71" s="358"/>
      <c r="O71" s="393">
        <f t="shared" si="20"/>
        <v>0</v>
      </c>
      <c r="P71" s="395">
        <f t="shared" si="27"/>
        <v>0</v>
      </c>
      <c r="R71" s="17"/>
      <c r="S71" s="257">
        <f t="shared" si="16"/>
        <v>0</v>
      </c>
      <c r="T71" s="257">
        <f t="shared" si="17"/>
        <v>0</v>
      </c>
      <c r="U71" s="257">
        <f t="shared" si="18"/>
        <v>0</v>
      </c>
      <c r="V71" s="257">
        <f t="shared" si="19"/>
        <v>0</v>
      </c>
      <c r="W71" s="257">
        <f t="shared" si="21"/>
        <v>0</v>
      </c>
      <c r="X71" s="217"/>
      <c r="Y71" s="609"/>
      <c r="Z71" s="88"/>
      <c r="AA71" s="367"/>
      <c r="AB71" s="620"/>
      <c r="AC71" s="611">
        <f t="shared" si="28"/>
        <v>0</v>
      </c>
      <c r="AD71" s="612">
        <f t="shared" si="29"/>
        <v>0</v>
      </c>
      <c r="AE71" s="88"/>
      <c r="AF71" s="612">
        <f t="shared" si="23"/>
        <v>0</v>
      </c>
      <c r="AG71" s="613">
        <f t="shared" si="24"/>
        <v>0</v>
      </c>
      <c r="AH71" s="611">
        <f t="shared" si="22"/>
        <v>0</v>
      </c>
      <c r="AI71" s="462"/>
      <c r="AJ71" s="609"/>
      <c r="AK71" s="88"/>
      <c r="AL71" s="612">
        <f t="shared" si="30"/>
        <v>0</v>
      </c>
      <c r="AM71" s="88"/>
      <c r="AN71" s="615"/>
      <c r="AO71" s="610"/>
      <c r="AP71" s="616">
        <f t="shared" si="31"/>
        <v>0</v>
      </c>
      <c r="AQ71" s="617">
        <f t="shared" si="32"/>
        <v>0</v>
      </c>
      <c r="AR71" s="617">
        <f t="shared" si="25"/>
        <v>0</v>
      </c>
      <c r="AS71" s="618">
        <f t="shared" si="33"/>
        <v>0</v>
      </c>
      <c r="AT71" s="621">
        <f t="shared" si="26"/>
        <v>0</v>
      </c>
    </row>
    <row r="72" spans="1:46" hidden="1" x14ac:dyDescent="0.2">
      <c r="A72" s="626">
        <v>7</v>
      </c>
      <c r="B72" s="661"/>
      <c r="C72" s="664"/>
      <c r="D72" s="366"/>
      <c r="E72" s="88"/>
      <c r="F72" s="736"/>
      <c r="G72" s="737"/>
      <c r="H72" s="89">
        <v>0</v>
      </c>
      <c r="I72" s="89">
        <v>0</v>
      </c>
      <c r="J72" s="663"/>
      <c r="K72" s="627">
        <f>IF(AND(ISNUMBER($H$72),ISNUMBER($I$72)),($H$72+$I$72)*$AB$72,0)</f>
        <v>0</v>
      </c>
      <c r="L72" s="392"/>
      <c r="M72" s="88"/>
      <c r="N72" s="358"/>
      <c r="O72" s="393">
        <f t="shared" si="20"/>
        <v>0</v>
      </c>
      <c r="P72" s="395">
        <f t="shared" si="27"/>
        <v>0</v>
      </c>
      <c r="R72" s="17"/>
      <c r="S72" s="257">
        <f t="shared" si="16"/>
        <v>0</v>
      </c>
      <c r="T72" s="257">
        <f t="shared" si="17"/>
        <v>0</v>
      </c>
      <c r="U72" s="257">
        <f t="shared" si="18"/>
        <v>0</v>
      </c>
      <c r="V72" s="257">
        <f t="shared" si="19"/>
        <v>0</v>
      </c>
      <c r="W72" s="257">
        <f t="shared" si="21"/>
        <v>0</v>
      </c>
      <c r="X72" s="217"/>
      <c r="Y72" s="609"/>
      <c r="Z72" s="88"/>
      <c r="AA72" s="367"/>
      <c r="AB72" s="620"/>
      <c r="AC72" s="611">
        <f t="shared" si="28"/>
        <v>0</v>
      </c>
      <c r="AD72" s="612">
        <f t="shared" si="29"/>
        <v>0</v>
      </c>
      <c r="AE72" s="88"/>
      <c r="AF72" s="612">
        <f t="shared" si="23"/>
        <v>0</v>
      </c>
      <c r="AG72" s="613">
        <f t="shared" si="24"/>
        <v>0</v>
      </c>
      <c r="AH72" s="611">
        <f t="shared" si="22"/>
        <v>0</v>
      </c>
      <c r="AI72" s="462"/>
      <c r="AJ72" s="609"/>
      <c r="AK72" s="88"/>
      <c r="AL72" s="612">
        <f t="shared" si="30"/>
        <v>0</v>
      </c>
      <c r="AM72" s="88"/>
      <c r="AN72" s="615"/>
      <c r="AO72" s="610"/>
      <c r="AP72" s="616">
        <f t="shared" si="31"/>
        <v>0</v>
      </c>
      <c r="AQ72" s="617">
        <f t="shared" si="32"/>
        <v>0</v>
      </c>
      <c r="AR72" s="617">
        <f t="shared" si="25"/>
        <v>0</v>
      </c>
      <c r="AS72" s="618">
        <f t="shared" si="33"/>
        <v>0</v>
      </c>
      <c r="AT72" s="621">
        <f t="shared" si="26"/>
        <v>0</v>
      </c>
    </row>
    <row r="73" spans="1:46" hidden="1" x14ac:dyDescent="0.2">
      <c r="A73" s="626">
        <v>8</v>
      </c>
      <c r="B73" s="661"/>
      <c r="C73" s="664"/>
      <c r="D73" s="366"/>
      <c r="E73" s="88"/>
      <c r="F73" s="736"/>
      <c r="G73" s="737"/>
      <c r="H73" s="89">
        <v>0</v>
      </c>
      <c r="I73" s="89">
        <v>0</v>
      </c>
      <c r="J73" s="663"/>
      <c r="K73" s="627">
        <f>IF(AND(ISNUMBER($H$73),ISNUMBER($I$73)),($H$73+$I$73)*$AB$73,0)</f>
        <v>0</v>
      </c>
      <c r="L73" s="392"/>
      <c r="M73" s="88"/>
      <c r="N73" s="358"/>
      <c r="O73" s="393">
        <f t="shared" si="20"/>
        <v>0</v>
      </c>
      <c r="P73" s="395">
        <f t="shared" si="27"/>
        <v>0</v>
      </c>
      <c r="R73" s="17"/>
      <c r="S73" s="257">
        <f t="shared" si="16"/>
        <v>0</v>
      </c>
      <c r="T73" s="257">
        <f t="shared" si="17"/>
        <v>0</v>
      </c>
      <c r="U73" s="257">
        <f t="shared" si="18"/>
        <v>0</v>
      </c>
      <c r="V73" s="257">
        <f t="shared" si="19"/>
        <v>0</v>
      </c>
      <c r="W73" s="257">
        <f t="shared" si="21"/>
        <v>0</v>
      </c>
      <c r="X73" s="217"/>
      <c r="Y73" s="609"/>
      <c r="Z73" s="88"/>
      <c r="AA73" s="367"/>
      <c r="AB73" s="620"/>
      <c r="AC73" s="611">
        <f t="shared" si="28"/>
        <v>0</v>
      </c>
      <c r="AD73" s="612">
        <f t="shared" si="29"/>
        <v>0</v>
      </c>
      <c r="AE73" s="88"/>
      <c r="AF73" s="612">
        <f t="shared" si="23"/>
        <v>0</v>
      </c>
      <c r="AG73" s="613">
        <f t="shared" si="24"/>
        <v>0</v>
      </c>
      <c r="AH73" s="611">
        <f t="shared" si="22"/>
        <v>0</v>
      </c>
      <c r="AI73" s="462"/>
      <c r="AJ73" s="609"/>
      <c r="AK73" s="88"/>
      <c r="AL73" s="612">
        <f t="shared" si="30"/>
        <v>0</v>
      </c>
      <c r="AM73" s="88"/>
      <c r="AN73" s="615"/>
      <c r="AO73" s="610"/>
      <c r="AP73" s="616">
        <f t="shared" si="31"/>
        <v>0</v>
      </c>
      <c r="AQ73" s="617">
        <f t="shared" si="32"/>
        <v>0</v>
      </c>
      <c r="AR73" s="617">
        <f t="shared" si="25"/>
        <v>0</v>
      </c>
      <c r="AS73" s="618">
        <f t="shared" si="33"/>
        <v>0</v>
      </c>
      <c r="AT73" s="621">
        <f t="shared" si="26"/>
        <v>0</v>
      </c>
    </row>
    <row r="74" spans="1:46" hidden="1" x14ac:dyDescent="0.2">
      <c r="A74" s="626">
        <v>9</v>
      </c>
      <c r="B74" s="661"/>
      <c r="C74" s="664"/>
      <c r="D74" s="366"/>
      <c r="E74" s="88"/>
      <c r="F74" s="736"/>
      <c r="G74" s="737"/>
      <c r="H74" s="89">
        <v>0</v>
      </c>
      <c r="I74" s="89">
        <v>0</v>
      </c>
      <c r="J74" s="663"/>
      <c r="K74" s="627">
        <f>IF(AND(ISNUMBER($H$74),ISNUMBER($I$74)),($H$74+$I$74)*$AB$74,0)</f>
        <v>0</v>
      </c>
      <c r="L74" s="392"/>
      <c r="M74" s="88"/>
      <c r="N74" s="358"/>
      <c r="O74" s="393">
        <f t="shared" si="20"/>
        <v>0</v>
      </c>
      <c r="P74" s="395">
        <f t="shared" si="27"/>
        <v>0</v>
      </c>
      <c r="R74" s="17"/>
      <c r="S74" s="257">
        <f t="shared" si="16"/>
        <v>0</v>
      </c>
      <c r="T74" s="257">
        <f t="shared" si="17"/>
        <v>0</v>
      </c>
      <c r="U74" s="257">
        <f t="shared" si="18"/>
        <v>0</v>
      </c>
      <c r="V74" s="257">
        <f t="shared" si="19"/>
        <v>0</v>
      </c>
      <c r="W74" s="257">
        <f t="shared" si="21"/>
        <v>0</v>
      </c>
      <c r="X74" s="217"/>
      <c r="Y74" s="609"/>
      <c r="Z74" s="88"/>
      <c r="AA74" s="367"/>
      <c r="AB74" s="620"/>
      <c r="AC74" s="611">
        <f t="shared" si="28"/>
        <v>0</v>
      </c>
      <c r="AD74" s="612">
        <f t="shared" si="29"/>
        <v>0</v>
      </c>
      <c r="AE74" s="88"/>
      <c r="AF74" s="612">
        <f t="shared" si="23"/>
        <v>0</v>
      </c>
      <c r="AG74" s="613">
        <f t="shared" si="24"/>
        <v>0</v>
      </c>
      <c r="AH74" s="611">
        <f t="shared" si="22"/>
        <v>0</v>
      </c>
      <c r="AI74" s="462"/>
      <c r="AJ74" s="609"/>
      <c r="AK74" s="88"/>
      <c r="AL74" s="612">
        <f t="shared" si="30"/>
        <v>0</v>
      </c>
      <c r="AM74" s="88"/>
      <c r="AN74" s="615"/>
      <c r="AO74" s="610"/>
      <c r="AP74" s="616">
        <f t="shared" si="31"/>
        <v>0</v>
      </c>
      <c r="AQ74" s="617">
        <f t="shared" si="32"/>
        <v>0</v>
      </c>
      <c r="AR74" s="617">
        <f t="shared" si="25"/>
        <v>0</v>
      </c>
      <c r="AS74" s="618">
        <f t="shared" si="33"/>
        <v>0</v>
      </c>
      <c r="AT74" s="621">
        <f t="shared" si="26"/>
        <v>0</v>
      </c>
    </row>
    <row r="75" spans="1:46" hidden="1" x14ac:dyDescent="0.2">
      <c r="A75" s="626">
        <v>10</v>
      </c>
      <c r="B75" s="661"/>
      <c r="C75" s="664"/>
      <c r="D75" s="366"/>
      <c r="E75" s="88"/>
      <c r="F75" s="736"/>
      <c r="G75" s="737"/>
      <c r="H75" s="89">
        <v>0</v>
      </c>
      <c r="I75" s="89">
        <v>0</v>
      </c>
      <c r="J75" s="663"/>
      <c r="K75" s="627">
        <f>IF(AND(ISNUMBER($H$75),ISNUMBER($I$75)),($H$75+$I$75)*$AB$75,0)</f>
        <v>0</v>
      </c>
      <c r="L75" s="392"/>
      <c r="M75" s="88"/>
      <c r="N75" s="358"/>
      <c r="O75" s="393">
        <f t="shared" si="20"/>
        <v>0</v>
      </c>
      <c r="P75" s="395">
        <f t="shared" si="27"/>
        <v>0</v>
      </c>
      <c r="R75" s="17"/>
      <c r="S75" s="257">
        <f t="shared" si="16"/>
        <v>0</v>
      </c>
      <c r="T75" s="257">
        <f t="shared" si="17"/>
        <v>0</v>
      </c>
      <c r="U75" s="257">
        <f t="shared" si="18"/>
        <v>0</v>
      </c>
      <c r="V75" s="257">
        <f t="shared" si="19"/>
        <v>0</v>
      </c>
      <c r="W75" s="257">
        <f t="shared" si="21"/>
        <v>0</v>
      </c>
      <c r="X75" s="217"/>
      <c r="Y75" s="609"/>
      <c r="Z75" s="88"/>
      <c r="AA75" s="367"/>
      <c r="AB75" s="620"/>
      <c r="AC75" s="611">
        <f t="shared" si="28"/>
        <v>0</v>
      </c>
      <c r="AD75" s="612">
        <f t="shared" si="29"/>
        <v>0</v>
      </c>
      <c r="AE75" s="88"/>
      <c r="AF75" s="612">
        <f t="shared" si="23"/>
        <v>0</v>
      </c>
      <c r="AG75" s="613">
        <f t="shared" si="24"/>
        <v>0</v>
      </c>
      <c r="AH75" s="611">
        <f t="shared" si="22"/>
        <v>0</v>
      </c>
      <c r="AI75" s="462"/>
      <c r="AJ75" s="609"/>
      <c r="AK75" s="88"/>
      <c r="AL75" s="612">
        <f t="shared" si="30"/>
        <v>0</v>
      </c>
      <c r="AM75" s="88"/>
      <c r="AN75" s="615"/>
      <c r="AO75" s="610"/>
      <c r="AP75" s="616">
        <f t="shared" si="31"/>
        <v>0</v>
      </c>
      <c r="AQ75" s="617">
        <f t="shared" si="32"/>
        <v>0</v>
      </c>
      <c r="AR75" s="617">
        <f t="shared" si="25"/>
        <v>0</v>
      </c>
      <c r="AS75" s="618">
        <f t="shared" si="33"/>
        <v>0</v>
      </c>
      <c r="AT75" s="621">
        <f t="shared" si="26"/>
        <v>0</v>
      </c>
    </row>
    <row r="76" spans="1:46" hidden="1" x14ac:dyDescent="0.2">
      <c r="A76" s="626">
        <v>11</v>
      </c>
      <c r="B76" s="661"/>
      <c r="C76" s="664"/>
      <c r="D76" s="366"/>
      <c r="E76" s="88"/>
      <c r="F76" s="736"/>
      <c r="G76" s="737"/>
      <c r="H76" s="89">
        <v>0</v>
      </c>
      <c r="I76" s="89">
        <v>0</v>
      </c>
      <c r="J76" s="663"/>
      <c r="K76" s="627">
        <f>IF(AND(ISNUMBER($H$76),ISNUMBER($I$76)),($H$76+$I$76)*$AB$76,0)</f>
        <v>0</v>
      </c>
      <c r="L76" s="392"/>
      <c r="M76" s="88"/>
      <c r="N76" s="358"/>
      <c r="O76" s="393">
        <f t="shared" si="20"/>
        <v>0</v>
      </c>
      <c r="P76" s="395">
        <f t="shared" si="27"/>
        <v>0</v>
      </c>
      <c r="R76" s="17"/>
      <c r="S76" s="257">
        <f t="shared" si="16"/>
        <v>0</v>
      </c>
      <c r="T76" s="257">
        <f t="shared" si="17"/>
        <v>0</v>
      </c>
      <c r="U76" s="257">
        <f t="shared" si="18"/>
        <v>0</v>
      </c>
      <c r="V76" s="257">
        <f t="shared" si="19"/>
        <v>0</v>
      </c>
      <c r="W76" s="257">
        <f t="shared" si="21"/>
        <v>0</v>
      </c>
      <c r="X76" s="217"/>
      <c r="Y76" s="609"/>
      <c r="Z76" s="88"/>
      <c r="AA76" s="367"/>
      <c r="AB76" s="620"/>
      <c r="AC76" s="611">
        <f t="shared" si="28"/>
        <v>0</v>
      </c>
      <c r="AD76" s="612">
        <f t="shared" si="29"/>
        <v>0</v>
      </c>
      <c r="AE76" s="88"/>
      <c r="AF76" s="612">
        <f t="shared" si="23"/>
        <v>0</v>
      </c>
      <c r="AG76" s="613">
        <f t="shared" si="24"/>
        <v>0</v>
      </c>
      <c r="AH76" s="611">
        <f t="shared" si="22"/>
        <v>0</v>
      </c>
      <c r="AI76" s="462"/>
      <c r="AJ76" s="609"/>
      <c r="AK76" s="88"/>
      <c r="AL76" s="612">
        <f t="shared" si="30"/>
        <v>0</v>
      </c>
      <c r="AM76" s="88"/>
      <c r="AN76" s="615"/>
      <c r="AO76" s="610"/>
      <c r="AP76" s="616">
        <f t="shared" si="31"/>
        <v>0</v>
      </c>
      <c r="AQ76" s="617">
        <f t="shared" si="32"/>
        <v>0</v>
      </c>
      <c r="AR76" s="617">
        <f t="shared" si="25"/>
        <v>0</v>
      </c>
      <c r="AS76" s="618">
        <f t="shared" si="33"/>
        <v>0</v>
      </c>
      <c r="AT76" s="621">
        <f t="shared" si="26"/>
        <v>0</v>
      </c>
    </row>
    <row r="77" spans="1:46" hidden="1" x14ac:dyDescent="0.2">
      <c r="A77" s="626">
        <v>12</v>
      </c>
      <c r="B77" s="661"/>
      <c r="C77" s="664"/>
      <c r="D77" s="366"/>
      <c r="E77" s="88"/>
      <c r="F77" s="736"/>
      <c r="G77" s="737"/>
      <c r="H77" s="89">
        <v>0</v>
      </c>
      <c r="I77" s="89">
        <v>0</v>
      </c>
      <c r="J77" s="663"/>
      <c r="K77" s="627">
        <f>IF(AND(ISNUMBER($H$77),ISNUMBER($I$77)),($H$77+$I$77)*$AB$77,0)</f>
        <v>0</v>
      </c>
      <c r="L77" s="392"/>
      <c r="M77" s="88"/>
      <c r="N77" s="358"/>
      <c r="O77" s="393">
        <f t="shared" si="20"/>
        <v>0</v>
      </c>
      <c r="P77" s="395">
        <f t="shared" si="27"/>
        <v>0</v>
      </c>
      <c r="R77" s="17"/>
      <c r="S77" s="257">
        <f t="shared" si="16"/>
        <v>0</v>
      </c>
      <c r="T77" s="257">
        <f t="shared" si="17"/>
        <v>0</v>
      </c>
      <c r="U77" s="257">
        <f t="shared" si="18"/>
        <v>0</v>
      </c>
      <c r="V77" s="257">
        <f t="shared" si="19"/>
        <v>0</v>
      </c>
      <c r="W77" s="257">
        <f t="shared" si="21"/>
        <v>0</v>
      </c>
      <c r="X77" s="217"/>
      <c r="Y77" s="609"/>
      <c r="Z77" s="88"/>
      <c r="AA77" s="367"/>
      <c r="AB77" s="620"/>
      <c r="AC77" s="611">
        <f t="shared" si="28"/>
        <v>0</v>
      </c>
      <c r="AD77" s="612">
        <f t="shared" si="29"/>
        <v>0</v>
      </c>
      <c r="AE77" s="88"/>
      <c r="AF77" s="612">
        <f t="shared" si="23"/>
        <v>0</v>
      </c>
      <c r="AG77" s="613">
        <f t="shared" si="24"/>
        <v>0</v>
      </c>
      <c r="AH77" s="611">
        <f t="shared" si="22"/>
        <v>0</v>
      </c>
      <c r="AI77" s="462"/>
      <c r="AJ77" s="609"/>
      <c r="AK77" s="88"/>
      <c r="AL77" s="612">
        <f t="shared" si="30"/>
        <v>0</v>
      </c>
      <c r="AM77" s="88"/>
      <c r="AN77" s="615">
        <f>AL77*AM77</f>
        <v>0</v>
      </c>
      <c r="AO77" s="610"/>
      <c r="AP77" s="616">
        <f t="shared" si="31"/>
        <v>0</v>
      </c>
      <c r="AQ77" s="617">
        <f t="shared" si="32"/>
        <v>0</v>
      </c>
      <c r="AR77" s="617">
        <f t="shared" si="25"/>
        <v>0</v>
      </c>
      <c r="AS77" s="618">
        <f t="shared" si="33"/>
        <v>0</v>
      </c>
      <c r="AT77" s="621">
        <f t="shared" si="26"/>
        <v>0</v>
      </c>
    </row>
    <row r="78" spans="1:46" hidden="1" x14ac:dyDescent="0.2">
      <c r="A78" s="626">
        <v>13</v>
      </c>
      <c r="B78" s="661"/>
      <c r="C78" s="664"/>
      <c r="D78" s="366"/>
      <c r="E78" s="88"/>
      <c r="F78" s="736"/>
      <c r="G78" s="737"/>
      <c r="H78" s="89">
        <v>0</v>
      </c>
      <c r="I78" s="89">
        <v>0</v>
      </c>
      <c r="J78" s="663"/>
      <c r="K78" s="627">
        <f>IF(AND(ISNUMBER($H$78),ISNUMBER($I$78)),($H$78+$I$78)*$AB$78,0)</f>
        <v>0</v>
      </c>
      <c r="L78" s="392"/>
      <c r="M78" s="88"/>
      <c r="N78" s="358"/>
      <c r="O78" s="393">
        <f t="shared" si="20"/>
        <v>0</v>
      </c>
      <c r="P78" s="395">
        <f t="shared" si="27"/>
        <v>0</v>
      </c>
      <c r="R78" s="16"/>
      <c r="S78" s="257">
        <f t="shared" si="16"/>
        <v>0</v>
      </c>
      <c r="T78" s="257">
        <f t="shared" si="17"/>
        <v>0</v>
      </c>
      <c r="U78" s="257">
        <f t="shared" si="18"/>
        <v>0</v>
      </c>
      <c r="V78" s="257">
        <f t="shared" si="19"/>
        <v>0</v>
      </c>
      <c r="W78" s="257">
        <f t="shared" si="21"/>
        <v>0</v>
      </c>
      <c r="X78" s="217"/>
      <c r="Y78" s="609"/>
      <c r="Z78" s="88"/>
      <c r="AA78" s="367"/>
      <c r="AB78" s="620"/>
      <c r="AC78" s="611">
        <f t="shared" si="28"/>
        <v>0</v>
      </c>
      <c r="AD78" s="612">
        <f t="shared" si="29"/>
        <v>0</v>
      </c>
      <c r="AE78" s="88"/>
      <c r="AF78" s="612">
        <f t="shared" si="23"/>
        <v>0</v>
      </c>
      <c r="AG78" s="613">
        <f t="shared" si="24"/>
        <v>0</v>
      </c>
      <c r="AH78" s="611">
        <f t="shared" si="22"/>
        <v>0</v>
      </c>
      <c r="AI78" s="462"/>
      <c r="AJ78" s="609"/>
      <c r="AK78" s="88"/>
      <c r="AL78" s="612">
        <f t="shared" si="30"/>
        <v>0</v>
      </c>
      <c r="AM78" s="88"/>
      <c r="AN78" s="615">
        <f>AL78*AM78</f>
        <v>0</v>
      </c>
      <c r="AO78" s="610"/>
      <c r="AP78" s="616">
        <f t="shared" si="31"/>
        <v>0</v>
      </c>
      <c r="AQ78" s="617">
        <f t="shared" si="32"/>
        <v>0</v>
      </c>
      <c r="AR78" s="617">
        <f t="shared" si="25"/>
        <v>0</v>
      </c>
      <c r="AS78" s="618">
        <f t="shared" si="33"/>
        <v>0</v>
      </c>
      <c r="AT78" s="621">
        <f t="shared" si="26"/>
        <v>0</v>
      </c>
    </row>
    <row r="79" spans="1:46" hidden="1" x14ac:dyDescent="0.2">
      <c r="A79" s="626">
        <v>14</v>
      </c>
      <c r="B79" s="661"/>
      <c r="C79" s="664"/>
      <c r="D79" s="366"/>
      <c r="E79" s="88"/>
      <c r="F79" s="736"/>
      <c r="G79" s="737"/>
      <c r="H79" s="89">
        <v>0</v>
      </c>
      <c r="I79" s="89">
        <v>0</v>
      </c>
      <c r="J79" s="663"/>
      <c r="K79" s="627">
        <f>IF(AND(ISNUMBER($H$79),ISNUMBER($I$79)),($H$79+$I$79)*$AB$79,0)</f>
        <v>0</v>
      </c>
      <c r="L79" s="392"/>
      <c r="M79" s="88"/>
      <c r="N79" s="358"/>
      <c r="O79" s="393">
        <f t="shared" si="20"/>
        <v>0</v>
      </c>
      <c r="P79" s="395">
        <f t="shared" si="27"/>
        <v>0</v>
      </c>
      <c r="R79" s="16"/>
      <c r="S79" s="257">
        <f t="shared" si="16"/>
        <v>0</v>
      </c>
      <c r="T79" s="257">
        <f t="shared" si="17"/>
        <v>0</v>
      </c>
      <c r="U79" s="257">
        <f t="shared" si="18"/>
        <v>0</v>
      </c>
      <c r="V79" s="257">
        <f t="shared" si="19"/>
        <v>0</v>
      </c>
      <c r="W79" s="257">
        <f t="shared" si="21"/>
        <v>0</v>
      </c>
      <c r="X79" s="217"/>
      <c r="Y79" s="609"/>
      <c r="Z79" s="88"/>
      <c r="AA79" s="367"/>
      <c r="AB79" s="620"/>
      <c r="AC79" s="611">
        <f t="shared" si="28"/>
        <v>0</v>
      </c>
      <c r="AD79" s="612">
        <f t="shared" si="29"/>
        <v>0</v>
      </c>
      <c r="AE79" s="88"/>
      <c r="AF79" s="612">
        <f t="shared" si="23"/>
        <v>0</v>
      </c>
      <c r="AG79" s="613">
        <f t="shared" si="24"/>
        <v>0</v>
      </c>
      <c r="AH79" s="611">
        <f t="shared" si="22"/>
        <v>0</v>
      </c>
      <c r="AI79" s="462"/>
      <c r="AJ79" s="609"/>
      <c r="AK79" s="88"/>
      <c r="AL79" s="612">
        <f t="shared" si="30"/>
        <v>0</v>
      </c>
      <c r="AM79" s="88"/>
      <c r="AN79" s="615">
        <f>AL79*AM79</f>
        <v>0</v>
      </c>
      <c r="AO79" s="610"/>
      <c r="AP79" s="616">
        <f t="shared" si="31"/>
        <v>0</v>
      </c>
      <c r="AQ79" s="617">
        <f t="shared" si="32"/>
        <v>0</v>
      </c>
      <c r="AR79" s="617">
        <f t="shared" si="25"/>
        <v>0</v>
      </c>
      <c r="AS79" s="618">
        <f t="shared" si="33"/>
        <v>0</v>
      </c>
      <c r="AT79" s="621">
        <f t="shared" si="26"/>
        <v>0</v>
      </c>
    </row>
    <row r="80" spans="1:46" hidden="1" x14ac:dyDescent="0.2">
      <c r="A80" s="626">
        <v>15</v>
      </c>
      <c r="B80" s="661"/>
      <c r="C80" s="664"/>
      <c r="D80" s="366"/>
      <c r="E80" s="88"/>
      <c r="F80" s="736"/>
      <c r="G80" s="737"/>
      <c r="H80" s="89">
        <v>0</v>
      </c>
      <c r="I80" s="89">
        <v>0</v>
      </c>
      <c r="J80" s="663"/>
      <c r="K80" s="627">
        <f>IF(AND(ISNUMBER($H$80),ISNUMBER($I$80)),($H$80+$I$80)*$AB$80,0)</f>
        <v>0</v>
      </c>
      <c r="L80" s="392"/>
      <c r="M80" s="88"/>
      <c r="N80" s="358"/>
      <c r="O80" s="393">
        <f t="shared" si="20"/>
        <v>0</v>
      </c>
      <c r="P80" s="395">
        <f t="shared" si="27"/>
        <v>0</v>
      </c>
      <c r="R80" s="16"/>
      <c r="S80" s="257">
        <f t="shared" si="16"/>
        <v>0</v>
      </c>
      <c r="T80" s="257">
        <f t="shared" si="17"/>
        <v>0</v>
      </c>
      <c r="U80" s="257">
        <f t="shared" si="18"/>
        <v>0</v>
      </c>
      <c r="V80" s="257">
        <f t="shared" si="19"/>
        <v>0</v>
      </c>
      <c r="W80" s="257">
        <f t="shared" si="21"/>
        <v>0</v>
      </c>
      <c r="X80" s="217"/>
      <c r="Y80" s="609"/>
      <c r="Z80" s="88"/>
      <c r="AA80" s="367"/>
      <c r="AB80" s="620"/>
      <c r="AC80" s="611">
        <f t="shared" si="28"/>
        <v>0</v>
      </c>
      <c r="AD80" s="612">
        <f t="shared" si="29"/>
        <v>0</v>
      </c>
      <c r="AE80" s="88"/>
      <c r="AF80" s="612">
        <f t="shared" si="23"/>
        <v>0</v>
      </c>
      <c r="AG80" s="613">
        <f t="shared" si="24"/>
        <v>0</v>
      </c>
      <c r="AH80" s="611">
        <f t="shared" si="22"/>
        <v>0</v>
      </c>
      <c r="AI80" s="462"/>
      <c r="AJ80" s="609"/>
      <c r="AK80" s="88"/>
      <c r="AL80" s="612">
        <f t="shared" si="30"/>
        <v>0</v>
      </c>
      <c r="AM80" s="88"/>
      <c r="AN80" s="615"/>
      <c r="AO80" s="610"/>
      <c r="AP80" s="616">
        <f t="shared" si="31"/>
        <v>0</v>
      </c>
      <c r="AQ80" s="617">
        <f t="shared" si="32"/>
        <v>0</v>
      </c>
      <c r="AR80" s="617">
        <f t="shared" si="25"/>
        <v>0</v>
      </c>
      <c r="AS80" s="618">
        <f t="shared" si="33"/>
        <v>0</v>
      </c>
      <c r="AT80" s="621">
        <f t="shared" si="26"/>
        <v>0</v>
      </c>
    </row>
    <row r="81" spans="1:46" hidden="1" x14ac:dyDescent="0.2">
      <c r="A81" s="626">
        <v>16</v>
      </c>
      <c r="B81" s="661"/>
      <c r="C81" s="664"/>
      <c r="D81" s="366"/>
      <c r="E81" s="88"/>
      <c r="F81" s="736"/>
      <c r="G81" s="737"/>
      <c r="H81" s="89">
        <v>0</v>
      </c>
      <c r="I81" s="89">
        <v>0</v>
      </c>
      <c r="J81" s="663"/>
      <c r="K81" s="627">
        <f>IF(AND(ISNUMBER($H$81),ISNUMBER($I$81)),($H$81+$I$81)*$AB$81,0)</f>
        <v>0</v>
      </c>
      <c r="L81" s="392"/>
      <c r="M81" s="88"/>
      <c r="N81" s="358"/>
      <c r="O81" s="393">
        <f t="shared" si="20"/>
        <v>0</v>
      </c>
      <c r="P81" s="395">
        <f t="shared" si="27"/>
        <v>0</v>
      </c>
      <c r="R81" s="16"/>
      <c r="S81" s="257">
        <f t="shared" si="16"/>
        <v>0</v>
      </c>
      <c r="T81" s="257">
        <f t="shared" si="17"/>
        <v>0</v>
      </c>
      <c r="U81" s="257">
        <f t="shared" si="18"/>
        <v>0</v>
      </c>
      <c r="V81" s="257">
        <f t="shared" si="19"/>
        <v>0</v>
      </c>
      <c r="W81" s="257">
        <f t="shared" si="21"/>
        <v>0</v>
      </c>
      <c r="X81" s="217"/>
      <c r="Y81" s="609"/>
      <c r="Z81" s="88"/>
      <c r="AA81" s="367"/>
      <c r="AB81" s="620"/>
      <c r="AC81" s="611">
        <f t="shared" si="28"/>
        <v>0</v>
      </c>
      <c r="AD81" s="612">
        <f t="shared" si="29"/>
        <v>0</v>
      </c>
      <c r="AE81" s="88"/>
      <c r="AF81" s="612">
        <f t="shared" si="23"/>
        <v>0</v>
      </c>
      <c r="AG81" s="613">
        <f t="shared" si="24"/>
        <v>0</v>
      </c>
      <c r="AH81" s="611">
        <f t="shared" si="22"/>
        <v>0</v>
      </c>
      <c r="AI81" s="462"/>
      <c r="AJ81" s="609"/>
      <c r="AK81" s="88"/>
      <c r="AL81" s="612">
        <f t="shared" si="30"/>
        <v>0</v>
      </c>
      <c r="AM81" s="88"/>
      <c r="AN81" s="615"/>
      <c r="AO81" s="610"/>
      <c r="AP81" s="616">
        <f t="shared" si="31"/>
        <v>0</v>
      </c>
      <c r="AQ81" s="617">
        <f t="shared" si="32"/>
        <v>0</v>
      </c>
      <c r="AR81" s="617">
        <f t="shared" si="25"/>
        <v>0</v>
      </c>
      <c r="AS81" s="618">
        <f t="shared" si="33"/>
        <v>0</v>
      </c>
      <c r="AT81" s="621">
        <f t="shared" si="26"/>
        <v>0</v>
      </c>
    </row>
    <row r="82" spans="1:46" hidden="1" x14ac:dyDescent="0.2">
      <c r="A82" s="626">
        <v>17</v>
      </c>
      <c r="B82" s="661"/>
      <c r="C82" s="664"/>
      <c r="D82" s="366"/>
      <c r="E82" s="88"/>
      <c r="F82" s="736"/>
      <c r="G82" s="737"/>
      <c r="H82" s="89">
        <v>0</v>
      </c>
      <c r="I82" s="89">
        <v>0</v>
      </c>
      <c r="J82" s="663"/>
      <c r="K82" s="627">
        <f>IF(AND(ISNUMBER($H$82),ISNUMBER($I$82)),($H$82+$I$82)*$AB$82,0)</f>
        <v>0</v>
      </c>
      <c r="L82" s="392"/>
      <c r="M82" s="88"/>
      <c r="N82" s="358"/>
      <c r="O82" s="393">
        <f t="shared" si="20"/>
        <v>0</v>
      </c>
      <c r="P82" s="395">
        <f t="shared" si="27"/>
        <v>0</v>
      </c>
      <c r="R82" s="16"/>
      <c r="S82" s="257">
        <f t="shared" si="16"/>
        <v>0</v>
      </c>
      <c r="T82" s="257">
        <f t="shared" si="17"/>
        <v>0</v>
      </c>
      <c r="U82" s="257">
        <f t="shared" si="18"/>
        <v>0</v>
      </c>
      <c r="V82" s="257">
        <f t="shared" si="19"/>
        <v>0</v>
      </c>
      <c r="W82" s="257">
        <f t="shared" si="21"/>
        <v>0</v>
      </c>
      <c r="X82" s="217"/>
      <c r="Y82" s="609"/>
      <c r="Z82" s="88"/>
      <c r="AA82" s="367"/>
      <c r="AB82" s="620"/>
      <c r="AC82" s="611">
        <f t="shared" si="28"/>
        <v>0</v>
      </c>
      <c r="AD82" s="612">
        <f t="shared" si="29"/>
        <v>0</v>
      </c>
      <c r="AE82" s="88"/>
      <c r="AF82" s="612">
        <f t="shared" si="23"/>
        <v>0</v>
      </c>
      <c r="AG82" s="613">
        <f t="shared" si="24"/>
        <v>0</v>
      </c>
      <c r="AH82" s="611">
        <f t="shared" si="22"/>
        <v>0</v>
      </c>
      <c r="AI82" s="462"/>
      <c r="AJ82" s="609"/>
      <c r="AK82" s="88"/>
      <c r="AL82" s="612">
        <f t="shared" si="30"/>
        <v>0</v>
      </c>
      <c r="AM82" s="88"/>
      <c r="AN82" s="615"/>
      <c r="AO82" s="610"/>
      <c r="AP82" s="616">
        <f t="shared" si="31"/>
        <v>0</v>
      </c>
      <c r="AQ82" s="617">
        <f t="shared" si="32"/>
        <v>0</v>
      </c>
      <c r="AR82" s="617">
        <f t="shared" si="25"/>
        <v>0</v>
      </c>
      <c r="AS82" s="618">
        <f t="shared" si="33"/>
        <v>0</v>
      </c>
      <c r="AT82" s="621">
        <f t="shared" si="26"/>
        <v>0</v>
      </c>
    </row>
    <row r="83" spans="1:46" hidden="1" x14ac:dyDescent="0.2">
      <c r="A83" s="626">
        <v>18</v>
      </c>
      <c r="B83" s="661"/>
      <c r="C83" s="664"/>
      <c r="D83" s="366"/>
      <c r="E83" s="88"/>
      <c r="F83" s="736"/>
      <c r="G83" s="737"/>
      <c r="H83" s="89">
        <v>0</v>
      </c>
      <c r="I83" s="89">
        <v>0</v>
      </c>
      <c r="J83" s="663"/>
      <c r="K83" s="627">
        <f>IF(AND(ISNUMBER($H$83),ISNUMBER($I$83)),($H$83+$I$83)*$AB$83,0)</f>
        <v>0</v>
      </c>
      <c r="L83" s="392"/>
      <c r="M83" s="88"/>
      <c r="N83" s="358"/>
      <c r="O83" s="393">
        <f t="shared" si="20"/>
        <v>0</v>
      </c>
      <c r="P83" s="395">
        <f t="shared" si="27"/>
        <v>0</v>
      </c>
      <c r="R83" s="16"/>
      <c r="S83" s="257">
        <f t="shared" si="16"/>
        <v>0</v>
      </c>
      <c r="T83" s="257">
        <f t="shared" si="17"/>
        <v>0</v>
      </c>
      <c r="U83" s="257">
        <f t="shared" si="18"/>
        <v>0</v>
      </c>
      <c r="V83" s="257">
        <f t="shared" si="19"/>
        <v>0</v>
      </c>
      <c r="W83" s="257">
        <f t="shared" si="21"/>
        <v>0</v>
      </c>
      <c r="X83" s="217"/>
      <c r="Y83" s="609"/>
      <c r="Z83" s="88"/>
      <c r="AA83" s="367"/>
      <c r="AB83" s="620"/>
      <c r="AC83" s="611">
        <f t="shared" si="28"/>
        <v>0</v>
      </c>
      <c r="AD83" s="612">
        <f t="shared" si="29"/>
        <v>0</v>
      </c>
      <c r="AE83" s="88"/>
      <c r="AF83" s="612">
        <f t="shared" si="23"/>
        <v>0</v>
      </c>
      <c r="AG83" s="613">
        <f t="shared" si="24"/>
        <v>0</v>
      </c>
      <c r="AH83" s="611">
        <f t="shared" si="22"/>
        <v>0</v>
      </c>
      <c r="AI83" s="462"/>
      <c r="AJ83" s="609"/>
      <c r="AK83" s="88"/>
      <c r="AL83" s="612">
        <f t="shared" si="30"/>
        <v>0</v>
      </c>
      <c r="AM83" s="88"/>
      <c r="AN83" s="615"/>
      <c r="AO83" s="610"/>
      <c r="AP83" s="616">
        <f t="shared" si="31"/>
        <v>0</v>
      </c>
      <c r="AQ83" s="617">
        <f t="shared" si="32"/>
        <v>0</v>
      </c>
      <c r="AR83" s="617">
        <f t="shared" si="25"/>
        <v>0</v>
      </c>
      <c r="AS83" s="618">
        <f t="shared" si="33"/>
        <v>0</v>
      </c>
      <c r="AT83" s="621">
        <f t="shared" si="26"/>
        <v>0</v>
      </c>
    </row>
    <row r="84" spans="1:46" hidden="1" x14ac:dyDescent="0.2">
      <c r="A84" s="626">
        <v>19</v>
      </c>
      <c r="B84" s="661"/>
      <c r="C84" s="664"/>
      <c r="D84" s="366"/>
      <c r="E84" s="88"/>
      <c r="F84" s="736"/>
      <c r="G84" s="737"/>
      <c r="H84" s="89">
        <v>0</v>
      </c>
      <c r="I84" s="89">
        <v>0</v>
      </c>
      <c r="J84" s="663"/>
      <c r="K84" s="627">
        <f>IF(AND(ISNUMBER($H$84),ISNUMBER($I$84)),($H$84+$I$84)*$AB$84,0)</f>
        <v>0</v>
      </c>
      <c r="L84" s="392"/>
      <c r="M84" s="88"/>
      <c r="N84" s="358"/>
      <c r="O84" s="393">
        <f t="shared" si="20"/>
        <v>0</v>
      </c>
      <c r="P84" s="395">
        <f t="shared" si="27"/>
        <v>0</v>
      </c>
      <c r="R84" s="16"/>
      <c r="S84" s="257">
        <f t="shared" si="16"/>
        <v>0</v>
      </c>
      <c r="T84" s="257">
        <f t="shared" si="17"/>
        <v>0</v>
      </c>
      <c r="U84" s="257">
        <f t="shared" si="18"/>
        <v>0</v>
      </c>
      <c r="V84" s="257">
        <f t="shared" si="19"/>
        <v>0</v>
      </c>
      <c r="W84" s="257">
        <f t="shared" si="21"/>
        <v>0</v>
      </c>
      <c r="X84" s="217"/>
      <c r="Y84" s="609"/>
      <c r="Z84" s="88"/>
      <c r="AA84" s="367"/>
      <c r="AB84" s="620"/>
      <c r="AC84" s="611">
        <f t="shared" si="28"/>
        <v>0</v>
      </c>
      <c r="AD84" s="612">
        <f t="shared" si="29"/>
        <v>0</v>
      </c>
      <c r="AE84" s="88"/>
      <c r="AF84" s="612">
        <f t="shared" si="23"/>
        <v>0</v>
      </c>
      <c r="AG84" s="613">
        <f t="shared" si="24"/>
        <v>0</v>
      </c>
      <c r="AH84" s="611">
        <f t="shared" si="22"/>
        <v>0</v>
      </c>
      <c r="AI84" s="462"/>
      <c r="AJ84" s="609"/>
      <c r="AK84" s="88"/>
      <c r="AL84" s="612">
        <f t="shared" si="30"/>
        <v>0</v>
      </c>
      <c r="AM84" s="88"/>
      <c r="AN84" s="615">
        <f t="shared" ref="AN84:AN89" si="34">AL84*AM84</f>
        <v>0</v>
      </c>
      <c r="AO84" s="610"/>
      <c r="AP84" s="616">
        <f t="shared" si="31"/>
        <v>0</v>
      </c>
      <c r="AQ84" s="617">
        <f t="shared" si="32"/>
        <v>0</v>
      </c>
      <c r="AR84" s="617">
        <f t="shared" si="25"/>
        <v>0</v>
      </c>
      <c r="AS84" s="618">
        <f t="shared" si="33"/>
        <v>0</v>
      </c>
      <c r="AT84" s="621">
        <f t="shared" si="26"/>
        <v>0</v>
      </c>
    </row>
    <row r="85" spans="1:46" hidden="1" x14ac:dyDescent="0.2">
      <c r="A85" s="626">
        <v>20</v>
      </c>
      <c r="B85" s="661"/>
      <c r="C85" s="664"/>
      <c r="D85" s="366"/>
      <c r="E85" s="88"/>
      <c r="F85" s="736"/>
      <c r="G85" s="737"/>
      <c r="H85" s="89">
        <v>0</v>
      </c>
      <c r="I85" s="89">
        <v>0</v>
      </c>
      <c r="J85" s="663"/>
      <c r="K85" s="627">
        <f>IF(AND(ISNUMBER($H$85),ISNUMBER($I$85)),($H$85+$I$85)*$AB$85,0)</f>
        <v>0</v>
      </c>
      <c r="L85" s="392"/>
      <c r="M85" s="88"/>
      <c r="N85" s="358"/>
      <c r="O85" s="393">
        <f t="shared" si="20"/>
        <v>0</v>
      </c>
      <c r="P85" s="395">
        <f t="shared" si="27"/>
        <v>0</v>
      </c>
      <c r="R85" s="16"/>
      <c r="S85" s="257">
        <f t="shared" si="16"/>
        <v>0</v>
      </c>
      <c r="T85" s="257">
        <f t="shared" si="17"/>
        <v>0</v>
      </c>
      <c r="U85" s="257">
        <f t="shared" si="18"/>
        <v>0</v>
      </c>
      <c r="V85" s="257">
        <f t="shared" si="19"/>
        <v>0</v>
      </c>
      <c r="W85" s="257">
        <f t="shared" si="21"/>
        <v>0</v>
      </c>
      <c r="X85" s="217"/>
      <c r="Y85" s="609"/>
      <c r="Z85" s="88"/>
      <c r="AA85" s="367"/>
      <c r="AB85" s="620"/>
      <c r="AC85" s="611">
        <f t="shared" si="28"/>
        <v>0</v>
      </c>
      <c r="AD85" s="612">
        <f t="shared" si="29"/>
        <v>0</v>
      </c>
      <c r="AE85" s="88"/>
      <c r="AF85" s="612">
        <f t="shared" si="23"/>
        <v>0</v>
      </c>
      <c r="AG85" s="613">
        <f t="shared" si="24"/>
        <v>0</v>
      </c>
      <c r="AH85" s="611">
        <f t="shared" si="22"/>
        <v>0</v>
      </c>
      <c r="AI85" s="462"/>
      <c r="AJ85" s="609"/>
      <c r="AK85" s="88"/>
      <c r="AL85" s="612">
        <f t="shared" si="30"/>
        <v>0</v>
      </c>
      <c r="AM85" s="88"/>
      <c r="AN85" s="615">
        <f t="shared" si="34"/>
        <v>0</v>
      </c>
      <c r="AO85" s="610"/>
      <c r="AP85" s="616">
        <f t="shared" si="31"/>
        <v>0</v>
      </c>
      <c r="AQ85" s="617">
        <f t="shared" si="32"/>
        <v>0</v>
      </c>
      <c r="AR85" s="617">
        <f t="shared" si="25"/>
        <v>0</v>
      </c>
      <c r="AS85" s="618">
        <f t="shared" si="33"/>
        <v>0</v>
      </c>
      <c r="AT85" s="621">
        <f t="shared" si="26"/>
        <v>0</v>
      </c>
    </row>
    <row r="86" spans="1:46" hidden="1" x14ac:dyDescent="0.2">
      <c r="A86" s="626">
        <v>21</v>
      </c>
      <c r="B86" s="661"/>
      <c r="C86" s="664"/>
      <c r="D86" s="366"/>
      <c r="E86" s="88"/>
      <c r="F86" s="736"/>
      <c r="G86" s="737"/>
      <c r="H86" s="89">
        <v>0</v>
      </c>
      <c r="I86" s="89">
        <v>0</v>
      </c>
      <c r="J86" s="663"/>
      <c r="K86" s="627">
        <f>IF(AND(ISNUMBER($H$86),ISNUMBER($I$86)),($H$86+$I$86)*$AB$86,0)</f>
        <v>0</v>
      </c>
      <c r="L86" s="392"/>
      <c r="M86" s="88"/>
      <c r="N86" s="358"/>
      <c r="O86" s="393">
        <f t="shared" si="20"/>
        <v>0</v>
      </c>
      <c r="P86" s="395">
        <f t="shared" si="27"/>
        <v>0</v>
      </c>
      <c r="R86" s="16"/>
      <c r="S86" s="257">
        <f t="shared" si="16"/>
        <v>0</v>
      </c>
      <c r="T86" s="257">
        <f t="shared" si="17"/>
        <v>0</v>
      </c>
      <c r="U86" s="257">
        <f t="shared" si="18"/>
        <v>0</v>
      </c>
      <c r="V86" s="257">
        <f t="shared" si="19"/>
        <v>0</v>
      </c>
      <c r="W86" s="257">
        <f t="shared" si="21"/>
        <v>0</v>
      </c>
      <c r="X86" s="217"/>
      <c r="Y86" s="609"/>
      <c r="Z86" s="88"/>
      <c r="AA86" s="367"/>
      <c r="AB86" s="620"/>
      <c r="AC86" s="611">
        <f t="shared" si="28"/>
        <v>0</v>
      </c>
      <c r="AD86" s="612">
        <f t="shared" si="29"/>
        <v>0</v>
      </c>
      <c r="AE86" s="88"/>
      <c r="AF86" s="612">
        <f t="shared" si="23"/>
        <v>0</v>
      </c>
      <c r="AG86" s="613">
        <f t="shared" si="24"/>
        <v>0</v>
      </c>
      <c r="AH86" s="611">
        <f t="shared" si="22"/>
        <v>0</v>
      </c>
      <c r="AI86" s="462"/>
      <c r="AJ86" s="609"/>
      <c r="AK86" s="88"/>
      <c r="AL86" s="612">
        <f t="shared" si="30"/>
        <v>0</v>
      </c>
      <c r="AM86" s="88"/>
      <c r="AN86" s="615">
        <f t="shared" si="34"/>
        <v>0</v>
      </c>
      <c r="AO86" s="610"/>
      <c r="AP86" s="616">
        <f t="shared" si="31"/>
        <v>0</v>
      </c>
      <c r="AQ86" s="617">
        <f t="shared" si="32"/>
        <v>0</v>
      </c>
      <c r="AR86" s="617">
        <f t="shared" si="25"/>
        <v>0</v>
      </c>
      <c r="AS86" s="618">
        <f t="shared" si="33"/>
        <v>0</v>
      </c>
      <c r="AT86" s="621">
        <f t="shared" si="26"/>
        <v>0</v>
      </c>
    </row>
    <row r="87" spans="1:46" hidden="1" x14ac:dyDescent="0.2">
      <c r="A87" s="626">
        <v>22</v>
      </c>
      <c r="B87" s="661"/>
      <c r="C87" s="664"/>
      <c r="D87" s="366"/>
      <c r="E87" s="88"/>
      <c r="F87" s="736"/>
      <c r="G87" s="737"/>
      <c r="H87" s="89">
        <v>0</v>
      </c>
      <c r="I87" s="89">
        <v>0</v>
      </c>
      <c r="J87" s="663"/>
      <c r="K87" s="627">
        <f>IF(AND(ISNUMBER($H$87),ISNUMBER($I$87)),($H$87+$I$87)*$AB$87,0)</f>
        <v>0</v>
      </c>
      <c r="L87" s="392"/>
      <c r="M87" s="88"/>
      <c r="N87" s="358"/>
      <c r="O87" s="393">
        <f t="shared" si="20"/>
        <v>0</v>
      </c>
      <c r="P87" s="395">
        <f t="shared" si="27"/>
        <v>0</v>
      </c>
      <c r="R87" s="16"/>
      <c r="S87" s="257">
        <f t="shared" si="16"/>
        <v>0</v>
      </c>
      <c r="T87" s="257">
        <f t="shared" si="17"/>
        <v>0</v>
      </c>
      <c r="U87" s="257">
        <f t="shared" si="18"/>
        <v>0</v>
      </c>
      <c r="V87" s="257">
        <f t="shared" si="19"/>
        <v>0</v>
      </c>
      <c r="W87" s="257">
        <f t="shared" si="21"/>
        <v>0</v>
      </c>
      <c r="X87" s="217"/>
      <c r="Y87" s="609"/>
      <c r="Z87" s="88"/>
      <c r="AA87" s="367"/>
      <c r="AB87" s="620"/>
      <c r="AC87" s="611">
        <f t="shared" si="28"/>
        <v>0</v>
      </c>
      <c r="AD87" s="612">
        <f t="shared" si="29"/>
        <v>0</v>
      </c>
      <c r="AE87" s="88"/>
      <c r="AF87" s="612">
        <f t="shared" si="23"/>
        <v>0</v>
      </c>
      <c r="AG87" s="613">
        <f t="shared" si="24"/>
        <v>0</v>
      </c>
      <c r="AH87" s="611">
        <f t="shared" si="22"/>
        <v>0</v>
      </c>
      <c r="AI87" s="462"/>
      <c r="AJ87" s="609"/>
      <c r="AK87" s="88"/>
      <c r="AL87" s="612">
        <f t="shared" si="30"/>
        <v>0</v>
      </c>
      <c r="AM87" s="88"/>
      <c r="AN87" s="615">
        <f t="shared" si="34"/>
        <v>0</v>
      </c>
      <c r="AO87" s="610"/>
      <c r="AP87" s="616">
        <f t="shared" si="31"/>
        <v>0</v>
      </c>
      <c r="AQ87" s="617">
        <f t="shared" si="32"/>
        <v>0</v>
      </c>
      <c r="AR87" s="617">
        <f t="shared" si="25"/>
        <v>0</v>
      </c>
      <c r="AS87" s="618">
        <f t="shared" si="33"/>
        <v>0</v>
      </c>
      <c r="AT87" s="621">
        <f t="shared" si="26"/>
        <v>0</v>
      </c>
    </row>
    <row r="88" spans="1:46" hidden="1" x14ac:dyDescent="0.2">
      <c r="A88" s="626">
        <v>23</v>
      </c>
      <c r="B88" s="661"/>
      <c r="C88" s="664"/>
      <c r="D88" s="366"/>
      <c r="E88" s="88"/>
      <c r="F88" s="736"/>
      <c r="G88" s="737"/>
      <c r="H88" s="89">
        <v>0</v>
      </c>
      <c r="I88" s="89">
        <v>0</v>
      </c>
      <c r="J88" s="663"/>
      <c r="K88" s="627">
        <f>IF(AND(ISNUMBER($H$88),ISNUMBER($I$88)),($H$88+$I$88)*$AB$88,0)</f>
        <v>0</v>
      </c>
      <c r="L88" s="392"/>
      <c r="M88" s="88"/>
      <c r="N88" s="358"/>
      <c r="O88" s="393">
        <f t="shared" si="20"/>
        <v>0</v>
      </c>
      <c r="P88" s="395">
        <f t="shared" si="27"/>
        <v>0</v>
      </c>
      <c r="R88" s="16"/>
      <c r="S88" s="257">
        <f t="shared" si="16"/>
        <v>0</v>
      </c>
      <c r="T88" s="257">
        <f t="shared" si="17"/>
        <v>0</v>
      </c>
      <c r="U88" s="257">
        <f t="shared" si="18"/>
        <v>0</v>
      </c>
      <c r="V88" s="257">
        <f t="shared" si="19"/>
        <v>0</v>
      </c>
      <c r="W88" s="257">
        <f t="shared" si="21"/>
        <v>0</v>
      </c>
      <c r="X88" s="217"/>
      <c r="Y88" s="609"/>
      <c r="Z88" s="88"/>
      <c r="AA88" s="367"/>
      <c r="AB88" s="620"/>
      <c r="AC88" s="611">
        <f t="shared" si="28"/>
        <v>0</v>
      </c>
      <c r="AD88" s="612">
        <f t="shared" si="29"/>
        <v>0</v>
      </c>
      <c r="AE88" s="88"/>
      <c r="AF88" s="612">
        <f t="shared" si="23"/>
        <v>0</v>
      </c>
      <c r="AG88" s="613">
        <f t="shared" si="24"/>
        <v>0</v>
      </c>
      <c r="AH88" s="611">
        <f t="shared" si="22"/>
        <v>0</v>
      </c>
      <c r="AI88" s="462"/>
      <c r="AJ88" s="609"/>
      <c r="AK88" s="88"/>
      <c r="AL88" s="612">
        <f t="shared" si="30"/>
        <v>0</v>
      </c>
      <c r="AM88" s="88"/>
      <c r="AN88" s="615">
        <f t="shared" si="34"/>
        <v>0</v>
      </c>
      <c r="AO88" s="610"/>
      <c r="AP88" s="616">
        <f t="shared" si="31"/>
        <v>0</v>
      </c>
      <c r="AQ88" s="617">
        <f t="shared" si="32"/>
        <v>0</v>
      </c>
      <c r="AR88" s="617">
        <f t="shared" si="25"/>
        <v>0</v>
      </c>
      <c r="AS88" s="618">
        <f t="shared" si="33"/>
        <v>0</v>
      </c>
      <c r="AT88" s="621">
        <f t="shared" si="26"/>
        <v>0</v>
      </c>
    </row>
    <row r="89" spans="1:46" hidden="1" x14ac:dyDescent="0.2">
      <c r="A89" s="626">
        <v>24</v>
      </c>
      <c r="B89" s="661"/>
      <c r="C89" s="664"/>
      <c r="D89" s="366"/>
      <c r="E89" s="88"/>
      <c r="F89" s="736"/>
      <c r="G89" s="737"/>
      <c r="H89" s="89">
        <v>0</v>
      </c>
      <c r="I89" s="89">
        <v>0</v>
      </c>
      <c r="J89" s="663"/>
      <c r="K89" s="627">
        <f>IF(AND(ISNUMBER($H$89),ISNUMBER($I$89)),($H$89+$I$89)*$AB$89,0)</f>
        <v>0</v>
      </c>
      <c r="L89" s="392"/>
      <c r="M89" s="88"/>
      <c r="N89" s="358"/>
      <c r="O89" s="393">
        <f t="shared" si="20"/>
        <v>0</v>
      </c>
      <c r="P89" s="395">
        <f t="shared" si="27"/>
        <v>0</v>
      </c>
      <c r="R89" s="16"/>
      <c r="S89" s="257">
        <f t="shared" si="16"/>
        <v>0</v>
      </c>
      <c r="T89" s="257">
        <f t="shared" si="17"/>
        <v>0</v>
      </c>
      <c r="U89" s="257">
        <f t="shared" si="18"/>
        <v>0</v>
      </c>
      <c r="V89" s="257">
        <f t="shared" si="19"/>
        <v>0</v>
      </c>
      <c r="W89" s="257">
        <f t="shared" si="21"/>
        <v>0</v>
      </c>
      <c r="X89" s="217"/>
      <c r="Y89" s="609"/>
      <c r="Z89" s="88"/>
      <c r="AA89" s="367"/>
      <c r="AB89" s="620"/>
      <c r="AC89" s="611">
        <f t="shared" si="28"/>
        <v>0</v>
      </c>
      <c r="AD89" s="612">
        <f t="shared" si="29"/>
        <v>0</v>
      </c>
      <c r="AE89" s="88"/>
      <c r="AF89" s="612">
        <f t="shared" si="23"/>
        <v>0</v>
      </c>
      <c r="AG89" s="613">
        <f t="shared" si="24"/>
        <v>0</v>
      </c>
      <c r="AH89" s="611">
        <f t="shared" si="22"/>
        <v>0</v>
      </c>
      <c r="AI89" s="462"/>
      <c r="AJ89" s="609"/>
      <c r="AK89" s="88"/>
      <c r="AL89" s="612">
        <f t="shared" si="30"/>
        <v>0</v>
      </c>
      <c r="AM89" s="88"/>
      <c r="AN89" s="615">
        <f t="shared" si="34"/>
        <v>0</v>
      </c>
      <c r="AO89" s="610"/>
      <c r="AP89" s="616">
        <f t="shared" si="31"/>
        <v>0</v>
      </c>
      <c r="AQ89" s="617">
        <f t="shared" si="32"/>
        <v>0</v>
      </c>
      <c r="AR89" s="617">
        <f t="shared" si="25"/>
        <v>0</v>
      </c>
      <c r="AS89" s="618">
        <f t="shared" si="33"/>
        <v>0</v>
      </c>
      <c r="AT89" s="621">
        <f t="shared" si="26"/>
        <v>0</v>
      </c>
    </row>
    <row r="90" spans="1:46" ht="4.5999999999999996" customHeight="1" x14ac:dyDescent="0.2">
      <c r="A90" s="10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49"/>
      <c r="P90" s="12"/>
      <c r="S90" s="237"/>
      <c r="T90" s="237"/>
      <c r="U90" s="237"/>
      <c r="V90" s="237"/>
      <c r="W90" s="237"/>
      <c r="X90" s="217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J90" s="18"/>
      <c r="AK90" s="18"/>
      <c r="AL90" s="18"/>
      <c r="AM90" s="18"/>
      <c r="AN90" s="18"/>
      <c r="AP90" s="18"/>
      <c r="AQ90" s="18"/>
      <c r="AR90" s="18"/>
      <c r="AS90" s="18"/>
      <c r="AT90" s="18"/>
    </row>
    <row r="91" spans="1:46" ht="13.6" x14ac:dyDescent="0.25">
      <c r="A91" s="397"/>
      <c r="B91" s="398" t="str">
        <f>VLOOKUP("sec2.5",translation,VLOOKUP(J2,languages,2,FALSE),FALSE)</f>
        <v>Section 2.5</v>
      </c>
      <c r="C91" s="399"/>
      <c r="D91" s="372" t="str">
        <f>VLOOKUP("poh",translation,VLOOKUP(J2,languages,2,FALSE),FALSE)</f>
        <v>Production Overhead</v>
      </c>
      <c r="E91" s="400"/>
      <c r="F91" s="400"/>
      <c r="G91" s="400"/>
      <c r="H91" s="400"/>
      <c r="I91" s="401" t="s">
        <v>105</v>
      </c>
      <c r="J91" s="749" t="s">
        <v>28</v>
      </c>
      <c r="K91" s="750"/>
      <c r="L91" s="402" t="s">
        <v>220</v>
      </c>
      <c r="M91" s="403">
        <v>20.53</v>
      </c>
      <c r="N91" s="303" t="s">
        <v>820</v>
      </c>
      <c r="O91" s="631">
        <f>$M$91/100*DL</f>
        <v>8.3468820999999999E-2</v>
      </c>
      <c r="P91" s="388">
        <f>IF($O$104=0,0,O91/$O$104)</f>
        <v>1.1098304909763133E-2</v>
      </c>
      <c r="S91" s="261"/>
      <c r="T91" s="751"/>
      <c r="U91" s="752"/>
      <c r="V91" s="262"/>
      <c r="W91" s="751"/>
      <c r="X91" s="753"/>
      <c r="Y91" s="51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</row>
    <row r="92" spans="1:46" ht="13.6" x14ac:dyDescent="0.25">
      <c r="A92" s="404"/>
      <c r="B92" s="405" t="str">
        <f>VLOOKUP("sec2.6",translation,VLOOKUP(J2,languages,2,FALSE),FALSE)</f>
        <v>Section 2.6</v>
      </c>
      <c r="C92" s="406"/>
      <c r="D92" s="407" t="str">
        <f>VLOOKUP("scrap2",translation,VLOOKUP(J2,languages,2,FALSE),FALSE)</f>
        <v>Scrap (Material &amp; Production)</v>
      </c>
      <c r="E92" s="408"/>
      <c r="F92" s="408"/>
      <c r="G92" s="408"/>
      <c r="H92" s="408"/>
      <c r="I92" s="409"/>
      <c r="J92" s="409" t="str">
        <f>VLOOKUP("info2",translation,VLOOKUP(J2,languages,2,FALSE),FALSE)</f>
        <v>Info only: already included in Material &amp; Production Totals</v>
      </c>
      <c r="K92" s="401"/>
      <c r="L92" s="401"/>
      <c r="M92" s="401"/>
      <c r="N92" s="410"/>
      <c r="O92" s="633">
        <f>T12+T35+W64</f>
        <v>9.8941000000000001E-2</v>
      </c>
      <c r="P92" s="375">
        <f>IF($O$104=0,0,O92/$O$104)</f>
        <v>1.3155539672434982E-2</v>
      </c>
      <c r="Y92" s="51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</row>
    <row r="93" spans="1:46" ht="4.5999999999999996" customHeight="1" x14ac:dyDescent="0.2">
      <c r="A93" s="411"/>
      <c r="B93" s="412"/>
      <c r="C93" s="412"/>
      <c r="D93" s="412"/>
      <c r="E93" s="412"/>
      <c r="F93" s="412"/>
      <c r="G93" s="412"/>
      <c r="H93" s="412"/>
      <c r="I93" s="412"/>
      <c r="J93" s="412"/>
      <c r="K93" s="412"/>
      <c r="L93" s="412"/>
      <c r="M93" s="412"/>
      <c r="N93" s="412"/>
      <c r="O93" s="634"/>
      <c r="P93" s="413"/>
      <c r="R93" s="1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/>
      <c r="AK93" s="35"/>
      <c r="AL93" s="35"/>
      <c r="AM93" s="35"/>
      <c r="AN93" s="35"/>
      <c r="AO93" s="35"/>
      <c r="AP93" s="35"/>
      <c r="AQ93" s="35"/>
      <c r="AR93" s="35"/>
      <c r="AS93" s="35"/>
      <c r="AT93" s="35"/>
    </row>
    <row r="94" spans="1:46" ht="14.3" thickBot="1" x14ac:dyDescent="0.3">
      <c r="A94" s="414"/>
      <c r="B94" s="415" t="str">
        <f>VLOOKUP("total_mc",translation,VLOOKUP(J2,languages,2,FALSE),FALSE)</f>
        <v>Total Manufactured Cost (Sections 2.1 - 2.6)</v>
      </c>
      <c r="C94" s="415"/>
      <c r="D94" s="415"/>
      <c r="E94" s="416"/>
      <c r="F94" s="416"/>
      <c r="G94" s="416"/>
      <c r="H94" s="416"/>
      <c r="I94" s="417"/>
      <c r="J94" s="418"/>
      <c r="K94" s="418"/>
      <c r="L94" s="418"/>
      <c r="M94" s="419"/>
      <c r="N94" s="419"/>
      <c r="O94" s="635">
        <f>O12+O35+O62+O64+O91</f>
        <v>6.8867972848461552</v>
      </c>
      <c r="P94" s="420">
        <f>IF($O$104=0,0,O94/$O$104)</f>
        <v>0.91569253289143138</v>
      </c>
      <c r="X94" s="19"/>
      <c r="Y94" s="35"/>
      <c r="Z94" s="35"/>
      <c r="AA94" s="35"/>
      <c r="AB94" s="43"/>
      <c r="AC94" s="43"/>
      <c r="AD94" s="44"/>
      <c r="AE94" s="45"/>
      <c r="AF94" s="35"/>
      <c r="AG94" s="35"/>
      <c r="AH94" s="35"/>
      <c r="AI94" s="35"/>
      <c r="AJ94"/>
      <c r="AK94" s="35"/>
      <c r="AL94" s="35"/>
      <c r="AM94" s="35"/>
      <c r="AN94" s="35"/>
      <c r="AO94" s="35"/>
      <c r="AP94" s="35"/>
      <c r="AQ94" s="35"/>
      <c r="AR94" s="35"/>
      <c r="AS94" s="35"/>
      <c r="AT94" s="35"/>
    </row>
    <row r="95" spans="1:46" s="17" customFormat="1" ht="4.5999999999999996" customHeight="1" thickBot="1" x14ac:dyDescent="0.25">
      <c r="A95" s="376"/>
      <c r="B95" s="378"/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636"/>
      <c r="P95" s="421"/>
      <c r="R95" s="15"/>
      <c r="S95" s="20"/>
      <c r="T95" s="20"/>
      <c r="U95" s="20"/>
      <c r="V95" s="20"/>
      <c r="W95" s="20"/>
      <c r="X95" s="19"/>
      <c r="Y95" s="35"/>
      <c r="Z95" s="36"/>
      <c r="AA95" s="36"/>
      <c r="AB95" s="36"/>
      <c r="AC95" s="36"/>
      <c r="AD95" s="36"/>
      <c r="AE95" s="46"/>
      <c r="AF95" s="36"/>
      <c r="AG95" s="36"/>
      <c r="AH95" s="35"/>
      <c r="AI95" s="35"/>
      <c r="AJ95"/>
      <c r="AK95" s="35"/>
      <c r="AL95" s="36"/>
      <c r="AM95" s="36"/>
      <c r="AN95" s="36"/>
      <c r="AO95" s="36"/>
      <c r="AP95" s="36"/>
      <c r="AQ95" s="36"/>
      <c r="AR95" s="36"/>
      <c r="AS95" s="36"/>
      <c r="AT95" s="36"/>
    </row>
    <row r="96" spans="1:46" ht="13.6" x14ac:dyDescent="0.25">
      <c r="A96" s="339"/>
      <c r="B96" s="341" t="str">
        <f>VLOOKUP("sec2.7",translation,VLOOKUP(J2,languages,2,FALSE),FALSE)</f>
        <v>Section 2.7</v>
      </c>
      <c r="C96" s="341"/>
      <c r="D96" s="342" t="str">
        <f>VLOOKUP("cost_other",translation,VLOOKUP(J2,languages,2,FALSE),FALSE)</f>
        <v>Other Costs / Overheads &amp; Profits</v>
      </c>
      <c r="E96" s="342"/>
      <c r="F96" s="343"/>
      <c r="G96" s="343"/>
      <c r="H96" s="343"/>
      <c r="I96" s="343"/>
      <c r="J96" s="343"/>
      <c r="K96" s="343"/>
      <c r="L96" s="343"/>
      <c r="M96" s="754"/>
      <c r="N96" s="755"/>
      <c r="O96" s="629">
        <f>SUM(O97:O103)</f>
        <v>0.63406483587039009</v>
      </c>
      <c r="P96" s="422">
        <f t="shared" ref="P96:P103" si="35">IF($O$104=0,0,O96/$O$104)</f>
        <v>8.4307467108568665E-2</v>
      </c>
      <c r="R96" s="21"/>
      <c r="X96" s="19"/>
      <c r="Y96" s="35"/>
      <c r="Z96" s="35"/>
      <c r="AA96" s="35"/>
      <c r="AB96" s="43"/>
      <c r="AC96" s="43"/>
      <c r="AD96" s="44"/>
      <c r="AE96" s="45"/>
      <c r="AF96" s="35"/>
      <c r="AG96" s="35"/>
      <c r="AH96" s="35"/>
      <c r="AI96" s="35"/>
      <c r="AJ96"/>
      <c r="AK96" s="35"/>
      <c r="AL96" s="35"/>
      <c r="AM96" s="35"/>
      <c r="AN96" s="35"/>
      <c r="AO96" s="35"/>
      <c r="AP96" s="35"/>
      <c r="AQ96" s="35"/>
      <c r="AR96" s="35"/>
      <c r="AS96" s="35"/>
      <c r="AT96" s="35"/>
    </row>
    <row r="97" spans="1:46" x14ac:dyDescent="0.2">
      <c r="A97" s="423" t="str">
        <f>VLOOKUP("goh",translation,VLOOKUP(J2,languages,2,FALSE),FALSE)</f>
        <v>General Overhead / SG&amp;A</v>
      </c>
      <c r="B97" s="424"/>
      <c r="C97" s="424"/>
      <c r="D97" s="424"/>
      <c r="E97" s="424"/>
      <c r="F97" s="425"/>
      <c r="G97" s="425"/>
      <c r="H97" s="426"/>
      <c r="I97" s="424"/>
      <c r="J97" s="427" t="s">
        <v>105</v>
      </c>
      <c r="K97" s="767" t="s">
        <v>274</v>
      </c>
      <c r="L97" s="769"/>
      <c r="M97" s="622">
        <v>1.54</v>
      </c>
      <c r="N97" s="624">
        <v>7.06</v>
      </c>
      <c r="O97" s="428">
        <f>($M$97+$N$97)/100*(MC+DL+Setup+POH)</f>
        <v>0.18108373460599997</v>
      </c>
      <c r="P97" s="395">
        <f t="shared" si="35"/>
        <v>2.4077523520501309E-2</v>
      </c>
      <c r="R97" s="21"/>
      <c r="S97"/>
      <c r="T97"/>
      <c r="U97"/>
      <c r="V97"/>
      <c r="W97"/>
      <c r="X97" s="19"/>
      <c r="Y97" s="51"/>
      <c r="Z97" s="35"/>
      <c r="AA97" s="35"/>
      <c r="AB97" s="35"/>
      <c r="AC97" s="43"/>
      <c r="AD97" s="35"/>
      <c r="AE97" s="35"/>
      <c r="AF97" s="35"/>
      <c r="AG97" s="35"/>
      <c r="AH97" s="35"/>
      <c r="AI97" s="35"/>
      <c r="AJ97"/>
      <c r="AK97" s="35"/>
      <c r="AL97" s="35"/>
      <c r="AM97" s="35"/>
      <c r="AN97" s="35"/>
      <c r="AO97" s="35"/>
      <c r="AP97" s="35"/>
      <c r="AQ97" s="35"/>
      <c r="AR97" s="35"/>
      <c r="AS97" s="35"/>
      <c r="AT97" s="35"/>
    </row>
    <row r="98" spans="1:46" x14ac:dyDescent="0.2">
      <c r="A98" s="423" t="str">
        <f>VLOOKUP("d&amp;d",translation,VLOOKUP(J2,languages,2,FALSE),FALSE)</f>
        <v>Engineering / Design &amp; Developement</v>
      </c>
      <c r="B98" s="424"/>
      <c r="C98" s="424"/>
      <c r="D98" s="424"/>
      <c r="E98" s="424"/>
      <c r="F98" s="424"/>
      <c r="G98" s="424"/>
      <c r="H98" s="424"/>
      <c r="I98" s="424"/>
      <c r="J98" s="429" t="s">
        <v>105</v>
      </c>
      <c r="K98" s="738" t="s">
        <v>274</v>
      </c>
      <c r="L98" s="770"/>
      <c r="M98" s="623">
        <v>0</v>
      </c>
      <c r="N98" s="304" t="s">
        <v>820</v>
      </c>
      <c r="O98" s="430">
        <f>($M$98)/100*(MC+DL+Setup+POH)</f>
        <v>0</v>
      </c>
      <c r="P98" s="395">
        <f t="shared" si="35"/>
        <v>0</v>
      </c>
      <c r="R98" s="21"/>
      <c r="S98"/>
      <c r="T98"/>
      <c r="U98"/>
      <c r="V98"/>
      <c r="W98"/>
      <c r="X98" s="19"/>
      <c r="Y98" s="51"/>
      <c r="Z98" s="35"/>
      <c r="AA98" s="35"/>
      <c r="AB98" s="35"/>
      <c r="AC98" s="43"/>
      <c r="AD98" s="44"/>
      <c r="AE98" s="35"/>
      <c r="AF98" s="35"/>
      <c r="AG98" s="35"/>
      <c r="AH98" s="35"/>
      <c r="AI98" s="35"/>
      <c r="AJ98" s="217"/>
      <c r="AK98" s="35"/>
      <c r="AL98" s="35"/>
      <c r="AM98" s="35"/>
      <c r="AN98" s="35"/>
      <c r="AO98" s="35"/>
      <c r="AP98" s="35"/>
      <c r="AQ98" s="35"/>
      <c r="AR98" s="35"/>
      <c r="AS98" s="35"/>
      <c r="AT98" s="35"/>
    </row>
    <row r="99" spans="1:46" x14ac:dyDescent="0.2">
      <c r="A99" s="423"/>
      <c r="B99" s="424"/>
      <c r="C99" s="424"/>
      <c r="D99" s="424"/>
      <c r="E99" s="771"/>
      <c r="F99" s="772"/>
      <c r="G99" s="772"/>
      <c r="H99" s="773"/>
      <c r="I99" s="424"/>
      <c r="J99" s="431" t="str">
        <f>VLOOKUP("amount",translation,VLOOKUP(J2,languages,2,FALSE),FALSE)&amp;" ["&amp;LEFT($D$7,3)&amp;"]"</f>
        <v>Amount [EUR]</v>
      </c>
      <c r="K99" s="432"/>
      <c r="L99" s="433" t="str">
        <f>VLOOKUP("qty3",translation,VLOOKUP(J2,languages,2,FALSE),FALSE)</f>
        <v>Quantity</v>
      </c>
      <c r="M99" s="774"/>
      <c r="N99" s="775"/>
      <c r="O99" s="434">
        <f>IF(M99=0,0,K99/M99)*PUC</f>
        <v>0</v>
      </c>
      <c r="P99" s="435">
        <f t="shared" si="35"/>
        <v>0</v>
      </c>
      <c r="R99" s="21"/>
      <c r="X99" s="19"/>
      <c r="Y99" s="35"/>
      <c r="Z99" s="35"/>
      <c r="AA99" s="35"/>
      <c r="AB99" s="35"/>
      <c r="AC99" s="43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</row>
    <row r="100" spans="1:46" ht="16.5" customHeight="1" x14ac:dyDescent="0.2">
      <c r="A100" s="423"/>
      <c r="B100" s="424"/>
      <c r="C100" s="424"/>
      <c r="D100" s="424"/>
      <c r="E100" s="771"/>
      <c r="F100" s="772"/>
      <c r="G100" s="772"/>
      <c r="H100" s="773"/>
      <c r="I100" s="424"/>
      <c r="J100" s="431" t="str">
        <f>VLOOKUP("amount",translation,VLOOKUP(J2,languages,2,FALSE),FALSE)&amp;" ["&amp;LEFT($D$7,3)&amp;"]"</f>
        <v>Amount [EUR]</v>
      </c>
      <c r="K100" s="432"/>
      <c r="L100" s="433" t="str">
        <f>VLOOKUP("qty3",translation,VLOOKUP(J2,languages,2,FALSE),FALSE)</f>
        <v>Quantity</v>
      </c>
      <c r="M100" s="774"/>
      <c r="N100" s="775"/>
      <c r="O100" s="434">
        <f>IF(M100=0,0,K100/M100)*PUC</f>
        <v>0</v>
      </c>
      <c r="P100" s="435">
        <f t="shared" si="35"/>
        <v>0</v>
      </c>
      <c r="R100" s="21"/>
      <c r="X100" s="19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</row>
    <row r="101" spans="1:46" ht="16.5" customHeight="1" x14ac:dyDescent="0.2">
      <c r="A101" s="436" t="str">
        <f>VLOOKUP("profit",translation,VLOOKUP(J2,languages,2,FALSE),FALSE)</f>
        <v>Profit (on Material &amp; Components)</v>
      </c>
      <c r="B101" s="424"/>
      <c r="C101" s="424"/>
      <c r="D101" s="424"/>
      <c r="E101" s="424"/>
      <c r="F101" s="424"/>
      <c r="G101" s="424"/>
      <c r="H101" s="424"/>
      <c r="I101" s="424"/>
      <c r="J101" s="429"/>
      <c r="K101" s="429"/>
      <c r="L101" s="437" t="str">
        <f>VLOOKUP("material_%",translation,VLOOKUP(J2,languages,2,FALSE),FALSE)</f>
        <v>% of Material &amp; Purchased Components</v>
      </c>
      <c r="M101" s="756"/>
      <c r="N101" s="757"/>
      <c r="O101" s="434">
        <f>M101*(O12+O35-T12-T35)</f>
        <v>0</v>
      </c>
      <c r="P101" s="435">
        <f t="shared" si="35"/>
        <v>0</v>
      </c>
      <c r="R101" s="21"/>
      <c r="X101" s="19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</row>
    <row r="102" spans="1:46" ht="16.5" customHeight="1" x14ac:dyDescent="0.2">
      <c r="A102" s="436" t="str">
        <f>VLOOKUP("profit2",translation,VLOOKUP(J2,languages,2,FALSE),FALSE)</f>
        <v>Profit (on Manufacturing)</v>
      </c>
      <c r="B102" s="424"/>
      <c r="C102" s="424"/>
      <c r="D102" s="424"/>
      <c r="E102" s="424"/>
      <c r="F102" s="424"/>
      <c r="G102" s="424"/>
      <c r="H102" s="424"/>
      <c r="I102" s="424"/>
      <c r="J102" s="429"/>
      <c r="K102" s="429"/>
      <c r="L102" s="438" t="str">
        <f>VLOOKUP("va_%",translation,VLOOKUP(J2,languages,2,FALSE),FALSE)</f>
        <v>% of Value Added + Overheads</v>
      </c>
      <c r="M102" s="756"/>
      <c r="N102" s="757"/>
      <c r="O102" s="434">
        <f>M102*(O64+POH+O97+O98)</f>
        <v>0</v>
      </c>
      <c r="P102" s="435">
        <f t="shared" si="35"/>
        <v>0</v>
      </c>
      <c r="R102" s="21"/>
      <c r="X102" s="19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</row>
    <row r="103" spans="1:46" ht="16.5" customHeight="1" thickBot="1" x14ac:dyDescent="0.25">
      <c r="A103" s="439"/>
      <c r="B103" s="424"/>
      <c r="C103" s="424"/>
      <c r="D103" s="424"/>
      <c r="E103" s="424"/>
      <c r="F103" s="424"/>
      <c r="G103" s="424"/>
      <c r="H103" s="440"/>
      <c r="I103" s="441"/>
      <c r="J103" s="441"/>
      <c r="K103" s="441"/>
      <c r="L103" s="441" t="str">
        <f>VLOOKUP("mc_%",translation,VLOOKUP(J2,languages,2,FALSE),FALSE)</f>
        <v>% of Manufacturing Cost + Overheads</v>
      </c>
      <c r="M103" s="305">
        <v>6.5</v>
      </c>
      <c r="N103" s="306" t="s">
        <v>820</v>
      </c>
      <c r="O103" s="442">
        <f>M103/100*(O94+O97+O98-O92)</f>
        <v>0.45298110126439012</v>
      </c>
      <c r="P103" s="443">
        <f t="shared" si="35"/>
        <v>6.0229943588067353E-2</v>
      </c>
      <c r="R103" s="21"/>
      <c r="Y103" s="35">
        <v>0</v>
      </c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65"/>
      <c r="AQ103" s="35"/>
      <c r="AR103" s="35"/>
      <c r="AS103" s="35"/>
      <c r="AT103" s="35"/>
    </row>
    <row r="104" spans="1:46" ht="14.3" thickBot="1" x14ac:dyDescent="0.3">
      <c r="A104" s="444"/>
      <c r="B104" s="444"/>
      <c r="C104" s="444"/>
      <c r="D104" s="444"/>
      <c r="E104" s="445"/>
      <c r="F104" s="445"/>
      <c r="G104" s="445"/>
      <c r="H104" s="445"/>
      <c r="I104" s="446"/>
      <c r="J104" s="447" t="str">
        <f>VLOOKUP("price",translation,VLOOKUP(J2,languages,2,FALSE),FALSE)&amp;" ["&amp;LEFT($D$7,3)&amp;F7&amp;"]"</f>
        <v>Base Price [EUR/pc]</v>
      </c>
      <c r="K104" s="448"/>
      <c r="L104" s="448"/>
      <c r="M104" s="758"/>
      <c r="N104" s="759"/>
      <c r="O104" s="637">
        <f>O94+O96</f>
        <v>7.5208621207165454</v>
      </c>
      <c r="P104" s="449">
        <v>1</v>
      </c>
      <c r="R104" s="21"/>
      <c r="S104" s="75"/>
      <c r="T104" s="76"/>
      <c r="Y104" s="51" t="str">
        <f>VLOOKUP("part_price1",translation,VLOOKUP(J2,languages,2,FALSE),FALSE)</f>
        <v>&lt;-- Part Price without packaging/logistics</v>
      </c>
      <c r="Z104" s="35"/>
      <c r="AA104" s="35"/>
      <c r="AB104" s="35"/>
      <c r="AC104" s="35"/>
      <c r="AD104" s="35"/>
      <c r="AE104" s="77"/>
      <c r="AF104" s="6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</row>
    <row r="105" spans="1:46" ht="4.5999999999999996" customHeight="1" thickBot="1" x14ac:dyDescent="0.25">
      <c r="A105" s="377"/>
      <c r="B105" s="378"/>
      <c r="C105" s="378"/>
      <c r="D105" s="378"/>
      <c r="E105" s="378"/>
      <c r="F105" s="377"/>
      <c r="G105" s="377"/>
      <c r="H105" s="377"/>
      <c r="I105" s="377"/>
      <c r="J105" s="377"/>
      <c r="K105" s="377"/>
      <c r="L105" s="377"/>
      <c r="M105" s="377"/>
      <c r="N105" s="377"/>
      <c r="O105" s="450"/>
      <c r="P105" s="377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</row>
    <row r="106" spans="1:46" ht="13.6" x14ac:dyDescent="0.25">
      <c r="A106" s="339"/>
      <c r="B106" s="341" t="str">
        <f>VLOOKUP("sec3",translation,VLOOKUP(J2,languages,2,FALSE),FALSE)</f>
        <v>Section 3</v>
      </c>
      <c r="C106" s="341"/>
      <c r="D106" s="342" t="str">
        <f>VLOOKUP("logistics",translation,VLOOKUP(J2,languages,2,FALSE),FALSE)</f>
        <v>Packaging &amp; Logistics</v>
      </c>
      <c r="E106" s="342"/>
      <c r="F106" s="343"/>
      <c r="G106" s="343"/>
      <c r="H106" s="343"/>
      <c r="I106" s="343"/>
      <c r="J106" s="343"/>
      <c r="K106" s="343"/>
      <c r="L106" s="343"/>
      <c r="M106" s="754"/>
      <c r="N106" s="760"/>
      <c r="O106" s="451"/>
      <c r="P106" s="452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</row>
    <row r="107" spans="1:46" ht="36" customHeight="1" x14ac:dyDescent="0.2">
      <c r="A107" s="453"/>
      <c r="B107" s="454"/>
      <c r="C107" s="454"/>
      <c r="D107" s="660" t="str">
        <f>VLOOKUP("length",translation,VLOOKUP(J2,languages,2,FALSE),FALSE)</f>
        <v>Length [mm]</v>
      </c>
      <c r="E107" s="660" t="str">
        <f>VLOOKUP("width",translation,VLOOKUP(J2,languages,2,FALSE),FALSE)</f>
        <v>Width [mm]</v>
      </c>
      <c r="F107" s="735" t="str">
        <f>VLOOKUP("height",translation,VLOOKUP(J2,languages,2,FALSE),FALSE)</f>
        <v>Height [mm]</v>
      </c>
      <c r="G107" s="746"/>
      <c r="H107" s="660" t="str">
        <f>VLOOKUP("pcs_box",translation,VLOOKUP(J2,languages,2,FALSE),FALSE)</f>
        <v>Pcs/box</v>
      </c>
      <c r="I107" s="660" t="str">
        <f>VLOOKUP("box_cost",translation,VLOOKUP(J2,languages,2,FALSE),FALSE)&amp;" ["&amp;LEFT($D$7,3)&amp;"]"</f>
        <v>Box Cost [EUR]</v>
      </c>
      <c r="J107" s="660" t="str">
        <f>VLOOKUP("box_cost_other",translation,VLOOKUP(J2,languages,2,FALSE),FALSE)&amp;" ["&amp;LEFT($D$7,3)&amp;"]"</f>
        <v>Other Box Cost [EUR]</v>
      </c>
      <c r="K107" s="660" t="str">
        <f>VLOOKUP("box_pallet",translation,VLOOKUP(J2,languages,2,FALSE),FALSE)</f>
        <v>Boxes /Pallet</v>
      </c>
      <c r="L107" s="660" t="str">
        <f>VLOOKUP("pallet_cost",translation,VLOOKUP(J2,languages,2,FALSE),FALSE)&amp;" ["&amp;LEFT($D$7,3)&amp;"]"</f>
        <v>Pallet Cost [EUR]</v>
      </c>
      <c r="M107" s="761"/>
      <c r="N107" s="762"/>
      <c r="O107" s="455" t="str">
        <f>VLOOKUP("total",translation,VLOOKUP(J2,languages,2,FALSE),FALSE)&amp;" ["&amp;LEFT($D$7,3)&amp;$F$7&amp;"]"</f>
        <v>Total [EUR/pc]</v>
      </c>
      <c r="P107" s="456"/>
      <c r="W107" s="3">
        <v>11</v>
      </c>
      <c r="Y107" s="590" t="str">
        <f>VLOOKUP("#loops",translation,VLOOKUP(J2,languages,2,FALSE),FALSE)</f>
        <v>No. of Loops</v>
      </c>
      <c r="Z107" s="590" t="str">
        <f>VLOOKUP("parts/pallet",translation,VLOOKUP(J2,languages,2,FALSE),FALSE)</f>
        <v>Parts/Pallet</v>
      </c>
      <c r="AA107" s="590" t="str">
        <f>VLOOKUP("part_wgt",translation,VLOOKUP(J2,languages,2,FALSE),FALSE)</f>
        <v>Part Wgt [g]</v>
      </c>
      <c r="AB107" s="590" t="str">
        <f>VLOOKUP("empty_box",translation,VLOOKUP(J2,languages,2,FALSE),FALSE)</f>
        <v>Empty Box [g]</v>
      </c>
      <c r="AC107" s="591" t="str">
        <f>VLOOKUP("full_box",translation,VLOOKUP(J2,languages,2,FALSE),FALSE)</f>
        <v>Full Box [kg]</v>
      </c>
      <c r="AD107" s="590" t="str">
        <f>VLOOKUP("pallet",translation,VLOOKUP(J2,languages,2,FALSE),FALSE)</f>
        <v>Pallet [kg]</v>
      </c>
      <c r="AE107" s="590" t="str">
        <f>VLOOKUP("pallet/w",translation,VLOOKUP(J2,languages,2,FALSE),FALSE)</f>
        <v>Pallet/week</v>
      </c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</row>
    <row r="108" spans="1:46" ht="13.6" x14ac:dyDescent="0.25">
      <c r="A108" s="457"/>
      <c r="B108" s="763" t="s">
        <v>160</v>
      </c>
      <c r="C108" s="764"/>
      <c r="D108" s="90"/>
      <c r="E108" s="90"/>
      <c r="F108" s="765"/>
      <c r="G108" s="766"/>
      <c r="H108" s="88"/>
      <c r="I108" s="88"/>
      <c r="J108" s="88"/>
      <c r="K108" s="88">
        <f>IF(D108*E108*F108=0,1,MAX(ROUNDDOWN(920/D108,0)*ROUNDDOWN(1200/E108,0),ROUNDDOWN(1200/D108,0)*ROUNDDOWN(920/E108,0))*ROUNDDOWN(840/F108,0))</f>
        <v>1</v>
      </c>
      <c r="L108" s="88"/>
      <c r="M108" s="767"/>
      <c r="N108" s="768"/>
      <c r="O108" s="638">
        <f>IF(H108=0,0,((I108+J108)/H108+L108/S108)*PUC)</f>
        <v>0</v>
      </c>
      <c r="P108" s="394">
        <f>IF($O$104=0,0,O108/$O$104)</f>
        <v>0</v>
      </c>
      <c r="R108" s="21"/>
      <c r="S108" s="3">
        <f>H108*K108</f>
        <v>0</v>
      </c>
      <c r="Y108" s="592"/>
      <c r="Z108" s="593">
        <f>H108*K108</f>
        <v>0</v>
      </c>
      <c r="AA108" s="776">
        <v>2500</v>
      </c>
      <c r="AB108" s="594"/>
      <c r="AC108" s="595">
        <f>(H108*$AA$108+AB108)/1000</f>
        <v>0</v>
      </c>
      <c r="AD108" s="596">
        <f>+AC108*K108+15</f>
        <v>15</v>
      </c>
      <c r="AE108" s="597">
        <f>IF(Z108=0,0,J4/Z108/48)</f>
        <v>0</v>
      </c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</row>
    <row r="109" spans="1:46" ht="14.3" thickBot="1" x14ac:dyDescent="0.3">
      <c r="A109" s="458"/>
      <c r="B109" s="778" t="s">
        <v>298</v>
      </c>
      <c r="C109" s="779"/>
      <c r="D109" s="90">
        <v>1200</v>
      </c>
      <c r="E109" s="90">
        <v>1000</v>
      </c>
      <c r="F109" s="765">
        <v>700</v>
      </c>
      <c r="G109" s="766"/>
      <c r="H109" s="88">
        <v>46</v>
      </c>
      <c r="I109" s="666">
        <v>80</v>
      </c>
      <c r="J109" s="666">
        <v>0</v>
      </c>
      <c r="K109" s="88">
        <v>1</v>
      </c>
      <c r="L109" s="666">
        <v>0</v>
      </c>
      <c r="M109" s="780"/>
      <c r="N109" s="781"/>
      <c r="O109" s="639">
        <f>IF(H109=0,0,(I109/H109/IF(Y109=0,50,Y109)+J109/H109+L109/S109)*PUC)</f>
        <v>3.4782608695652174E-2</v>
      </c>
      <c r="P109" s="460">
        <f>IF($O$104=0,0,O109/$O$104)</f>
        <v>4.6248166948629401E-3</v>
      </c>
      <c r="S109" s="3">
        <f>H109*K109</f>
        <v>46</v>
      </c>
      <c r="Y109" s="598">
        <v>50</v>
      </c>
      <c r="Z109" s="599">
        <f>+H109*K109</f>
        <v>46</v>
      </c>
      <c r="AA109" s="777"/>
      <c r="AB109" s="600"/>
      <c r="AC109" s="601">
        <f>(H109*$AA$108+AB109)/1000</f>
        <v>115</v>
      </c>
      <c r="AD109" s="596">
        <f>+AC109*K109+15</f>
        <v>130</v>
      </c>
      <c r="AE109" s="602">
        <f>IF(Z109=0,0,J4/Z109/48)</f>
        <v>3.6231884057971016</v>
      </c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</row>
    <row r="110" spans="1:46" ht="14.3" thickBot="1" x14ac:dyDescent="0.3">
      <c r="A110" s="461"/>
      <c r="B110" s="462"/>
      <c r="C110" s="462"/>
      <c r="D110" s="463"/>
      <c r="E110" s="463"/>
      <c r="F110" s="463"/>
      <c r="G110" s="463"/>
      <c r="H110" s="463"/>
      <c r="I110" s="462"/>
      <c r="J110" s="447" t="str">
        <f>VLOOKUP("price",translation,VLOOKUP(J2,languages,2,FALSE),FALSE)&amp;" "&amp;IF(M110="none",VLOOKUP("without",translation,VLOOKUP(J2,languages,2,FALSE),FALSE),VLOOKUP("with",translation,VLOOKUP(J2,languages,2,FALSE),FALSE))&amp;" " &amp;VLOOKUP("pack2",translation,VLOOKUP(J2,languages,2,FALSE),FALSE)</f>
        <v>Base Price with packaging</v>
      </c>
      <c r="K110" s="448"/>
      <c r="L110" s="464"/>
      <c r="M110" s="782" t="s">
        <v>298</v>
      </c>
      <c r="N110" s="783"/>
      <c r="O110" s="637">
        <f>O104+IF(M110="none",0,VLOOKUP(M110,B$108:O$109,14,0))</f>
        <v>7.5556447294121973</v>
      </c>
      <c r="P110" s="465"/>
      <c r="S110" s="3">
        <f>IF(K112="one-way",S108,IF(K112="returnable",S109,0))</f>
        <v>46</v>
      </c>
      <c r="T110" s="3">
        <f>IF($K112="one-way",H108,IF($K112="returnable",H109,0))</f>
        <v>46</v>
      </c>
      <c r="Y110" s="51" t="str">
        <f>VLOOKUP("part_price2",translation,VLOOKUP(J2,languages,2,FALSE),FALSE)</f>
        <v>&lt;-- Part Price with specified packaging</v>
      </c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35"/>
      <c r="AR110" s="35"/>
      <c r="AS110" s="35"/>
      <c r="AT110" s="35"/>
    </row>
    <row r="111" spans="1:46" s="2" customFormat="1" ht="29.25" customHeight="1" x14ac:dyDescent="0.2">
      <c r="A111" s="466"/>
      <c r="B111" s="467"/>
      <c r="C111" s="665" t="s">
        <v>749</v>
      </c>
      <c r="D111" s="469" t="str">
        <f>VLOOKUP("loc",translation,VLOOKUP(J2,languages,2,FALSE),FALSE)</f>
        <v>Location</v>
      </c>
      <c r="E111" s="470"/>
      <c r="F111" s="735" t="str">
        <f>"Transport ["&amp;LEFT($D$7,3)&amp;VLOOKUP("/pallet",translation,VLOOKUP(J2,languages,2,FALSE),FALSE)&amp;"]"</f>
        <v>Transport [EUR/pallet]</v>
      </c>
      <c r="G111" s="746"/>
      <c r="H111" s="660" t="str">
        <f>"Handling ["&amp;LEFT($D$7,3)&amp;VLOOKUP("/box",translation,VLOOKUP(J2,languages,2,FALSE),FALSE)&amp;"]"</f>
        <v>Handling [EUR/box]</v>
      </c>
      <c r="I111" s="660" t="str">
        <f>VLOOKUP("tax",translation,VLOOKUP(J2,languages,2,FALSE),FALSE)&amp;" ["&amp;LEFT($D$7,3)&amp;VLOOKUP("/pc",translation,VLOOKUP(J2,languages,2,FALSE),FALSE)&amp;"]"</f>
        <v>Taxes [EUR/pc]</v>
      </c>
      <c r="J111" s="660" t="str">
        <f>VLOOKUP("duties",translation,VLOOKUP(J2,languages,2,FALSE),FALSE)&amp;" ["&amp;LEFT($D$7,3)&amp;VLOOKUP("/pc",translation,VLOOKUP(J2,languages,2,FALSE),FALSE)&amp;"]"</f>
        <v>Duties [EUR/pc]</v>
      </c>
      <c r="K111" s="471" t="str">
        <f>VLOOKUP("pack_type",translation,VLOOKUP(J2,languages,2,FALSE),FALSE)</f>
        <v>Packaging Type</v>
      </c>
      <c r="L111" s="660" t="str">
        <f>VLOOKUP("stack",translation,VLOOKUP(J2,languages,2,FALSE),FALSE)</f>
        <v>Pallet Stackability</v>
      </c>
      <c r="M111" s="784" t="str">
        <f>VLOOKUP("frt_return",translation,VLOOKUP(J2,languages,2,FALSE),FALSE)</f>
        <v>Return Freight</v>
      </c>
      <c r="N111" s="785"/>
      <c r="O111" s="455" t="str">
        <f>VLOOKUP("total",translation,VLOOKUP(J2,languages,2,FALSE),FALSE)&amp;" ["&amp;LEFT($D$7,3)&amp;$F$7&amp;"]"</f>
        <v>Total [EUR/pc]</v>
      </c>
      <c r="P111" s="472"/>
      <c r="Q111" s="1"/>
      <c r="S111" s="23" t="s">
        <v>57</v>
      </c>
      <c r="T111" s="24" t="s">
        <v>58</v>
      </c>
      <c r="U111" s="24" t="s">
        <v>59</v>
      </c>
      <c r="V111" s="24" t="s">
        <v>60</v>
      </c>
      <c r="W111" s="4"/>
      <c r="Y111" s="35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</row>
    <row r="112" spans="1:46" ht="13.6" x14ac:dyDescent="0.25">
      <c r="A112" s="473">
        <v>1</v>
      </c>
      <c r="B112" s="474" t="str">
        <f>$D$6</f>
        <v>Munich</v>
      </c>
      <c r="C112" s="475" t="s">
        <v>873</v>
      </c>
      <c r="D112" s="786" t="s">
        <v>874</v>
      </c>
      <c r="E112" s="787"/>
      <c r="F112" s="788">
        <v>40</v>
      </c>
      <c r="G112" s="789"/>
      <c r="H112" s="476"/>
      <c r="I112" s="476"/>
      <c r="J112" s="476"/>
      <c r="K112" s="477" t="s">
        <v>298</v>
      </c>
      <c r="L112" s="475" t="s">
        <v>875</v>
      </c>
      <c r="M112" s="790"/>
      <c r="N112" s="789"/>
      <c r="O112" s="638">
        <f>IF(K112="none",0,IF(C112&lt;&gt;"FCA",F112/VLOOKUP(K112,$B$108:$S$109,18,0)+H112/VLOOKUP(K112,$B$108:$H$109,7,0)+I112+J112,0)*PUC)</f>
        <v>0.86956521739130432</v>
      </c>
      <c r="P112" s="356">
        <f>IF($O$104=0,0,O112/$O$104)</f>
        <v>0.1156204173715735</v>
      </c>
      <c r="S112" s="69">
        <f>IF(K112="none",0,VLOOKUP(K112,B$108:O$109,14,0)*PUC)</f>
        <v>3.4782608695652174E-2</v>
      </c>
      <c r="T112" s="69">
        <f>IF(K112="none",0,F112/VLOOKUP(K112,$B$108:$S$109,18,0)*PUC)</f>
        <v>0.86956521739130432</v>
      </c>
      <c r="U112" s="69">
        <f>IF(K112="none",0,H112/VLOOKUP(K112,$B$108:$H$109,7,0)*PUC)</f>
        <v>0</v>
      </c>
      <c r="V112" s="69">
        <f>(I112+J112)*PUC</f>
        <v>0</v>
      </c>
      <c r="Y112" s="51" t="str">
        <f>VLOOKUP("quot_opt",translation,VLOOKUP(J2,languages,2,FALSE),FALSE)</f>
        <v>&lt;-- Primary option for quotations</v>
      </c>
      <c r="Z112" s="35"/>
      <c r="AA112" s="35"/>
      <c r="AB112" s="35"/>
      <c r="AC112" s="35"/>
      <c r="AD112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</row>
    <row r="113" spans="1:46" ht="13.6" x14ac:dyDescent="0.25">
      <c r="A113" s="478">
        <v>2</v>
      </c>
      <c r="B113" s="474">
        <f>$F$6</f>
        <v>0</v>
      </c>
      <c r="C113" s="479"/>
      <c r="D113" s="791"/>
      <c r="E113" s="792"/>
      <c r="F113" s="788"/>
      <c r="G113" s="789"/>
      <c r="H113" s="90"/>
      <c r="I113" s="90"/>
      <c r="J113" s="90"/>
      <c r="K113" s="477" t="s">
        <v>211</v>
      </c>
      <c r="L113" s="88"/>
      <c r="M113" s="738"/>
      <c r="N113" s="770"/>
      <c r="O113" s="638">
        <f>IF(K113="none",0,IF(C113&lt;&gt;"FCA",F113/VLOOKUP(K113,$B$108:$S$109,18,0)+H113/VLOOKUP(K113,$B$108:$H$109,7,0)+I113+J113,0)*PUC)</f>
        <v>0</v>
      </c>
      <c r="P113" s="395">
        <f>IF($O$104=0,0,O113/$O$104)</f>
        <v>0</v>
      </c>
      <c r="S113" s="69">
        <f>IF(K113="none",0,VLOOKUP(K113,B$108:O$109,14,0)*PUC)</f>
        <v>0</v>
      </c>
      <c r="T113" s="69">
        <f>IF(K113="none",0,F113/VLOOKUP(K113,$B$108:$S$109,18,0)*PUC)</f>
        <v>0</v>
      </c>
      <c r="U113" s="69">
        <f>IF(K113="none",0,H113/VLOOKUP(K113,$B$108:$H$109,7,0)*PUC)</f>
        <v>0</v>
      </c>
      <c r="V113" s="69">
        <f>(I113+J113)*PUC</f>
        <v>0</v>
      </c>
      <c r="Y113" s="35"/>
      <c r="Z113" s="6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</row>
    <row r="114" spans="1:46" ht="14.3" thickBot="1" x14ac:dyDescent="0.3">
      <c r="A114" s="480">
        <v>3</v>
      </c>
      <c r="B114" s="657">
        <f>$G$6</f>
        <v>0</v>
      </c>
      <c r="C114" s="481"/>
      <c r="D114" s="793"/>
      <c r="E114" s="794"/>
      <c r="F114" s="788"/>
      <c r="G114" s="789"/>
      <c r="H114" s="90"/>
      <c r="I114" s="90"/>
      <c r="J114" s="90"/>
      <c r="K114" s="477" t="s">
        <v>211</v>
      </c>
      <c r="L114" s="88"/>
      <c r="M114" s="738"/>
      <c r="N114" s="770"/>
      <c r="O114" s="638">
        <f>IF(K114="none",0,IF(C114&lt;&gt;"FCA",F114/VLOOKUP(K114,$B$108:$S$109,18,0)+H114/VLOOKUP(K114,$B$108:$H$109,7,0)+I114+J114,0)*PUC)</f>
        <v>0</v>
      </c>
      <c r="P114" s="482">
        <f>IF($O$104=0,0,O114/$O$104)</f>
        <v>0</v>
      </c>
      <c r="S114" s="69">
        <f>IF(K114="none",0,VLOOKUP(K114,B$108:O$109,14,0)*PUC)</f>
        <v>0</v>
      </c>
      <c r="T114" s="69">
        <f>IF(K114="none",0,F114/VLOOKUP(K114,$B$108:$S$109,18,0)*PUC)</f>
        <v>0</v>
      </c>
      <c r="U114" s="69">
        <f>IF(K114="none",0,H114/VLOOKUP(K114,$B$108:$H$109,7,0)*PUC)</f>
        <v>0</v>
      </c>
      <c r="V114" s="69">
        <f>(I114+J114)*PUC</f>
        <v>0</v>
      </c>
      <c r="Y114" s="35"/>
      <c r="Z114" s="6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</row>
    <row r="115" spans="1:46" ht="4.5999999999999996" customHeight="1" thickBot="1" x14ac:dyDescent="0.3">
      <c r="A115" s="25"/>
      <c r="B115" s="26"/>
      <c r="C115" s="26"/>
      <c r="D115" s="27"/>
      <c r="E115" s="22"/>
      <c r="F115" s="22"/>
      <c r="G115" s="22"/>
      <c r="H115" s="22"/>
      <c r="I115" s="22"/>
      <c r="J115" s="25"/>
      <c r="K115" s="25"/>
      <c r="L115" s="25"/>
      <c r="M115" s="25"/>
      <c r="N115" s="25"/>
      <c r="O115" s="50"/>
      <c r="P115" s="2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</row>
    <row r="116" spans="1:46" ht="13.6" x14ac:dyDescent="0.2">
      <c r="A116" s="436" t="str">
        <f>VLOOKUP("supplier_ref",translation,VLOOKUP(J2,languages,2,FALSE),FALSE)</f>
        <v>Supplier Reference</v>
      </c>
      <c r="B116" s="424"/>
      <c r="C116" s="424"/>
      <c r="D116" s="795"/>
      <c r="E116" s="795"/>
      <c r="F116" s="796" t="str">
        <f>VLOOKUP("date",translation,VLOOKUP(J2,languages,2,FALSE),FALSE)</f>
        <v>Date</v>
      </c>
      <c r="G116" s="797"/>
      <c r="H116" s="798"/>
      <c r="I116" s="799"/>
      <c r="J116" s="483" t="str">
        <f>VLOOKUP("cbd_pricesummary",translation,VLOOKUP(J2,languages,2,FALSE),FALSE)</f>
        <v>Cost Breakdown Pricing Summary</v>
      </c>
      <c r="K116" s="484"/>
      <c r="L116" s="485"/>
      <c r="M116" s="485"/>
      <c r="N116" s="485"/>
      <c r="O116" s="486" t="str">
        <f>LEFT($D$7,3)&amp;F7</f>
        <v>EUR/pc</v>
      </c>
      <c r="P116" s="487"/>
      <c r="Y116" s="51" t="str">
        <f>VLOOKUP("part_price3",translation,VLOOKUP(J2,languages,2,FALSE),FALSE)</f>
        <v>&lt;-- Part Price including packaging/logistics</v>
      </c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</row>
    <row r="117" spans="1:46" ht="13.6" x14ac:dyDescent="0.25">
      <c r="A117" s="488"/>
      <c r="B117" s="424"/>
      <c r="C117" s="424"/>
      <c r="D117" s="489"/>
      <c r="E117" s="800" t="str">
        <f>VLOOKUP("prep_by",translation,VLOOKUP(J2,languages,2,FALSE),FALSE)</f>
        <v>Prepared by</v>
      </c>
      <c r="F117" s="801"/>
      <c r="G117" s="802"/>
      <c r="H117" s="803"/>
      <c r="I117" s="804"/>
      <c r="J117" s="805" t="str">
        <f>IF(C112="","",C112&amp;" "&amp;D112&amp;", "&amp;IF(K112="none",VLOOKUP("without",translation,VLOOKUP(J2,languages,2,FALSE),FALSE),K112)&amp;" "&amp;VLOOKUP("pack2",translation,VLOOKUP(J2,languages,2,FALSE),FALSE))</f>
        <v>DDP Hamburg, returnable packaging</v>
      </c>
      <c r="K117" s="806"/>
      <c r="L117" s="806"/>
      <c r="M117" s="806"/>
      <c r="N117" s="807"/>
      <c r="O117" s="640">
        <f>IF(C112=0,0,SUM(O$104,O112,IF(K112="none",0,VLOOKUP(K112,B$108:O$109,14,0))))</f>
        <v>8.425209946803502</v>
      </c>
      <c r="P117" s="490"/>
      <c r="S117" s="75"/>
      <c r="T117" s="76"/>
      <c r="Y117" s="51" t="str">
        <f>VLOOKUP("quot_opt",translation,VLOOKUP(J2,languages,2,FALSE),FALSE)</f>
        <v>&lt;-- Primary option for quotations</v>
      </c>
      <c r="Z117" s="35"/>
      <c r="AA117" s="35"/>
      <c r="AB117" s="35"/>
      <c r="AC117" s="35"/>
      <c r="AD117" s="35"/>
      <c r="AE117" s="94"/>
      <c r="AF117" s="134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</row>
    <row r="118" spans="1:46" x14ac:dyDescent="0.2">
      <c r="A118" s="808"/>
      <c r="B118" s="809"/>
      <c r="C118" s="809"/>
      <c r="D118" s="809"/>
      <c r="E118" s="809"/>
      <c r="F118" s="809"/>
      <c r="G118" s="809"/>
      <c r="H118" s="809"/>
      <c r="I118" s="810"/>
      <c r="J118" s="814" t="str">
        <f>IF(C113="","",C113&amp;" "&amp;D113&amp;", "&amp;IF(K113="none",VLOOKUP("without",translation,VLOOKUP(J2,languages,2,FALSE),FALSE),K113)&amp;" "&amp;VLOOKUP("pack2",translation,VLOOKUP(J2,languages,2,FALSE),FALSE))</f>
        <v/>
      </c>
      <c r="K118" s="815"/>
      <c r="L118" s="815"/>
      <c r="M118" s="815"/>
      <c r="N118" s="816"/>
      <c r="O118" s="641">
        <f>IF(C113=0,0,SUM(O$104,O113,IF(K113="none",0,VLOOKUP(K113,B$108:O$109,14,0))))</f>
        <v>0</v>
      </c>
      <c r="P118" s="491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</row>
    <row r="119" spans="1:46" ht="13.6" thickBot="1" x14ac:dyDescent="0.25">
      <c r="A119" s="811"/>
      <c r="B119" s="812"/>
      <c r="C119" s="812"/>
      <c r="D119" s="812"/>
      <c r="E119" s="812"/>
      <c r="F119" s="812"/>
      <c r="G119" s="812"/>
      <c r="H119" s="812"/>
      <c r="I119" s="813"/>
      <c r="J119" s="817" t="str">
        <f>IF(C114="","",C114&amp;" "&amp;D114&amp;", "&amp;IF(K114="none",VLOOKUP("without",translation,VLOOKUP(J2,languages,2,FALSE),FALSE),K114)&amp;" "&amp;VLOOKUP("pack2",translation,VLOOKUP(J2,languages,2,FALSE),FALSE))</f>
        <v/>
      </c>
      <c r="K119" s="818"/>
      <c r="L119" s="818"/>
      <c r="M119" s="818"/>
      <c r="N119" s="819"/>
      <c r="O119" s="642">
        <f>IF(C114=0,0,SUM(O$104,O114,IF(K114="none",0,VLOOKUP(K114,B$108:O$109,14,0))))</f>
        <v>0</v>
      </c>
      <c r="P119" s="492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</row>
    <row r="120" spans="1:46" ht="4.5999999999999996" customHeight="1" thickBot="1" x14ac:dyDescent="0.25">
      <c r="A120" s="493"/>
      <c r="B120" s="493"/>
      <c r="C120" s="493"/>
      <c r="D120" s="493"/>
      <c r="E120" s="493"/>
      <c r="F120" s="493"/>
      <c r="G120" s="493"/>
      <c r="H120" s="493"/>
      <c r="I120" s="493"/>
      <c r="J120" s="494"/>
      <c r="K120" s="494"/>
      <c r="L120" s="494"/>
      <c r="M120" s="494"/>
      <c r="N120" s="494"/>
      <c r="O120" s="495"/>
      <c r="P120" s="493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</row>
    <row r="121" spans="1:46" ht="13.6" x14ac:dyDescent="0.25">
      <c r="A121" s="339"/>
      <c r="B121" s="341" t="str">
        <f>VLOOKUP("sec4",translation,VLOOKUP(J2,languages,2,FALSE),FALSE)</f>
        <v>Section 4</v>
      </c>
      <c r="C121" s="341"/>
      <c r="D121" s="342" t="str">
        <f>VLOOKUP("invest",translation,VLOOKUP(J2,languages,2,FALSE),FALSE)</f>
        <v>Investment / Tooling</v>
      </c>
      <c r="E121" s="343"/>
      <c r="F121" s="343"/>
      <c r="G121" s="343"/>
      <c r="H121" s="343"/>
      <c r="I121" s="343"/>
      <c r="J121" s="662"/>
      <c r="K121" s="662"/>
      <c r="L121" s="662"/>
      <c r="M121" s="497" t="str">
        <f>LEFT($D$7,3)</f>
        <v>EUR</v>
      </c>
      <c r="N121" s="497"/>
      <c r="O121" s="498">
        <f>SUBTOTAL(109,O123:O130)</f>
        <v>85000</v>
      </c>
      <c r="P121" s="452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</row>
    <row r="122" spans="1:46" ht="49.6" customHeight="1" x14ac:dyDescent="0.2">
      <c r="A122" s="499"/>
      <c r="B122" s="728" t="str">
        <f>VLOOKUP("descr2",translation,VLOOKUP(J2,languages,2,FALSE),FALSE)</f>
        <v>Description</v>
      </c>
      <c r="C122" s="728"/>
      <c r="D122" s="728"/>
      <c r="E122" s="820"/>
      <c r="F122" s="660" t="str">
        <f>VLOOKUP("qty2",translation,VLOOKUP(J2,languages,2,FALSE),FALSE)</f>
        <v>Qty</v>
      </c>
      <c r="G122" s="660" t="str">
        <f>VLOOKUP("cav",translation,VLOOKUP(J2,languages,2,FALSE),FALSE)</f>
        <v>Pcs/cycle (cavities)</v>
      </c>
      <c r="H122" s="660" t="str">
        <f>VLOOKUP("lt",translation,VLOOKUP(J2,languages,2,FALSE),FALSE)</f>
        <v>Lead Time [weeks]</v>
      </c>
      <c r="I122" s="660" t="str">
        <f>VLOOKUP("fot2",translation,VLOOKUP(J2,languages,2,FALSE),FALSE)</f>
        <v>FOT [weeks]</v>
      </c>
      <c r="J122" s="660" t="str">
        <f>VLOOKUP("warranty",translation,VLOOKUP(J2,languages,2,FALSE),FALSE)</f>
        <v>Warranty [parts]</v>
      </c>
      <c r="K122" s="660" t="str">
        <f>VLOOKUP("tool_cap",translation,VLOOKUP(J2,languages,2,FALSE),FALSE)</f>
        <v>Tool Cap.</v>
      </c>
      <c r="L122" s="660" t="str">
        <f>VLOOKUP("mach_cap",translation,VLOOKUP(J2,languages,2,FALSE),FALSE)</f>
        <v>Maschine Cap. [/week]</v>
      </c>
      <c r="M122" s="735" t="str">
        <f>VLOOKUP("max_cap",translation,VLOOKUP(J2,languages,2,FALSE),FALSE)</f>
        <v>Max. Capacity [p.A.]</v>
      </c>
      <c r="N122" s="746"/>
      <c r="O122" s="660" t="str">
        <f>VLOOKUP("tool_cost",translation,VLOOKUP(J2,languages,2,FALSE),FALSE)&amp;" ["&amp;LEFT($D$7,3)&amp;"]"</f>
        <v>Tool Cost [EUR]</v>
      </c>
      <c r="P122" s="352"/>
      <c r="W122">
        <v>125</v>
      </c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</row>
    <row r="123" spans="1:46" x14ac:dyDescent="0.2">
      <c r="A123" s="353">
        <v>1</v>
      </c>
      <c r="B123" s="747" t="s">
        <v>876</v>
      </c>
      <c r="C123" s="821"/>
      <c r="D123" s="821"/>
      <c r="E123" s="822"/>
      <c r="F123" s="500">
        <v>1</v>
      </c>
      <c r="G123" s="500"/>
      <c r="H123" s="88"/>
      <c r="I123" s="392">
        <v>20</v>
      </c>
      <c r="J123" s="501">
        <v>150000</v>
      </c>
      <c r="K123" s="501"/>
      <c r="L123" s="501"/>
      <c r="M123" s="823"/>
      <c r="N123" s="824"/>
      <c r="O123" s="501">
        <v>85000</v>
      </c>
      <c r="P123" s="502"/>
      <c r="S123" s="3">
        <f t="shared" ref="S123:S130" si="36">F123*O123</f>
        <v>85000</v>
      </c>
      <c r="Y123" s="35"/>
      <c r="Z123" s="41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</row>
    <row r="124" spans="1:46" x14ac:dyDescent="0.2">
      <c r="A124" s="357">
        <v>2</v>
      </c>
      <c r="B124" s="747"/>
      <c r="C124" s="821"/>
      <c r="D124" s="821"/>
      <c r="E124" s="822"/>
      <c r="F124" s="500"/>
      <c r="G124" s="500"/>
      <c r="H124" s="88"/>
      <c r="I124" s="503"/>
      <c r="J124" s="501"/>
      <c r="K124" s="501"/>
      <c r="L124" s="501"/>
      <c r="M124" s="823"/>
      <c r="N124" s="824"/>
      <c r="O124" s="501"/>
      <c r="P124" s="504"/>
      <c r="S124" s="3">
        <f t="shared" si="36"/>
        <v>0</v>
      </c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</row>
    <row r="125" spans="1:46" ht="13.6" thickBot="1" x14ac:dyDescent="0.25">
      <c r="A125" s="357">
        <v>3</v>
      </c>
      <c r="B125" s="747"/>
      <c r="C125" s="821"/>
      <c r="D125" s="821"/>
      <c r="E125" s="822"/>
      <c r="F125" s="500"/>
      <c r="G125" s="500"/>
      <c r="H125" s="88"/>
      <c r="I125" s="503"/>
      <c r="J125" s="501"/>
      <c r="K125" s="501"/>
      <c r="L125" s="501"/>
      <c r="M125" s="823"/>
      <c r="N125" s="824"/>
      <c r="O125" s="501"/>
      <c r="P125" s="504"/>
      <c r="S125" s="3">
        <f t="shared" si="36"/>
        <v>0</v>
      </c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</row>
    <row r="126" spans="1:46" ht="13.6" hidden="1" customHeight="1" thickBot="1" x14ac:dyDescent="0.25">
      <c r="A126" s="357">
        <v>4</v>
      </c>
      <c r="B126" s="747"/>
      <c r="C126" s="821"/>
      <c r="D126" s="821"/>
      <c r="E126" s="822"/>
      <c r="F126" s="500"/>
      <c r="G126" s="500"/>
      <c r="H126" s="88"/>
      <c r="I126" s="503"/>
      <c r="J126" s="501"/>
      <c r="K126" s="501"/>
      <c r="L126" s="501"/>
      <c r="M126" s="823"/>
      <c r="N126" s="824"/>
      <c r="O126" s="501"/>
      <c r="P126" s="504"/>
      <c r="S126" s="3">
        <f t="shared" si="36"/>
        <v>0</v>
      </c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</row>
    <row r="127" spans="1:46" ht="13.6" hidden="1" customHeight="1" thickBot="1" x14ac:dyDescent="0.25">
      <c r="A127" s="357">
        <v>5</v>
      </c>
      <c r="B127" s="747"/>
      <c r="C127" s="821"/>
      <c r="D127" s="821"/>
      <c r="E127" s="822"/>
      <c r="F127" s="500"/>
      <c r="G127" s="500"/>
      <c r="H127" s="88"/>
      <c r="I127" s="503"/>
      <c r="J127" s="501"/>
      <c r="K127" s="501"/>
      <c r="L127" s="501"/>
      <c r="M127" s="823"/>
      <c r="N127" s="824"/>
      <c r="O127" s="501"/>
      <c r="P127" s="504"/>
      <c r="S127" s="3">
        <f t="shared" si="36"/>
        <v>0</v>
      </c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</row>
    <row r="128" spans="1:46" ht="13.6" hidden="1" customHeight="1" thickBot="1" x14ac:dyDescent="0.25">
      <c r="A128" s="357">
        <v>6</v>
      </c>
      <c r="B128" s="747"/>
      <c r="C128" s="821"/>
      <c r="D128" s="821"/>
      <c r="E128" s="822"/>
      <c r="F128" s="500"/>
      <c r="G128" s="500"/>
      <c r="H128" s="88"/>
      <c r="I128" s="503"/>
      <c r="J128" s="501"/>
      <c r="K128" s="501"/>
      <c r="L128" s="501"/>
      <c r="M128" s="823"/>
      <c r="N128" s="824"/>
      <c r="O128" s="501"/>
      <c r="P128" s="504"/>
      <c r="S128" s="3">
        <f t="shared" si="36"/>
        <v>0</v>
      </c>
      <c r="Y128" s="35"/>
      <c r="Z128" s="35"/>
      <c r="AA128" s="35"/>
      <c r="AB128" s="35"/>
      <c r="AC128" s="6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</row>
    <row r="129" spans="1:46" ht="13.6" hidden="1" customHeight="1" thickBot="1" x14ac:dyDescent="0.25">
      <c r="A129" s="357">
        <v>7</v>
      </c>
      <c r="B129" s="747"/>
      <c r="C129" s="821"/>
      <c r="D129" s="821"/>
      <c r="E129" s="822"/>
      <c r="F129" s="500"/>
      <c r="G129" s="500"/>
      <c r="H129" s="88"/>
      <c r="I129" s="503"/>
      <c r="J129" s="501"/>
      <c r="K129" s="501"/>
      <c r="L129" s="501"/>
      <c r="M129" s="823"/>
      <c r="N129" s="824"/>
      <c r="O129" s="501"/>
      <c r="P129" s="504"/>
      <c r="S129" s="3">
        <f t="shared" si="36"/>
        <v>0</v>
      </c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</row>
    <row r="130" spans="1:46" ht="13.6" hidden="1" customHeight="1" thickBot="1" x14ac:dyDescent="0.25">
      <c r="A130" s="357">
        <v>8</v>
      </c>
      <c r="B130" s="747"/>
      <c r="C130" s="821"/>
      <c r="D130" s="821"/>
      <c r="E130" s="822"/>
      <c r="F130" s="500"/>
      <c r="G130" s="500"/>
      <c r="H130" s="88"/>
      <c r="I130" s="503"/>
      <c r="J130" s="501"/>
      <c r="K130" s="501"/>
      <c r="L130" s="501"/>
      <c r="M130" s="823"/>
      <c r="N130" s="824"/>
      <c r="O130" s="501"/>
      <c r="P130" s="504"/>
      <c r="S130" s="3">
        <f t="shared" si="36"/>
        <v>0</v>
      </c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</row>
    <row r="131" spans="1:46" ht="5.3" customHeight="1" thickBot="1" x14ac:dyDescent="0.25">
      <c r="A131" s="505"/>
      <c r="B131" s="505"/>
      <c r="C131" s="505"/>
      <c r="D131" s="505"/>
      <c r="E131" s="505"/>
      <c r="F131" s="505"/>
      <c r="G131" s="505"/>
      <c r="H131" s="505"/>
      <c r="I131" s="505"/>
      <c r="J131" s="505"/>
      <c r="K131" s="505"/>
      <c r="L131" s="505"/>
      <c r="M131" s="505"/>
      <c r="N131" s="505"/>
      <c r="O131" s="505"/>
      <c r="P131" s="50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</row>
    <row r="132" spans="1:46" ht="13.6" x14ac:dyDescent="0.25">
      <c r="A132" s="339"/>
      <c r="B132" s="341" t="str">
        <f>VLOOKUP("sec5",translation,VLOOKUP(J2,languages,2,FALSE),FALSE)</f>
        <v>Section 5</v>
      </c>
      <c r="C132" s="341"/>
      <c r="D132" s="342" t="str">
        <f>VLOOKUP("pc_terms",translation,VLOOKUP(J2,languages,2,FALSE),FALSE)</f>
        <v>Productivity &amp; Commercial Terms</v>
      </c>
      <c r="E132" s="343"/>
      <c r="F132" s="343"/>
      <c r="G132" s="343"/>
      <c r="H132" s="343"/>
      <c r="I132" s="343"/>
      <c r="J132" s="343"/>
      <c r="K132" s="343"/>
      <c r="L132" s="343"/>
      <c r="M132" s="343"/>
      <c r="N132" s="343"/>
      <c r="O132" s="506"/>
      <c r="P132" s="452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</row>
    <row r="133" spans="1:46" x14ac:dyDescent="0.2">
      <c r="A133" s="507"/>
      <c r="B133" s="508" t="str">
        <f>VLOOKUP("pay_terms",translation,VLOOKUP(J2,languages,2,FALSE),FALSE)</f>
        <v>Payment terms</v>
      </c>
      <c r="C133" s="508"/>
      <c r="D133" s="508"/>
      <c r="E133" s="509"/>
      <c r="F133" s="509"/>
      <c r="G133" s="825" t="s">
        <v>851</v>
      </c>
      <c r="H133" s="826"/>
      <c r="I133" s="826"/>
      <c r="J133" s="826"/>
      <c r="K133" s="827"/>
      <c r="L133" s="509"/>
      <c r="M133" s="509"/>
      <c r="N133" s="509"/>
      <c r="O133" s="510"/>
      <c r="P133" s="511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</row>
    <row r="134" spans="1:46" x14ac:dyDescent="0.2">
      <c r="A134" s="507"/>
      <c r="B134" s="508" t="str">
        <f>VLOOKUP("tool_terms",translation,VLOOKUP(J2,languages,2,FALSE),FALSE)</f>
        <v>Tool payment terms</v>
      </c>
      <c r="C134" s="508"/>
      <c r="D134" s="508"/>
      <c r="E134" s="509"/>
      <c r="F134" s="509"/>
      <c r="G134" s="828" t="s">
        <v>851</v>
      </c>
      <c r="H134" s="829"/>
      <c r="I134" s="830"/>
      <c r="J134" s="830"/>
      <c r="K134" s="831"/>
      <c r="L134" s="509"/>
      <c r="M134" s="509"/>
      <c r="N134" s="509"/>
      <c r="O134" s="510"/>
      <c r="P134" s="511"/>
      <c r="Y134" s="35"/>
      <c r="Z134" s="6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</row>
    <row r="135" spans="1:46" ht="12.75" customHeight="1" x14ac:dyDescent="0.2">
      <c r="A135" s="507"/>
      <c r="B135" s="508" t="str">
        <f>VLOOKUP("sparepart_price",translation,VLOOKUP(J2,languages,2,FALSE),FALSE)</f>
        <v>Spare part pricing at serial price after EoP</v>
      </c>
      <c r="C135" s="508"/>
      <c r="D135" s="508"/>
      <c r="E135" s="509"/>
      <c r="F135" s="509"/>
      <c r="G135" s="832">
        <v>5</v>
      </c>
      <c r="H135" s="833"/>
      <c r="I135" s="512" t="str">
        <f>VLOOKUP("yr",translation,VLOOKUP(J2,languages,2,FALSE),FALSE)</f>
        <v>years</v>
      </c>
      <c r="J135" s="509"/>
      <c r="K135" s="509"/>
      <c r="L135" s="834" t="str">
        <f>B112&amp;CHAR(10)&amp;C112</f>
        <v>Munich
DDP</v>
      </c>
      <c r="M135" s="836" t="str">
        <f>B113&amp;CHAR(10)&amp;C113</f>
        <v xml:space="preserve">0
</v>
      </c>
      <c r="N135" s="837"/>
      <c r="O135" s="840"/>
      <c r="P135" s="511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</row>
    <row r="136" spans="1:46" x14ac:dyDescent="0.2">
      <c r="A136" s="507"/>
      <c r="B136" s="508" t="str">
        <f>VLOOKUP("tot_cap",translation,VLOOKUP(J2,languages,2,FALSE),FALSE)</f>
        <v>Overall committed capacity</v>
      </c>
      <c r="C136" s="508"/>
      <c r="D136" s="508"/>
      <c r="E136" s="509" t="str">
        <f>VLOOKUP("w",translation,VLOOKUP(J2,languages,2,FALSE),FALSE)</f>
        <v>[/week]</v>
      </c>
      <c r="F136" s="509"/>
      <c r="G136" s="842"/>
      <c r="H136" s="843"/>
      <c r="I136" s="513"/>
      <c r="J136" s="509"/>
      <c r="K136" s="509"/>
      <c r="L136" s="835"/>
      <c r="M136" s="838"/>
      <c r="N136" s="839"/>
      <c r="O136" s="841"/>
      <c r="P136" s="511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</row>
    <row r="137" spans="1:46" x14ac:dyDescent="0.2">
      <c r="A137" s="507"/>
      <c r="B137" s="508"/>
      <c r="C137" s="508"/>
      <c r="D137" s="508"/>
      <c r="E137" s="509" t="str">
        <f>VLOOKUP("y",translation,VLOOKUP(J2,languages,2,FALSE),FALSE)</f>
        <v>[/year]</v>
      </c>
      <c r="F137" s="509"/>
      <c r="G137" s="844"/>
      <c r="H137" s="845"/>
      <c r="I137" s="509"/>
      <c r="J137" s="514" t="str">
        <f>VLOOKUP("price",translation,VLOOKUP(J2,languages,2,FALSE),FALSE)</f>
        <v>Base Price</v>
      </c>
      <c r="K137" s="515" t="str">
        <f>VLOOKUP("package",translation,VLOOKUP(J2,languages,2,FALSE),FALSE)</f>
        <v>w/ Packaging</v>
      </c>
      <c r="L137" s="516" t="str">
        <f>VLOOKUP("trans",translation,VLOOKUP(J2,languages,2,FALSE),FALSE)</f>
        <v>w/ Logistics</v>
      </c>
      <c r="M137" s="846" t="str">
        <f>VLOOKUP("trans",translation,VLOOKUP(J2,languages,2,FALSE),FALSE)</f>
        <v>w/ Logistics</v>
      </c>
      <c r="N137" s="847"/>
      <c r="O137" s="514" t="str">
        <f>VLOOKUP("trans",translation,VLOOKUP(J2,languages,2,FALSE),FALSE)</f>
        <v>w/ Logistics</v>
      </c>
      <c r="P137" s="511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</row>
    <row r="138" spans="1:46" ht="13.6" x14ac:dyDescent="0.25">
      <c r="A138" s="507"/>
      <c r="B138" s="508"/>
      <c r="C138" s="508"/>
      <c r="D138" s="508"/>
      <c r="E138" s="509"/>
      <c r="F138" s="509"/>
      <c r="G138" s="509"/>
      <c r="H138" s="517"/>
      <c r="I138" s="518"/>
      <c r="J138" s="519" t="str">
        <f>"["&amp;LEFT($D$7,3)&amp;$F$7&amp;"]"</f>
        <v>[EUR/pc]</v>
      </c>
      <c r="K138" s="520" t="str">
        <f>"["&amp;LEFT($D$7,3)&amp;$F$7&amp;"]"</f>
        <v>[EUR/pc]</v>
      </c>
      <c r="L138" s="521" t="str">
        <f>"["&amp;LEFT($D$7,3)&amp;$F$7&amp;"]"</f>
        <v>[EUR/pc]</v>
      </c>
      <c r="M138" s="848" t="str">
        <f>"["&amp;LEFT($D$7,3)&amp;$F$7&amp;"]"</f>
        <v>[EUR/pc]</v>
      </c>
      <c r="N138" s="849"/>
      <c r="O138" s="519" t="str">
        <f>"["&amp;LEFT($D$7,3)&amp;$F$7&amp;"]"</f>
        <v>[EUR/pc]</v>
      </c>
      <c r="P138" s="511"/>
      <c r="U138" s="29"/>
      <c r="V138" s="1"/>
      <c r="W138" s="1"/>
      <c r="Y138" s="177"/>
      <c r="Z138" s="177"/>
      <c r="AA138" s="177"/>
      <c r="AB138" s="177"/>
      <c r="AC138" s="177"/>
      <c r="AD138" s="177"/>
      <c r="AE138" s="177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</row>
    <row r="139" spans="1:46" ht="12.75" customHeight="1" x14ac:dyDescent="0.25">
      <c r="A139" s="507"/>
      <c r="B139" s="508"/>
      <c r="C139" s="508"/>
      <c r="D139" s="508"/>
      <c r="E139" s="509"/>
      <c r="F139" s="509"/>
      <c r="G139" s="850" t="str">
        <f>VLOOKUP("y1",translation,VLOOKUP(J2,languages,2,FALSE),FALSE)</f>
        <v>Year</v>
      </c>
      <c r="H139" s="851"/>
      <c r="I139" s="522" t="s">
        <v>93</v>
      </c>
      <c r="J139" s="643">
        <f>O104</f>
        <v>7.5208621207165454</v>
      </c>
      <c r="K139" s="647">
        <f>O110</f>
        <v>7.5556447294121973</v>
      </c>
      <c r="L139" s="656">
        <f>O117</f>
        <v>8.425209946803502</v>
      </c>
      <c r="M139" s="852">
        <f>O118</f>
        <v>0</v>
      </c>
      <c r="N139" s="853"/>
      <c r="O139" s="643">
        <f>O119</f>
        <v>0</v>
      </c>
      <c r="P139" s="511"/>
      <c r="U139" s="29"/>
      <c r="V139" s="1"/>
      <c r="W139" s="1"/>
      <c r="Y139" s="177"/>
      <c r="Z139" s="177"/>
      <c r="AA139" s="177"/>
      <c r="AB139" s="177"/>
      <c r="AC139" s="177"/>
      <c r="AD139" s="177"/>
      <c r="AE139" s="177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</row>
    <row r="140" spans="1:46" ht="13.6" x14ac:dyDescent="0.25">
      <c r="A140" s="507"/>
      <c r="B140" s="508" t="str">
        <f>VLOOKUP("price_cbd",translation,VLOOKUP(J2,languages,2,FALSE),FALSE)</f>
        <v>Pricing acc. to breakdown</v>
      </c>
      <c r="C140" s="523"/>
      <c r="D140" s="508"/>
      <c r="E140" s="854" t="s">
        <v>94</v>
      </c>
      <c r="F140" s="855"/>
      <c r="G140" s="856"/>
      <c r="H140" s="857"/>
      <c r="I140" s="524"/>
      <c r="J140" s="644">
        <f>O104</f>
        <v>7.5208621207165454</v>
      </c>
      <c r="K140" s="648">
        <f>O110</f>
        <v>7.5556447294121973</v>
      </c>
      <c r="L140" s="655">
        <f>O117</f>
        <v>8.425209946803502</v>
      </c>
      <c r="M140" s="858">
        <f>O118</f>
        <v>0</v>
      </c>
      <c r="N140" s="859"/>
      <c r="O140" s="644">
        <f>O119</f>
        <v>0</v>
      </c>
      <c r="P140" s="511"/>
      <c r="S140" s="236">
        <f>MIN($J$5,1)</f>
        <v>1</v>
      </c>
      <c r="U140" s="1"/>
      <c r="V140" s="7"/>
      <c r="W140" s="7"/>
      <c r="X140" s="7"/>
      <c r="Y140" s="231"/>
      <c r="Z140" s="231"/>
      <c r="AA140" s="231"/>
      <c r="AB140" s="232"/>
      <c r="AC140" s="234"/>
      <c r="AD140" s="233"/>
      <c r="AE140" s="231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</row>
    <row r="141" spans="1:46" ht="13.6" x14ac:dyDescent="0.25">
      <c r="A141" s="507"/>
      <c r="B141" s="508" t="str">
        <f>VLOOKUP("price_neg",translation,VLOOKUP(J2,languages,2,FALSE),FALSE)</f>
        <v>Negotiated offer pricing</v>
      </c>
      <c r="C141" s="525"/>
      <c r="D141" s="508"/>
      <c r="E141" s="860" t="str">
        <f>VLOOKUP("y2",translation,VLOOKUP(J2,languages,2,FALSE),FALSE)</f>
        <v>Year 2</v>
      </c>
      <c r="F141" s="861"/>
      <c r="G141" s="862">
        <v>43281</v>
      </c>
      <c r="H141" s="863"/>
      <c r="I141" s="526">
        <v>0.03</v>
      </c>
      <c r="J141" s="645">
        <f t="shared" ref="J141:M144" si="37">J140*(1-$I141)</f>
        <v>7.2952362570950484</v>
      </c>
      <c r="K141" s="649">
        <f t="shared" si="37"/>
        <v>7.3289753875298311</v>
      </c>
      <c r="L141" s="650">
        <f t="shared" si="37"/>
        <v>8.1724536483993973</v>
      </c>
      <c r="M141" s="864">
        <f t="shared" si="37"/>
        <v>0</v>
      </c>
      <c r="N141" s="865"/>
      <c r="O141" s="651">
        <f>O140*(1-$I141)</f>
        <v>0</v>
      </c>
      <c r="P141" s="511"/>
      <c r="S141" s="236">
        <f>MIN(MAX($J$5-1,0),1)</f>
        <v>1</v>
      </c>
      <c r="U141" s="1"/>
      <c r="V141" s="30"/>
      <c r="W141" s="30"/>
      <c r="X141" s="30"/>
      <c r="Y141" s="177"/>
      <c r="Z141" s="177"/>
      <c r="AA141" s="177"/>
      <c r="AB141" s="177"/>
      <c r="AC141" s="177"/>
      <c r="AD141" s="177"/>
      <c r="AE141" s="177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</row>
    <row r="142" spans="1:46" ht="13.6" x14ac:dyDescent="0.25">
      <c r="A142" s="507"/>
      <c r="B142" s="508"/>
      <c r="C142" s="527"/>
      <c r="D142" s="527"/>
      <c r="E142" s="860" t="str">
        <f>VLOOKUP("y3",translation,VLOOKUP(J2,languages,2,FALSE),FALSE)</f>
        <v>Year 3</v>
      </c>
      <c r="F142" s="861"/>
      <c r="G142" s="866">
        <f>DATE(YEAR(G141)+1,MONTH(G141),DAY(G141))</f>
        <v>43646</v>
      </c>
      <c r="H142" s="867"/>
      <c r="I142" s="526">
        <v>0.01</v>
      </c>
      <c r="J142" s="646">
        <f t="shared" si="37"/>
        <v>7.2222838945240975</v>
      </c>
      <c r="K142" s="652">
        <f t="shared" si="37"/>
        <v>7.255685633654533</v>
      </c>
      <c r="L142" s="653">
        <f t="shared" si="37"/>
        <v>8.0907291119154028</v>
      </c>
      <c r="M142" s="864">
        <f t="shared" si="37"/>
        <v>0</v>
      </c>
      <c r="N142" s="865"/>
      <c r="O142" s="654">
        <f>O141*(1-$I142)</f>
        <v>0</v>
      </c>
      <c r="P142" s="511"/>
      <c r="S142" s="236">
        <f>MIN(MAX($J$5-2,0),1)</f>
        <v>1</v>
      </c>
      <c r="U142" s="1"/>
      <c r="V142" s="30"/>
      <c r="W142" s="30"/>
      <c r="X142" s="30"/>
      <c r="Y142" s="177"/>
      <c r="Z142" s="177"/>
      <c r="AA142" s="177"/>
      <c r="AB142" s="177"/>
      <c r="AC142" s="177"/>
      <c r="AD142" s="177"/>
      <c r="AE142" s="177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</row>
    <row r="143" spans="1:46" ht="13.6" x14ac:dyDescent="0.25">
      <c r="A143" s="507"/>
      <c r="B143" s="508"/>
      <c r="C143" s="527"/>
      <c r="D143" s="527"/>
      <c r="E143" s="860" t="str">
        <f>VLOOKUP("y4",translation,VLOOKUP(J2,languages,2,FALSE),FALSE)</f>
        <v>Year 4</v>
      </c>
      <c r="F143" s="861"/>
      <c r="G143" s="866">
        <f>DATE(YEAR(G142)+1,MONTH(G142),DAY(G142))</f>
        <v>44012</v>
      </c>
      <c r="H143" s="867"/>
      <c r="I143" s="526">
        <v>0.01</v>
      </c>
      <c r="J143" s="646">
        <f t="shared" si="37"/>
        <v>7.1500610555788562</v>
      </c>
      <c r="K143" s="652">
        <f t="shared" si="37"/>
        <v>7.1831287773179877</v>
      </c>
      <c r="L143" s="653">
        <f t="shared" si="37"/>
        <v>8.0098218207962493</v>
      </c>
      <c r="M143" s="864">
        <f t="shared" si="37"/>
        <v>0</v>
      </c>
      <c r="N143" s="865"/>
      <c r="O143" s="654">
        <f>O142*(1-$I143)</f>
        <v>0</v>
      </c>
      <c r="P143" s="511"/>
      <c r="S143" s="236">
        <f>MIN(MAX($J$5-3,0),1)</f>
        <v>1</v>
      </c>
      <c r="U143" s="1"/>
      <c r="V143" s="30"/>
      <c r="W143" s="30"/>
      <c r="X143" s="30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</row>
    <row r="144" spans="1:46" ht="13.6" x14ac:dyDescent="0.25">
      <c r="A144" s="507"/>
      <c r="B144" s="508"/>
      <c r="C144" s="527"/>
      <c r="D144" s="527"/>
      <c r="E144" s="882" t="str">
        <f>VLOOKUP("y5",translation,VLOOKUP(J2,languages,2,FALSE),FALSE)</f>
        <v>Year 5</v>
      </c>
      <c r="F144" s="883"/>
      <c r="G144" s="884">
        <f>DATE(YEAR(G143)+1,MONTH(G143),DAY(G143))</f>
        <v>44377</v>
      </c>
      <c r="H144" s="885"/>
      <c r="I144" s="528"/>
      <c r="J144" s="646">
        <f t="shared" si="37"/>
        <v>7.1500610555788562</v>
      </c>
      <c r="K144" s="652">
        <f t="shared" si="37"/>
        <v>7.1831287773179877</v>
      </c>
      <c r="L144" s="653">
        <f t="shared" si="37"/>
        <v>8.0098218207962493</v>
      </c>
      <c r="M144" s="864">
        <f t="shared" si="37"/>
        <v>0</v>
      </c>
      <c r="N144" s="865"/>
      <c r="O144" s="654">
        <f>O143*(1-$I144)</f>
        <v>0</v>
      </c>
      <c r="P144" s="511"/>
      <c r="S144" s="236">
        <f>MIN(MAX($J$5-4,0),1)</f>
        <v>1</v>
      </c>
      <c r="T144" s="2"/>
      <c r="U144" s="2"/>
      <c r="V144" s="2"/>
      <c r="W144" s="2"/>
      <c r="X144" s="2"/>
      <c r="Y144" s="47"/>
      <c r="Z144" s="47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</row>
    <row r="145" spans="1:46" ht="12.75" hidden="1" customHeight="1" x14ac:dyDescent="0.25">
      <c r="A145" s="507"/>
      <c r="B145" s="508"/>
      <c r="C145" s="527"/>
      <c r="D145" s="527"/>
      <c r="E145" s="529"/>
      <c r="F145" s="509"/>
      <c r="G145" s="509"/>
      <c r="H145" s="530" t="s">
        <v>136</v>
      </c>
      <c r="I145" s="531"/>
      <c r="J145" s="532"/>
      <c r="K145" s="533"/>
      <c r="L145" s="534"/>
      <c r="M145" s="886">
        <f>M144*(1-$I145)</f>
        <v>0</v>
      </c>
      <c r="N145" s="887"/>
      <c r="O145" s="535">
        <f>O144*(1-$I145)</f>
        <v>0</v>
      </c>
      <c r="P145" s="511"/>
      <c r="S145" s="32"/>
      <c r="T145" s="2"/>
      <c r="U145" s="2"/>
      <c r="V145" s="2"/>
      <c r="W145" s="2"/>
      <c r="X145" s="2"/>
      <c r="Y145" s="47"/>
      <c r="Z145" s="47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</row>
    <row r="146" spans="1:46" ht="3.75" customHeight="1" x14ac:dyDescent="0.2">
      <c r="A146" s="507"/>
      <c r="B146" s="508"/>
      <c r="C146" s="527"/>
      <c r="D146" s="527"/>
      <c r="E146" s="529"/>
      <c r="F146" s="509"/>
      <c r="G146" s="509"/>
      <c r="H146" s="536"/>
      <c r="I146" s="536"/>
      <c r="J146" s="536"/>
      <c r="K146" s="536"/>
      <c r="L146" s="537"/>
      <c r="M146" s="536"/>
      <c r="N146" s="538"/>
      <c r="O146" s="538"/>
      <c r="P146" s="511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</row>
    <row r="147" spans="1:46" x14ac:dyDescent="0.2">
      <c r="A147" s="507"/>
      <c r="B147" s="508" t="str">
        <f>VLOOKUP("tool_cbd",translation,VLOOKUP(J2,languages,2,FALSE),FALSE)</f>
        <v>Tooling acc. to breakdown (Section 4)</v>
      </c>
      <c r="C147" s="527"/>
      <c r="D147" s="527"/>
      <c r="E147" s="529"/>
      <c r="F147" s="509"/>
      <c r="G147" s="509"/>
      <c r="H147" s="509"/>
      <c r="I147" s="509" t="str">
        <f>LEFT($D$7,3)</f>
        <v>EUR</v>
      </c>
      <c r="J147" s="888">
        <f>O121</f>
        <v>85000</v>
      </c>
      <c r="K147" s="889"/>
      <c r="L147" s="889"/>
      <c r="M147" s="889"/>
      <c r="N147" s="889"/>
      <c r="O147" s="890"/>
      <c r="P147" s="511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</row>
    <row r="148" spans="1:46" ht="13.6" x14ac:dyDescent="0.25">
      <c r="A148" s="507"/>
      <c r="B148" s="508" t="str">
        <f>VLOOKUP("tool_neg",translation,VLOOKUP(J2,languages,2,FALSE),FALSE)</f>
        <v>Negotiated tooling amount</v>
      </c>
      <c r="C148" s="508"/>
      <c r="D148" s="508"/>
      <c r="E148" s="509"/>
      <c r="F148" s="509"/>
      <c r="G148" s="509"/>
      <c r="H148" s="509"/>
      <c r="I148" s="509" t="str">
        <f>LEFT($D$7,3)</f>
        <v>EUR</v>
      </c>
      <c r="J148" s="868">
        <f>$O$121</f>
        <v>85000</v>
      </c>
      <c r="K148" s="869"/>
      <c r="L148" s="869"/>
      <c r="M148" s="869"/>
      <c r="N148" s="869"/>
      <c r="O148" s="870"/>
      <c r="P148" s="511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</row>
    <row r="149" spans="1:46" ht="13.6" x14ac:dyDescent="0.25">
      <c r="A149" s="507"/>
      <c r="B149" s="508" t="str">
        <f>VLOOKUP("pay_add",translation,VLOOKUP(J2,languages,2,FALSE),FALSE)</f>
        <v>Additional (one time payment)</v>
      </c>
      <c r="C149" s="508"/>
      <c r="D149" s="508"/>
      <c r="E149" s="509"/>
      <c r="F149" s="509"/>
      <c r="G149" s="509"/>
      <c r="H149" s="509"/>
      <c r="I149" s="509" t="str">
        <f>LEFT($D$7,3)</f>
        <v>EUR</v>
      </c>
      <c r="J149" s="868"/>
      <c r="K149" s="869"/>
      <c r="L149" s="869"/>
      <c r="M149" s="869"/>
      <c r="N149" s="869"/>
      <c r="O149" s="870"/>
      <c r="P149" s="511"/>
      <c r="Y149" s="51" t="str">
        <f>VLOOKUP("pos_numb",translation,VLOOKUP(J2,languages,2,FALSE),FALSE)</f>
        <v>&lt;-- Enter as positive number</v>
      </c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</row>
    <row r="150" spans="1:46" ht="4.5999999999999996" customHeight="1" x14ac:dyDescent="0.2">
      <c r="A150" s="507"/>
      <c r="B150" s="508"/>
      <c r="C150" s="508"/>
      <c r="D150" s="508"/>
      <c r="E150" s="509"/>
      <c r="F150" s="509"/>
      <c r="G150" s="509"/>
      <c r="H150" s="509"/>
      <c r="I150" s="509"/>
      <c r="J150" s="509"/>
      <c r="K150" s="509"/>
      <c r="L150" s="509"/>
      <c r="M150" s="509"/>
      <c r="N150" s="509"/>
      <c r="O150" s="509"/>
      <c r="P150" s="511"/>
      <c r="Y150" s="51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</row>
    <row r="151" spans="1:46" ht="13.6" x14ac:dyDescent="0.25">
      <c r="A151" s="507"/>
      <c r="B151" s="539" t="str">
        <f>VLOOKUP("total",translation,VLOOKUP(J2,languages,2,FALSE),FALSE)&amp;" ["&amp;LEFT($D$7,3)&amp;"]"</f>
        <v>Total [EUR]</v>
      </c>
      <c r="C151" s="508"/>
      <c r="D151" s="508"/>
      <c r="E151" s="509"/>
      <c r="F151" s="509"/>
      <c r="G151" s="540" t="str">
        <f>VLOOKUP("lifetime2",translation,VLOOKUP(J2,languages,2,FALSE),FALSE)&amp;" "&amp;MIN(J5,5)&amp;" yrs"</f>
        <v>Lifetime 5 yrs</v>
      </c>
      <c r="H151" s="509"/>
      <c r="I151" s="509" t="str">
        <f>LEFT($D$7,3)</f>
        <v>EUR</v>
      </c>
      <c r="J151" s="541">
        <f>IF(J140=0,0,$J$4*SUMPRODUCT($S140:$S144,J140:J144)/PUC+$J$148-$J$149)</f>
        <v>375708.03506794723</v>
      </c>
      <c r="K151" s="541">
        <f>IF(K140=0,0,$J$4*SUMPRODUCT($S140:$S144,K140:K144)/PUC+$J$148-$J$149)</f>
        <v>377052.50644186034</v>
      </c>
      <c r="L151" s="541">
        <f>IF(L140=0,0,$J$4*SUMPRODUCT($S140:$S144,L140:L144)/PUC+$J$148-$J$149)</f>
        <v>410664.29078968638</v>
      </c>
      <c r="M151" s="871">
        <f>IF(M140=0,0,$J$4*SUMPRODUCT($S140:$S144,M140:M144)+$J$148-$J$149)/PUC</f>
        <v>0</v>
      </c>
      <c r="N151" s="872"/>
      <c r="O151" s="541">
        <f>IF(O140=0,0,$J$4*SUMPRODUCT($S140:$S144,O140:O144)+$J$148-$J$149)/PUC</f>
        <v>0</v>
      </c>
      <c r="P151" s="511"/>
      <c r="Y151" s="51" t="str">
        <f>VLOOKUP("max_lft",translation,VLOOKUP(J2,languages,2,FALSE),FALSE)</f>
        <v>&lt;-- Max lifetime limited to 5 years</v>
      </c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</row>
    <row r="152" spans="1:46" ht="12.75" customHeight="1" x14ac:dyDescent="0.2">
      <c r="A152" s="507"/>
      <c r="B152" s="508" t="str">
        <f>VLOOKUP("comments",translation,VLOOKUP(J2,languages,2,FALSE),FALSE)</f>
        <v>Additional comments/benefits if sourced</v>
      </c>
      <c r="C152" s="508"/>
      <c r="D152" s="508"/>
      <c r="E152" s="509"/>
      <c r="F152" s="509"/>
      <c r="G152" s="873"/>
      <c r="H152" s="874"/>
      <c r="I152" s="874"/>
      <c r="J152" s="874"/>
      <c r="K152" s="874"/>
      <c r="L152" s="874"/>
      <c r="M152" s="874"/>
      <c r="N152" s="874"/>
      <c r="O152" s="875"/>
      <c r="P152" s="511"/>
      <c r="R152"/>
      <c r="S152"/>
      <c r="T152"/>
      <c r="U152"/>
      <c r="V152"/>
      <c r="W152"/>
      <c r="X152"/>
      <c r="Y152" s="131"/>
      <c r="Z152" s="131"/>
      <c r="AA152" s="131"/>
      <c r="AB152" s="131"/>
      <c r="AC152" s="131"/>
      <c r="AD152" s="131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</row>
    <row r="153" spans="1:46" x14ac:dyDescent="0.2">
      <c r="A153" s="507"/>
      <c r="B153" s="508"/>
      <c r="C153" s="508"/>
      <c r="D153" s="508"/>
      <c r="E153" s="508"/>
      <c r="F153" s="508"/>
      <c r="G153" s="876"/>
      <c r="H153" s="877"/>
      <c r="I153" s="877"/>
      <c r="J153" s="877"/>
      <c r="K153" s="877"/>
      <c r="L153" s="877"/>
      <c r="M153" s="877"/>
      <c r="N153" s="877"/>
      <c r="O153" s="878"/>
      <c r="P153" s="511"/>
      <c r="R153"/>
      <c r="S153"/>
      <c r="T153"/>
      <c r="U153"/>
      <c r="V153"/>
      <c r="W153"/>
      <c r="X153"/>
      <c r="Y153" s="131"/>
      <c r="Z153" s="131"/>
      <c r="AA153" s="131"/>
      <c r="AB153" s="131"/>
      <c r="AC153" s="131"/>
      <c r="AD153" s="131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</row>
    <row r="154" spans="1:46" ht="3.75" customHeight="1" thickBot="1" x14ac:dyDescent="0.25">
      <c r="A154" s="542"/>
      <c r="B154" s="543"/>
      <c r="C154" s="543"/>
      <c r="D154" s="543"/>
      <c r="E154" s="543"/>
      <c r="F154" s="543"/>
      <c r="G154" s="543"/>
      <c r="H154" s="543"/>
      <c r="I154" s="543"/>
      <c r="J154" s="543"/>
      <c r="K154" s="543"/>
      <c r="L154" s="543"/>
      <c r="M154" s="543"/>
      <c r="N154" s="543"/>
      <c r="O154" s="543"/>
      <c r="P154" s="544"/>
      <c r="R154"/>
      <c r="S154"/>
      <c r="T154"/>
      <c r="U154"/>
      <c r="V154"/>
      <c r="W154"/>
      <c r="X154"/>
      <c r="Y154" s="131"/>
      <c r="Z154" s="131"/>
      <c r="AA154" s="131"/>
      <c r="AB154" s="131"/>
      <c r="AC154" s="131"/>
      <c r="AD154" s="131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</row>
    <row r="155" spans="1:46" ht="3.75" customHeight="1" thickBot="1" x14ac:dyDescent="0.25">
      <c r="A155" s="377"/>
      <c r="B155" s="377"/>
      <c r="C155" s="377"/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R155"/>
      <c r="S155"/>
      <c r="T155"/>
      <c r="U155"/>
      <c r="V155"/>
      <c r="W155"/>
      <c r="X155"/>
      <c r="Y155" s="131"/>
      <c r="Z155" s="131"/>
      <c r="AA155" s="131"/>
      <c r="AB155" s="131"/>
      <c r="AC155" s="131"/>
      <c r="AD155" s="131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</row>
    <row r="156" spans="1:46" ht="13.6" x14ac:dyDescent="0.25">
      <c r="A156" s="545"/>
      <c r="B156" s="546"/>
      <c r="C156" s="546"/>
      <c r="D156" s="546"/>
      <c r="E156" s="546"/>
      <c r="F156" s="547" t="str">
        <f>VLOOKUP("price_view",translation,VLOOKUP(J2,languages,2,FALSE),FALSE)&amp;": "&amp; N7&amp;" ("&amp;N8&amp;")"</f>
        <v>Pricing Overview: Housing ()</v>
      </c>
      <c r="G156" s="547"/>
      <c r="H156" s="548"/>
      <c r="I156" s="548"/>
      <c r="J156" s="548"/>
      <c r="K156" s="548"/>
      <c r="L156" s="549" t="str">
        <f>LEFT($D$7,3)</f>
        <v>EUR</v>
      </c>
      <c r="M156" s="548"/>
      <c r="N156" s="548"/>
      <c r="O156" s="548"/>
      <c r="P156" s="550"/>
      <c r="R156"/>
      <c r="S156"/>
      <c r="T156"/>
      <c r="U156"/>
      <c r="V156"/>
      <c r="W156"/>
      <c r="X156"/>
      <c r="Y156" s="131"/>
      <c r="Z156" s="131"/>
      <c r="AA156" s="131"/>
      <c r="AB156" s="131"/>
      <c r="AC156" s="131"/>
      <c r="AD156" s="131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</row>
    <row r="157" spans="1:46" ht="13.6" x14ac:dyDescent="0.25">
      <c r="A157" s="551"/>
      <c r="B157" s="552"/>
      <c r="C157" s="552"/>
      <c r="D157" s="552"/>
      <c r="E157" s="552"/>
      <c r="F157" s="182" t="str">
        <f>VLOOKUP("dmat",translation,VLOOKUP(J2,languages,2,FALSE),FALSE)</f>
        <v>Direct Material</v>
      </c>
      <c r="G157" s="182"/>
      <c r="H157" s="183"/>
      <c r="I157" s="183"/>
      <c r="J157" s="183"/>
      <c r="K157" s="183"/>
      <c r="L157" s="138">
        <f>SUM(L158:L160)</f>
        <v>4.6822314600000006</v>
      </c>
      <c r="M157" s="139">
        <f t="shared" ref="M157:M171" si="38">IF(AND(ISNUMBER($L$171),$L$171&gt;0),L157/$L$171,0)</f>
        <v>0.6225657892992178</v>
      </c>
      <c r="N157" s="553"/>
      <c r="O157" s="553"/>
      <c r="P157" s="554"/>
      <c r="R157"/>
      <c r="S157"/>
      <c r="T157"/>
      <c r="U157"/>
      <c r="V157"/>
      <c r="W157"/>
      <c r="X157"/>
      <c r="Y157" s="131"/>
      <c r="Z157" s="131"/>
      <c r="AA157" s="131"/>
      <c r="AB157" s="131"/>
      <c r="AC157" s="131"/>
      <c r="AD157" s="131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</row>
    <row r="158" spans="1:46" x14ac:dyDescent="0.2">
      <c r="A158" s="551"/>
      <c r="B158" s="552"/>
      <c r="C158" s="552"/>
      <c r="D158" s="552"/>
      <c r="E158" s="552"/>
      <c r="F158" s="555" t="str">
        <f>VLOOKUP("mat",translation,VLOOKUP(J2,languages,2,FALSE),FALSE)</f>
        <v>Material</v>
      </c>
      <c r="G158" s="555"/>
      <c r="H158" s="556"/>
      <c r="I158" s="556"/>
      <c r="J158" s="556"/>
      <c r="K158" s="556"/>
      <c r="L158" s="557">
        <f>(S12+U12)/PUC</f>
        <v>4.5900000000000007</v>
      </c>
      <c r="M158" s="558">
        <f t="shared" si="38"/>
        <v>0.61030237340795823</v>
      </c>
      <c r="N158" s="553"/>
      <c r="O158" s="553"/>
      <c r="P158" s="554"/>
      <c r="R158"/>
      <c r="S158"/>
      <c r="T158"/>
      <c r="U158"/>
      <c r="V158"/>
      <c r="W158"/>
      <c r="X158"/>
      <c r="Y158" s="131"/>
      <c r="Z158" s="131"/>
      <c r="AA158" s="131"/>
      <c r="AB158" s="131"/>
      <c r="AC158" s="131"/>
      <c r="AD158" s="131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</row>
    <row r="159" spans="1:46" x14ac:dyDescent="0.2">
      <c r="A159" s="551"/>
      <c r="B159" s="552"/>
      <c r="C159" s="552"/>
      <c r="D159" s="552"/>
      <c r="E159" s="552"/>
      <c r="F159" s="559" t="str">
        <f>VLOOKUP("purch_parts",translation,VLOOKUP(J2,languages,2,FALSE),FALSE)</f>
        <v>Purchased Parts</v>
      </c>
      <c r="G159" s="559"/>
      <c r="H159" s="560"/>
      <c r="I159" s="560"/>
      <c r="J159" s="560"/>
      <c r="K159" s="560"/>
      <c r="L159" s="561">
        <f>(S35+U35)/PUC</f>
        <v>0</v>
      </c>
      <c r="M159" s="562">
        <f t="shared" si="38"/>
        <v>0</v>
      </c>
      <c r="N159" s="553"/>
      <c r="O159" s="553"/>
      <c r="P159" s="554"/>
      <c r="R159"/>
      <c r="S159"/>
      <c r="T159"/>
      <c r="U159"/>
      <c r="V159"/>
      <c r="W159"/>
      <c r="X159"/>
      <c r="Y159" s="131"/>
      <c r="Z159" s="131"/>
      <c r="AA159" s="131"/>
      <c r="AB159" s="131"/>
      <c r="AC159" s="131"/>
      <c r="AD159" s="131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</row>
    <row r="160" spans="1:46" x14ac:dyDescent="0.2">
      <c r="A160" s="551"/>
      <c r="B160" s="552"/>
      <c r="C160" s="552"/>
      <c r="D160" s="552"/>
      <c r="E160" s="552"/>
      <c r="F160" s="559" t="str">
        <f>VLOOKUP("moh2",translation,VLOOKUP(J2,languages,2,FALSE),FALSE)</f>
        <v>Material OH</v>
      </c>
      <c r="G160" s="559"/>
      <c r="H160" s="560"/>
      <c r="I160" s="560"/>
      <c r="J160" s="560"/>
      <c r="K160" s="560"/>
      <c r="L160" s="561">
        <f>O62/PUC</f>
        <v>9.2231460000000015E-2</v>
      </c>
      <c r="M160" s="562">
        <f t="shared" si="38"/>
        <v>1.2263415891259514E-2</v>
      </c>
      <c r="N160" s="553"/>
      <c r="O160" s="553"/>
      <c r="P160" s="554"/>
      <c r="R160"/>
      <c r="S160"/>
      <c r="T160"/>
      <c r="U160"/>
      <c r="V160"/>
      <c r="W160"/>
      <c r="X160"/>
      <c r="Y160" s="131"/>
      <c r="Z160" s="131"/>
      <c r="AA160" s="131"/>
      <c r="AB160" s="131"/>
      <c r="AC160" s="131"/>
      <c r="AD160" s="131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</row>
    <row r="161" spans="1:70" ht="13.6" x14ac:dyDescent="0.25">
      <c r="A161" s="551"/>
      <c r="B161" s="552"/>
      <c r="C161" s="552"/>
      <c r="D161" s="552"/>
      <c r="E161" s="552"/>
      <c r="F161" s="184" t="str">
        <f>VLOOKUP("mc2",translation,VLOOKUP(J2,languages,2,FALSE),FALSE)</f>
        <v>Production Cost</v>
      </c>
      <c r="G161" s="185"/>
      <c r="H161" s="186"/>
      <c r="I161" s="186"/>
      <c r="J161" s="186"/>
      <c r="K161" s="186"/>
      <c r="L161" s="107">
        <f>SUM(L162:L166)</f>
        <v>2.1056248210000001</v>
      </c>
      <c r="M161" s="126">
        <f t="shared" si="38"/>
        <v>0.27997120386993618</v>
      </c>
      <c r="N161" s="553"/>
      <c r="O161" s="553"/>
      <c r="P161" s="554"/>
      <c r="R161"/>
      <c r="S161"/>
      <c r="T161"/>
      <c r="U161"/>
      <c r="V161"/>
      <c r="W161"/>
      <c r="X161"/>
      <c r="Y161" s="131"/>
      <c r="Z161" s="131"/>
      <c r="AA161" s="131"/>
      <c r="AB161" s="131"/>
      <c r="AC161" s="131"/>
      <c r="AD161" s="131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</row>
    <row r="162" spans="1:70" x14ac:dyDescent="0.2">
      <c r="A162" s="551"/>
      <c r="B162" s="552"/>
      <c r="C162" s="552"/>
      <c r="D162" s="552"/>
      <c r="E162" s="552"/>
      <c r="F162" s="563" t="str">
        <f>VLOOKUP("mach_cost2",translation,VLOOKUP(J2,languages,2,FALSE),FALSE)</f>
        <v>Machine Cost</v>
      </c>
      <c r="G162" s="563"/>
      <c r="H162" s="564"/>
      <c r="I162" s="564"/>
      <c r="J162" s="564"/>
      <c r="K162" s="564"/>
      <c r="L162" s="565">
        <f>S64/PUC</f>
        <v>1.4089609999999999</v>
      </c>
      <c r="M162" s="566">
        <f t="shared" si="38"/>
        <v>0.18734035780811548</v>
      </c>
      <c r="N162" s="553"/>
      <c r="O162" s="553"/>
      <c r="P162" s="554"/>
      <c r="R162"/>
      <c r="S162"/>
      <c r="T162"/>
      <c r="U162"/>
      <c r="V162"/>
      <c r="W162"/>
      <c r="X162"/>
      <c r="Y162" s="131"/>
      <c r="Z162" s="131"/>
      <c r="AA162" s="131"/>
      <c r="AB162" s="131"/>
      <c r="AC162" s="131"/>
      <c r="AD162" s="131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</row>
    <row r="163" spans="1:70" x14ac:dyDescent="0.2">
      <c r="A163" s="551"/>
      <c r="B163" s="552"/>
      <c r="C163" s="552"/>
      <c r="D163" s="552"/>
      <c r="E163" s="552"/>
      <c r="F163" s="567" t="str">
        <f>VLOOKUP("dl",translation,VLOOKUP(J2,languages,2,FALSE),FALSE)</f>
        <v>Direct Labour</v>
      </c>
      <c r="G163" s="567"/>
      <c r="H163" s="568"/>
      <c r="I163" s="568"/>
      <c r="J163" s="568"/>
      <c r="K163" s="568"/>
      <c r="L163" s="569">
        <f>T64/PUC</f>
        <v>0.40656999999999999</v>
      </c>
      <c r="M163" s="570">
        <f t="shared" si="38"/>
        <v>5.4058962082020379E-2</v>
      </c>
      <c r="N163" s="553"/>
      <c r="O163" s="553"/>
      <c r="P163" s="554"/>
      <c r="R163"/>
      <c r="S163"/>
      <c r="T163"/>
      <c r="U163"/>
      <c r="V163"/>
      <c r="W163"/>
      <c r="X163"/>
      <c r="Y163" s="131"/>
      <c r="Z163" s="131"/>
      <c r="AA163" s="131"/>
      <c r="AB163" s="131"/>
      <c r="AC163" s="131"/>
      <c r="AD163" s="131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</row>
    <row r="164" spans="1:70" x14ac:dyDescent="0.2">
      <c r="A164" s="551"/>
      <c r="B164" s="552"/>
      <c r="C164" s="552"/>
      <c r="D164" s="552"/>
      <c r="E164" s="552"/>
      <c r="F164" s="567" t="str">
        <f>VLOOKUP("poh2",translation,VLOOKUP(J2,languages,2,FALSE),FALSE)</f>
        <v>Production OH</v>
      </c>
      <c r="G164" s="567"/>
      <c r="H164" s="568"/>
      <c r="I164" s="568"/>
      <c r="J164" s="568"/>
      <c r="K164" s="568"/>
      <c r="L164" s="569">
        <f>O91/PUC</f>
        <v>8.3468820999999999E-2</v>
      </c>
      <c r="M164" s="570">
        <f t="shared" si="38"/>
        <v>1.1098304915438784E-2</v>
      </c>
      <c r="N164" s="553"/>
      <c r="O164" s="553"/>
      <c r="P164" s="554"/>
      <c r="R164"/>
      <c r="S164"/>
      <c r="T164"/>
      <c r="U164"/>
      <c r="V164"/>
      <c r="W164"/>
      <c r="X164"/>
      <c r="Y164" s="131"/>
      <c r="Z164" s="131"/>
      <c r="AA164" s="131"/>
      <c r="AB164" s="131"/>
      <c r="AC164" s="131"/>
      <c r="AD164" s="131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</row>
    <row r="165" spans="1:70" x14ac:dyDescent="0.2">
      <c r="A165" s="551"/>
      <c r="B165" s="552"/>
      <c r="C165" s="552"/>
      <c r="D165" s="552"/>
      <c r="E165" s="552"/>
      <c r="F165" s="567" t="str">
        <f>VLOOKUP("setup_cost2",translation,VLOOKUP(J2,languages,2,FALSE),FALSE)</f>
        <v>Setup Costs</v>
      </c>
      <c r="G165" s="567"/>
      <c r="H165" s="568"/>
      <c r="I165" s="568"/>
      <c r="J165" s="568"/>
      <c r="K165" s="568"/>
      <c r="L165" s="569">
        <f>U64/PUC</f>
        <v>0.206625</v>
      </c>
      <c r="M165" s="570">
        <f t="shared" si="38"/>
        <v>2.7473579064361518E-2</v>
      </c>
      <c r="N165" s="553"/>
      <c r="O165" s="553"/>
      <c r="P165" s="554"/>
      <c r="R165"/>
      <c r="S165"/>
      <c r="T165"/>
      <c r="U165"/>
      <c r="V165"/>
      <c r="W165"/>
      <c r="X165"/>
      <c r="Y165" s="131"/>
      <c r="Z165" s="131"/>
      <c r="AA165" s="131"/>
      <c r="AB165" s="131"/>
      <c r="AC165" s="131"/>
      <c r="AD165" s="131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</row>
    <row r="166" spans="1:70" x14ac:dyDescent="0.2">
      <c r="A166" s="551"/>
      <c r="B166" s="552"/>
      <c r="C166" s="552"/>
      <c r="D166" s="552"/>
      <c r="E166" s="552"/>
      <c r="F166" s="567" t="str">
        <f>VLOOKUP("tool_cost2",translation,VLOOKUP(J2,languages,2,FALSE),FALSE)</f>
        <v>Tooling Costs</v>
      </c>
      <c r="G166" s="567"/>
      <c r="H166" s="568"/>
      <c r="I166" s="568"/>
      <c r="J166" s="568"/>
      <c r="K166" s="568"/>
      <c r="L166" s="569">
        <f>V64/PUC</f>
        <v>0</v>
      </c>
      <c r="M166" s="570">
        <f t="shared" si="38"/>
        <v>0</v>
      </c>
      <c r="N166" s="553"/>
      <c r="O166" s="553"/>
      <c r="P166" s="554"/>
      <c r="R166"/>
      <c r="S166"/>
      <c r="T166"/>
      <c r="U166"/>
      <c r="V166"/>
      <c r="W166"/>
      <c r="X166"/>
      <c r="Y166" s="131"/>
      <c r="Z166" s="131"/>
      <c r="AA166" s="131"/>
      <c r="AB166" s="131"/>
      <c r="AC166" s="131"/>
      <c r="AD166" s="131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</row>
    <row r="167" spans="1:70" ht="13.6" x14ac:dyDescent="0.25">
      <c r="A167" s="551"/>
      <c r="B167" s="552"/>
      <c r="C167" s="552"/>
      <c r="D167" s="552"/>
      <c r="E167" s="552"/>
      <c r="F167" s="187" t="str">
        <f>VLOOKUP("scrap_cost2",translation,VLOOKUP(J2,languages,2,FALSE),FALSE)</f>
        <v>Scrap Costs</v>
      </c>
      <c r="G167" s="187"/>
      <c r="H167" s="188"/>
      <c r="I167" s="188"/>
      <c r="J167" s="188"/>
      <c r="K167" s="188"/>
      <c r="L167" s="142">
        <f>(O92)/PUC</f>
        <v>9.8941000000000001E-2</v>
      </c>
      <c r="M167" s="143">
        <f t="shared" si="38"/>
        <v>1.3155539679162699E-2</v>
      </c>
      <c r="N167" s="553"/>
      <c r="O167" s="553"/>
      <c r="P167" s="554"/>
      <c r="R167"/>
      <c r="S167"/>
      <c r="T167"/>
      <c r="U167"/>
      <c r="V167"/>
      <c r="W167"/>
      <c r="X167" s="128"/>
      <c r="Y167" s="35"/>
      <c r="Z167" s="35"/>
      <c r="AA167" s="131"/>
      <c r="AB167" s="131"/>
      <c r="AC167" s="131"/>
      <c r="AD167" s="131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</row>
    <row r="168" spans="1:70" ht="13.6" x14ac:dyDescent="0.25">
      <c r="A168" s="551"/>
      <c r="B168" s="552"/>
      <c r="C168" s="552"/>
      <c r="D168" s="552"/>
      <c r="E168" s="552"/>
      <c r="F168" s="189" t="str">
        <f>VLOOKUP("ohs",translation,VLOOKUP(J2,languages,2,FALSE),FALSE)</f>
        <v>Overheads (SG&amp;A;Eng)</v>
      </c>
      <c r="G168" s="189"/>
      <c r="H168" s="190"/>
      <c r="I168" s="190"/>
      <c r="J168" s="190"/>
      <c r="K168" s="190"/>
      <c r="L168" s="74">
        <f>(O97+O98)/PUC</f>
        <v>0.18108373460599997</v>
      </c>
      <c r="M168" s="127">
        <f t="shared" si="38"/>
        <v>2.4077523532814508E-2</v>
      </c>
      <c r="N168" s="553"/>
      <c r="O168" s="553"/>
      <c r="P168" s="554"/>
      <c r="R168"/>
      <c r="S168"/>
      <c r="T168"/>
      <c r="U168"/>
      <c r="V168"/>
      <c r="W168"/>
      <c r="X168" s="128"/>
      <c r="Y168" s="129" t="str">
        <f>"&lt;- "&amp;TEXT(IF($L$171&gt;0,SUM(L160,L162,L164:L166,L168:L170)/$L$171,0),"0%")&amp; " " &amp; VLOOKUP("contr",translation,VLOOKUP(J2,languages,2,FALSE),FALSE)</f>
        <v>&lt;- 32% Contribution Margin</v>
      </c>
      <c r="Z168" s="130"/>
      <c r="AA168" s="129"/>
      <c r="AB168"/>
      <c r="AC168"/>
      <c r="AD168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</row>
    <row r="169" spans="1:70" ht="13.6" x14ac:dyDescent="0.25">
      <c r="A169" s="551"/>
      <c r="B169" s="552"/>
      <c r="C169" s="552"/>
      <c r="D169" s="552"/>
      <c r="E169" s="552"/>
      <c r="F169" s="571" t="str">
        <f>VLOOKUP("special_cost",translation,VLOOKUP(J2,languages,2,FALSE),FALSE)</f>
        <v>Special Costs</v>
      </c>
      <c r="G169" s="571"/>
      <c r="H169" s="572"/>
      <c r="I169" s="572"/>
      <c r="J169" s="572"/>
      <c r="K169" s="572"/>
      <c r="L169" s="573">
        <f>(O99+O100)/PUC</f>
        <v>0</v>
      </c>
      <c r="M169" s="574">
        <f t="shared" si="38"/>
        <v>0</v>
      </c>
      <c r="N169" s="553"/>
      <c r="O169" s="553"/>
      <c r="P169" s="554"/>
      <c r="R169"/>
      <c r="S169"/>
      <c r="T169"/>
      <c r="U169"/>
      <c r="V169"/>
      <c r="W169"/>
      <c r="X169"/>
      <c r="Y169" s="129" t="str">
        <f>"&lt;- "&amp;TEXT(IF($L$171&gt;0,SUM(L168:L170)/$L$171,0),"0%")&amp;" "&amp; VLOOKUP("gross_margin",translation,VLOOKUP(J2,languages,2,FALSE),FALSE)</f>
        <v>&lt;- 8% Gross Margin</v>
      </c>
      <c r="Z169" s="130"/>
      <c r="AA169" s="129"/>
      <c r="AB169"/>
      <c r="AC169"/>
      <c r="AD169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</row>
    <row r="170" spans="1:70" ht="13.6" x14ac:dyDescent="0.25">
      <c r="A170" s="551"/>
      <c r="B170" s="552"/>
      <c r="C170" s="552"/>
      <c r="D170" s="552"/>
      <c r="E170" s="552"/>
      <c r="F170" s="191" t="str">
        <f>VLOOKUP("profit3",translation,VLOOKUP(J2,languages,2,FALSE),FALSE)</f>
        <v>Profit</v>
      </c>
      <c r="G170" s="191"/>
      <c r="H170" s="192"/>
      <c r="I170" s="192"/>
      <c r="J170" s="192"/>
      <c r="K170" s="192"/>
      <c r="L170" s="140">
        <f>(O101+O102+O103)/PUC</f>
        <v>0.45298110126439012</v>
      </c>
      <c r="M170" s="141">
        <f t="shared" si="38"/>
        <v>6.0229943618868832E-2</v>
      </c>
      <c r="N170" s="553"/>
      <c r="O170" s="553"/>
      <c r="P170" s="554"/>
      <c r="R170"/>
      <c r="S170"/>
      <c r="T170"/>
      <c r="U170"/>
      <c r="V170"/>
      <c r="W170"/>
      <c r="X170"/>
      <c r="Y170" s="131"/>
      <c r="Z170" s="131"/>
      <c r="AA170" s="131"/>
      <c r="AB170" s="131"/>
      <c r="AC170" s="131"/>
      <c r="AD170" s="131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</row>
    <row r="171" spans="1:70" ht="13.6" x14ac:dyDescent="0.25">
      <c r="A171" s="575"/>
      <c r="B171" s="552"/>
      <c r="C171" s="552"/>
      <c r="D171" s="552"/>
      <c r="E171" s="552"/>
      <c r="F171" s="193" t="str">
        <f>VLOOKUP("price2",translation,VLOOKUP(J2,languages,2,FALSE),FALSE)</f>
        <v>Pricing acc. to breakdown</v>
      </c>
      <c r="G171" s="193"/>
      <c r="H171" s="194"/>
      <c r="I171" s="194"/>
      <c r="J171" s="194"/>
      <c r="K171" s="194"/>
      <c r="L171" s="136">
        <f>SUM(L157,L161,L167,L168,L169,L170)</f>
        <v>7.5208621168703909</v>
      </c>
      <c r="M171" s="137">
        <f t="shared" si="38"/>
        <v>1</v>
      </c>
      <c r="N171" s="576"/>
      <c r="O171" s="577"/>
      <c r="P171" s="554"/>
      <c r="R171"/>
      <c r="S171"/>
      <c r="T171"/>
      <c r="U171"/>
      <c r="V171"/>
      <c r="W171"/>
      <c r="X171"/>
      <c r="Y171" s="35"/>
      <c r="Z171" s="35"/>
      <c r="AA171" s="131"/>
      <c r="AB171" s="131"/>
      <c r="AC171" s="131"/>
      <c r="AD171" s="131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</row>
    <row r="172" spans="1:70" x14ac:dyDescent="0.2">
      <c r="A172" s="551"/>
      <c r="B172" s="552"/>
      <c r="C172" s="552"/>
      <c r="D172" s="552"/>
      <c r="E172" s="552"/>
      <c r="F172" s="578" t="str">
        <f>VLOOKUP("pack",translation,VLOOKUP(J2,languages,2,FALSE),FALSE)&amp;" ("&amp;$K$112&amp;")"</f>
        <v>Packaging (returnable)</v>
      </c>
      <c r="G172" s="578"/>
      <c r="H172" s="579"/>
      <c r="I172" s="579"/>
      <c r="J172" s="579"/>
      <c r="K172" s="579"/>
      <c r="L172" s="580">
        <f>IF(K112="none",0,VLOOKUP(K112,B$108:O$109,14,0)/PUC)</f>
        <v>3.4782608695652174E-2</v>
      </c>
      <c r="M172" s="581"/>
      <c r="N172" s="553"/>
      <c r="O172" s="553"/>
      <c r="P172" s="554"/>
      <c r="R172"/>
      <c r="S172"/>
      <c r="T172"/>
      <c r="U172"/>
      <c r="V172"/>
      <c r="W172"/>
      <c r="X172"/>
      <c r="Y172" s="131"/>
      <c r="Z172" s="131"/>
      <c r="AA172" s="131"/>
      <c r="AB172" s="131"/>
      <c r="AC172" s="131"/>
      <c r="AD172" s="131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</row>
    <row r="173" spans="1:70" x14ac:dyDescent="0.2">
      <c r="A173" s="551"/>
      <c r="B173" s="552"/>
      <c r="C173" s="552"/>
      <c r="D173" s="552"/>
      <c r="E173" s="552"/>
      <c r="F173" s="578" t="str">
        <f>VLOOKUP("logi",translation,VLOOKUP(J2,languages,2,FALSE),FALSE)&amp;" ("&amp;$C$112&amp;" "&amp;$D$112&amp;")"</f>
        <v>Logistics (DDP Hamburg)</v>
      </c>
      <c r="G173" s="578"/>
      <c r="H173" s="579"/>
      <c r="I173" s="579"/>
      <c r="J173" s="579"/>
      <c r="K173" s="579"/>
      <c r="L173" s="582">
        <f>O112/PUC</f>
        <v>0.86956521739130432</v>
      </c>
      <c r="M173" s="581"/>
      <c r="N173" s="553"/>
      <c r="O173" s="553"/>
      <c r="P173" s="554"/>
      <c r="R173"/>
      <c r="S173"/>
      <c r="T173"/>
      <c r="U173"/>
      <c r="V173"/>
      <c r="W173"/>
      <c r="X173"/>
      <c r="Y173" s="131"/>
      <c r="Z173" s="131"/>
      <c r="AA173" s="131"/>
      <c r="AB173" s="131"/>
      <c r="AC173" s="131"/>
      <c r="AD173" s="131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</row>
    <row r="174" spans="1:70" ht="13.6" x14ac:dyDescent="0.25">
      <c r="A174" s="575"/>
      <c r="B174" s="552"/>
      <c r="C174" s="552"/>
      <c r="D174" s="552"/>
      <c r="E174" s="552"/>
      <c r="F174" s="879" t="str">
        <f>VLOOKUP("final",translation,VLOOKUP(J2,languages,2,FALSE),FALSE)&amp;" ("&amp;J117&amp;")"</f>
        <v>Final Price (DDP Hamburg, returnable packaging)</v>
      </c>
      <c r="G174" s="880"/>
      <c r="H174" s="880"/>
      <c r="I174" s="880"/>
      <c r="J174" s="880"/>
      <c r="K174" s="881"/>
      <c r="L174" s="583">
        <f>SUM(L171:L173)</f>
        <v>8.4252099429573466</v>
      </c>
      <c r="M174" s="581"/>
      <c r="N174" s="553"/>
      <c r="O174" s="584"/>
      <c r="P174" s="585"/>
      <c r="R174"/>
      <c r="S174"/>
      <c r="T174"/>
      <c r="U174"/>
      <c r="V174"/>
      <c r="W174"/>
      <c r="X174"/>
      <c r="Y174" s="131"/>
      <c r="Z174" s="131"/>
      <c r="AA174" s="131"/>
      <c r="AB174" s="131"/>
      <c r="AC174" s="131"/>
      <c r="AD174" s="131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</row>
    <row r="175" spans="1:70" ht="5.95" customHeight="1" thickBot="1" x14ac:dyDescent="0.25">
      <c r="A175" s="542"/>
      <c r="B175" s="543"/>
      <c r="C175" s="543"/>
      <c r="D175" s="543"/>
      <c r="E175" s="543"/>
      <c r="F175" s="586"/>
      <c r="G175" s="586"/>
      <c r="H175" s="586"/>
      <c r="I175" s="587"/>
      <c r="J175" s="586"/>
      <c r="K175" s="586"/>
      <c r="L175" s="586"/>
      <c r="M175" s="586"/>
      <c r="N175" s="586"/>
      <c r="O175" s="588"/>
      <c r="P175" s="589"/>
      <c r="R175"/>
      <c r="S175"/>
      <c r="T175"/>
      <c r="U175"/>
      <c r="V175"/>
      <c r="W175"/>
      <c r="X175"/>
      <c r="Y175" s="131"/>
      <c r="Z175" s="131"/>
      <c r="AA175" s="131"/>
      <c r="AB175" s="131"/>
      <c r="AC175" s="131"/>
      <c r="AD175" s="131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</row>
    <row r="176" spans="1:70" ht="14.3" thickBot="1" x14ac:dyDescent="0.3">
      <c r="O176" s="28"/>
      <c r="S176" s="291" t="s">
        <v>791</v>
      </c>
      <c r="T176" s="1"/>
      <c r="V176" s="79"/>
      <c r="W176" s="7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</row>
    <row r="177" spans="5:70" x14ac:dyDescent="0.2">
      <c r="O177" s="28"/>
      <c r="R177" s="1"/>
      <c r="S177" s="292" t="s">
        <v>81</v>
      </c>
      <c r="T177" s="1"/>
      <c r="U177" s="1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</row>
    <row r="178" spans="5:70" x14ac:dyDescent="0.2">
      <c r="O178" s="28"/>
      <c r="S178" s="293" t="s">
        <v>82</v>
      </c>
      <c r="T178" s="1"/>
      <c r="V178" s="79"/>
      <c r="W178" s="7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</row>
    <row r="179" spans="5:70" x14ac:dyDescent="0.2">
      <c r="S179" s="293" t="s">
        <v>83</v>
      </c>
      <c r="T179" s="1"/>
      <c r="V179" s="79"/>
      <c r="W179" s="7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</row>
    <row r="180" spans="5:70" x14ac:dyDescent="0.2">
      <c r="S180" s="293" t="s">
        <v>84</v>
      </c>
      <c r="T180" s="1"/>
      <c r="V180" s="79"/>
      <c r="W180" s="7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</row>
    <row r="181" spans="5:70" ht="13.6" x14ac:dyDescent="0.25">
      <c r="E181" s="29"/>
      <c r="S181" s="293" t="s">
        <v>85</v>
      </c>
      <c r="T181" s="1"/>
      <c r="V181" s="79"/>
      <c r="W181" s="7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</row>
    <row r="182" spans="5:70" x14ac:dyDescent="0.2">
      <c r="F182" s="7"/>
      <c r="G182" s="7"/>
      <c r="S182" s="293" t="s">
        <v>86</v>
      </c>
      <c r="T182" s="1"/>
      <c r="V182" s="79"/>
      <c r="W182" s="7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</row>
    <row r="183" spans="5:70" x14ac:dyDescent="0.2">
      <c r="F183" s="30"/>
      <c r="G183" s="30"/>
      <c r="H183" s="7"/>
      <c r="I183" s="7"/>
      <c r="S183" s="293" t="s">
        <v>87</v>
      </c>
      <c r="T183" s="1"/>
      <c r="V183" s="79"/>
      <c r="W183" s="7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</row>
    <row r="184" spans="5:70" x14ac:dyDescent="0.2">
      <c r="F184" s="30"/>
      <c r="G184" s="30"/>
      <c r="H184" s="30"/>
      <c r="I184" s="30"/>
      <c r="S184" s="293" t="s">
        <v>88</v>
      </c>
      <c r="T184" s="1"/>
      <c r="V184" s="79"/>
      <c r="W184" s="7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</row>
    <row r="185" spans="5:70" x14ac:dyDescent="0.2">
      <c r="F185" s="30"/>
      <c r="G185" s="30"/>
      <c r="H185" s="30"/>
      <c r="I185" s="30"/>
      <c r="S185" s="293" t="s">
        <v>89</v>
      </c>
      <c r="V185" s="79"/>
      <c r="W185" s="7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</row>
    <row r="186" spans="5:70" x14ac:dyDescent="0.2">
      <c r="H186" s="30"/>
      <c r="I186" s="30"/>
      <c r="S186" s="293" t="s">
        <v>90</v>
      </c>
      <c r="V186" s="79"/>
      <c r="W186" s="7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</row>
    <row r="187" spans="5:70" x14ac:dyDescent="0.2">
      <c r="S187" s="293" t="s">
        <v>99</v>
      </c>
      <c r="V187" s="79"/>
      <c r="W187" s="7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</row>
    <row r="188" spans="5:70" ht="13.6" thickBot="1" x14ac:dyDescent="0.25">
      <c r="S188" s="294" t="s">
        <v>91</v>
      </c>
      <c r="V188" s="79"/>
      <c r="W188" s="7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</row>
    <row r="189" spans="5:70" ht="14.3" thickBot="1" x14ac:dyDescent="0.3">
      <c r="S189" s="295" t="s">
        <v>792</v>
      </c>
      <c r="V189" s="79"/>
      <c r="W189" s="7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</row>
    <row r="190" spans="5:70" x14ac:dyDescent="0.2">
      <c r="S190" s="296" t="s">
        <v>793</v>
      </c>
      <c r="V190" s="79"/>
      <c r="W190" s="7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</row>
    <row r="191" spans="5:70" x14ac:dyDescent="0.2">
      <c r="S191" s="297" t="s">
        <v>794</v>
      </c>
      <c r="V191" s="79"/>
      <c r="W191" s="7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</row>
    <row r="192" spans="5:70" x14ac:dyDescent="0.2">
      <c r="S192" s="297" t="s">
        <v>795</v>
      </c>
      <c r="V192" s="79"/>
      <c r="W192" s="7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</row>
    <row r="193" spans="19:70" x14ac:dyDescent="0.2">
      <c r="S193" s="297" t="s">
        <v>796</v>
      </c>
      <c r="V193" s="79"/>
      <c r="W193" s="7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</row>
    <row r="194" spans="19:70" x14ac:dyDescent="0.2">
      <c r="S194" s="297" t="s">
        <v>797</v>
      </c>
      <c r="V194" s="79"/>
      <c r="W194" s="7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</row>
    <row r="195" spans="19:70" x14ac:dyDescent="0.2">
      <c r="S195" s="298" t="s">
        <v>798</v>
      </c>
      <c r="V195" s="79"/>
      <c r="W195" s="7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</row>
    <row r="196" spans="19:70" x14ac:dyDescent="0.2">
      <c r="S196" s="298" t="s">
        <v>799</v>
      </c>
      <c r="V196" s="79"/>
      <c r="W196" s="7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</row>
    <row r="197" spans="19:70" x14ac:dyDescent="0.2">
      <c r="S197" s="298" t="s">
        <v>800</v>
      </c>
      <c r="V197" s="79"/>
      <c r="W197" s="7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</row>
    <row r="198" spans="19:70" x14ac:dyDescent="0.2">
      <c r="S198" s="298" t="s">
        <v>801</v>
      </c>
      <c r="V198" s="79"/>
      <c r="W198" s="7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</row>
    <row r="199" spans="19:70" ht="13.6" thickBot="1" x14ac:dyDescent="0.25">
      <c r="S199" s="299" t="s">
        <v>802</v>
      </c>
      <c r="V199" s="79"/>
      <c r="W199" s="7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</row>
    <row r="200" spans="19:70" x14ac:dyDescent="0.2">
      <c r="V200" s="79"/>
      <c r="W200" s="7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</row>
    <row r="201" spans="19:70" x14ac:dyDescent="0.2">
      <c r="V201" s="79"/>
      <c r="W201" s="7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</row>
    <row r="202" spans="19:70" x14ac:dyDescent="0.2">
      <c r="V202" s="79"/>
      <c r="W202" s="7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</row>
    <row r="203" spans="19:70" x14ac:dyDescent="0.2">
      <c r="V203" s="79"/>
      <c r="W203" s="7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</row>
    <row r="204" spans="19:70" x14ac:dyDescent="0.2">
      <c r="V204" s="79"/>
      <c r="W204" s="7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</row>
    <row r="205" spans="19:70" x14ac:dyDescent="0.2">
      <c r="V205" s="79"/>
      <c r="W205" s="7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</row>
    <row r="206" spans="19:70" x14ac:dyDescent="0.2">
      <c r="V206" s="79"/>
      <c r="W206" s="7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</row>
    <row r="207" spans="19:70" x14ac:dyDescent="0.2">
      <c r="V207" s="79"/>
      <c r="W207" s="7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</row>
    <row r="208" spans="19:70" x14ac:dyDescent="0.2">
      <c r="V208" s="79"/>
      <c r="W208" s="7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</row>
    <row r="209" spans="22:70" x14ac:dyDescent="0.2">
      <c r="V209" s="79"/>
      <c r="W209" s="7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</row>
    <row r="210" spans="22:70" x14ac:dyDescent="0.2">
      <c r="V210" s="79"/>
      <c r="W210" s="7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</row>
    <row r="211" spans="22:70" x14ac:dyDescent="0.2">
      <c r="V211" s="79"/>
      <c r="W211" s="7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</row>
    <row r="212" spans="22:70" x14ac:dyDescent="0.2">
      <c r="V212" s="79"/>
      <c r="W212" s="7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</row>
    <row r="213" spans="22:70" x14ac:dyDescent="0.2">
      <c r="V213" s="79"/>
      <c r="W213" s="7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</row>
    <row r="214" spans="22:70" x14ac:dyDescent="0.2">
      <c r="V214" s="79"/>
      <c r="W214" s="7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</row>
    <row r="215" spans="22:70" x14ac:dyDescent="0.2">
      <c r="V215" s="79"/>
      <c r="W215" s="7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</row>
    <row r="216" spans="22:70" x14ac:dyDescent="0.2">
      <c r="V216" s="79"/>
      <c r="W216" s="7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</row>
    <row r="217" spans="22:70" x14ac:dyDescent="0.2">
      <c r="V217" s="79"/>
      <c r="W217" s="7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</row>
    <row r="218" spans="22:70" x14ac:dyDescent="0.2">
      <c r="V218" s="79"/>
      <c r="W218" s="7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</row>
    <row r="219" spans="22:70" x14ac:dyDescent="0.2">
      <c r="V219" s="79"/>
      <c r="W219" s="7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</row>
    <row r="220" spans="22:70" x14ac:dyDescent="0.2">
      <c r="V220" s="79"/>
      <c r="W220" s="7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</row>
    <row r="221" spans="22:70" x14ac:dyDescent="0.2">
      <c r="V221" s="79"/>
      <c r="W221" s="7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</row>
    <row r="222" spans="22:70" x14ac:dyDescent="0.2">
      <c r="V222" s="79"/>
      <c r="W222" s="7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</row>
    <row r="223" spans="22:70" x14ac:dyDescent="0.2">
      <c r="V223" s="79"/>
      <c r="W223" s="7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</row>
    <row r="224" spans="22:70" x14ac:dyDescent="0.2">
      <c r="V224" s="79"/>
      <c r="W224" s="7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</row>
    <row r="225" spans="22:70" x14ac:dyDescent="0.2">
      <c r="V225" s="79"/>
      <c r="W225" s="7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</row>
    <row r="226" spans="22:70" x14ac:dyDescent="0.2">
      <c r="V226" s="79"/>
      <c r="W226" s="7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</row>
    <row r="227" spans="22:70" x14ac:dyDescent="0.2">
      <c r="V227" s="79"/>
      <c r="W227" s="7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</row>
    <row r="228" spans="22:70" x14ac:dyDescent="0.2">
      <c r="V228" s="79"/>
      <c r="W228" s="7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</row>
    <row r="229" spans="22:70" x14ac:dyDescent="0.2">
      <c r="V229" s="79"/>
      <c r="W229" s="7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</row>
    <row r="230" spans="22:70" x14ac:dyDescent="0.2">
      <c r="V230" s="79"/>
      <c r="W230" s="7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</row>
    <row r="231" spans="22:70" x14ac:dyDescent="0.2">
      <c r="V231" s="79"/>
      <c r="W231" s="7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</row>
    <row r="232" spans="22:70" x14ac:dyDescent="0.2">
      <c r="V232" s="79"/>
      <c r="W232" s="7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</row>
    <row r="233" spans="22:70" x14ac:dyDescent="0.2">
      <c r="V233" s="79"/>
      <c r="W233" s="7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</row>
    <row r="234" spans="22:70" x14ac:dyDescent="0.2">
      <c r="V234" s="79"/>
      <c r="W234" s="7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</row>
    <row r="235" spans="22:70" x14ac:dyDescent="0.2">
      <c r="V235" s="79"/>
      <c r="W235" s="7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</row>
    <row r="236" spans="22:70" x14ac:dyDescent="0.2">
      <c r="V236" s="79"/>
      <c r="W236" s="7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</row>
    <row r="237" spans="22:70" x14ac:dyDescent="0.2">
      <c r="V237" s="79"/>
      <c r="W237" s="7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</row>
    <row r="238" spans="22:70" x14ac:dyDescent="0.2">
      <c r="V238" s="79"/>
      <c r="W238" s="7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</row>
    <row r="239" spans="22:70" x14ac:dyDescent="0.2">
      <c r="V239" s="79"/>
      <c r="W239" s="7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</row>
    <row r="240" spans="22:70" x14ac:dyDescent="0.2">
      <c r="V240" s="79"/>
      <c r="W240" s="7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</row>
    <row r="241" spans="22:70" x14ac:dyDescent="0.2">
      <c r="V241" s="79"/>
      <c r="W241" s="7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</row>
    <row r="242" spans="22:70" x14ac:dyDescent="0.2">
      <c r="V242" s="79"/>
      <c r="W242" s="7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</row>
    <row r="243" spans="22:70" x14ac:dyDescent="0.2">
      <c r="V243" s="79"/>
      <c r="W243" s="7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</row>
    <row r="244" spans="22:70" x14ac:dyDescent="0.2">
      <c r="V244" s="79"/>
      <c r="W244" s="7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</row>
    <row r="245" spans="22:70" x14ac:dyDescent="0.2">
      <c r="V245" s="79"/>
      <c r="W245" s="7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</row>
    <row r="246" spans="22:70" x14ac:dyDescent="0.2">
      <c r="V246" s="79"/>
      <c r="W246" s="7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</row>
    <row r="247" spans="22:70" x14ac:dyDescent="0.2">
      <c r="V247" s="79"/>
      <c r="W247" s="7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</row>
    <row r="248" spans="22:70" x14ac:dyDescent="0.2">
      <c r="V248" s="79"/>
      <c r="W248" s="7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</row>
    <row r="249" spans="22:70" x14ac:dyDescent="0.2">
      <c r="V249" s="79"/>
      <c r="W249" s="7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</row>
    <row r="250" spans="22:70" x14ac:dyDescent="0.2">
      <c r="V250" s="79"/>
      <c r="W250" s="7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</row>
    <row r="251" spans="22:70" x14ac:dyDescent="0.2">
      <c r="V251" s="79"/>
      <c r="W251" s="7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</row>
    <row r="252" spans="22:70" x14ac:dyDescent="0.2">
      <c r="V252" s="79"/>
      <c r="W252" s="7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</row>
    <row r="253" spans="22:70" x14ac:dyDescent="0.2">
      <c r="V253" s="79"/>
      <c r="W253" s="7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</row>
    <row r="254" spans="22:70" x14ac:dyDescent="0.2">
      <c r="V254" s="79"/>
      <c r="W254" s="7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</row>
    <row r="255" spans="22:70" x14ac:dyDescent="0.2">
      <c r="V255" s="79"/>
      <c r="W255" s="7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</row>
    <row r="256" spans="22:70" x14ac:dyDescent="0.2">
      <c r="V256" s="79"/>
      <c r="W256" s="7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</row>
    <row r="257" spans="22:70" x14ac:dyDescent="0.2">
      <c r="V257" s="79"/>
      <c r="W257" s="7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</row>
    <row r="258" spans="22:70" x14ac:dyDescent="0.2">
      <c r="V258" s="79"/>
      <c r="W258" s="7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</row>
    <row r="259" spans="22:70" x14ac:dyDescent="0.2">
      <c r="V259" s="79"/>
      <c r="W259" s="7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</row>
    <row r="260" spans="22:70" x14ac:dyDescent="0.2">
      <c r="V260" s="79"/>
      <c r="W260" s="7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</row>
    <row r="261" spans="22:70" x14ac:dyDescent="0.2">
      <c r="V261" s="79"/>
      <c r="W261" s="7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</row>
    <row r="262" spans="22:70" x14ac:dyDescent="0.2">
      <c r="V262" s="79"/>
      <c r="W262" s="7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</row>
    <row r="263" spans="22:70" x14ac:dyDescent="0.2">
      <c r="V263" s="79"/>
      <c r="W263" s="7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</row>
    <row r="264" spans="22:70" x14ac:dyDescent="0.2">
      <c r="V264" s="79"/>
      <c r="W264" s="7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</row>
    <row r="265" spans="22:70" x14ac:dyDescent="0.2">
      <c r="V265" s="79"/>
      <c r="W265" s="7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</row>
    <row r="266" spans="22:70" x14ac:dyDescent="0.2">
      <c r="V266" s="79"/>
      <c r="W266" s="7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</row>
    <row r="267" spans="22:70" x14ac:dyDescent="0.2">
      <c r="V267" s="79"/>
      <c r="W267" s="7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</row>
    <row r="268" spans="22:70" x14ac:dyDescent="0.2">
      <c r="V268" s="79"/>
      <c r="W268" s="7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</row>
    <row r="269" spans="22:70" x14ac:dyDescent="0.2">
      <c r="V269" s="79"/>
      <c r="W269" s="7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</row>
    <row r="270" spans="22:70" x14ac:dyDescent="0.2">
      <c r="V270" s="79"/>
      <c r="W270" s="7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</row>
    <row r="271" spans="22:70" x14ac:dyDescent="0.2">
      <c r="V271" s="79"/>
      <c r="W271" s="7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</row>
    <row r="272" spans="22:70" x14ac:dyDescent="0.2">
      <c r="V272" s="79"/>
      <c r="W272" s="7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</row>
    <row r="273" spans="22:70" x14ac:dyDescent="0.2">
      <c r="V273" s="79"/>
      <c r="W273" s="7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</row>
    <row r="274" spans="22:70" x14ac:dyDescent="0.2">
      <c r="V274" s="79"/>
      <c r="W274" s="7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</row>
    <row r="275" spans="22:70" x14ac:dyDescent="0.2">
      <c r="V275" s="79"/>
      <c r="W275" s="7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</row>
    <row r="276" spans="22:70" x14ac:dyDescent="0.2">
      <c r="V276" s="79"/>
      <c r="W276" s="7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</row>
    <row r="277" spans="22:70" x14ac:dyDescent="0.2">
      <c r="V277" s="79"/>
      <c r="W277" s="7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</row>
    <row r="278" spans="22:70" x14ac:dyDescent="0.2">
      <c r="V278" s="79"/>
      <c r="W278" s="7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</row>
    <row r="279" spans="22:70" x14ac:dyDescent="0.2">
      <c r="V279" s="79"/>
      <c r="W279" s="7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</row>
    <row r="280" spans="22:70" x14ac:dyDescent="0.2">
      <c r="V280" s="79"/>
      <c r="W280" s="7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</row>
    <row r="281" spans="22:70" x14ac:dyDescent="0.2">
      <c r="V281" s="79"/>
      <c r="W281" s="7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</row>
    <row r="282" spans="22:70" x14ac:dyDescent="0.2">
      <c r="V282" s="79"/>
      <c r="W282" s="7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</row>
    <row r="283" spans="22:70" x14ac:dyDescent="0.2">
      <c r="V283" s="79"/>
      <c r="W283" s="7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</row>
    <row r="284" spans="22:70" x14ac:dyDescent="0.2">
      <c r="V284" s="79"/>
      <c r="W284" s="7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</row>
    <row r="285" spans="22:70" x14ac:dyDescent="0.2">
      <c r="V285" s="79"/>
      <c r="W285" s="7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</row>
    <row r="286" spans="22:70" x14ac:dyDescent="0.2">
      <c r="V286" s="79"/>
      <c r="W286" s="7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</row>
    <row r="287" spans="22:70" x14ac:dyDescent="0.2">
      <c r="V287" s="79"/>
      <c r="W287" s="7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</row>
    <row r="288" spans="22:70" x14ac:dyDescent="0.2">
      <c r="V288" s="79"/>
      <c r="W288" s="7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</row>
    <row r="289" spans="22:70" x14ac:dyDescent="0.2">
      <c r="V289" s="79"/>
      <c r="W289" s="7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</row>
    <row r="290" spans="22:70" x14ac:dyDescent="0.2">
      <c r="V290" s="79"/>
      <c r="W290" s="7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</row>
    <row r="291" spans="22:70" x14ac:dyDescent="0.2">
      <c r="V291" s="79"/>
      <c r="W291" s="7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</row>
    <row r="292" spans="22:70" x14ac:dyDescent="0.2">
      <c r="V292" s="79"/>
      <c r="W292" s="7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</row>
    <row r="293" spans="22:70" x14ac:dyDescent="0.2">
      <c r="V293" s="79"/>
      <c r="W293" s="7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</row>
    <row r="294" spans="22:70" x14ac:dyDescent="0.2">
      <c r="V294" s="79"/>
      <c r="W294" s="7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</row>
    <row r="295" spans="22:70" x14ac:dyDescent="0.2">
      <c r="V295" s="79"/>
      <c r="W295" s="7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</row>
    <row r="296" spans="22:70" x14ac:dyDescent="0.2">
      <c r="V296" s="79"/>
      <c r="W296" s="7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</row>
    <row r="297" spans="22:70" x14ac:dyDescent="0.2">
      <c r="V297" s="79"/>
      <c r="W297" s="7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</row>
    <row r="298" spans="22:70" x14ac:dyDescent="0.2">
      <c r="V298" s="79"/>
      <c r="W298" s="7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</row>
    <row r="299" spans="22:70" x14ac:dyDescent="0.2">
      <c r="V299" s="79"/>
      <c r="W299" s="7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</row>
    <row r="300" spans="22:70" x14ac:dyDescent="0.2">
      <c r="V300" s="79"/>
      <c r="W300" s="7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</row>
    <row r="301" spans="22:70" x14ac:dyDescent="0.2">
      <c r="V301" s="79"/>
      <c r="W301" s="7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</row>
    <row r="302" spans="22:70" x14ac:dyDescent="0.2">
      <c r="V302" s="79"/>
      <c r="W302" s="7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</row>
    <row r="303" spans="22:70" x14ac:dyDescent="0.2">
      <c r="V303" s="79"/>
      <c r="W303" s="7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</row>
    <row r="304" spans="22:70" x14ac:dyDescent="0.2">
      <c r="V304" s="79"/>
      <c r="W304" s="7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</row>
    <row r="305" spans="22:70" x14ac:dyDescent="0.2">
      <c r="V305" s="79"/>
      <c r="W305" s="7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</row>
    <row r="306" spans="22:70" x14ac:dyDescent="0.2">
      <c r="V306" s="79"/>
      <c r="W306" s="7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</row>
    <row r="307" spans="22:70" x14ac:dyDescent="0.2">
      <c r="V307" s="79"/>
      <c r="W307" s="7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</row>
    <row r="308" spans="22:70" x14ac:dyDescent="0.2">
      <c r="V308" s="79"/>
      <c r="W308" s="7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</row>
    <row r="309" spans="22:70" x14ac:dyDescent="0.2">
      <c r="V309" s="79"/>
      <c r="W309" s="7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</row>
    <row r="310" spans="22:70" x14ac:dyDescent="0.2">
      <c r="V310" s="79"/>
      <c r="W310" s="7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</row>
    <row r="311" spans="22:70" x14ac:dyDescent="0.2">
      <c r="V311" s="79"/>
      <c r="W311" s="7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</row>
    <row r="312" spans="22:70" x14ac:dyDescent="0.2">
      <c r="V312" s="79"/>
      <c r="W312" s="7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</row>
    <row r="313" spans="22:70" x14ac:dyDescent="0.2">
      <c r="V313" s="79"/>
      <c r="W313" s="7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</row>
    <row r="314" spans="22:70" x14ac:dyDescent="0.2">
      <c r="V314" s="79"/>
      <c r="W314" s="7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</row>
    <row r="315" spans="22:70" x14ac:dyDescent="0.2">
      <c r="V315" s="79"/>
      <c r="W315" s="7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</row>
    <row r="316" spans="22:70" x14ac:dyDescent="0.2">
      <c r="V316" s="79"/>
      <c r="W316" s="7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</row>
    <row r="317" spans="22:70" x14ac:dyDescent="0.2">
      <c r="V317" s="79"/>
      <c r="W317" s="7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</row>
    <row r="318" spans="22:70" x14ac:dyDescent="0.2">
      <c r="V318" s="79"/>
      <c r="W318" s="7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</row>
    <row r="319" spans="22:70" x14ac:dyDescent="0.2">
      <c r="V319" s="79"/>
      <c r="W319" s="7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</row>
    <row r="320" spans="22:70" x14ac:dyDescent="0.2">
      <c r="V320" s="79"/>
      <c r="W320" s="7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</row>
    <row r="321" spans="22:70" x14ac:dyDescent="0.2">
      <c r="V321" s="79"/>
      <c r="W321" s="7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</row>
    <row r="322" spans="22:70" x14ac:dyDescent="0.2">
      <c r="V322" s="79"/>
      <c r="W322" s="7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</row>
    <row r="323" spans="22:70" x14ac:dyDescent="0.2">
      <c r="V323" s="79"/>
      <c r="W323" s="7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</row>
    <row r="324" spans="22:70" x14ac:dyDescent="0.2">
      <c r="V324" s="79"/>
      <c r="W324" s="7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</row>
    <row r="325" spans="22:70" x14ac:dyDescent="0.2">
      <c r="V325" s="79"/>
      <c r="W325" s="7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</row>
    <row r="326" spans="22:70" x14ac:dyDescent="0.2">
      <c r="V326" s="79"/>
      <c r="W326" s="7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</row>
    <row r="327" spans="22:70" x14ac:dyDescent="0.2">
      <c r="V327" s="79"/>
      <c r="W327" s="7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</row>
    <row r="328" spans="22:70" x14ac:dyDescent="0.2">
      <c r="V328" s="79"/>
      <c r="W328" s="7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</row>
    <row r="329" spans="22:70" x14ac:dyDescent="0.2">
      <c r="V329" s="79"/>
      <c r="W329" s="7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</row>
    <row r="330" spans="22:70" x14ac:dyDescent="0.2">
      <c r="V330" s="79"/>
      <c r="W330" s="7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</row>
    <row r="331" spans="22:70" x14ac:dyDescent="0.2">
      <c r="V331" s="79"/>
      <c r="W331" s="7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</row>
    <row r="332" spans="22:70" x14ac:dyDescent="0.2">
      <c r="V332" s="79"/>
      <c r="W332" s="7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</row>
  </sheetData>
  <sheetProtection formatCells="0"/>
  <protectedRanges>
    <protectedRange sqref="J2" name="Sprache"/>
  </protectedRanges>
  <dataConsolidate/>
  <mergeCells count="214">
    <mergeCell ref="F174:K174"/>
    <mergeCell ref="M145:N145"/>
    <mergeCell ref="J147:O147"/>
    <mergeCell ref="J148:O148"/>
    <mergeCell ref="J149:O149"/>
    <mergeCell ref="M151:N151"/>
    <mergeCell ref="G152:O153"/>
    <mergeCell ref="E143:F143"/>
    <mergeCell ref="G143:H143"/>
    <mergeCell ref="M143:N143"/>
    <mergeCell ref="E144:F144"/>
    <mergeCell ref="G144:H144"/>
    <mergeCell ref="M144:N144"/>
    <mergeCell ref="E141:F141"/>
    <mergeCell ref="G141:H141"/>
    <mergeCell ref="M141:N141"/>
    <mergeCell ref="E142:F142"/>
    <mergeCell ref="G142:H142"/>
    <mergeCell ref="M142:N142"/>
    <mergeCell ref="G137:H137"/>
    <mergeCell ref="M137:N137"/>
    <mergeCell ref="M138:N138"/>
    <mergeCell ref="G139:H139"/>
    <mergeCell ref="M139:N139"/>
    <mergeCell ref="E140:F140"/>
    <mergeCell ref="G140:H140"/>
    <mergeCell ref="M140:N140"/>
    <mergeCell ref="G133:K133"/>
    <mergeCell ref="G134:K134"/>
    <mergeCell ref="G135:H135"/>
    <mergeCell ref="L135:L136"/>
    <mergeCell ref="M135:N136"/>
    <mergeCell ref="O135:O136"/>
    <mergeCell ref="G136:H136"/>
    <mergeCell ref="B128:E128"/>
    <mergeCell ref="M128:N128"/>
    <mergeCell ref="B129:E129"/>
    <mergeCell ref="M129:N129"/>
    <mergeCell ref="B130:E130"/>
    <mergeCell ref="M130:N130"/>
    <mergeCell ref="B125:E125"/>
    <mergeCell ref="M125:N125"/>
    <mergeCell ref="B126:E126"/>
    <mergeCell ref="M126:N126"/>
    <mergeCell ref="B127:E127"/>
    <mergeCell ref="M127:N127"/>
    <mergeCell ref="B122:E122"/>
    <mergeCell ref="M122:N122"/>
    <mergeCell ref="B123:E123"/>
    <mergeCell ref="M123:N123"/>
    <mergeCell ref="B124:E124"/>
    <mergeCell ref="M124:N124"/>
    <mergeCell ref="E117:G117"/>
    <mergeCell ref="H117:I117"/>
    <mergeCell ref="J117:N117"/>
    <mergeCell ref="A118:I119"/>
    <mergeCell ref="J118:N118"/>
    <mergeCell ref="J119:N119"/>
    <mergeCell ref="D114:E114"/>
    <mergeCell ref="F114:G114"/>
    <mergeCell ref="M114:N114"/>
    <mergeCell ref="D116:E116"/>
    <mergeCell ref="F116:G116"/>
    <mergeCell ref="H116:I116"/>
    <mergeCell ref="D112:E112"/>
    <mergeCell ref="F112:G112"/>
    <mergeCell ref="M112:N112"/>
    <mergeCell ref="D113:E113"/>
    <mergeCell ref="F113:G113"/>
    <mergeCell ref="M113:N113"/>
    <mergeCell ref="AA108:AA109"/>
    <mergeCell ref="B109:C109"/>
    <mergeCell ref="F109:G109"/>
    <mergeCell ref="M109:N109"/>
    <mergeCell ref="M110:N110"/>
    <mergeCell ref="F111:G111"/>
    <mergeCell ref="M111:N111"/>
    <mergeCell ref="M104:N104"/>
    <mergeCell ref="M106:N106"/>
    <mergeCell ref="F107:G107"/>
    <mergeCell ref="M107:N107"/>
    <mergeCell ref="B108:C108"/>
    <mergeCell ref="F108:G108"/>
    <mergeCell ref="M108:N108"/>
    <mergeCell ref="E99:H99"/>
    <mergeCell ref="M99:N99"/>
    <mergeCell ref="E100:H100"/>
    <mergeCell ref="M100:N100"/>
    <mergeCell ref="M101:N101"/>
    <mergeCell ref="M102:N102"/>
    <mergeCell ref="J91:K91"/>
    <mergeCell ref="T91:U91"/>
    <mergeCell ref="W91:X91"/>
    <mergeCell ref="M96:N96"/>
    <mergeCell ref="K97:L97"/>
    <mergeCell ref="K98:L98"/>
    <mergeCell ref="F84:G84"/>
    <mergeCell ref="F85:G85"/>
    <mergeCell ref="F86:G86"/>
    <mergeCell ref="F87:G87"/>
    <mergeCell ref="F88:G88"/>
    <mergeCell ref="F89:G89"/>
    <mergeCell ref="F78:G78"/>
    <mergeCell ref="F79:G79"/>
    <mergeCell ref="F80:G80"/>
    <mergeCell ref="F81:G81"/>
    <mergeCell ref="F82:G82"/>
    <mergeCell ref="F83:G83"/>
    <mergeCell ref="F72:G72"/>
    <mergeCell ref="F73:G73"/>
    <mergeCell ref="F74:G74"/>
    <mergeCell ref="F75:G75"/>
    <mergeCell ref="F76:G76"/>
    <mergeCell ref="F77:G77"/>
    <mergeCell ref="B67:C67"/>
    <mergeCell ref="F67:G67"/>
    <mergeCell ref="F68:G68"/>
    <mergeCell ref="F69:G69"/>
    <mergeCell ref="F70:G70"/>
    <mergeCell ref="F71:G71"/>
    <mergeCell ref="E60:F60"/>
    <mergeCell ref="T62:U62"/>
    <mergeCell ref="B65:C65"/>
    <mergeCell ref="F65:G65"/>
    <mergeCell ref="B66:C66"/>
    <mergeCell ref="F66:G66"/>
    <mergeCell ref="E54:F54"/>
    <mergeCell ref="E55:F55"/>
    <mergeCell ref="E56:F56"/>
    <mergeCell ref="E57:F57"/>
    <mergeCell ref="E58:F58"/>
    <mergeCell ref="E59:F59"/>
    <mergeCell ref="E48:F48"/>
    <mergeCell ref="E49:F49"/>
    <mergeCell ref="E50:F50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H36:I36"/>
    <mergeCell ref="E37:F37"/>
    <mergeCell ref="E38:F38"/>
    <mergeCell ref="E39:F39"/>
    <mergeCell ref="E40:F40"/>
    <mergeCell ref="E41:F41"/>
    <mergeCell ref="B32:D32"/>
    <mergeCell ref="E32:F32"/>
    <mergeCell ref="B33:D33"/>
    <mergeCell ref="E33:F33"/>
    <mergeCell ref="B36:C36"/>
    <mergeCell ref="E36:F36"/>
    <mergeCell ref="B29:D29"/>
    <mergeCell ref="E29:F29"/>
    <mergeCell ref="B30:D30"/>
    <mergeCell ref="E30:F30"/>
    <mergeCell ref="B31:D31"/>
    <mergeCell ref="E31:F31"/>
    <mergeCell ref="B26:D26"/>
    <mergeCell ref="E26:F26"/>
    <mergeCell ref="B27:D27"/>
    <mergeCell ref="E27:F27"/>
    <mergeCell ref="B28:D28"/>
    <mergeCell ref="E28:F28"/>
    <mergeCell ref="B23:D23"/>
    <mergeCell ref="E23:F23"/>
    <mergeCell ref="B24:D24"/>
    <mergeCell ref="E24:F24"/>
    <mergeCell ref="B25:D25"/>
    <mergeCell ref="E25:F25"/>
    <mergeCell ref="B20:D20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B19:D19"/>
    <mergeCell ref="E19:F19"/>
    <mergeCell ref="B14:D14"/>
    <mergeCell ref="E14:F14"/>
    <mergeCell ref="B15:D15"/>
    <mergeCell ref="E15:F15"/>
    <mergeCell ref="B16:D16"/>
    <mergeCell ref="E16:F16"/>
    <mergeCell ref="D9:K10"/>
    <mergeCell ref="L9:M9"/>
    <mergeCell ref="N9:P9"/>
    <mergeCell ref="L10:M10"/>
    <mergeCell ref="N10:P10"/>
    <mergeCell ref="B13:C13"/>
    <mergeCell ref="E13:F13"/>
    <mergeCell ref="D7:E7"/>
    <mergeCell ref="F7:G7"/>
    <mergeCell ref="J7:K7"/>
    <mergeCell ref="N7:P7"/>
    <mergeCell ref="U7:V7"/>
    <mergeCell ref="J8:K8"/>
    <mergeCell ref="N8:P8"/>
    <mergeCell ref="A1:D1"/>
    <mergeCell ref="E1:K1"/>
    <mergeCell ref="L1:P5"/>
    <mergeCell ref="D4:G4"/>
    <mergeCell ref="D5:G5"/>
    <mergeCell ref="D6:E6"/>
    <mergeCell ref="J6:K6"/>
    <mergeCell ref="N6:P6"/>
  </mergeCells>
  <conditionalFormatting sqref="M110:N110">
    <cfRule type="expression" dxfId="92" priority="14" stopIfTrue="1">
      <formula>$M$110="none"</formula>
    </cfRule>
  </conditionalFormatting>
  <conditionalFormatting sqref="K112:K113">
    <cfRule type="expression" dxfId="91" priority="13" stopIfTrue="1">
      <formula>$K112="none"</formula>
    </cfRule>
  </conditionalFormatting>
  <conditionalFormatting sqref="F112:J114 M112:N114">
    <cfRule type="expression" dxfId="90" priority="12">
      <formula>$C112="FCA"</formula>
    </cfRule>
  </conditionalFormatting>
  <conditionalFormatting sqref="K114">
    <cfRule type="expression" dxfId="89" priority="11" stopIfTrue="1">
      <formula>$K114="none"</formula>
    </cfRule>
  </conditionalFormatting>
  <conditionalFormatting sqref="J141:O145">
    <cfRule type="expression" dxfId="88" priority="10">
      <formula>$S141=0</formula>
    </cfRule>
  </conditionalFormatting>
  <conditionalFormatting sqref="AH67:AH69">
    <cfRule type="cellIs" dxfId="87" priority="8" stopIfTrue="1" operator="lessThan">
      <formula>0.1</formula>
    </cfRule>
    <cfRule type="cellIs" dxfId="86" priority="9" stopIfTrue="1" operator="lessThan">
      <formula>0.2</formula>
    </cfRule>
  </conditionalFormatting>
  <conditionalFormatting sqref="AH70:AH89">
    <cfRule type="cellIs" dxfId="85" priority="6" stopIfTrue="1" operator="lessThan">
      <formula>0.1</formula>
    </cfRule>
    <cfRule type="cellIs" dxfId="84" priority="7" stopIfTrue="1" operator="lessThan">
      <formula>0.2</formula>
    </cfRule>
  </conditionalFormatting>
  <conditionalFormatting sqref="AH66">
    <cfRule type="cellIs" dxfId="83" priority="4" stopIfTrue="1" operator="lessThan">
      <formula>0.1</formula>
    </cfRule>
    <cfRule type="cellIs" dxfId="82" priority="5" stopIfTrue="1" operator="lessThan">
      <formula>0.2</formula>
    </cfRule>
  </conditionalFormatting>
  <conditionalFormatting sqref="M91">
    <cfRule type="expression" dxfId="81" priority="3">
      <formula>$J$91="Value Added"</formula>
    </cfRule>
  </conditionalFormatting>
  <conditionalFormatting sqref="M97:N97">
    <cfRule type="expression" dxfId="80" priority="2">
      <formula>$K$97="Manufactured Cost"</formula>
    </cfRule>
  </conditionalFormatting>
  <conditionalFormatting sqref="M98">
    <cfRule type="expression" dxfId="79" priority="1">
      <formula>$K$98="Manufactured Cost"</formula>
    </cfRule>
  </conditionalFormatting>
  <dataValidations count="21">
    <dataValidation type="decimal" errorStyle="warning" operator="greaterThanOrEqual" allowBlank="1" showInputMessage="1" showErrorMessage="1" errorTitle="Gross&lt;Net" error="EN: The 'Gross Amount' is smaller than the 'Net Amount'!_x000a_DE: Das Brutto-Gewicht ist kleinre als das Netto-Gewicht!" sqref="I14:I33" xr:uid="{CD7AFDB6-999F-4D65-82DE-2E16258C095E}">
      <formula1>H14</formula1>
    </dataValidation>
    <dataValidation type="list" operator="notBetween" showInputMessage="1" showErrorMessage="1" sqref="K114" xr:uid="{1BFAE9D2-C927-4473-B598-7FAF6C0E9842}">
      <formula1>"none,one-way,returnable"</formula1>
    </dataValidation>
    <dataValidation type="list" allowBlank="1" showInputMessage="1" showErrorMessage="1" sqref="M110:N110" xr:uid="{4E712C98-BB38-49DB-8A4D-058330C0A9E6}">
      <formula1>"one-way, returnable,none"</formula1>
    </dataValidation>
    <dataValidation type="list" allowBlank="1" showInputMessage="1" showErrorMessage="1" sqref="U7:V7" xr:uid="{49B4EB48-5CD8-474F-A8EC-09A3D49DB6A3}">
      <formula1>$S$176:$S$187</formula1>
    </dataValidation>
    <dataValidation type="list" showInputMessage="1" showErrorMessage="1" sqref="E7" xr:uid="{7CCF509A-DE44-44D9-9B7B-3AEF7687A4CC}">
      <formula1>$S$190:$S$199</formula1>
    </dataValidation>
    <dataValidation type="list" allowBlank="1" showInputMessage="1" showErrorMessage="1" sqref="M13 M36" xr:uid="{5AC09397-3B96-45A2-960C-FEF95906CE68}">
      <formula1>$U$3:$U$4</formula1>
    </dataValidation>
    <dataValidation type="list" allowBlank="1" showInputMessage="1" showErrorMessage="1" sqref="K97:L98" xr:uid="{92615189-3F97-4FB6-8161-679A55E22955}">
      <formula1>"Manufactured Cost, Value Added"</formula1>
    </dataValidation>
    <dataValidation type="list" allowBlank="1" showInputMessage="1" showErrorMessage="1" sqref="J91:K91" xr:uid="{4AC3A2E5-FC3E-49D4-B70E-FF34C70A4CC0}">
      <formula1>"Direct Labour, Value Added"</formula1>
    </dataValidation>
    <dataValidation type="decimal" operator="notBetween" showInputMessage="1" showErrorMessage="1" sqref="F112:J114" xr:uid="{DA50153A-0087-4844-ACE5-63EB49746E82}">
      <formula1>0</formula1>
      <formula2>0</formula2>
    </dataValidation>
    <dataValidation type="decimal" allowBlank="1" showInputMessage="1" showErrorMessage="1" sqref="I141:I145" xr:uid="{DC71262F-12F6-4874-8CD8-550AE27FB99F}">
      <formula1>0</formula1>
      <formula2>1</formula2>
    </dataValidation>
    <dataValidation type="decimal" operator="greaterThanOrEqual" allowBlank="1" showInputMessage="1" showErrorMessage="1" sqref="J5 J148:O149 J140:O140 G135:H137 H140:H141 G140:G144" xr:uid="{69303236-0A96-4E76-ACA0-8357FA6D7C17}">
      <formula1>0</formula1>
    </dataValidation>
    <dataValidation type="list" allowBlank="1" showInputMessage="1" showErrorMessage="1" sqref="F7:G7" xr:uid="{A4E30482-D4FD-4DD2-BD01-07ED6BA257D6}">
      <formula1>"/pc,/10,/100,/1000"</formula1>
    </dataValidation>
    <dataValidation allowBlank="1" showInputMessage="1" showErrorMessage="1" promptTitle="Fixed Value" prompt="Enter" sqref="V62" xr:uid="{D6DAA161-2456-47B3-88AE-19425B581879}"/>
    <dataValidation type="whole" operator="greaterThan" allowBlank="1" showInputMessage="1" showErrorMessage="1" sqref="J4:K4" xr:uid="{E789AD5F-7A39-4DEC-AAD7-0117DBD1A3E7}">
      <formula1>0</formula1>
    </dataValidation>
    <dataValidation type="date" allowBlank="1" showInputMessage="1" showErrorMessage="1" sqref="J6:K8" xr:uid="{89472BEC-F654-4E18-B55E-42393ABEB7FD}">
      <formula1>36526</formula1>
      <formula2>73050</formula2>
    </dataValidation>
    <dataValidation type="list" allowBlank="1" showInputMessage="1" showErrorMessage="1" sqref="C112:C114" xr:uid="{E4110AC4-72E9-4DEE-8A04-88DF6989A492}">
      <formula1>"FCA,DAP,DDP,DDU"</formula1>
    </dataValidation>
    <dataValidation type="list" allowBlank="1" showInputMessage="1" showErrorMessage="1" sqref="L112:L114" xr:uid="{B31DAB5F-635C-4834-823F-4B38D988D3D9}">
      <formula1>"None, 2-high, 3-high"</formula1>
    </dataValidation>
    <dataValidation type="list" allowBlank="1" showInputMessage="1" showErrorMessage="1" sqref="M112:M114" xr:uid="{B42BF70A-D8A8-41E9-84F2-C79AD651F1A1}">
      <formula1>"included, excluded, n/a"</formula1>
    </dataValidation>
    <dataValidation type="list" allowBlank="1" showInputMessage="1" showErrorMessage="1" sqref="K112:K113" xr:uid="{40541641-3B86-4D15-BECA-F91A37537E15}">
      <formula1>"none,one-way,returnable"</formula1>
    </dataValidation>
    <dataValidation type="list" allowBlank="1" showInputMessage="1" showErrorMessage="1" sqref="Z153" xr:uid="{481F68F6-565C-4226-B540-F4E9624B7776}">
      <formula1>"High, Medium, Low"</formula1>
    </dataValidation>
    <dataValidation type="list" allowBlank="1" showInputMessage="1" showErrorMessage="1" sqref="W6" xr:uid="{BB3D52D6-62FC-4810-9C18-DA4D52B3978F}">
      <formula1>"Yes, No"</formula1>
    </dataValidation>
  </dataValidations>
  <printOptions horizontalCentered="1"/>
  <pageMargins left="0.59055118110236227" right="0.39370078740157483" top="0.59055118110236227" bottom="0.47244094488188981" header="0.39370078740157483" footer="0.31496062992125984"/>
  <pageSetup paperSize="9" fitToHeight="0" orientation="portrait" r:id="rId1"/>
  <headerFooter>
    <oddFooter xml:space="preserve">&amp;LVersion 1.01&amp;CCALC4XL GmbH&amp;RPrinted: &amp;D </oddFooter>
  </headerFooter>
  <rowBreaks count="1" manualBreakCount="1">
    <brk id="9" max="16383" man="1"/>
  </rowBreaks>
  <drawing r:id="rId2"/>
  <legacyDrawing r:id="rId3"/>
  <controls>
    <mc:AlternateContent xmlns:mc="http://schemas.openxmlformats.org/markup-compatibility/2006">
      <mc:Choice Requires="x14">
        <control shapeId="5517320" r:id="rId4" name="orderSection24">
          <controlPr defaultSize="0" autoLine="0" r:id="rId5">
            <anchor moveWithCells="1">
              <from>
                <xdr:col>0</xdr:col>
                <xdr:colOff>0</xdr:colOff>
                <xdr:row>64</xdr:row>
                <xdr:rowOff>388189</xdr:rowOff>
              </from>
              <to>
                <xdr:col>1</xdr:col>
                <xdr:colOff>77638</xdr:colOff>
                <xdr:row>65</xdr:row>
                <xdr:rowOff>8626</xdr:rowOff>
              </to>
            </anchor>
          </controlPr>
        </control>
      </mc:Choice>
      <mc:Fallback>
        <control shapeId="5517320" r:id="rId4" name="orderSection24"/>
      </mc:Fallback>
    </mc:AlternateContent>
    <mc:AlternateContent xmlns:mc="http://schemas.openxmlformats.org/markup-compatibility/2006">
      <mc:Choice Requires="x14">
        <control shapeId="5517319" r:id="rId6" name="cmdPartPicture">
          <controlPr defaultSize="0" autoLine="0" r:id="rId7">
            <anchor moveWithCells="1">
              <from>
                <xdr:col>12</xdr:col>
                <xdr:colOff>112143</xdr:colOff>
                <xdr:row>0</xdr:row>
                <xdr:rowOff>215660</xdr:rowOff>
              </from>
              <to>
                <xdr:col>13</xdr:col>
                <xdr:colOff>388189</xdr:colOff>
                <xdr:row>3</xdr:row>
                <xdr:rowOff>60385</xdr:rowOff>
              </to>
            </anchor>
          </controlPr>
        </control>
      </mc:Choice>
      <mc:Fallback>
        <control shapeId="5517319" r:id="rId6" name="cmdPartPicture"/>
      </mc:Fallback>
    </mc:AlternateContent>
    <mc:AlternateContent xmlns:mc="http://schemas.openxmlformats.org/markup-compatibility/2006">
      <mc:Choice Requires="x14">
        <control shapeId="5517318" r:id="rId8" name="CmdClearSheet">
          <controlPr defaultSize="0" autoLine="0" autoPict="0" r:id="rId9">
            <anchor moveWithCells="1">
              <from>
                <xdr:col>24</xdr:col>
                <xdr:colOff>0</xdr:colOff>
                <xdr:row>1</xdr:row>
                <xdr:rowOff>60385</xdr:rowOff>
              </from>
              <to>
                <xdr:col>25</xdr:col>
                <xdr:colOff>60385</xdr:colOff>
                <xdr:row>3</xdr:row>
                <xdr:rowOff>112143</xdr:rowOff>
              </to>
            </anchor>
          </controlPr>
        </control>
      </mc:Choice>
      <mc:Fallback>
        <control shapeId="5517318" r:id="rId8" name="CmdClearSheet"/>
      </mc:Fallback>
    </mc:AlternateContent>
    <mc:AlternateContent xmlns:mc="http://schemas.openxmlformats.org/markup-compatibility/2006">
      <mc:Choice Requires="x14">
        <control shapeId="5517317" r:id="rId10" name="SpinButton4">
          <controlPr defaultSize="0" autoLine="0" r:id="rId11">
            <anchor moveWithCells="1">
              <from>
                <xdr:col>17</xdr:col>
                <xdr:colOff>181155</xdr:colOff>
                <xdr:row>122</xdr:row>
                <xdr:rowOff>17253</xdr:rowOff>
              </from>
              <to>
                <xdr:col>17</xdr:col>
                <xdr:colOff>422694</xdr:colOff>
                <xdr:row>130</xdr:row>
                <xdr:rowOff>17253</xdr:rowOff>
              </to>
            </anchor>
          </controlPr>
        </control>
      </mc:Choice>
      <mc:Fallback>
        <control shapeId="5517317" r:id="rId10" name="SpinButton4"/>
      </mc:Fallback>
    </mc:AlternateContent>
    <mc:AlternateContent xmlns:mc="http://schemas.openxmlformats.org/markup-compatibility/2006">
      <mc:Choice Requires="x14">
        <control shapeId="5517316" r:id="rId12" name="SpinButton3">
          <controlPr defaultSize="0" autoLine="0" r:id="rId13">
            <anchor moveWithCells="1">
              <from>
                <xdr:col>17</xdr:col>
                <xdr:colOff>129396</xdr:colOff>
                <xdr:row>64</xdr:row>
                <xdr:rowOff>207034</xdr:rowOff>
              </from>
              <to>
                <xdr:col>17</xdr:col>
                <xdr:colOff>379562</xdr:colOff>
                <xdr:row>65</xdr:row>
                <xdr:rowOff>86264</xdr:rowOff>
              </to>
            </anchor>
          </controlPr>
        </control>
      </mc:Choice>
      <mc:Fallback>
        <control shapeId="5517316" r:id="rId12" name="SpinButton3"/>
      </mc:Fallback>
    </mc:AlternateContent>
    <mc:AlternateContent xmlns:mc="http://schemas.openxmlformats.org/markup-compatibility/2006">
      <mc:Choice Requires="x14">
        <control shapeId="5517315" r:id="rId14" name="SpinButton2">
          <controlPr defaultSize="0" autoLine="0" r:id="rId15">
            <anchor moveWithCells="1">
              <from>
                <xdr:col>17</xdr:col>
                <xdr:colOff>112143</xdr:colOff>
                <xdr:row>35</xdr:row>
                <xdr:rowOff>163902</xdr:rowOff>
              </from>
              <to>
                <xdr:col>17</xdr:col>
                <xdr:colOff>370936</xdr:colOff>
                <xdr:row>37</xdr:row>
                <xdr:rowOff>155275</xdr:rowOff>
              </to>
            </anchor>
          </controlPr>
        </control>
      </mc:Choice>
      <mc:Fallback>
        <control shapeId="5517315" r:id="rId14" name="SpinButton2"/>
      </mc:Fallback>
    </mc:AlternateContent>
    <mc:AlternateContent xmlns:mc="http://schemas.openxmlformats.org/markup-compatibility/2006">
      <mc:Choice Requires="x14">
        <control shapeId="5517314" r:id="rId16" name="SpinButton1">
          <controlPr defaultSize="0" autoLine="0" r:id="rId17">
            <anchor moveWithCells="1">
              <from>
                <xdr:col>17</xdr:col>
                <xdr:colOff>129396</xdr:colOff>
                <xdr:row>12</xdr:row>
                <xdr:rowOff>129396</xdr:rowOff>
              </from>
              <to>
                <xdr:col>17</xdr:col>
                <xdr:colOff>379562</xdr:colOff>
                <xdr:row>14</xdr:row>
                <xdr:rowOff>51758</xdr:rowOff>
              </to>
            </anchor>
          </controlPr>
        </control>
      </mc:Choice>
      <mc:Fallback>
        <control shapeId="5517314" r:id="rId16" name="SpinButton1"/>
      </mc:Fallback>
    </mc:AlternateContent>
    <mc:AlternateContent xmlns:mc="http://schemas.openxmlformats.org/markup-compatibility/2006">
      <mc:Choice Requires="x14">
        <control shapeId="5517313" r:id="rId18" name="cmdCopySheet">
          <controlPr defaultSize="0" autoLine="0" autoPict="0" r:id="rId19">
            <anchor moveWithCells="1">
              <from>
                <xdr:col>24</xdr:col>
                <xdr:colOff>25879</xdr:colOff>
                <xdr:row>0</xdr:row>
                <xdr:rowOff>94891</xdr:rowOff>
              </from>
              <to>
                <xdr:col>25</xdr:col>
                <xdr:colOff>86264</xdr:colOff>
                <xdr:row>0</xdr:row>
                <xdr:rowOff>448574</xdr:rowOff>
              </to>
            </anchor>
          </controlPr>
        </control>
      </mc:Choice>
      <mc:Fallback>
        <control shapeId="5517313" r:id="rId18" name="cmdCopySheet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84C7F-045B-4741-B54A-B0F89F9BD52A}">
  <sheetPr codeName="Sheet5">
    <pageSetUpPr autoPageBreaks="0"/>
  </sheetPr>
  <dimension ref="A1:BR332"/>
  <sheetViews>
    <sheetView showGridLines="0" showZeros="0" zoomScaleNormal="100" zoomScaleSheetLayoutView="55" workbookViewId="0">
      <pane ySplit="10" topLeftCell="A105" activePane="bottomLeft" state="frozen"/>
      <selection pane="bottomLeft" activeCell="J113" sqref="J113"/>
    </sheetView>
  </sheetViews>
  <sheetFormatPr defaultColWidth="11.375" defaultRowHeight="12.9" x14ac:dyDescent="0.2"/>
  <cols>
    <col min="1" max="1" width="3.75" style="1" customWidth="1"/>
    <col min="2" max="2" width="11.75" style="1" customWidth="1"/>
    <col min="3" max="3" width="8.75" style="1" customWidth="1"/>
    <col min="4" max="4" width="7.25" style="1" customWidth="1"/>
    <col min="5" max="5" width="7" style="1" customWidth="1"/>
    <col min="6" max="6" width="6.875" style="1" customWidth="1"/>
    <col min="7" max="7" width="7.25" style="1" customWidth="1"/>
    <col min="8" max="8" width="9" style="1" customWidth="1"/>
    <col min="9" max="9" width="9.25" style="1" customWidth="1"/>
    <col min="10" max="10" width="9.75" style="1" customWidth="1"/>
    <col min="11" max="11" width="10" style="1" customWidth="1"/>
    <col min="12" max="12" width="12.625" style="1" customWidth="1"/>
    <col min="13" max="13" width="9" style="1" customWidth="1"/>
    <col min="14" max="14" width="8.375" style="1" customWidth="1"/>
    <col min="15" max="15" width="10.125" style="1" customWidth="1"/>
    <col min="16" max="16" width="6" style="1" customWidth="1"/>
    <col min="17" max="17" width="1.75" style="1" customWidth="1"/>
    <col min="18" max="18" width="16.875" style="2" customWidth="1"/>
    <col min="19" max="19" width="6.125" style="3" hidden="1" customWidth="1"/>
    <col min="20" max="20" width="8.625" style="3" hidden="1" customWidth="1"/>
    <col min="21" max="21" width="9.25" style="3" hidden="1" customWidth="1"/>
    <col min="22" max="22" width="13.25" style="3" hidden="1" customWidth="1"/>
    <col min="23" max="23" width="24.25" style="3" hidden="1" customWidth="1"/>
    <col min="24" max="24" width="21.875" style="1" hidden="1" customWidth="1"/>
    <col min="25" max="25" width="11.875" style="1" customWidth="1"/>
    <col min="26" max="26" width="9.25" style="1" customWidth="1"/>
    <col min="27" max="27" width="7.875" style="1" customWidth="1"/>
    <col min="28" max="28" width="7.125" style="1" bestFit="1" customWidth="1"/>
    <col min="29" max="29" width="7.125" style="1" customWidth="1"/>
    <col min="30" max="30" width="8.75" style="1" customWidth="1"/>
    <col min="31" max="31" width="6.875" style="1" customWidth="1"/>
    <col min="32" max="32" width="8" style="1" customWidth="1"/>
    <col min="33" max="33" width="5.75" style="1" customWidth="1"/>
    <col min="34" max="34" width="8.25" style="1" customWidth="1"/>
    <col min="35" max="35" width="1.75" style="1" customWidth="1"/>
    <col min="36" max="36" width="9" style="1" customWidth="1"/>
    <col min="37" max="37" width="8" style="1" customWidth="1"/>
    <col min="38" max="38" width="8.75" style="1" customWidth="1"/>
    <col min="39" max="39" width="6.75" style="1" hidden="1" customWidth="1"/>
    <col min="40" max="40" width="8.75" style="1" hidden="1" customWidth="1"/>
    <col min="41" max="41" width="1.75" style="1" customWidth="1"/>
    <col min="42" max="42" width="6" style="1" customWidth="1"/>
    <col min="43" max="43" width="4.75" style="1" customWidth="1"/>
    <col min="44" max="44" width="5.75" style="1" customWidth="1"/>
    <col min="45" max="45" width="5.875" style="1" customWidth="1"/>
    <col min="46" max="46" width="7.75" style="1" customWidth="1"/>
    <col min="47" max="47" width="11.125" style="1" customWidth="1"/>
    <col min="48" max="16384" width="11.375" style="1"/>
  </cols>
  <sheetData>
    <row r="1" spans="1:46" ht="47.25" customHeight="1" x14ac:dyDescent="0.25">
      <c r="A1" s="703"/>
      <c r="B1" s="704"/>
      <c r="C1" s="704"/>
      <c r="D1" s="705"/>
      <c r="E1" s="669" t="s">
        <v>879</v>
      </c>
      <c r="F1" s="670"/>
      <c r="G1" s="670"/>
      <c r="H1" s="670"/>
      <c r="I1" s="670"/>
      <c r="J1" s="670"/>
      <c r="K1" s="671"/>
      <c r="L1" s="694"/>
      <c r="M1" s="695"/>
      <c r="N1" s="695"/>
      <c r="O1" s="695"/>
      <c r="P1" s="696"/>
      <c r="Q1" s="53"/>
      <c r="R1" s="78"/>
      <c r="S1" s="237"/>
      <c r="T1" s="238"/>
      <c r="U1" s="237"/>
      <c r="V1" s="237"/>
      <c r="W1" s="267" t="s">
        <v>137</v>
      </c>
      <c r="X1" s="239"/>
      <c r="Y1" s="132"/>
      <c r="Z1" s="36"/>
      <c r="AA1" s="37"/>
      <c r="AB1" s="36"/>
      <c r="AC1" s="54"/>
      <c r="AD1" s="36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</row>
    <row r="2" spans="1:46" s="6" customFormat="1" ht="10.55" customHeight="1" x14ac:dyDescent="0.2">
      <c r="A2" s="70" t="str">
        <f ca="1">CELL("Filename",A2)</f>
        <v>https://d.docs.live.net/4c7d4790709b1d71/WEBSITE PICS/[Diecasting Example_forUserWithoutCALC4XL.xlsx]China</v>
      </c>
      <c r="B2" s="71"/>
      <c r="C2" s="71"/>
      <c r="D2" s="71"/>
      <c r="E2" s="71"/>
      <c r="F2" s="71"/>
      <c r="G2" s="71"/>
      <c r="H2" s="5"/>
      <c r="I2" s="31"/>
      <c r="J2" s="307" t="str">
        <f>A!$J$2</f>
        <v>en</v>
      </c>
      <c r="K2" s="178" t="s">
        <v>219</v>
      </c>
      <c r="L2" s="697"/>
      <c r="M2" s="698"/>
      <c r="N2" s="698"/>
      <c r="O2" s="698"/>
      <c r="P2" s="699"/>
      <c r="R2" s="81"/>
      <c r="S2" s="240">
        <f>IF(O117&gt;10000,9999,PUC)</f>
        <v>1</v>
      </c>
      <c r="T2" s="241"/>
      <c r="U2" s="242"/>
      <c r="V2" s="241"/>
      <c r="W2" s="241"/>
      <c r="X2" s="239"/>
      <c r="Y2" s="38"/>
      <c r="Z2" s="38"/>
      <c r="AA2" s="38"/>
      <c r="AB2" s="36"/>
      <c r="AC2" s="36"/>
      <c r="AD2" s="82"/>
      <c r="AE2" s="81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</row>
    <row r="3" spans="1:46" s="53" customFormat="1" ht="13.6" x14ac:dyDescent="0.25">
      <c r="A3" s="309"/>
      <c r="B3" s="310" t="str">
        <f>VLOOKUP("sec1",translation,VLOOKUP(J2,languages,2,FALSE),FALSE)</f>
        <v>Section 1</v>
      </c>
      <c r="C3" s="310"/>
      <c r="D3" s="311" t="str">
        <f>VLOOKUP("buyer",translation,VLOOKUP(J2,languages,2,FALSE),FALSE)</f>
        <v>Details Buyer Section</v>
      </c>
      <c r="E3" s="312"/>
      <c r="F3" s="312"/>
      <c r="G3" s="312"/>
      <c r="H3" s="322"/>
      <c r="I3" s="323"/>
      <c r="J3" s="324" t="str">
        <f>VLOOKUP("avrg",translation,VLOOKUP(J2,languages,2,FALSE),FALSE)</f>
        <v>Average</v>
      </c>
      <c r="K3" s="325" t="str">
        <f>VLOOKUP("pk",translation,VLOOKUP(J2,languages,2,FALSE),FALSE)</f>
        <v>Peak</v>
      </c>
      <c r="L3" s="697"/>
      <c r="M3" s="698"/>
      <c r="N3" s="698"/>
      <c r="O3" s="698"/>
      <c r="P3" s="699"/>
      <c r="Q3" s="64"/>
      <c r="R3" s="83"/>
      <c r="S3" s="243">
        <f>IF(F7="/pc",1,IF(F7="/10",10,IF(F7="/100",100,IF(F7="/1000",1000))))</f>
        <v>1</v>
      </c>
      <c r="T3" s="238"/>
      <c r="U3" s="244" t="str">
        <f>"Frt In "&amp;CHAR(10)&amp;"[%]"</f>
        <v>Frt In 
[%]</v>
      </c>
      <c r="V3" s="238"/>
      <c r="W3" s="238"/>
      <c r="X3" s="245"/>
      <c r="Y3" s="54"/>
      <c r="Z3" s="54"/>
      <c r="AA3" s="54"/>
      <c r="AB3" s="54"/>
      <c r="AC3" s="36"/>
      <c r="AD3" s="68"/>
      <c r="AE3" s="23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</row>
    <row r="4" spans="1:46" ht="12.75" customHeight="1" x14ac:dyDescent="0.2">
      <c r="A4" s="313" t="str">
        <f>VLOOKUP("quot",translation,VLOOKUP(J2,languages,2,FALSE),FALSE)</f>
        <v>Quotation No. /Rev</v>
      </c>
      <c r="B4" s="314"/>
      <c r="C4" s="314"/>
      <c r="D4" s="672"/>
      <c r="E4" s="673"/>
      <c r="F4" s="674"/>
      <c r="G4" s="675"/>
      <c r="H4" s="316"/>
      <c r="I4" s="326" t="str">
        <f>VLOOKUP("an_qty",translation,VLOOKUP(J2,languages,2,FALSE),FALSE)</f>
        <v>Est. Annual Qty</v>
      </c>
      <c r="J4" s="331">
        <v>8000</v>
      </c>
      <c r="K4" s="332"/>
      <c r="L4" s="697"/>
      <c r="M4" s="698"/>
      <c r="N4" s="698"/>
      <c r="O4" s="698"/>
      <c r="P4" s="699"/>
      <c r="R4" s="84"/>
      <c r="S4" s="246">
        <v>1</v>
      </c>
      <c r="T4" s="237"/>
      <c r="U4" s="244" t="str">
        <f>"Frt In "&amp;CHAR(10)&amp;"[/UoM]"</f>
        <v>Frt In 
[/UoM]</v>
      </c>
      <c r="V4" s="237"/>
      <c r="W4" s="238"/>
      <c r="X4" s="245"/>
      <c r="Y4" s="36"/>
      <c r="Z4" s="36"/>
      <c r="AA4" s="36"/>
      <c r="AB4" s="36"/>
      <c r="AC4" s="54"/>
      <c r="AD4" s="36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</row>
    <row r="5" spans="1:46" ht="12.75" customHeight="1" x14ac:dyDescent="0.2">
      <c r="A5" s="313" t="str">
        <f>VLOOKUP("jh_buyer",translation,VLOOKUP(J2,languages,2,FALSE),FALSE)</f>
        <v>Buyer</v>
      </c>
      <c r="B5" s="314"/>
      <c r="C5" s="314"/>
      <c r="D5" s="676"/>
      <c r="E5" s="677"/>
      <c r="F5" s="677"/>
      <c r="G5" s="678"/>
      <c r="H5" s="327"/>
      <c r="I5" s="328" t="str">
        <f>VLOOKUP("lifetime",translation,VLOOKUP(J2,languages,2,FALSE),FALSE)</f>
        <v>Estimated Lifetime</v>
      </c>
      <c r="J5" s="333">
        <v>7</v>
      </c>
      <c r="K5" s="314" t="str">
        <f>VLOOKUP("yr",translation,VLOOKUP(J2,languages,2,FALSE),FALSE)</f>
        <v>years</v>
      </c>
      <c r="L5" s="700"/>
      <c r="M5" s="701"/>
      <c r="N5" s="701"/>
      <c r="O5" s="701"/>
      <c r="P5" s="702"/>
      <c r="R5" s="84"/>
      <c r="S5" s="237"/>
      <c r="T5" s="237"/>
      <c r="U5" s="244" t="str">
        <f>"Frt In "&amp;CHAR(10)&amp;"["&amp;LEFT(D$7,3)&amp;"]"</f>
        <v>Frt In 
[EUR]</v>
      </c>
      <c r="V5" s="237"/>
      <c r="W5" s="238" t="s">
        <v>847</v>
      </c>
      <c r="X5" s="247"/>
      <c r="Y5" s="36"/>
      <c r="Z5" s="36"/>
      <c r="AA5" s="36"/>
      <c r="AB5" s="54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>
        <v>1</v>
      </c>
      <c r="AN5" s="36">
        <v>1</v>
      </c>
      <c r="AO5" s="35"/>
      <c r="AP5" s="35"/>
      <c r="AQ5" s="35"/>
      <c r="AR5" s="35"/>
      <c r="AS5" s="35"/>
      <c r="AT5" s="35"/>
    </row>
    <row r="6" spans="1:46" ht="12.75" customHeight="1" x14ac:dyDescent="0.2">
      <c r="A6" s="315" t="str">
        <f>VLOOKUP("jh_loc",translation,VLOOKUP(J2,languages,2,FALSE),FALSE)</f>
        <v>Location</v>
      </c>
      <c r="B6" s="314"/>
      <c r="C6" s="316"/>
      <c r="D6" s="692" t="s">
        <v>864</v>
      </c>
      <c r="E6" s="693"/>
      <c r="F6" s="320"/>
      <c r="G6" s="321"/>
      <c r="H6" s="316"/>
      <c r="I6" s="316" t="str">
        <f>VLOOKUP("sop",translation,VLOOKUP(J2,languages,2,FALSE),FALSE)</f>
        <v>Start of Production</v>
      </c>
      <c r="J6" s="679"/>
      <c r="K6" s="680"/>
      <c r="L6" s="334" t="str">
        <f>VLOOKUP("supplier",translation,VLOOKUP(J2,languages,2,FALSE),FALSE)</f>
        <v>Supplier</v>
      </c>
      <c r="M6" s="202"/>
      <c r="N6" s="681"/>
      <c r="O6" s="682"/>
      <c r="P6" s="683"/>
      <c r="R6" s="78"/>
      <c r="S6" s="217" t="s">
        <v>53</v>
      </c>
      <c r="T6" s="237"/>
      <c r="U6" s="237"/>
      <c r="V6" s="237"/>
      <c r="W6" s="248" t="s">
        <v>846</v>
      </c>
      <c r="X6" s="249" t="b">
        <v>0</v>
      </c>
      <c r="Y6" s="36"/>
      <c r="Z6" s="264"/>
      <c r="AA6" s="264"/>
      <c r="AB6" s="264"/>
      <c r="AC6" s="264"/>
      <c r="AD6" s="265"/>
      <c r="AE6" s="265"/>
      <c r="AF6" s="265"/>
      <c r="AG6" s="265"/>
      <c r="AH6" s="80"/>
      <c r="AI6" s="36"/>
      <c r="AJ6" s="36"/>
      <c r="AK6" s="36"/>
      <c r="AL6" s="36"/>
      <c r="AM6" s="35"/>
      <c r="AN6" s="35"/>
      <c r="AO6" s="35"/>
      <c r="AP6" s="35"/>
      <c r="AQ6" s="35"/>
      <c r="AR6" s="35"/>
      <c r="AS6" s="35"/>
      <c r="AT6" s="133"/>
    </row>
    <row r="7" spans="1:46" ht="12.75" customHeight="1" x14ac:dyDescent="0.2">
      <c r="A7" s="313" t="str">
        <f>VLOOKUP("currency",translation,VLOOKUP(J2,languages,2,FALSE),FALSE)</f>
        <v>Currency</v>
      </c>
      <c r="B7" s="314"/>
      <c r="C7" s="317"/>
      <c r="D7" s="684" t="s">
        <v>877</v>
      </c>
      <c r="E7" s="685"/>
      <c r="F7" s="686" t="s">
        <v>178</v>
      </c>
      <c r="G7" s="687"/>
      <c r="H7" s="316"/>
      <c r="I7" s="316" t="str">
        <f>VLOOKUP("ppap",translation,VLOOKUP(J2,languages,2,FALSE),FALSE)</f>
        <v>PPAP Date</v>
      </c>
      <c r="J7" s="679"/>
      <c r="K7" s="688"/>
      <c r="L7" s="335"/>
      <c r="M7" s="336" t="str">
        <f>VLOOKUP("descr",translation,VLOOKUP(J2,languages,2,FALSE),FALSE)</f>
        <v>Description</v>
      </c>
      <c r="N7" s="689" t="s">
        <v>862</v>
      </c>
      <c r="O7" s="690"/>
      <c r="P7" s="691"/>
      <c r="R7" s="78"/>
      <c r="S7" s="237" t="s">
        <v>56</v>
      </c>
      <c r="T7" s="237"/>
      <c r="U7" s="706" t="s">
        <v>92</v>
      </c>
      <c r="V7" s="707"/>
      <c r="W7" s="248" t="str">
        <f>IF(X7=TRUE,"Yes","No")</f>
        <v>No</v>
      </c>
      <c r="X7" s="249" t="b">
        <v>0</v>
      </c>
      <c r="Y7" s="36"/>
      <c r="Z7" s="264"/>
      <c r="AA7" s="264"/>
      <c r="AB7" s="264"/>
      <c r="AC7" s="264"/>
      <c r="AD7" s="265"/>
      <c r="AE7" s="265"/>
      <c r="AF7" s="265"/>
      <c r="AG7" s="265"/>
      <c r="AH7" s="80"/>
      <c r="AI7" s="36"/>
      <c r="AJ7" s="36"/>
      <c r="AK7" s="36"/>
      <c r="AL7" s="36"/>
      <c r="AM7" s="35"/>
      <c r="AN7" s="35"/>
      <c r="AO7" s="35"/>
      <c r="AP7" s="35"/>
      <c r="AQ7" s="35"/>
      <c r="AR7" s="35"/>
      <c r="AS7" s="35"/>
      <c r="AT7" s="133"/>
    </row>
    <row r="8" spans="1:46" ht="12.75" customHeight="1" x14ac:dyDescent="0.2">
      <c r="A8" s="315"/>
      <c r="B8" s="314"/>
      <c r="C8" s="317"/>
      <c r="D8" s="329"/>
      <c r="E8" s="329"/>
      <c r="F8" s="329"/>
      <c r="G8" s="329"/>
      <c r="H8" s="329"/>
      <c r="I8" s="330" t="str">
        <f>VLOOKUP("fot",translation,VLOOKUP(J2,languages,2,FALSE),FALSE)</f>
        <v>FOT Date</v>
      </c>
      <c r="J8" s="708"/>
      <c r="K8" s="709"/>
      <c r="L8" s="337"/>
      <c r="M8" s="338" t="str">
        <f>VLOOKUP("partno",translation,VLOOKUP(J2,languages,2,FALSE),FALSE)</f>
        <v>Part No.</v>
      </c>
      <c r="N8" s="710"/>
      <c r="O8" s="711"/>
      <c r="P8" s="712"/>
      <c r="R8" s="78"/>
      <c r="S8" s="217" t="s">
        <v>42</v>
      </c>
      <c r="T8" s="237"/>
      <c r="U8" s="250" t="b">
        <v>1</v>
      </c>
      <c r="V8" s="251" t="s">
        <v>165</v>
      </c>
      <c r="W8" s="237" t="str">
        <f>IF(V8=6,"Yes","No")</f>
        <v>No</v>
      </c>
      <c r="X8" s="249"/>
      <c r="Y8" s="36"/>
      <c r="Z8" s="264"/>
      <c r="AA8" s="264"/>
      <c r="AB8" s="264"/>
      <c r="AC8" s="264"/>
      <c r="AD8" s="264"/>
      <c r="AE8" s="264"/>
      <c r="AF8" s="264"/>
      <c r="AG8" s="264"/>
      <c r="AH8" s="36"/>
      <c r="AI8" s="36"/>
      <c r="AJ8" s="36"/>
      <c r="AK8" s="36"/>
      <c r="AL8" s="36"/>
      <c r="AM8" s="35"/>
      <c r="AN8" s="35"/>
      <c r="AO8" s="35"/>
      <c r="AP8" s="35"/>
      <c r="AQ8" s="35"/>
      <c r="AR8" s="35"/>
      <c r="AS8" s="35"/>
      <c r="AT8" s="35"/>
    </row>
    <row r="9" spans="1:46" ht="12.75" customHeight="1" x14ac:dyDescent="0.2">
      <c r="A9" s="318" t="str">
        <f>VLOOKUP("info",translation,VLOOKUP(J2,languages,2,FALSE),FALSE)</f>
        <v>Additional Information</v>
      </c>
      <c r="B9" s="314"/>
      <c r="C9" s="316"/>
      <c r="D9" s="713"/>
      <c r="E9" s="714"/>
      <c r="F9" s="714"/>
      <c r="G9" s="714"/>
      <c r="H9" s="714"/>
      <c r="I9" s="714"/>
      <c r="J9" s="714"/>
      <c r="K9" s="715"/>
      <c r="L9" s="719" t="str">
        <f>VLOOKUP("drawing",translation,VLOOKUP(J2,languages,2,FALSE),FALSE)</f>
        <v>Drawing</v>
      </c>
      <c r="M9" s="720"/>
      <c r="N9" s="710"/>
      <c r="O9" s="721"/>
      <c r="P9" s="722"/>
      <c r="R9" s="78"/>
      <c r="S9" s="217"/>
      <c r="T9" s="237"/>
      <c r="U9" s="250"/>
      <c r="V9" s="252"/>
      <c r="W9" s="237" t="s">
        <v>850</v>
      </c>
      <c r="X9" s="245" t="s">
        <v>849</v>
      </c>
      <c r="Y9" s="36"/>
      <c r="Z9" s="264"/>
      <c r="AA9" s="264"/>
      <c r="AB9" s="264"/>
      <c r="AC9" s="264"/>
      <c r="AD9" s="264"/>
      <c r="AE9" s="264"/>
      <c r="AF9" s="264"/>
      <c r="AG9" s="264"/>
      <c r="AH9" s="36"/>
      <c r="AI9" s="36"/>
      <c r="AJ9" s="36"/>
      <c r="AK9" s="36"/>
      <c r="AL9" s="36"/>
      <c r="AM9" s="35"/>
      <c r="AN9" s="35"/>
      <c r="AO9" s="35"/>
      <c r="AP9" s="35"/>
      <c r="AQ9" s="35"/>
      <c r="AR9" s="35"/>
      <c r="AS9" s="35"/>
      <c r="AT9" s="35"/>
    </row>
    <row r="10" spans="1:46" ht="12.75" customHeight="1" thickBot="1" x14ac:dyDescent="0.25">
      <c r="A10" s="318"/>
      <c r="B10" s="314"/>
      <c r="C10" s="319"/>
      <c r="D10" s="716"/>
      <c r="E10" s="717"/>
      <c r="F10" s="717"/>
      <c r="G10" s="717"/>
      <c r="H10" s="717"/>
      <c r="I10" s="717"/>
      <c r="J10" s="717"/>
      <c r="K10" s="718"/>
      <c r="L10" s="723" t="str">
        <f>VLOOKUP("project",translation,VLOOKUP(J2,languages,2,FALSE),FALSE)</f>
        <v>Project/Customer</v>
      </c>
      <c r="M10" s="724"/>
      <c r="N10" s="725" t="s">
        <v>863</v>
      </c>
      <c r="O10" s="726"/>
      <c r="P10" s="727"/>
      <c r="S10" s="237" t="s">
        <v>54</v>
      </c>
      <c r="T10" s="237"/>
      <c r="U10" s="237"/>
      <c r="V10" s="252">
        <f>W13+W36+W65</f>
        <v>125</v>
      </c>
      <c r="W10" s="252">
        <f>W13+W36+W65+W122</f>
        <v>250</v>
      </c>
      <c r="X10" s="247"/>
      <c r="Y10" s="36"/>
      <c r="Z10" s="264"/>
      <c r="AA10" s="264"/>
      <c r="AB10" s="264"/>
      <c r="AC10" s="264"/>
      <c r="AD10" s="264"/>
      <c r="AE10" s="264"/>
      <c r="AF10" s="264"/>
      <c r="AG10" s="264"/>
      <c r="AH10" s="36"/>
      <c r="AI10" s="36"/>
      <c r="AJ10" s="36"/>
      <c r="AK10" s="36"/>
      <c r="AL10" s="36"/>
      <c r="AM10" s="35"/>
      <c r="AN10" s="35"/>
      <c r="AO10" s="35"/>
      <c r="AP10" s="35"/>
      <c r="AQ10" s="35"/>
      <c r="AR10" s="35"/>
      <c r="AS10" s="35"/>
      <c r="AT10" s="35"/>
    </row>
    <row r="11" spans="1:46" ht="4.5999999999999996" customHeight="1" thickBot="1" x14ac:dyDescent="0.25">
      <c r="A11" s="33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34"/>
      <c r="S11" s="237"/>
      <c r="T11" s="237"/>
      <c r="U11" s="253" t="str">
        <f>IF(RIGHT(M$13,2)="%]","P","A")</f>
        <v>P</v>
      </c>
      <c r="V11" s="237"/>
      <c r="W11" s="237"/>
      <c r="X11" s="217"/>
      <c r="Y11" s="35"/>
      <c r="Z11" s="264"/>
      <c r="AA11" s="264"/>
      <c r="AB11" s="264"/>
      <c r="AC11" s="264"/>
      <c r="AD11" s="266"/>
      <c r="AE11" s="264"/>
      <c r="AF11" s="264"/>
      <c r="AG11" s="264"/>
      <c r="AH11" s="36"/>
      <c r="AI11" s="36"/>
      <c r="AJ11" s="36"/>
      <c r="AK11" s="36"/>
      <c r="AL11" s="36"/>
      <c r="AM11" s="35"/>
      <c r="AN11" s="35"/>
      <c r="AO11" s="35"/>
      <c r="AP11" s="35"/>
      <c r="AQ11" s="35"/>
      <c r="AR11" s="35"/>
      <c r="AS11" s="35"/>
      <c r="AT11" s="35"/>
    </row>
    <row r="12" spans="1:46" ht="13.6" x14ac:dyDescent="0.25">
      <c r="A12" s="339"/>
      <c r="B12" s="340" t="str">
        <f>VLOOKUP("sec2.1",translation,VLOOKUP(J2,languages,2,FALSE),FALSE)</f>
        <v>Section 2.1</v>
      </c>
      <c r="C12" s="341"/>
      <c r="D12" s="342" t="str">
        <f>VLOOKUP("material",translation,VLOOKUP(J2,languages,2,FALSE),FALSE)</f>
        <v>Raw Material</v>
      </c>
      <c r="E12" s="343"/>
      <c r="F12" s="343"/>
      <c r="G12" s="343"/>
      <c r="H12" s="343"/>
      <c r="I12" s="344"/>
      <c r="J12" s="344"/>
      <c r="K12" s="343"/>
      <c r="L12" s="343"/>
      <c r="M12" s="345">
        <f>U12</f>
        <v>1.6653345369377348E-16</v>
      </c>
      <c r="N12" s="345">
        <f>T12</f>
        <v>8.9100000000000013E-2</v>
      </c>
      <c r="O12" s="629">
        <f>SUBTOTAL(109,O14:O33)</f>
        <v>4.5441000000000003</v>
      </c>
      <c r="P12" s="346">
        <f>IF($O$104=0,0,O12/$O$104)</f>
        <v>0.62616590975068542</v>
      </c>
      <c r="S12" s="254">
        <f>SUBTOTAL(109,S14:S33)</f>
        <v>4.4550000000000001</v>
      </c>
      <c r="T12" s="254">
        <f>SUBTOTAL(109,T14:T33)</f>
        <v>8.9100000000000013E-2</v>
      </c>
      <c r="U12" s="254">
        <f>SUBTOTAL(109,U14:U33)</f>
        <v>1.6653345369377348E-16</v>
      </c>
      <c r="V12" s="254">
        <f>SUBTOTAL(109,V14:V33)</f>
        <v>4.5441000000000003</v>
      </c>
      <c r="W12" s="254"/>
      <c r="X12" s="217"/>
      <c r="Y12" s="35"/>
      <c r="Z12" s="264"/>
      <c r="AA12" s="264"/>
      <c r="AB12" s="264"/>
      <c r="AC12" s="264"/>
      <c r="AD12" s="264"/>
      <c r="AE12" s="264"/>
      <c r="AF12" s="264"/>
      <c r="AG12" s="264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5"/>
    </row>
    <row r="13" spans="1:46" ht="32.299999999999997" customHeight="1" x14ac:dyDescent="0.2">
      <c r="A13" s="347"/>
      <c r="B13" s="728" t="str">
        <f>VLOOKUP("descr2",translation,VLOOKUP(J2,languages,2,FALSE),FALSE)</f>
        <v>Description</v>
      </c>
      <c r="C13" s="728"/>
      <c r="D13" s="659"/>
      <c r="E13" s="729" t="str">
        <f>VLOOKUP("spec",translation,VLOOKUP(J2,languages,2,FALSE),FALSE)</f>
        <v>Specification</v>
      </c>
      <c r="F13" s="730"/>
      <c r="G13" s="349" t="str">
        <f>VLOOKUP("uom",translation,VLOOKUP(J2,languages,2,FALSE),FALSE)</f>
        <v>UoM</v>
      </c>
      <c r="H13" s="660" t="str">
        <f>VLOOKUP("nweight",translation,VLOOKUP(J2,languages,2,FALSE),FALSE)</f>
        <v>Net Amount</v>
      </c>
      <c r="I13" s="660" t="str">
        <f>VLOOKUP("bweight",translation,VLOOKUP(J2,languages,2,FALSE),FALSE)</f>
        <v>Gross Amount</v>
      </c>
      <c r="J13" s="660" t="str">
        <f>VLOOKUP("qty1",translation,VLOOKUP(J2,languages,2,FALSE),FALSE)</f>
        <v>Qty (optional)</v>
      </c>
      <c r="K13" s="660" t="str">
        <f>VLOOKUP("ucost",translation,VLOOKUP(J2,languages,2,FALSE),FALSE) &amp; " ["&amp;LEFT($D$7,3)&amp;"]"</f>
        <v>Unit Cost [EUR]</v>
      </c>
      <c r="L13" s="660" t="str">
        <f>VLOOKUP("resale",translation,VLOOKUP(J2,languages,2,FALSE),FALSE)&amp;" ["&amp;LEFT($D$7,3)&amp;VLOOKUP("/UoM",translation,VLOOKUP(J2,languages,2,FALSE),FALSE)&amp;"]"</f>
        <v>Refund [EUR/UoM]</v>
      </c>
      <c r="M13" s="351" t="s">
        <v>193</v>
      </c>
      <c r="N13" s="660" t="str">
        <f>VLOOKUP("scrap",translation,VLOOKUP(J2,languages,2,FALSE),FALSE)</f>
        <v>Scrap [%]</v>
      </c>
      <c r="O13" s="660" t="str">
        <f>VLOOKUP("total",translation,VLOOKUP(J2,languages,2,FALSE),FALSE)&amp;" ["&amp;LEFT($D$7,3)&amp;$F$7&amp;"]"</f>
        <v>Total [EUR/pc]</v>
      </c>
      <c r="P13" s="352"/>
      <c r="S13" s="255" t="s">
        <v>13</v>
      </c>
      <c r="T13" s="255" t="s">
        <v>14</v>
      </c>
      <c r="U13" s="255" t="s">
        <v>15</v>
      </c>
      <c r="V13" s="255" t="s">
        <v>16</v>
      </c>
      <c r="W13" s="256">
        <v>16</v>
      </c>
      <c r="X13" s="217"/>
      <c r="Y13" s="35"/>
      <c r="Z13" s="264"/>
      <c r="AA13" s="264"/>
      <c r="AB13" s="264"/>
      <c r="AC13" s="264"/>
      <c r="AD13" s="264"/>
      <c r="AE13" s="264"/>
      <c r="AF13" s="264"/>
      <c r="AG13" s="264"/>
      <c r="AH13" s="36"/>
      <c r="AI13" s="36"/>
      <c r="AJ13" s="36"/>
      <c r="AK13" s="36"/>
      <c r="AL13" s="36"/>
      <c r="AM13" s="35"/>
      <c r="AN13" s="35"/>
      <c r="AO13" s="35"/>
      <c r="AP13" s="35"/>
      <c r="AQ13" s="35"/>
      <c r="AR13" s="35"/>
      <c r="AS13" s="35"/>
      <c r="AT13" s="35"/>
    </row>
    <row r="14" spans="1:46" x14ac:dyDescent="0.2">
      <c r="A14" s="353">
        <v>1</v>
      </c>
      <c r="B14" s="891" t="s">
        <v>867</v>
      </c>
      <c r="C14" s="892"/>
      <c r="D14" s="893"/>
      <c r="E14" s="731" t="s">
        <v>865</v>
      </c>
      <c r="F14" s="732"/>
      <c r="G14" s="88" t="s">
        <v>866</v>
      </c>
      <c r="H14" s="90">
        <v>2.5</v>
      </c>
      <c r="I14" s="90">
        <v>2.7</v>
      </c>
      <c r="J14" s="90"/>
      <c r="K14" s="90">
        <v>1.65</v>
      </c>
      <c r="L14" s="90">
        <v>0</v>
      </c>
      <c r="M14" s="218"/>
      <c r="N14" s="354">
        <v>0.02</v>
      </c>
      <c r="O14" s="355">
        <f>IF(J14="",1,J14)*(I14*(1+N14)*(K14+IF(RIGHT(M$13,2)="%]",(K14*M14),M14)-L14)+H14*L14)*PUC</f>
        <v>4.5441000000000003</v>
      </c>
      <c r="P14" s="356">
        <f t="shared" ref="P14:P33" si="0">IF($O$104=0,0,O14/$O$104)</f>
        <v>0.62616590975068542</v>
      </c>
      <c r="S14" s="257">
        <f>IF(J14="",1,J14)*(I14*(K14-L14)+(H14*L14))*PUC</f>
        <v>4.4550000000000001</v>
      </c>
      <c r="T14" s="257">
        <f>IF(J14="",1,J14)*(K14+IF(RIGHT(M$13,2)="%]",(K14*M14),M14)-L14)*(I14*N14)*PUC</f>
        <v>8.9100000000000013E-2</v>
      </c>
      <c r="U14" s="257">
        <f>V14-S14-T14</f>
        <v>1.6653345369377348E-16</v>
      </c>
      <c r="V14" s="257">
        <f>IF(J14="",1,J14)*(I14*(1+N14)*(K14+IF(RIGHT(M$13,2)="%]",(K14*M14),M14)-L14)+H14*L14)*PUC</f>
        <v>4.5441000000000003</v>
      </c>
      <c r="W14" s="258"/>
      <c r="X14" s="217"/>
      <c r="Y14" s="40"/>
      <c r="Z14" s="264"/>
      <c r="AA14" s="264"/>
      <c r="AB14" s="264"/>
      <c r="AC14" s="264"/>
      <c r="AD14" s="264"/>
      <c r="AE14" s="264"/>
      <c r="AF14" s="266"/>
      <c r="AG14" s="264"/>
      <c r="AH14" s="54"/>
      <c r="AI14" s="36"/>
      <c r="AJ14" s="36"/>
      <c r="AK14" s="36"/>
      <c r="AL14" s="36"/>
      <c r="AM14" s="41"/>
      <c r="AN14" s="41"/>
      <c r="AO14" s="41"/>
      <c r="AP14" s="41"/>
      <c r="AQ14" s="41"/>
      <c r="AR14" s="41"/>
      <c r="AS14" s="41"/>
      <c r="AT14" s="41"/>
    </row>
    <row r="15" spans="1:46" x14ac:dyDescent="0.2">
      <c r="A15" s="357">
        <v>2</v>
      </c>
      <c r="B15" s="738"/>
      <c r="C15" s="739"/>
      <c r="D15" s="740"/>
      <c r="E15" s="731"/>
      <c r="F15" s="732"/>
      <c r="G15" s="88"/>
      <c r="H15" s="90"/>
      <c r="I15" s="90"/>
      <c r="J15" s="90"/>
      <c r="K15" s="90"/>
      <c r="L15" s="90"/>
      <c r="M15" s="218"/>
      <c r="N15" s="358"/>
      <c r="O15" s="355">
        <f>IF(J15="",1,J15)*(I15*(1+N15)*(K15+IF(RIGHT(M$13,2)="%]",(K15*M15),M15)-L15)+H15*L15)*PUC</f>
        <v>0</v>
      </c>
      <c r="P15" s="356">
        <f t="shared" si="0"/>
        <v>0</v>
      </c>
      <c r="S15" s="257">
        <f>IF(J15="",1,J15)*(I15*(K15-L15)+(H15*L15))*PUC</f>
        <v>0</v>
      </c>
      <c r="T15" s="257">
        <f>IF(J15="",1,J15)*(K15+IF(RIGHT(M$13,2)="%]",(K15*M15),M15)-L15)*(I15*N15)*PUC</f>
        <v>0</v>
      </c>
      <c r="U15" s="257">
        <f t="shared" ref="U15:U33" si="1">V15-S15-T15</f>
        <v>0</v>
      </c>
      <c r="V15" s="257">
        <f>IF(J15="",1,J15)*(I15*(1+N15)*(K15+IF(RIGHT(M$13,2)="%]",(K15*M15),M15)-L15)+H15*L15)*PUC</f>
        <v>0</v>
      </c>
      <c r="W15" s="258"/>
      <c r="X15" s="217"/>
      <c r="Y15" s="40"/>
      <c r="Z15" s="264"/>
      <c r="AA15" s="264"/>
      <c r="AB15" s="264"/>
      <c r="AC15" s="264"/>
      <c r="AD15" s="264"/>
      <c r="AE15" s="264"/>
      <c r="AF15" s="264"/>
      <c r="AG15" s="264"/>
      <c r="AH15" s="36"/>
      <c r="AI15" s="36"/>
      <c r="AJ15" s="36"/>
      <c r="AK15" s="36"/>
      <c r="AL15" s="36"/>
      <c r="AM15" s="41"/>
      <c r="AN15" s="41"/>
      <c r="AO15" s="41"/>
      <c r="AP15" s="41"/>
      <c r="AQ15" s="41"/>
      <c r="AR15" s="41"/>
      <c r="AS15" s="41"/>
      <c r="AT15" s="41"/>
    </row>
    <row r="16" spans="1:46" x14ac:dyDescent="0.2">
      <c r="A16" s="357">
        <v>3</v>
      </c>
      <c r="B16" s="738"/>
      <c r="C16" s="739"/>
      <c r="D16" s="740"/>
      <c r="E16" s="731"/>
      <c r="F16" s="733"/>
      <c r="G16" s="88"/>
      <c r="H16" s="90"/>
      <c r="I16" s="90"/>
      <c r="J16" s="90"/>
      <c r="K16" s="90"/>
      <c r="L16" s="90"/>
      <c r="M16" s="218"/>
      <c r="N16" s="358"/>
      <c r="O16" s="355">
        <f>IF(J16="",1,J16)*(I16*(1+N16)*(K16+IF(RIGHT(M$13,2)="%]",(K16*M16),M16)-L16)+H16*L16)*PUC</f>
        <v>0</v>
      </c>
      <c r="P16" s="356">
        <f t="shared" si="0"/>
        <v>0</v>
      </c>
      <c r="S16" s="257">
        <f>IF(J16="",1,J16)*(I16*(K16-L16)+(H16*L16))*PUC</f>
        <v>0</v>
      </c>
      <c r="T16" s="257">
        <f>IF(J16="",1,J16)*(K16+IF(RIGHT(M$13,2)="%]",(K16*M16),M16)-L16)*(I16*N16)*PUC</f>
        <v>0</v>
      </c>
      <c r="U16" s="257">
        <f t="shared" si="1"/>
        <v>0</v>
      </c>
      <c r="V16" s="257">
        <f>IF(J16="",1,J16)*(I16*(1+N16)*(K16+IF(RIGHT(M$13,2)="%]",(K16*M16),M16)-L16)+H16*L16)*PUC</f>
        <v>0</v>
      </c>
      <c r="W16" s="258"/>
      <c r="X16" s="217"/>
      <c r="Y16" s="40"/>
      <c r="Z16" s="264"/>
      <c r="AA16" s="264"/>
      <c r="AB16" s="264"/>
      <c r="AC16" s="264"/>
      <c r="AD16" s="264"/>
      <c r="AE16" s="264"/>
      <c r="AF16" s="264"/>
      <c r="AG16" s="264"/>
      <c r="AH16" s="36"/>
      <c r="AI16" s="36"/>
      <c r="AJ16" s="36"/>
      <c r="AK16" s="36"/>
      <c r="AL16" s="36"/>
      <c r="AM16" s="41"/>
      <c r="AN16" s="41"/>
      <c r="AO16" s="41"/>
      <c r="AP16" s="41"/>
      <c r="AQ16" s="41"/>
      <c r="AR16" s="41"/>
      <c r="AS16" s="41"/>
      <c r="AT16" s="41"/>
    </row>
    <row r="17" spans="1:46" ht="12.75" hidden="1" customHeight="1" x14ac:dyDescent="0.2">
      <c r="A17" s="357">
        <v>4</v>
      </c>
      <c r="B17" s="738"/>
      <c r="C17" s="739"/>
      <c r="D17" s="740"/>
      <c r="E17" s="731"/>
      <c r="F17" s="733"/>
      <c r="G17" s="88"/>
      <c r="H17" s="90"/>
      <c r="I17" s="90"/>
      <c r="J17" s="90"/>
      <c r="K17" s="90"/>
      <c r="L17" s="90"/>
      <c r="M17" s="218"/>
      <c r="N17" s="358"/>
      <c r="O17" s="355">
        <f>IF(J17="",1,J17)*(I17*(1+N17)*(K17+IF(RIGHT(M$13,2)="%]",(K17*M17),M17)-L17)+H17*L17)*PUC</f>
        <v>0</v>
      </c>
      <c r="P17" s="356">
        <f t="shared" si="0"/>
        <v>0</v>
      </c>
      <c r="S17" s="257">
        <f>IF(J17="",1,J17)*(I17*(K17-L17)+(H17*L17))*PUC</f>
        <v>0</v>
      </c>
      <c r="T17" s="257">
        <f>IF(J17="",1,J17)*(K17+IF(RIGHT(M$13,2)="%]",(K17*M17),M17)-L17)*(I17*N17)*PUC</f>
        <v>0</v>
      </c>
      <c r="U17" s="257">
        <f t="shared" si="1"/>
        <v>0</v>
      </c>
      <c r="V17" s="257">
        <f>IF(J17="",1,J17)*(I17*(1+N17)*(K17+IF(RIGHT(M$13,2)="%]",(K17*M17),M17)-L17)+H17*L17)*PUC</f>
        <v>0</v>
      </c>
      <c r="W17" s="258"/>
      <c r="X17" s="217"/>
      <c r="Y17" s="40"/>
      <c r="Z17" s="264"/>
      <c r="AA17" s="264"/>
      <c r="AB17" s="264"/>
      <c r="AC17" s="264"/>
      <c r="AD17" s="264"/>
      <c r="AE17" s="264"/>
      <c r="AF17" s="264"/>
      <c r="AG17" s="264"/>
      <c r="AH17" s="36"/>
      <c r="AI17" s="36"/>
      <c r="AJ17" s="36"/>
      <c r="AK17" s="36"/>
      <c r="AL17" s="36"/>
      <c r="AM17" s="41"/>
      <c r="AN17" s="41"/>
      <c r="AO17" s="41"/>
      <c r="AP17" s="41"/>
      <c r="AQ17" s="41"/>
      <c r="AR17" s="41"/>
      <c r="AS17" s="41"/>
      <c r="AT17" s="41"/>
    </row>
    <row r="18" spans="1:46" ht="12.75" hidden="1" customHeight="1" x14ac:dyDescent="0.2">
      <c r="A18" s="357">
        <v>5</v>
      </c>
      <c r="B18" s="738"/>
      <c r="C18" s="739"/>
      <c r="D18" s="740"/>
      <c r="E18" s="731"/>
      <c r="F18" s="733"/>
      <c r="G18" s="88"/>
      <c r="H18" s="90"/>
      <c r="I18" s="90"/>
      <c r="J18" s="90"/>
      <c r="K18" s="90"/>
      <c r="L18" s="90"/>
      <c r="M18" s="218"/>
      <c r="N18" s="358"/>
      <c r="O18" s="355">
        <f t="shared" ref="O18:O30" si="2">IF(J18="",1,J18)*(I18*(1+N18)*(K18+IF(RIGHT(M$13,2)="%]",(K18*M18),M18)-L18)+H18*L18)*PUC</f>
        <v>0</v>
      </c>
      <c r="P18" s="356">
        <f t="shared" si="0"/>
        <v>0</v>
      </c>
      <c r="S18" s="257">
        <f t="shared" ref="S18:S30" si="3">IF(J18="",1,J18)*(I18*(K18-L18)+(H18*L18))*PUC</f>
        <v>0</v>
      </c>
      <c r="T18" s="257">
        <f t="shared" ref="T18:T30" si="4">IF(J18="",1,J18)*(K18+IF(RIGHT(M$13,2)="%]",(K18*M18),M18)-L18)*(I18*N18)*PUC</f>
        <v>0</v>
      </c>
      <c r="U18" s="257">
        <f t="shared" si="1"/>
        <v>0</v>
      </c>
      <c r="V18" s="257">
        <f t="shared" ref="V18:V30" si="5">IF(J18="",1,J18)*(I18*(1+N18)*(K18+IF(RIGHT(M$13,2)="%]",(K18*M18),M18)-L18)+H18*L18)*PUC</f>
        <v>0</v>
      </c>
      <c r="W18" s="258"/>
      <c r="X18" s="217"/>
      <c r="Y18" s="40"/>
      <c r="Z18" s="264"/>
      <c r="AA18" s="264"/>
      <c r="AB18" s="264"/>
      <c r="AC18" s="264"/>
      <c r="AD18" s="264"/>
      <c r="AE18" s="264"/>
      <c r="AF18" s="264"/>
      <c r="AG18" s="264"/>
      <c r="AH18" s="54"/>
      <c r="AI18" s="36"/>
      <c r="AJ18" s="36"/>
      <c r="AK18" s="36"/>
      <c r="AL18" s="36"/>
      <c r="AM18" s="41"/>
      <c r="AN18" s="41"/>
      <c r="AO18" s="41"/>
      <c r="AP18" s="41"/>
      <c r="AQ18" s="41"/>
      <c r="AR18" s="41"/>
      <c r="AS18" s="41"/>
      <c r="AT18" s="41"/>
    </row>
    <row r="19" spans="1:46" ht="12.75" hidden="1" customHeight="1" x14ac:dyDescent="0.2">
      <c r="A19" s="357">
        <v>6</v>
      </c>
      <c r="B19" s="738"/>
      <c r="C19" s="739"/>
      <c r="D19" s="740"/>
      <c r="E19" s="731"/>
      <c r="F19" s="733"/>
      <c r="G19" s="88"/>
      <c r="H19" s="90"/>
      <c r="I19" s="90"/>
      <c r="J19" s="90"/>
      <c r="K19" s="90"/>
      <c r="L19" s="90"/>
      <c r="M19" s="218"/>
      <c r="N19" s="358"/>
      <c r="O19" s="355">
        <f t="shared" si="2"/>
        <v>0</v>
      </c>
      <c r="P19" s="356">
        <f t="shared" si="0"/>
        <v>0</v>
      </c>
      <c r="S19" s="257">
        <f t="shared" si="3"/>
        <v>0</v>
      </c>
      <c r="T19" s="257">
        <f t="shared" si="4"/>
        <v>0</v>
      </c>
      <c r="U19" s="257">
        <f t="shared" si="1"/>
        <v>0</v>
      </c>
      <c r="V19" s="257">
        <f t="shared" si="5"/>
        <v>0</v>
      </c>
      <c r="W19" s="258"/>
      <c r="X19" s="217"/>
      <c r="Y19" s="40"/>
      <c r="Z19" s="264"/>
      <c r="AA19" s="264"/>
      <c r="AB19" s="264"/>
      <c r="AC19" s="264"/>
      <c r="AD19" s="264"/>
      <c r="AE19" s="264"/>
      <c r="AF19" s="264"/>
      <c r="AG19" s="264"/>
      <c r="AH19" s="36"/>
      <c r="AI19" s="36"/>
      <c r="AJ19" s="36"/>
      <c r="AK19" s="36"/>
      <c r="AL19" s="36"/>
      <c r="AM19" s="41"/>
      <c r="AN19" s="41"/>
      <c r="AO19" s="41"/>
      <c r="AP19" s="41"/>
      <c r="AQ19" s="41"/>
      <c r="AR19" s="41"/>
      <c r="AS19" s="41"/>
      <c r="AT19" s="41"/>
    </row>
    <row r="20" spans="1:46" ht="12.75" hidden="1" customHeight="1" x14ac:dyDescent="0.2">
      <c r="A20" s="357">
        <v>7</v>
      </c>
      <c r="B20" s="738"/>
      <c r="C20" s="739"/>
      <c r="D20" s="740"/>
      <c r="E20" s="731"/>
      <c r="F20" s="733"/>
      <c r="G20" s="88"/>
      <c r="H20" s="90"/>
      <c r="I20" s="90"/>
      <c r="J20" s="90"/>
      <c r="K20" s="90"/>
      <c r="L20" s="90"/>
      <c r="M20" s="218"/>
      <c r="N20" s="358"/>
      <c r="O20" s="355">
        <f t="shared" si="2"/>
        <v>0</v>
      </c>
      <c r="P20" s="356">
        <f t="shared" si="0"/>
        <v>0</v>
      </c>
      <c r="S20" s="257">
        <f t="shared" si="3"/>
        <v>0</v>
      </c>
      <c r="T20" s="257">
        <f t="shared" si="4"/>
        <v>0</v>
      </c>
      <c r="U20" s="257">
        <f t="shared" si="1"/>
        <v>0</v>
      </c>
      <c r="V20" s="257">
        <f t="shared" si="5"/>
        <v>0</v>
      </c>
      <c r="W20" s="258"/>
      <c r="X20" s="217"/>
      <c r="Y20" s="42"/>
      <c r="Z20" s="264"/>
      <c r="AA20" s="264"/>
      <c r="AB20" s="264"/>
      <c r="AC20" s="264"/>
      <c r="AD20" s="264"/>
      <c r="AE20" s="264"/>
      <c r="AF20" s="264"/>
      <c r="AG20" s="264"/>
      <c r="AH20" s="36"/>
      <c r="AI20" s="36"/>
      <c r="AJ20" s="36"/>
      <c r="AK20" s="36"/>
      <c r="AL20" s="36"/>
      <c r="AM20" s="42"/>
      <c r="AN20" s="42"/>
      <c r="AO20" s="42"/>
      <c r="AP20" s="42"/>
      <c r="AQ20" s="42"/>
      <c r="AR20" s="42"/>
      <c r="AS20" s="42"/>
      <c r="AT20" s="42"/>
    </row>
    <row r="21" spans="1:46" ht="12.75" hidden="1" customHeight="1" x14ac:dyDescent="0.2">
      <c r="A21" s="357">
        <v>8</v>
      </c>
      <c r="B21" s="738"/>
      <c r="C21" s="739"/>
      <c r="D21" s="740"/>
      <c r="E21" s="731"/>
      <c r="F21" s="733"/>
      <c r="G21" s="88"/>
      <c r="H21" s="90"/>
      <c r="I21" s="90"/>
      <c r="J21" s="90"/>
      <c r="K21" s="90"/>
      <c r="L21" s="90"/>
      <c r="M21" s="218"/>
      <c r="N21" s="358"/>
      <c r="O21" s="355">
        <f t="shared" si="2"/>
        <v>0</v>
      </c>
      <c r="P21" s="356">
        <f t="shared" si="0"/>
        <v>0</v>
      </c>
      <c r="S21" s="257">
        <f t="shared" si="3"/>
        <v>0</v>
      </c>
      <c r="T21" s="257">
        <f t="shared" si="4"/>
        <v>0</v>
      </c>
      <c r="U21" s="257">
        <f t="shared" si="1"/>
        <v>0</v>
      </c>
      <c r="V21" s="257">
        <f t="shared" si="5"/>
        <v>0</v>
      </c>
      <c r="W21" s="258"/>
      <c r="X21" s="217"/>
      <c r="Y21" s="42"/>
      <c r="Z21" s="264"/>
      <c r="AA21" s="264"/>
      <c r="AB21" s="264"/>
      <c r="AC21" s="264"/>
      <c r="AD21" s="264"/>
      <c r="AE21" s="264"/>
      <c r="AF21" s="264"/>
      <c r="AG21" s="264"/>
      <c r="AH21" s="36"/>
      <c r="AI21" s="36"/>
      <c r="AJ21" s="36"/>
      <c r="AK21" s="36"/>
      <c r="AL21" s="36"/>
      <c r="AM21" s="42"/>
      <c r="AN21" s="42"/>
      <c r="AO21" s="42"/>
      <c r="AP21" s="42"/>
      <c r="AQ21" s="42"/>
      <c r="AR21" s="42"/>
      <c r="AS21" s="42"/>
      <c r="AT21" s="42"/>
    </row>
    <row r="22" spans="1:46" ht="12.75" hidden="1" customHeight="1" x14ac:dyDescent="0.2">
      <c r="A22" s="357">
        <v>9</v>
      </c>
      <c r="B22" s="738"/>
      <c r="C22" s="739"/>
      <c r="D22" s="740"/>
      <c r="E22" s="731"/>
      <c r="F22" s="733"/>
      <c r="G22" s="88"/>
      <c r="H22" s="90"/>
      <c r="I22" s="90"/>
      <c r="J22" s="90"/>
      <c r="K22" s="90"/>
      <c r="L22" s="90"/>
      <c r="M22" s="218"/>
      <c r="N22" s="358"/>
      <c r="O22" s="355">
        <f t="shared" si="2"/>
        <v>0</v>
      </c>
      <c r="P22" s="356">
        <f t="shared" si="0"/>
        <v>0</v>
      </c>
      <c r="S22" s="257">
        <f t="shared" si="3"/>
        <v>0</v>
      </c>
      <c r="T22" s="257">
        <f t="shared" si="4"/>
        <v>0</v>
      </c>
      <c r="U22" s="257">
        <f t="shared" si="1"/>
        <v>0</v>
      </c>
      <c r="V22" s="257">
        <f t="shared" si="5"/>
        <v>0</v>
      </c>
      <c r="W22" s="258"/>
      <c r="X22" s="217"/>
      <c r="Y22" s="42"/>
      <c r="Z22" s="264"/>
      <c r="AA22" s="264"/>
      <c r="AB22" s="264"/>
      <c r="AC22" s="264"/>
      <c r="AD22" s="264"/>
      <c r="AE22" s="264"/>
      <c r="AF22" s="264"/>
      <c r="AG22" s="264"/>
      <c r="AH22" s="36"/>
      <c r="AI22" s="36"/>
      <c r="AJ22" s="36"/>
      <c r="AK22" s="36"/>
      <c r="AL22" s="36"/>
      <c r="AM22" s="42"/>
      <c r="AN22" s="42"/>
      <c r="AO22" s="42"/>
      <c r="AP22" s="42"/>
      <c r="AQ22" s="42"/>
      <c r="AR22" s="42"/>
      <c r="AS22" s="42"/>
      <c r="AT22" s="42"/>
    </row>
    <row r="23" spans="1:46" ht="12.75" hidden="1" customHeight="1" x14ac:dyDescent="0.2">
      <c r="A23" s="357">
        <v>10</v>
      </c>
      <c r="B23" s="738"/>
      <c r="C23" s="739"/>
      <c r="D23" s="740"/>
      <c r="E23" s="731"/>
      <c r="F23" s="733"/>
      <c r="G23" s="88"/>
      <c r="H23" s="90"/>
      <c r="I23" s="90"/>
      <c r="J23" s="90"/>
      <c r="K23" s="90"/>
      <c r="L23" s="90"/>
      <c r="M23" s="218"/>
      <c r="N23" s="358"/>
      <c r="O23" s="355">
        <f t="shared" si="2"/>
        <v>0</v>
      </c>
      <c r="P23" s="356">
        <f t="shared" si="0"/>
        <v>0</v>
      </c>
      <c r="S23" s="257">
        <f t="shared" si="3"/>
        <v>0</v>
      </c>
      <c r="T23" s="257">
        <f t="shared" si="4"/>
        <v>0</v>
      </c>
      <c r="U23" s="257">
        <f t="shared" si="1"/>
        <v>0</v>
      </c>
      <c r="V23" s="257">
        <f t="shared" si="5"/>
        <v>0</v>
      </c>
      <c r="W23" s="258"/>
      <c r="X23" s="217"/>
      <c r="Y23" s="42"/>
      <c r="Z23" s="264"/>
      <c r="AA23" s="264"/>
      <c r="AB23" s="264"/>
      <c r="AC23" s="264"/>
      <c r="AD23" s="264"/>
      <c r="AE23" s="264"/>
      <c r="AF23" s="264"/>
      <c r="AG23" s="264"/>
      <c r="AH23" s="36"/>
      <c r="AI23" s="36"/>
      <c r="AJ23" s="36"/>
      <c r="AK23" s="36"/>
      <c r="AL23" s="36"/>
      <c r="AM23" s="42"/>
      <c r="AN23" s="42"/>
      <c r="AO23" s="42"/>
      <c r="AP23" s="42"/>
      <c r="AQ23" s="42"/>
      <c r="AR23" s="42"/>
      <c r="AS23" s="42"/>
      <c r="AT23" s="42"/>
    </row>
    <row r="24" spans="1:46" ht="12.75" hidden="1" customHeight="1" x14ac:dyDescent="0.2">
      <c r="A24" s="357">
        <v>11</v>
      </c>
      <c r="B24" s="738"/>
      <c r="C24" s="739"/>
      <c r="D24" s="740"/>
      <c r="E24" s="731"/>
      <c r="F24" s="733"/>
      <c r="G24" s="88"/>
      <c r="H24" s="90"/>
      <c r="I24" s="90"/>
      <c r="J24" s="90"/>
      <c r="K24" s="90"/>
      <c r="L24" s="90"/>
      <c r="M24" s="218"/>
      <c r="N24" s="358"/>
      <c r="O24" s="355">
        <f>IF(J24="",1,J24)*(I24*(1+N24)*(K24+IF(RIGHT(M$13,2)="%]",(K24*M24),M24)-L24)+H24*L24)*PUC</f>
        <v>0</v>
      </c>
      <c r="P24" s="356">
        <f t="shared" si="0"/>
        <v>0</v>
      </c>
      <c r="S24" s="257">
        <f>IF(J24="",1,J24)*(I24*(K24-L24)+(H24*L24))*PUC</f>
        <v>0</v>
      </c>
      <c r="T24" s="257">
        <f>IF(J24="",1,J24)*(K24+IF(RIGHT(M$13,2)="%]",(K24*M24),M24)-L24)*(I24*N24)*PUC</f>
        <v>0</v>
      </c>
      <c r="U24" s="257">
        <f t="shared" si="1"/>
        <v>0</v>
      </c>
      <c r="V24" s="257">
        <f>IF(J24="",1,J24)*(I24*(1+N24)*(K24+IF(RIGHT(M$13,2)="%]",(K24*M24),M24)-L24)+H24*L24)*PUC</f>
        <v>0</v>
      </c>
      <c r="W24" s="258"/>
      <c r="X24" s="217"/>
      <c r="Y24" s="42"/>
      <c r="Z24" s="264"/>
      <c r="AA24" s="264"/>
      <c r="AB24" s="264"/>
      <c r="AC24" s="264"/>
      <c r="AD24" s="264"/>
      <c r="AE24" s="264"/>
      <c r="AF24" s="264"/>
      <c r="AG24" s="264"/>
      <c r="AH24" s="36"/>
      <c r="AI24" s="36"/>
      <c r="AJ24" s="36"/>
      <c r="AK24" s="36"/>
      <c r="AL24" s="36"/>
      <c r="AM24" s="42"/>
      <c r="AN24" s="42"/>
      <c r="AO24" s="42"/>
      <c r="AP24" s="42"/>
      <c r="AQ24" s="42"/>
      <c r="AR24" s="42"/>
      <c r="AS24" s="42"/>
      <c r="AT24" s="42"/>
    </row>
    <row r="25" spans="1:46" ht="12.75" hidden="1" customHeight="1" x14ac:dyDescent="0.2">
      <c r="A25" s="357">
        <v>12</v>
      </c>
      <c r="B25" s="738"/>
      <c r="C25" s="739"/>
      <c r="D25" s="740"/>
      <c r="E25" s="731"/>
      <c r="F25" s="733"/>
      <c r="G25" s="88"/>
      <c r="H25" s="90"/>
      <c r="I25" s="90"/>
      <c r="J25" s="90"/>
      <c r="K25" s="90"/>
      <c r="L25" s="90"/>
      <c r="M25" s="218"/>
      <c r="N25" s="358"/>
      <c r="O25" s="355">
        <f>IF(J25="",1,J25)*(I25*(1+N25)*(K25+IF(RIGHT(M$13,2)="%]",(K25*M25),M25)-L25)+H25*L25)*PUC</f>
        <v>0</v>
      </c>
      <c r="P25" s="356">
        <f t="shared" si="0"/>
        <v>0</v>
      </c>
      <c r="S25" s="257">
        <f>IF(J25="",1,J25)*(I25*(K25-L25)+(H25*L25))*PUC</f>
        <v>0</v>
      </c>
      <c r="T25" s="257">
        <f>IF(J25="",1,J25)*(K25+IF(RIGHT(M$13,2)="%]",(K25*M25),M25)-L25)*(I25*N25)*PUC</f>
        <v>0</v>
      </c>
      <c r="U25" s="257">
        <f t="shared" si="1"/>
        <v>0</v>
      </c>
      <c r="V25" s="257">
        <f>IF(J25="",1,J25)*(I25*(1+N25)*(K25+IF(RIGHT(M$13,2)="%]",(K25*M25),M25)-L25)+H25*L25)*PUC</f>
        <v>0</v>
      </c>
      <c r="W25" s="258"/>
      <c r="X25" s="217"/>
      <c r="Y25" s="42"/>
      <c r="Z25" s="264"/>
      <c r="AA25" s="264"/>
      <c r="AB25" s="264"/>
      <c r="AC25" s="264"/>
      <c r="AD25" s="264"/>
      <c r="AE25" s="264"/>
      <c r="AF25" s="264"/>
      <c r="AG25" s="264"/>
      <c r="AH25" s="36"/>
      <c r="AI25" s="36"/>
      <c r="AJ25" s="36"/>
      <c r="AK25" s="36"/>
      <c r="AL25" s="36"/>
      <c r="AM25" s="42"/>
      <c r="AN25" s="42"/>
      <c r="AO25" s="42"/>
      <c r="AP25" s="42"/>
      <c r="AQ25" s="42"/>
      <c r="AR25" s="42"/>
      <c r="AS25" s="42"/>
      <c r="AT25" s="42"/>
    </row>
    <row r="26" spans="1:46" ht="12.75" hidden="1" customHeight="1" x14ac:dyDescent="0.2">
      <c r="A26" s="357">
        <v>13</v>
      </c>
      <c r="B26" s="738"/>
      <c r="C26" s="739"/>
      <c r="D26" s="740"/>
      <c r="E26" s="731"/>
      <c r="F26" s="733"/>
      <c r="G26" s="88"/>
      <c r="H26" s="90"/>
      <c r="I26" s="90"/>
      <c r="J26" s="90"/>
      <c r="K26" s="90"/>
      <c r="L26" s="90"/>
      <c r="M26" s="218"/>
      <c r="N26" s="358"/>
      <c r="O26" s="355">
        <f>IF(J26="",1,J26)*(I26*(1+N26)*(K26+IF(RIGHT(M$13,2)="%]",(K26*M26),M26)-L26)+H26*L26)*PUC</f>
        <v>0</v>
      </c>
      <c r="P26" s="356">
        <f t="shared" si="0"/>
        <v>0</v>
      </c>
      <c r="S26" s="257">
        <f>IF(J26="",1,J26)*(I26*(K26-L26)+(H26*L26))*PUC</f>
        <v>0</v>
      </c>
      <c r="T26" s="257">
        <f>IF(J26="",1,J26)*(K26+IF(RIGHT(M$13,2)="%]",(K26*M26),M26)-L26)*(I26*N26)*PUC</f>
        <v>0</v>
      </c>
      <c r="U26" s="257">
        <f t="shared" si="1"/>
        <v>0</v>
      </c>
      <c r="V26" s="257">
        <f>IF(J26="",1,J26)*(I26*(1+N26)*(K26+IF(RIGHT(M$13,2)="%]",(K26*M26),M26)-L26)+H26*L26)*PUC</f>
        <v>0</v>
      </c>
      <c r="W26" s="258"/>
      <c r="X26" s="217"/>
      <c r="Y26" s="42"/>
      <c r="Z26" s="264"/>
      <c r="AA26" s="264"/>
      <c r="AB26" s="264"/>
      <c r="AC26" s="264"/>
      <c r="AD26" s="264"/>
      <c r="AE26" s="264"/>
      <c r="AF26" s="264"/>
      <c r="AG26" s="264"/>
      <c r="AH26" s="36"/>
      <c r="AI26" s="36"/>
      <c r="AJ26" s="36"/>
      <c r="AK26" s="36"/>
      <c r="AL26" s="36"/>
      <c r="AM26" s="42"/>
      <c r="AN26" s="42"/>
      <c r="AO26" s="42"/>
      <c r="AP26" s="42"/>
      <c r="AQ26" s="42"/>
      <c r="AR26" s="42"/>
      <c r="AS26" s="42"/>
      <c r="AT26" s="42"/>
    </row>
    <row r="27" spans="1:46" ht="12.75" hidden="1" customHeight="1" x14ac:dyDescent="0.2">
      <c r="A27" s="357">
        <v>14</v>
      </c>
      <c r="B27" s="738"/>
      <c r="C27" s="739"/>
      <c r="D27" s="740"/>
      <c r="E27" s="731"/>
      <c r="F27" s="733"/>
      <c r="G27" s="88"/>
      <c r="H27" s="90"/>
      <c r="I27" s="90"/>
      <c r="J27" s="90"/>
      <c r="K27" s="90"/>
      <c r="L27" s="90"/>
      <c r="M27" s="218"/>
      <c r="N27" s="358"/>
      <c r="O27" s="355">
        <f>IF(J27="",1,J27)*(I27*(1+N27)*(K27+IF(RIGHT(M$13,2)="%]",(K27*M27),M27)-L27)+H27*L27)*PUC</f>
        <v>0</v>
      </c>
      <c r="P27" s="356">
        <f t="shared" si="0"/>
        <v>0</v>
      </c>
      <c r="S27" s="257">
        <f>IF(J27="",1,J27)*(I27*(K27-L27)+(H27*L27))*PUC</f>
        <v>0</v>
      </c>
      <c r="T27" s="257">
        <f>IF(J27="",1,J27)*(K27+IF(RIGHT(M$13,2)="%]",(K27*M27),M27)-L27)*(I27*N27)*PUC</f>
        <v>0</v>
      </c>
      <c r="U27" s="257">
        <f t="shared" si="1"/>
        <v>0</v>
      </c>
      <c r="V27" s="257">
        <f>IF(J27="",1,J27)*(I27*(1+N27)*(K27+IF(RIGHT(M$13,2)="%]",(K27*M27),M27)-L27)+H27*L27)*PUC</f>
        <v>0</v>
      </c>
      <c r="W27" s="258"/>
      <c r="X27" s="217"/>
      <c r="Y27" s="42"/>
      <c r="Z27" s="264"/>
      <c r="AA27" s="264"/>
      <c r="AB27" s="264"/>
      <c r="AC27" s="264"/>
      <c r="AD27" s="264"/>
      <c r="AE27" s="264"/>
      <c r="AF27" s="264"/>
      <c r="AG27" s="264"/>
      <c r="AH27" s="36"/>
      <c r="AI27" s="36"/>
      <c r="AJ27" s="36"/>
      <c r="AK27" s="36"/>
      <c r="AL27" s="36"/>
      <c r="AM27" s="42"/>
      <c r="AN27" s="42"/>
      <c r="AO27" s="42"/>
      <c r="AP27" s="42"/>
      <c r="AQ27" s="42"/>
      <c r="AR27" s="42"/>
      <c r="AS27" s="42"/>
      <c r="AT27" s="42"/>
    </row>
    <row r="28" spans="1:46" ht="12.75" hidden="1" customHeight="1" x14ac:dyDescent="0.2">
      <c r="A28" s="357">
        <v>15</v>
      </c>
      <c r="B28" s="738"/>
      <c r="C28" s="739"/>
      <c r="D28" s="740"/>
      <c r="E28" s="731"/>
      <c r="F28" s="733"/>
      <c r="G28" s="88"/>
      <c r="H28" s="90"/>
      <c r="I28" s="90"/>
      <c r="J28" s="90"/>
      <c r="K28" s="90"/>
      <c r="L28" s="90"/>
      <c r="M28" s="218"/>
      <c r="N28" s="358"/>
      <c r="O28" s="355">
        <f>IF(J28="",1,J28)*(I28*(1+N28)*(K28+IF(RIGHT(M$13,2)="%]",(K28*M28),M28)-L28)+H28*L28)*PUC</f>
        <v>0</v>
      </c>
      <c r="P28" s="356">
        <f t="shared" si="0"/>
        <v>0</v>
      </c>
      <c r="S28" s="257">
        <f>IF(J28="",1,J28)*(I28*(K28-L28)+(H28*L28))*PUC</f>
        <v>0</v>
      </c>
      <c r="T28" s="257">
        <f>IF(J28="",1,J28)*(K28+IF(RIGHT(M$13,2)="%]",(K28*M28),M28)-L28)*(I28*N28)*PUC</f>
        <v>0</v>
      </c>
      <c r="U28" s="257">
        <f t="shared" si="1"/>
        <v>0</v>
      </c>
      <c r="V28" s="257">
        <f>IF(J28="",1,J28)*(I28*(1+N28)*(K28+IF(RIGHT(M$13,2)="%]",(K28*M28),M28)-L28)+H28*L28)*PUC</f>
        <v>0</v>
      </c>
      <c r="W28" s="258"/>
      <c r="X28" s="217"/>
      <c r="Y28" s="42"/>
      <c r="Z28" s="264"/>
      <c r="AA28" s="264"/>
      <c r="AB28" s="264"/>
      <c r="AC28" s="264"/>
      <c r="AD28" s="264"/>
      <c r="AE28" s="264"/>
      <c r="AF28" s="264"/>
      <c r="AG28" s="264"/>
      <c r="AH28" s="36"/>
      <c r="AI28" s="36"/>
      <c r="AJ28" s="36"/>
      <c r="AK28" s="36"/>
      <c r="AL28" s="36"/>
      <c r="AM28" s="42"/>
      <c r="AN28" s="42"/>
      <c r="AO28" s="42"/>
      <c r="AP28" s="42"/>
      <c r="AQ28" s="42"/>
      <c r="AR28" s="42"/>
      <c r="AS28" s="42"/>
      <c r="AT28" s="42"/>
    </row>
    <row r="29" spans="1:46" ht="12.75" hidden="1" customHeight="1" x14ac:dyDescent="0.2">
      <c r="A29" s="357">
        <v>16</v>
      </c>
      <c r="B29" s="738"/>
      <c r="C29" s="739"/>
      <c r="D29" s="740"/>
      <c r="E29" s="731"/>
      <c r="F29" s="733"/>
      <c r="G29" s="88"/>
      <c r="H29" s="90"/>
      <c r="I29" s="90"/>
      <c r="J29" s="90"/>
      <c r="K29" s="90"/>
      <c r="L29" s="90"/>
      <c r="M29" s="218"/>
      <c r="N29" s="358"/>
      <c r="O29" s="355">
        <f t="shared" si="2"/>
        <v>0</v>
      </c>
      <c r="P29" s="356">
        <f t="shared" si="0"/>
        <v>0</v>
      </c>
      <c r="S29" s="257">
        <f t="shared" si="3"/>
        <v>0</v>
      </c>
      <c r="T29" s="257">
        <f t="shared" si="4"/>
        <v>0</v>
      </c>
      <c r="U29" s="257">
        <f t="shared" si="1"/>
        <v>0</v>
      </c>
      <c r="V29" s="257">
        <f t="shared" si="5"/>
        <v>0</v>
      </c>
      <c r="W29" s="258"/>
      <c r="X29" s="217"/>
      <c r="Y29" s="42"/>
      <c r="Z29" s="264"/>
      <c r="AA29" s="264"/>
      <c r="AB29" s="264"/>
      <c r="AC29" s="264"/>
      <c r="AD29" s="264"/>
      <c r="AE29" s="264"/>
      <c r="AF29" s="264"/>
      <c r="AG29" s="264"/>
      <c r="AH29" s="36"/>
      <c r="AI29" s="36"/>
      <c r="AJ29" s="36"/>
      <c r="AK29" s="36"/>
      <c r="AL29" s="36"/>
      <c r="AM29" s="42"/>
      <c r="AN29" s="42"/>
      <c r="AO29" s="42"/>
      <c r="AP29" s="42"/>
      <c r="AQ29" s="42"/>
      <c r="AR29" s="42"/>
      <c r="AS29" s="42"/>
      <c r="AT29" s="42"/>
    </row>
    <row r="30" spans="1:46" ht="12.75" hidden="1" customHeight="1" x14ac:dyDescent="0.2">
      <c r="A30" s="357">
        <v>17</v>
      </c>
      <c r="B30" s="738"/>
      <c r="C30" s="739"/>
      <c r="D30" s="740"/>
      <c r="E30" s="731"/>
      <c r="F30" s="733"/>
      <c r="G30" s="88"/>
      <c r="H30" s="90"/>
      <c r="I30" s="90"/>
      <c r="J30" s="90"/>
      <c r="K30" s="90"/>
      <c r="L30" s="90"/>
      <c r="M30" s="218"/>
      <c r="N30" s="358"/>
      <c r="O30" s="355">
        <f t="shared" si="2"/>
        <v>0</v>
      </c>
      <c r="P30" s="356">
        <f t="shared" si="0"/>
        <v>0</v>
      </c>
      <c r="S30" s="257">
        <f t="shared" si="3"/>
        <v>0</v>
      </c>
      <c r="T30" s="257">
        <f t="shared" si="4"/>
        <v>0</v>
      </c>
      <c r="U30" s="257">
        <f t="shared" si="1"/>
        <v>0</v>
      </c>
      <c r="V30" s="257">
        <f t="shared" si="5"/>
        <v>0</v>
      </c>
      <c r="W30" s="258"/>
      <c r="X30" s="217"/>
      <c r="Y30" s="42"/>
      <c r="Z30" s="264"/>
      <c r="AA30" s="264"/>
      <c r="AB30" s="264"/>
      <c r="AC30" s="264"/>
      <c r="AD30" s="264"/>
      <c r="AE30" s="264"/>
      <c r="AF30" s="264"/>
      <c r="AG30" s="264"/>
      <c r="AH30" s="36"/>
      <c r="AI30" s="36"/>
      <c r="AJ30" s="36"/>
      <c r="AK30" s="36"/>
      <c r="AL30" s="36"/>
      <c r="AM30" s="42"/>
      <c r="AN30" s="42"/>
      <c r="AO30" s="42"/>
      <c r="AP30" s="42"/>
      <c r="AQ30" s="42"/>
      <c r="AR30" s="42"/>
      <c r="AS30" s="42"/>
      <c r="AT30" s="42"/>
    </row>
    <row r="31" spans="1:46" ht="12.75" hidden="1" customHeight="1" x14ac:dyDescent="0.2">
      <c r="A31" s="357">
        <v>18</v>
      </c>
      <c r="B31" s="738"/>
      <c r="C31" s="739"/>
      <c r="D31" s="740"/>
      <c r="E31" s="731"/>
      <c r="F31" s="733"/>
      <c r="G31" s="88"/>
      <c r="H31" s="90"/>
      <c r="I31" s="90"/>
      <c r="J31" s="90"/>
      <c r="K31" s="90"/>
      <c r="L31" s="90"/>
      <c r="M31" s="218"/>
      <c r="N31" s="358"/>
      <c r="O31" s="355">
        <f>IF(J31="",1,J31)*(I31*(1+N31)*(K31+IF(RIGHT(M$13,2)="%]",(K31*M31),M31)-L31)+H31*L31)*PUC</f>
        <v>0</v>
      </c>
      <c r="P31" s="356">
        <f t="shared" si="0"/>
        <v>0</v>
      </c>
      <c r="S31" s="257">
        <f>IF(J31="",1,J31)*(I31*(K31-L31)+(H31*L31))*PUC</f>
        <v>0</v>
      </c>
      <c r="T31" s="257">
        <f>IF(J31="",1,J31)*(K31+IF(RIGHT(M$13,2)="%]",(K31*M31),M31)-L31)*(I31*N31)*PUC</f>
        <v>0</v>
      </c>
      <c r="U31" s="257">
        <f t="shared" si="1"/>
        <v>0</v>
      </c>
      <c r="V31" s="257">
        <f>IF(J31="",1,J31)*(I31*(1+N31)*(K31+IF(RIGHT(M$13,2)="%]",(K31*M31),M31)-L31)+H31*L31)*PUC</f>
        <v>0</v>
      </c>
      <c r="W31" s="258"/>
      <c r="X31" s="217"/>
      <c r="Y31" s="42"/>
      <c r="Z31" s="264"/>
      <c r="AA31" s="264"/>
      <c r="AB31" s="264"/>
      <c r="AC31" s="264"/>
      <c r="AD31" s="264"/>
      <c r="AE31" s="264"/>
      <c r="AF31" s="264"/>
      <c r="AG31" s="264"/>
      <c r="AH31" s="36"/>
      <c r="AI31" s="36"/>
      <c r="AJ31" s="36"/>
      <c r="AK31" s="36"/>
      <c r="AL31" s="36"/>
      <c r="AM31" s="42"/>
      <c r="AN31" s="42"/>
      <c r="AO31" s="42"/>
      <c r="AP31" s="42"/>
      <c r="AQ31" s="42"/>
      <c r="AR31" s="42"/>
      <c r="AS31" s="42"/>
      <c r="AT31" s="42"/>
    </row>
    <row r="32" spans="1:46" ht="12.75" hidden="1" customHeight="1" x14ac:dyDescent="0.2">
      <c r="A32" s="357">
        <v>19</v>
      </c>
      <c r="B32" s="738"/>
      <c r="C32" s="739"/>
      <c r="D32" s="740"/>
      <c r="E32" s="731"/>
      <c r="F32" s="733"/>
      <c r="G32" s="88"/>
      <c r="H32" s="90"/>
      <c r="I32" s="90"/>
      <c r="J32" s="90"/>
      <c r="K32" s="90"/>
      <c r="L32" s="90"/>
      <c r="M32" s="218"/>
      <c r="N32" s="358"/>
      <c r="O32" s="355">
        <f>IF(J32="",1,J32)*(I32*(1+N32)*(K32+IF(RIGHT(M$13,2)="%]",(K32*M32),M32)-L32)+H32*L32)*PUC</f>
        <v>0</v>
      </c>
      <c r="P32" s="356">
        <f t="shared" si="0"/>
        <v>0</v>
      </c>
      <c r="S32" s="257">
        <f>IF(J32="",1,J32)*(I32*(K32-L32)+(H32*L32))*PUC</f>
        <v>0</v>
      </c>
      <c r="T32" s="257">
        <f>IF(J32="",1,J32)*(K32+IF(RIGHT(M$13,2)="%]",(K32*M32),M32)-L32)*(I32*N32)*PUC</f>
        <v>0</v>
      </c>
      <c r="U32" s="257">
        <f t="shared" si="1"/>
        <v>0</v>
      </c>
      <c r="V32" s="257">
        <f>IF(J32="",1,J32)*(I32*(1+N32)*(K32+IF(RIGHT(M$13,2)="%]",(K32*M32),M32)-L32)+H32*L32)*PUC</f>
        <v>0</v>
      </c>
      <c r="W32" s="258"/>
      <c r="X32" s="217"/>
      <c r="Y32" s="42"/>
      <c r="Z32" s="264"/>
      <c r="AA32" s="264"/>
      <c r="AB32" s="264"/>
      <c r="AC32" s="264"/>
      <c r="AD32" s="264"/>
      <c r="AE32" s="264"/>
      <c r="AF32" s="264"/>
      <c r="AG32" s="264"/>
      <c r="AH32" s="36"/>
      <c r="AI32" s="36"/>
      <c r="AJ32" s="36"/>
      <c r="AK32" s="36"/>
      <c r="AL32" s="36"/>
      <c r="AM32" s="42"/>
      <c r="AN32" s="42"/>
      <c r="AO32" s="42"/>
      <c r="AP32" s="42"/>
      <c r="AQ32" s="42"/>
      <c r="AR32" s="42"/>
      <c r="AS32" s="42"/>
      <c r="AT32" s="42"/>
    </row>
    <row r="33" spans="1:46" ht="12.75" hidden="1" customHeight="1" x14ac:dyDescent="0.2">
      <c r="A33" s="357">
        <v>20</v>
      </c>
      <c r="B33" s="741"/>
      <c r="C33" s="742"/>
      <c r="D33" s="743"/>
      <c r="E33" s="731"/>
      <c r="F33" s="733"/>
      <c r="G33" s="88"/>
      <c r="H33" s="90"/>
      <c r="I33" s="90"/>
      <c r="J33" s="90"/>
      <c r="K33" s="90"/>
      <c r="L33" s="90"/>
      <c r="M33" s="218"/>
      <c r="N33" s="358"/>
      <c r="O33" s="355">
        <f>IF(J33="",1,J33)*(I33*(1+N33)*(K33+IF(RIGHT(M$13,2)="%]",(K33*M33),M33)-L33)+H33*L33)*PUC</f>
        <v>0</v>
      </c>
      <c r="P33" s="356">
        <f t="shared" si="0"/>
        <v>0</v>
      </c>
      <c r="S33" s="257">
        <f>IF(J33="",1,J33)*(I33*(K33-L33)+(H33*L33))*PUC</f>
        <v>0</v>
      </c>
      <c r="T33" s="257">
        <f>IF(J33="",1,J33)*(K33+IF(RIGHT(M$13,2)="%]",(K33*M33),M33)-L33)*(I33*N33)*PUC</f>
        <v>0</v>
      </c>
      <c r="U33" s="257">
        <f t="shared" si="1"/>
        <v>0</v>
      </c>
      <c r="V33" s="257">
        <f>IF(J33="",1,J33)*(I33*(1+N33)*(K33+IF(RIGHT(M$13,2)="%]",(K33*M33),M33)-L33)+H33*L33)*PUC</f>
        <v>0</v>
      </c>
      <c r="W33" s="258"/>
      <c r="X33" s="217"/>
      <c r="Y33" s="42"/>
      <c r="Z33" s="264"/>
      <c r="AA33" s="264"/>
      <c r="AB33" s="264"/>
      <c r="AC33" s="264"/>
      <c r="AD33" s="264"/>
      <c r="AE33" s="264"/>
      <c r="AF33" s="264"/>
      <c r="AG33" s="264"/>
      <c r="AH33" s="36"/>
      <c r="AI33" s="36"/>
      <c r="AJ33" s="36"/>
      <c r="AK33" s="36"/>
      <c r="AL33" s="36"/>
      <c r="AM33" s="42"/>
      <c r="AN33" s="42"/>
      <c r="AO33" s="42"/>
      <c r="AP33" s="42"/>
      <c r="AQ33" s="42"/>
      <c r="AR33" s="42"/>
      <c r="AS33" s="42"/>
      <c r="AT33" s="42"/>
    </row>
    <row r="34" spans="1:46" ht="3.75" customHeight="1" x14ac:dyDescent="0.2">
      <c r="A34" s="10"/>
      <c r="B34" s="8"/>
      <c r="C34" s="8"/>
      <c r="D34" s="8"/>
      <c r="E34" s="8"/>
      <c r="F34" s="8"/>
      <c r="G34" s="8"/>
      <c r="H34" s="8"/>
      <c r="I34" s="8"/>
      <c r="J34" s="8"/>
      <c r="K34" s="8"/>
      <c r="L34" s="9"/>
      <c r="M34" s="9"/>
      <c r="N34" s="9"/>
      <c r="O34" s="48"/>
      <c r="P34" s="12"/>
      <c r="S34" s="237"/>
      <c r="T34" s="237"/>
      <c r="U34" s="253" t="str">
        <f>IF(RIGHT(M$36,2)="%]","P","A")</f>
        <v>P</v>
      </c>
      <c r="V34" s="237"/>
      <c r="W34" s="259"/>
      <c r="X34" s="217"/>
      <c r="Y34" s="42"/>
      <c r="Z34" s="264"/>
      <c r="AA34" s="264"/>
      <c r="AB34" s="264"/>
      <c r="AC34" s="264"/>
      <c r="AD34" s="264"/>
      <c r="AE34" s="264"/>
      <c r="AF34" s="264"/>
      <c r="AG34" s="264"/>
      <c r="AH34" s="36"/>
      <c r="AI34" s="36"/>
      <c r="AJ34" s="36"/>
      <c r="AK34" s="36"/>
      <c r="AL34" s="36"/>
      <c r="AM34" s="42"/>
      <c r="AN34" s="42"/>
      <c r="AO34" s="42"/>
      <c r="AP34" s="42"/>
      <c r="AQ34" s="42"/>
      <c r="AR34" s="42"/>
      <c r="AS34" s="42"/>
      <c r="AT34" s="42"/>
    </row>
    <row r="35" spans="1:46" ht="13.6" x14ac:dyDescent="0.25">
      <c r="A35" s="309"/>
      <c r="B35" s="359" t="str">
        <f>VLOOKUP("sec2.2",translation,VLOOKUP(J2,languages,2,FALSE),FALSE)</f>
        <v>Section 2.2</v>
      </c>
      <c r="C35" s="359"/>
      <c r="D35" s="360" t="str">
        <f>VLOOKUP("purch_comp",translation,VLOOKUP(J2,languages,2,FALSE),FALSE)</f>
        <v>Purchased Components (&amp; Outsourced Processes)</v>
      </c>
      <c r="E35" s="361"/>
      <c r="F35" s="361"/>
      <c r="G35" s="361"/>
      <c r="H35" s="361"/>
      <c r="I35" s="361"/>
      <c r="J35" s="361"/>
      <c r="K35" s="361"/>
      <c r="L35" s="362"/>
      <c r="M35" s="345">
        <f>U35</f>
        <v>0</v>
      </c>
      <c r="N35" s="345">
        <f>T35</f>
        <v>0</v>
      </c>
      <c r="O35" s="630">
        <f>SUBTOTAL(109,O37:O60)</f>
        <v>0</v>
      </c>
      <c r="P35" s="363">
        <f>IF($O$104=0,0,O35/$O$104)</f>
        <v>0</v>
      </c>
      <c r="S35" s="254">
        <f>SUBTOTAL(109,S37:S60)</f>
        <v>0</v>
      </c>
      <c r="T35" s="254">
        <f>SUBTOTAL(109,T37:T60)</f>
        <v>0</v>
      </c>
      <c r="U35" s="254">
        <f>SUBTOTAL(109,U37:U60)</f>
        <v>0</v>
      </c>
      <c r="V35" s="254">
        <f>SUBTOTAL(109,V37:V60)</f>
        <v>0</v>
      </c>
      <c r="W35" s="254">
        <v>4</v>
      </c>
      <c r="X35" s="217"/>
      <c r="Y35" s="42"/>
      <c r="Z35" s="264"/>
      <c r="AA35" s="264"/>
      <c r="AB35" s="264"/>
      <c r="AC35" s="264"/>
      <c r="AD35" s="264"/>
      <c r="AE35" s="264"/>
      <c r="AF35" s="264"/>
      <c r="AG35" s="264"/>
      <c r="AH35" s="36"/>
      <c r="AI35" s="36"/>
      <c r="AJ35" s="36"/>
      <c r="AK35" s="36"/>
      <c r="AL35" s="36"/>
      <c r="AM35" s="42"/>
      <c r="AN35" s="42"/>
      <c r="AO35" s="42"/>
      <c r="AP35" s="42"/>
      <c r="AQ35" s="42"/>
      <c r="AR35" s="42"/>
      <c r="AS35" s="42"/>
      <c r="AT35" s="42"/>
    </row>
    <row r="36" spans="1:46" ht="27" customHeight="1" x14ac:dyDescent="0.2">
      <c r="A36" s="347"/>
      <c r="B36" s="728" t="str">
        <f>VLOOKUP("descr2",translation,VLOOKUP(J2,languages,2,FALSE),FALSE)</f>
        <v>Description</v>
      </c>
      <c r="C36" s="728"/>
      <c r="D36" s="659"/>
      <c r="E36" s="728" t="str">
        <f>VLOOKUP("part_numb",translation,VLOOKUP(J2,languages,2,FALSE),FALSE)</f>
        <v>Part Number</v>
      </c>
      <c r="F36" s="734"/>
      <c r="G36" s="364" t="str">
        <f>VLOOKUP("uom",translation,VLOOKUP(J2,languages,2,FALSE),FALSE)</f>
        <v>UoM</v>
      </c>
      <c r="H36" s="735" t="str">
        <f>VLOOKUP("sub_supplier",translation,VLOOKUP(J2,languages,2,FALSE),FALSE)</f>
        <v>Sub-Supplier Name</v>
      </c>
      <c r="I36" s="734"/>
      <c r="J36" s="660" t="str">
        <f>VLOOKUP("qty2",translation,VLOOKUP(J2,languages,2,FALSE),FALSE)</f>
        <v>Qty</v>
      </c>
      <c r="K36" s="660" t="str">
        <f>VLOOKUP("ucost",translation,VLOOKUP(J2,languages,2,FALSE),FALSE)&amp;" ["&amp;LEFT($D$7,3)&amp;"]"</f>
        <v>Unit Cost [EUR]</v>
      </c>
      <c r="L36" s="660"/>
      <c r="M36" s="351" t="s">
        <v>193</v>
      </c>
      <c r="N36" s="660" t="str">
        <f>VLOOKUP("scrap",translation,VLOOKUP(J2,languages,2,FALSE),FALSE)</f>
        <v>Scrap [%]</v>
      </c>
      <c r="O36" s="365" t="str">
        <f>VLOOKUP("total",translation,VLOOKUP(J2,languages,2,FALSE),FALSE)&amp;" ["&amp;LEFT($D$7,3)&amp;$F$7&amp;"]"</f>
        <v>Total [EUR/pc]</v>
      </c>
      <c r="P36" s="352"/>
      <c r="S36" s="255" t="s">
        <v>13</v>
      </c>
      <c r="T36" s="255" t="s">
        <v>14</v>
      </c>
      <c r="U36" s="255" t="s">
        <v>15</v>
      </c>
      <c r="V36" s="255" t="s">
        <v>16</v>
      </c>
      <c r="W36" s="256">
        <v>39</v>
      </c>
      <c r="X36" s="217"/>
      <c r="Y36" s="42"/>
      <c r="Z36" s="264"/>
      <c r="AA36" s="264"/>
      <c r="AB36" s="264"/>
      <c r="AC36" s="264"/>
      <c r="AD36" s="264"/>
      <c r="AE36" s="264"/>
      <c r="AF36" s="264"/>
      <c r="AG36" s="264"/>
      <c r="AH36" s="36"/>
      <c r="AI36" s="36"/>
      <c r="AJ36" s="36"/>
      <c r="AK36" s="36"/>
      <c r="AL36" s="36"/>
      <c r="AM36" s="42"/>
      <c r="AN36" s="42"/>
      <c r="AO36" s="42"/>
      <c r="AP36" s="42"/>
      <c r="AQ36" s="42"/>
      <c r="AR36" s="42"/>
      <c r="AS36" s="42"/>
      <c r="AT36" s="42"/>
    </row>
    <row r="37" spans="1:46" x14ac:dyDescent="0.2">
      <c r="A37" s="353">
        <v>1</v>
      </c>
      <c r="B37" s="661"/>
      <c r="C37" s="91"/>
      <c r="D37" s="92"/>
      <c r="E37" s="736"/>
      <c r="F37" s="737"/>
      <c r="G37" s="93"/>
      <c r="H37" s="658"/>
      <c r="I37" s="664"/>
      <c r="J37" s="88"/>
      <c r="K37" s="90"/>
      <c r="L37" s="366"/>
      <c r="M37" s="367"/>
      <c r="N37" s="368"/>
      <c r="O37" s="369">
        <f>J37*(K37+IF(RIGHT(M$36,2)="%]",(K37*M37),M37))*(1+N37)*PUC</f>
        <v>0</v>
      </c>
      <c r="P37" s="356">
        <f t="shared" ref="P37:P60" si="6">IF($O$104=0,0,O37/$O$104)</f>
        <v>0</v>
      </c>
      <c r="S37" s="257">
        <f t="shared" ref="S37:S60" si="7">J37*K37*PUC</f>
        <v>0</v>
      </c>
      <c r="T37" s="257">
        <f t="shared" ref="T37:T60" si="8">J37*K37*(1+M37)*N37*PUC</f>
        <v>0</v>
      </c>
      <c r="U37" s="257">
        <f t="shared" ref="U37:U60" si="9">V37-S37-T37</f>
        <v>0</v>
      </c>
      <c r="V37" s="257">
        <f t="shared" ref="V37:V60" si="10">J37*(K37+IF(RIGHT(M$36,2)="%]",(K37*M37),M37))*(1+N37)*PUC</f>
        <v>0</v>
      </c>
      <c r="W37" s="258"/>
      <c r="X37" s="217"/>
      <c r="Y37" s="40"/>
      <c r="Z37" s="264"/>
      <c r="AA37" s="264"/>
      <c r="AB37" s="264"/>
      <c r="AC37" s="264"/>
      <c r="AD37" s="264"/>
      <c r="AE37" s="264"/>
      <c r="AF37" s="264"/>
      <c r="AG37" s="264"/>
      <c r="AH37" s="36"/>
      <c r="AI37" s="36"/>
      <c r="AJ37" s="36"/>
      <c r="AK37" s="36"/>
      <c r="AL37" s="36"/>
      <c r="AM37" s="41"/>
      <c r="AN37" s="41"/>
      <c r="AO37" s="41"/>
      <c r="AP37" s="41"/>
      <c r="AQ37" s="41"/>
      <c r="AR37" s="41"/>
      <c r="AS37" s="41"/>
      <c r="AT37" s="41"/>
    </row>
    <row r="38" spans="1:46" x14ac:dyDescent="0.2">
      <c r="A38" s="357">
        <v>2</v>
      </c>
      <c r="B38" s="661"/>
      <c r="C38" s="91"/>
      <c r="D38" s="92"/>
      <c r="E38" s="736"/>
      <c r="F38" s="737"/>
      <c r="G38" s="93"/>
      <c r="H38" s="658"/>
      <c r="I38" s="664"/>
      <c r="J38" s="88"/>
      <c r="K38" s="90"/>
      <c r="L38" s="366"/>
      <c r="M38" s="367"/>
      <c r="N38" s="368"/>
      <c r="O38" s="369">
        <f t="shared" ref="O38:O60" si="11">J38*(K38+IF(RIGHT(M$36,2)="%]",(K38*M38),M38))*(1+N38)*PUC</f>
        <v>0</v>
      </c>
      <c r="P38" s="356">
        <f t="shared" si="6"/>
        <v>0</v>
      </c>
      <c r="S38" s="257">
        <f t="shared" si="7"/>
        <v>0</v>
      </c>
      <c r="T38" s="257">
        <f t="shared" si="8"/>
        <v>0</v>
      </c>
      <c r="U38" s="257">
        <f t="shared" si="9"/>
        <v>0</v>
      </c>
      <c r="V38" s="257">
        <f t="shared" si="10"/>
        <v>0</v>
      </c>
      <c r="W38" s="258"/>
      <c r="X38" s="217"/>
      <c r="Y38" s="40"/>
      <c r="Z38" s="264"/>
      <c r="AA38" s="264"/>
      <c r="AB38" s="264"/>
      <c r="AC38" s="264"/>
      <c r="AD38" s="264"/>
      <c r="AE38" s="264"/>
      <c r="AF38" s="264"/>
      <c r="AG38" s="264"/>
      <c r="AH38" s="36"/>
      <c r="AI38" s="36"/>
      <c r="AJ38" s="36"/>
      <c r="AK38" s="36"/>
      <c r="AL38" s="36"/>
      <c r="AM38" s="41"/>
      <c r="AN38" s="41"/>
      <c r="AO38" s="41"/>
      <c r="AP38" s="41"/>
      <c r="AQ38" s="41"/>
      <c r="AR38" s="41"/>
      <c r="AS38" s="41"/>
      <c r="AT38" s="41"/>
    </row>
    <row r="39" spans="1:46" x14ac:dyDescent="0.2">
      <c r="A39" s="357">
        <v>3</v>
      </c>
      <c r="B39" s="661"/>
      <c r="C39" s="91"/>
      <c r="D39" s="92"/>
      <c r="E39" s="736"/>
      <c r="F39" s="737"/>
      <c r="G39" s="93"/>
      <c r="H39" s="658"/>
      <c r="I39" s="664"/>
      <c r="J39" s="88"/>
      <c r="K39" s="90"/>
      <c r="L39" s="366"/>
      <c r="M39" s="367"/>
      <c r="N39" s="368"/>
      <c r="O39" s="369">
        <f t="shared" si="11"/>
        <v>0</v>
      </c>
      <c r="P39" s="356">
        <f t="shared" si="6"/>
        <v>0</v>
      </c>
      <c r="S39" s="257">
        <f t="shared" si="7"/>
        <v>0</v>
      </c>
      <c r="T39" s="257">
        <f t="shared" si="8"/>
        <v>0</v>
      </c>
      <c r="U39" s="257">
        <f t="shared" si="9"/>
        <v>0</v>
      </c>
      <c r="V39" s="257">
        <f t="shared" si="10"/>
        <v>0</v>
      </c>
      <c r="W39" s="258"/>
      <c r="X39" s="217"/>
      <c r="Y39" s="40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41"/>
      <c r="AN39" s="41"/>
      <c r="AO39" s="41"/>
      <c r="AP39" s="41"/>
      <c r="AQ39" s="41"/>
      <c r="AR39" s="41"/>
      <c r="AS39" s="41"/>
      <c r="AT39" s="41"/>
    </row>
    <row r="40" spans="1:46" ht="12.75" hidden="1" customHeight="1" x14ac:dyDescent="0.2">
      <c r="A40" s="357">
        <v>4</v>
      </c>
      <c r="B40" s="661"/>
      <c r="C40" s="91"/>
      <c r="D40" s="92"/>
      <c r="E40" s="736"/>
      <c r="F40" s="737"/>
      <c r="G40" s="93"/>
      <c r="H40" s="658"/>
      <c r="I40" s="664"/>
      <c r="J40" s="88"/>
      <c r="K40" s="90"/>
      <c r="L40" s="366"/>
      <c r="M40" s="367"/>
      <c r="N40" s="368"/>
      <c r="O40" s="369">
        <f t="shared" si="11"/>
        <v>0</v>
      </c>
      <c r="P40" s="356">
        <f t="shared" si="6"/>
        <v>0</v>
      </c>
      <c r="S40" s="257">
        <f t="shared" si="7"/>
        <v>0</v>
      </c>
      <c r="T40" s="257">
        <f t="shared" si="8"/>
        <v>0</v>
      </c>
      <c r="U40" s="257">
        <f t="shared" si="9"/>
        <v>0</v>
      </c>
      <c r="V40" s="257">
        <f t="shared" si="10"/>
        <v>0</v>
      </c>
      <c r="W40" s="258"/>
      <c r="X40" s="217"/>
      <c r="Y40" s="40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</row>
    <row r="41" spans="1:46" ht="12.75" hidden="1" customHeight="1" x14ac:dyDescent="0.2">
      <c r="A41" s="357">
        <v>5</v>
      </c>
      <c r="B41" s="661"/>
      <c r="C41" s="91"/>
      <c r="D41" s="92"/>
      <c r="E41" s="736"/>
      <c r="F41" s="737"/>
      <c r="G41" s="93"/>
      <c r="H41" s="658"/>
      <c r="I41" s="664"/>
      <c r="J41" s="88"/>
      <c r="K41" s="90"/>
      <c r="L41" s="366"/>
      <c r="M41" s="367"/>
      <c r="N41" s="368"/>
      <c r="O41" s="369">
        <f t="shared" si="11"/>
        <v>0</v>
      </c>
      <c r="P41" s="356">
        <f t="shared" si="6"/>
        <v>0</v>
      </c>
      <c r="S41" s="257">
        <f t="shared" si="7"/>
        <v>0</v>
      </c>
      <c r="T41" s="257">
        <f t="shared" si="8"/>
        <v>0</v>
      </c>
      <c r="U41" s="257">
        <f t="shared" si="9"/>
        <v>0</v>
      </c>
      <c r="V41" s="257">
        <f t="shared" si="10"/>
        <v>0</v>
      </c>
      <c r="W41" s="258"/>
      <c r="X41" s="217"/>
      <c r="Y41" s="40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</row>
    <row r="42" spans="1:46" ht="12.75" hidden="1" customHeight="1" x14ac:dyDescent="0.2">
      <c r="A42" s="357">
        <v>6</v>
      </c>
      <c r="B42" s="661"/>
      <c r="C42" s="91"/>
      <c r="D42" s="92"/>
      <c r="E42" s="736"/>
      <c r="F42" s="737"/>
      <c r="G42" s="93"/>
      <c r="H42" s="658"/>
      <c r="I42" s="664"/>
      <c r="J42" s="88"/>
      <c r="K42" s="90"/>
      <c r="L42" s="366"/>
      <c r="M42" s="367"/>
      <c r="N42" s="368"/>
      <c r="O42" s="369">
        <f t="shared" si="11"/>
        <v>0</v>
      </c>
      <c r="P42" s="356">
        <f t="shared" si="6"/>
        <v>0</v>
      </c>
      <c r="S42" s="257">
        <f t="shared" si="7"/>
        <v>0</v>
      </c>
      <c r="T42" s="257">
        <f t="shared" si="8"/>
        <v>0</v>
      </c>
      <c r="U42" s="257">
        <f t="shared" si="9"/>
        <v>0</v>
      </c>
      <c r="V42" s="257">
        <f t="shared" si="10"/>
        <v>0</v>
      </c>
      <c r="W42" s="258"/>
      <c r="X42" s="217"/>
      <c r="Y42" s="4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</row>
    <row r="43" spans="1:46" ht="12.75" hidden="1" customHeight="1" x14ac:dyDescent="0.2">
      <c r="A43" s="357">
        <v>7</v>
      </c>
      <c r="B43" s="661"/>
      <c r="C43" s="91"/>
      <c r="D43" s="92"/>
      <c r="E43" s="736"/>
      <c r="F43" s="737"/>
      <c r="G43" s="93"/>
      <c r="H43" s="658"/>
      <c r="I43" s="664"/>
      <c r="J43" s="88"/>
      <c r="K43" s="90"/>
      <c r="L43" s="366"/>
      <c r="M43" s="367"/>
      <c r="N43" s="368"/>
      <c r="O43" s="369">
        <f t="shared" si="11"/>
        <v>0</v>
      </c>
      <c r="P43" s="356">
        <f t="shared" si="6"/>
        <v>0</v>
      </c>
      <c r="S43" s="257">
        <f t="shared" si="7"/>
        <v>0</v>
      </c>
      <c r="T43" s="257">
        <f t="shared" si="8"/>
        <v>0</v>
      </c>
      <c r="U43" s="257">
        <f t="shared" si="9"/>
        <v>0</v>
      </c>
      <c r="V43" s="257">
        <f t="shared" si="10"/>
        <v>0</v>
      </c>
      <c r="W43" s="258"/>
      <c r="X43" s="217"/>
      <c r="Y43" s="40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</row>
    <row r="44" spans="1:46" ht="12.75" hidden="1" customHeight="1" x14ac:dyDescent="0.2">
      <c r="A44" s="357">
        <v>8</v>
      </c>
      <c r="B44" s="661"/>
      <c r="C44" s="91"/>
      <c r="D44" s="92"/>
      <c r="E44" s="736"/>
      <c r="F44" s="737"/>
      <c r="G44" s="93"/>
      <c r="H44" s="658"/>
      <c r="I44" s="664"/>
      <c r="J44" s="88"/>
      <c r="K44" s="90"/>
      <c r="L44" s="366"/>
      <c r="M44" s="367"/>
      <c r="N44" s="368"/>
      <c r="O44" s="369">
        <f t="shared" si="11"/>
        <v>0</v>
      </c>
      <c r="P44" s="356">
        <f t="shared" si="6"/>
        <v>0</v>
      </c>
      <c r="S44" s="257">
        <f t="shared" si="7"/>
        <v>0</v>
      </c>
      <c r="T44" s="257">
        <f t="shared" si="8"/>
        <v>0</v>
      </c>
      <c r="U44" s="257">
        <f t="shared" si="9"/>
        <v>0</v>
      </c>
      <c r="V44" s="257">
        <f t="shared" si="10"/>
        <v>0</v>
      </c>
      <c r="W44" s="258"/>
      <c r="X44" s="217"/>
      <c r="Y44" s="40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</row>
    <row r="45" spans="1:46" ht="12.75" hidden="1" customHeight="1" x14ac:dyDescent="0.2">
      <c r="A45" s="357">
        <v>9</v>
      </c>
      <c r="B45" s="661"/>
      <c r="C45" s="91"/>
      <c r="D45" s="92"/>
      <c r="E45" s="736"/>
      <c r="F45" s="737"/>
      <c r="G45" s="93"/>
      <c r="H45" s="658"/>
      <c r="I45" s="664"/>
      <c r="J45" s="88"/>
      <c r="K45" s="90"/>
      <c r="L45" s="366"/>
      <c r="M45" s="367"/>
      <c r="N45" s="368"/>
      <c r="O45" s="369">
        <f t="shared" si="11"/>
        <v>0</v>
      </c>
      <c r="P45" s="356">
        <f t="shared" si="6"/>
        <v>0</v>
      </c>
      <c r="S45" s="257">
        <f t="shared" si="7"/>
        <v>0</v>
      </c>
      <c r="T45" s="257">
        <f t="shared" si="8"/>
        <v>0</v>
      </c>
      <c r="U45" s="257">
        <f t="shared" si="9"/>
        <v>0</v>
      </c>
      <c r="V45" s="257">
        <f t="shared" si="10"/>
        <v>0</v>
      </c>
      <c r="W45" s="258"/>
      <c r="X45" s="217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</row>
    <row r="46" spans="1:46" ht="12.75" hidden="1" customHeight="1" x14ac:dyDescent="0.2">
      <c r="A46" s="357">
        <v>10</v>
      </c>
      <c r="B46" s="661"/>
      <c r="C46" s="91"/>
      <c r="D46" s="92"/>
      <c r="E46" s="736"/>
      <c r="F46" s="737"/>
      <c r="G46" s="93"/>
      <c r="H46" s="658"/>
      <c r="I46" s="664"/>
      <c r="J46" s="88"/>
      <c r="K46" s="90"/>
      <c r="L46" s="366"/>
      <c r="M46" s="367"/>
      <c r="N46" s="368"/>
      <c r="O46" s="369">
        <f t="shared" ref="O46:O51" si="12">J46*(K46+IF(RIGHT(M$36,2)="%]",(K46*M46),M46))*(1+N46)*PUC</f>
        <v>0</v>
      </c>
      <c r="P46" s="356">
        <f t="shared" si="6"/>
        <v>0</v>
      </c>
      <c r="S46" s="257">
        <f t="shared" ref="S46:S51" si="13">J46*K46*PUC</f>
        <v>0</v>
      </c>
      <c r="T46" s="257">
        <f t="shared" ref="T46:T51" si="14">J46*K46*(1+M46)*N46*PUC</f>
        <v>0</v>
      </c>
      <c r="U46" s="257">
        <f t="shared" si="9"/>
        <v>0</v>
      </c>
      <c r="V46" s="257">
        <f t="shared" ref="V46:V51" si="15">J46*(K46+IF(RIGHT(M$36,2)="%]",(K46*M46),M46))*(1+N46)*PUC</f>
        <v>0</v>
      </c>
      <c r="W46" s="258"/>
      <c r="X46" s="217"/>
      <c r="Y46" s="40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</row>
    <row r="47" spans="1:46" ht="12.75" hidden="1" customHeight="1" x14ac:dyDescent="0.2">
      <c r="A47" s="357">
        <v>11</v>
      </c>
      <c r="B47" s="661"/>
      <c r="C47" s="91"/>
      <c r="D47" s="92"/>
      <c r="E47" s="736"/>
      <c r="F47" s="737"/>
      <c r="G47" s="93"/>
      <c r="H47" s="658"/>
      <c r="I47" s="664"/>
      <c r="J47" s="88"/>
      <c r="K47" s="90"/>
      <c r="L47" s="366"/>
      <c r="M47" s="367"/>
      <c r="N47" s="368"/>
      <c r="O47" s="369">
        <f t="shared" si="12"/>
        <v>0</v>
      </c>
      <c r="P47" s="356">
        <f t="shared" si="6"/>
        <v>0</v>
      </c>
      <c r="S47" s="257">
        <f t="shared" si="13"/>
        <v>0</v>
      </c>
      <c r="T47" s="257">
        <f t="shared" si="14"/>
        <v>0</v>
      </c>
      <c r="U47" s="257">
        <f t="shared" si="9"/>
        <v>0</v>
      </c>
      <c r="V47" s="257">
        <f t="shared" si="15"/>
        <v>0</v>
      </c>
      <c r="W47" s="258"/>
      <c r="X47" s="217"/>
      <c r="Y47" s="40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</row>
    <row r="48" spans="1:46" ht="12.75" hidden="1" customHeight="1" x14ac:dyDescent="0.2">
      <c r="A48" s="357">
        <v>12</v>
      </c>
      <c r="B48" s="661"/>
      <c r="C48" s="91"/>
      <c r="D48" s="92"/>
      <c r="E48" s="736"/>
      <c r="F48" s="737"/>
      <c r="G48" s="93"/>
      <c r="H48" s="658"/>
      <c r="I48" s="664"/>
      <c r="J48" s="88"/>
      <c r="K48" s="90"/>
      <c r="L48" s="366"/>
      <c r="M48" s="367"/>
      <c r="N48" s="368"/>
      <c r="O48" s="369">
        <f t="shared" si="12"/>
        <v>0</v>
      </c>
      <c r="P48" s="356">
        <f t="shared" si="6"/>
        <v>0</v>
      </c>
      <c r="S48" s="257">
        <f t="shared" si="13"/>
        <v>0</v>
      </c>
      <c r="T48" s="257">
        <f t="shared" si="14"/>
        <v>0</v>
      </c>
      <c r="U48" s="257">
        <f t="shared" si="9"/>
        <v>0</v>
      </c>
      <c r="V48" s="257">
        <f t="shared" si="15"/>
        <v>0</v>
      </c>
      <c r="W48" s="258"/>
      <c r="X48" s="217"/>
      <c r="Y48" s="40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</row>
    <row r="49" spans="1:46" ht="12.75" hidden="1" customHeight="1" x14ac:dyDescent="0.2">
      <c r="A49" s="357">
        <v>13</v>
      </c>
      <c r="B49" s="661"/>
      <c r="C49" s="91"/>
      <c r="D49" s="92"/>
      <c r="E49" s="736"/>
      <c r="F49" s="737"/>
      <c r="G49" s="93"/>
      <c r="H49" s="658"/>
      <c r="I49" s="664"/>
      <c r="J49" s="88"/>
      <c r="K49" s="90"/>
      <c r="L49" s="366"/>
      <c r="M49" s="367"/>
      <c r="N49" s="368"/>
      <c r="O49" s="369">
        <f t="shared" si="12"/>
        <v>0</v>
      </c>
      <c r="P49" s="356">
        <f t="shared" si="6"/>
        <v>0</v>
      </c>
      <c r="S49" s="257">
        <f t="shared" si="13"/>
        <v>0</v>
      </c>
      <c r="T49" s="257">
        <f t="shared" si="14"/>
        <v>0</v>
      </c>
      <c r="U49" s="257">
        <f t="shared" si="9"/>
        <v>0</v>
      </c>
      <c r="V49" s="257">
        <f t="shared" si="15"/>
        <v>0</v>
      </c>
      <c r="W49" s="258"/>
      <c r="X49" s="217"/>
      <c r="Y49" s="40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</row>
    <row r="50" spans="1:46" ht="12.75" hidden="1" customHeight="1" x14ac:dyDescent="0.2">
      <c r="A50" s="357">
        <v>14</v>
      </c>
      <c r="B50" s="661"/>
      <c r="C50" s="91"/>
      <c r="D50" s="92"/>
      <c r="E50" s="736"/>
      <c r="F50" s="737"/>
      <c r="G50" s="93"/>
      <c r="H50" s="658"/>
      <c r="I50" s="664"/>
      <c r="J50" s="88"/>
      <c r="K50" s="90"/>
      <c r="L50" s="366"/>
      <c r="M50" s="367"/>
      <c r="N50" s="368"/>
      <c r="O50" s="369">
        <f t="shared" si="12"/>
        <v>0</v>
      </c>
      <c r="P50" s="356">
        <f t="shared" si="6"/>
        <v>0</v>
      </c>
      <c r="S50" s="257">
        <f t="shared" si="13"/>
        <v>0</v>
      </c>
      <c r="T50" s="257">
        <f t="shared" si="14"/>
        <v>0</v>
      </c>
      <c r="U50" s="257">
        <f t="shared" si="9"/>
        <v>0</v>
      </c>
      <c r="V50" s="257">
        <f t="shared" si="15"/>
        <v>0</v>
      </c>
      <c r="W50" s="258"/>
      <c r="X50" s="217"/>
      <c r="Y50" s="40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</row>
    <row r="51" spans="1:46" ht="12.75" hidden="1" customHeight="1" x14ac:dyDescent="0.2">
      <c r="A51" s="357">
        <v>15</v>
      </c>
      <c r="B51" s="661"/>
      <c r="C51" s="91"/>
      <c r="D51" s="92"/>
      <c r="E51" s="736"/>
      <c r="F51" s="737"/>
      <c r="G51" s="93"/>
      <c r="H51" s="658"/>
      <c r="I51" s="664"/>
      <c r="J51" s="88"/>
      <c r="K51" s="90"/>
      <c r="L51" s="366"/>
      <c r="M51" s="367"/>
      <c r="N51" s="368"/>
      <c r="O51" s="369">
        <f t="shared" si="12"/>
        <v>0</v>
      </c>
      <c r="P51" s="356">
        <f t="shared" si="6"/>
        <v>0</v>
      </c>
      <c r="S51" s="257">
        <f t="shared" si="13"/>
        <v>0</v>
      </c>
      <c r="T51" s="257">
        <f t="shared" si="14"/>
        <v>0</v>
      </c>
      <c r="U51" s="257">
        <f t="shared" si="9"/>
        <v>0</v>
      </c>
      <c r="V51" s="257">
        <f t="shared" si="15"/>
        <v>0</v>
      </c>
      <c r="W51" s="258"/>
      <c r="X51" s="217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</row>
    <row r="52" spans="1:46" ht="12.75" hidden="1" customHeight="1" x14ac:dyDescent="0.2">
      <c r="A52" s="357">
        <v>16</v>
      </c>
      <c r="B52" s="661"/>
      <c r="C52" s="91"/>
      <c r="D52" s="92"/>
      <c r="E52" s="736"/>
      <c r="F52" s="737"/>
      <c r="G52" s="93"/>
      <c r="H52" s="658"/>
      <c r="I52" s="664"/>
      <c r="J52" s="88"/>
      <c r="K52" s="90"/>
      <c r="L52" s="366"/>
      <c r="M52" s="367"/>
      <c r="N52" s="368"/>
      <c r="O52" s="369">
        <f t="shared" si="11"/>
        <v>0</v>
      </c>
      <c r="P52" s="356">
        <f t="shared" si="6"/>
        <v>0</v>
      </c>
      <c r="S52" s="257">
        <f t="shared" si="7"/>
        <v>0</v>
      </c>
      <c r="T52" s="257">
        <f t="shared" si="8"/>
        <v>0</v>
      </c>
      <c r="U52" s="257">
        <f t="shared" si="9"/>
        <v>0</v>
      </c>
      <c r="V52" s="257">
        <f t="shared" si="10"/>
        <v>0</v>
      </c>
      <c r="W52" s="258"/>
      <c r="X52" s="217"/>
      <c r="Y52" s="40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</row>
    <row r="53" spans="1:46" ht="12.75" hidden="1" customHeight="1" x14ac:dyDescent="0.2">
      <c r="A53" s="357">
        <v>17</v>
      </c>
      <c r="B53" s="661"/>
      <c r="C53" s="91"/>
      <c r="D53" s="92"/>
      <c r="E53" s="736"/>
      <c r="F53" s="737"/>
      <c r="G53" s="93"/>
      <c r="H53" s="658"/>
      <c r="I53" s="664"/>
      <c r="J53" s="88"/>
      <c r="K53" s="90"/>
      <c r="L53" s="366"/>
      <c r="M53" s="367"/>
      <c r="N53" s="368"/>
      <c r="O53" s="369">
        <f t="shared" si="11"/>
        <v>0</v>
      </c>
      <c r="P53" s="356">
        <f t="shared" si="6"/>
        <v>0</v>
      </c>
      <c r="S53" s="257">
        <f t="shared" si="7"/>
        <v>0</v>
      </c>
      <c r="T53" s="257">
        <f t="shared" si="8"/>
        <v>0</v>
      </c>
      <c r="U53" s="257">
        <f t="shared" si="9"/>
        <v>0</v>
      </c>
      <c r="V53" s="257">
        <f t="shared" si="10"/>
        <v>0</v>
      </c>
      <c r="W53" s="258"/>
      <c r="X53" s="217"/>
      <c r="Y53" s="40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</row>
    <row r="54" spans="1:46" ht="12.75" hidden="1" customHeight="1" x14ac:dyDescent="0.2">
      <c r="A54" s="357">
        <v>18</v>
      </c>
      <c r="B54" s="661"/>
      <c r="C54" s="91"/>
      <c r="D54" s="92"/>
      <c r="E54" s="736"/>
      <c r="F54" s="737"/>
      <c r="G54" s="93"/>
      <c r="H54" s="658"/>
      <c r="I54" s="664"/>
      <c r="J54" s="88"/>
      <c r="K54" s="90"/>
      <c r="L54" s="366"/>
      <c r="M54" s="367"/>
      <c r="N54" s="368"/>
      <c r="O54" s="369">
        <f t="shared" si="11"/>
        <v>0</v>
      </c>
      <c r="P54" s="356">
        <f t="shared" si="6"/>
        <v>0</v>
      </c>
      <c r="S54" s="257">
        <f t="shared" si="7"/>
        <v>0</v>
      </c>
      <c r="T54" s="257">
        <f t="shared" si="8"/>
        <v>0</v>
      </c>
      <c r="U54" s="257">
        <f t="shared" si="9"/>
        <v>0</v>
      </c>
      <c r="V54" s="257">
        <f t="shared" si="10"/>
        <v>0</v>
      </c>
      <c r="W54" s="258"/>
      <c r="X54" s="217"/>
      <c r="Y54" s="40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</row>
    <row r="55" spans="1:46" ht="12.75" hidden="1" customHeight="1" x14ac:dyDescent="0.2">
      <c r="A55" s="357">
        <v>19</v>
      </c>
      <c r="B55" s="661"/>
      <c r="C55" s="91"/>
      <c r="D55" s="92"/>
      <c r="E55" s="736"/>
      <c r="F55" s="737"/>
      <c r="G55" s="93"/>
      <c r="H55" s="658"/>
      <c r="I55" s="664"/>
      <c r="J55" s="88"/>
      <c r="K55" s="90"/>
      <c r="L55" s="366"/>
      <c r="M55" s="367"/>
      <c r="N55" s="368"/>
      <c r="O55" s="369">
        <f t="shared" si="11"/>
        <v>0</v>
      </c>
      <c r="P55" s="356">
        <f t="shared" si="6"/>
        <v>0</v>
      </c>
      <c r="S55" s="257">
        <f t="shared" si="7"/>
        <v>0</v>
      </c>
      <c r="T55" s="257">
        <f t="shared" si="8"/>
        <v>0</v>
      </c>
      <c r="U55" s="257">
        <f t="shared" si="9"/>
        <v>0</v>
      </c>
      <c r="V55" s="257">
        <f t="shared" si="10"/>
        <v>0</v>
      </c>
      <c r="W55" s="258"/>
      <c r="X55" s="217"/>
      <c r="Y55" s="40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</row>
    <row r="56" spans="1:46" ht="12.75" hidden="1" customHeight="1" x14ac:dyDescent="0.2">
      <c r="A56" s="357">
        <v>20</v>
      </c>
      <c r="B56" s="661"/>
      <c r="C56" s="91"/>
      <c r="D56" s="92"/>
      <c r="E56" s="736"/>
      <c r="F56" s="737"/>
      <c r="G56" s="93"/>
      <c r="H56" s="658"/>
      <c r="I56" s="664"/>
      <c r="J56" s="88"/>
      <c r="K56" s="90"/>
      <c r="L56" s="366"/>
      <c r="M56" s="367"/>
      <c r="N56" s="368"/>
      <c r="O56" s="369">
        <f t="shared" si="11"/>
        <v>0</v>
      </c>
      <c r="P56" s="356">
        <f t="shared" si="6"/>
        <v>0</v>
      </c>
      <c r="S56" s="257">
        <f t="shared" si="7"/>
        <v>0</v>
      </c>
      <c r="T56" s="257">
        <f t="shared" si="8"/>
        <v>0</v>
      </c>
      <c r="U56" s="257">
        <f t="shared" si="9"/>
        <v>0</v>
      </c>
      <c r="V56" s="257">
        <f t="shared" si="10"/>
        <v>0</v>
      </c>
      <c r="W56" s="258"/>
      <c r="X56" s="217"/>
      <c r="Y56" s="40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</row>
    <row r="57" spans="1:46" ht="12.75" hidden="1" customHeight="1" x14ac:dyDescent="0.2">
      <c r="A57" s="357">
        <v>21</v>
      </c>
      <c r="B57" s="661"/>
      <c r="C57" s="91"/>
      <c r="D57" s="92"/>
      <c r="E57" s="736"/>
      <c r="F57" s="737"/>
      <c r="G57" s="93"/>
      <c r="H57" s="658"/>
      <c r="I57" s="664"/>
      <c r="J57" s="88"/>
      <c r="K57" s="90"/>
      <c r="L57" s="366"/>
      <c r="M57" s="367"/>
      <c r="N57" s="368"/>
      <c r="O57" s="369">
        <f t="shared" si="11"/>
        <v>0</v>
      </c>
      <c r="P57" s="356">
        <f t="shared" si="6"/>
        <v>0</v>
      </c>
      <c r="S57" s="257">
        <f t="shared" si="7"/>
        <v>0</v>
      </c>
      <c r="T57" s="257">
        <f t="shared" si="8"/>
        <v>0</v>
      </c>
      <c r="U57" s="257">
        <f t="shared" si="9"/>
        <v>0</v>
      </c>
      <c r="V57" s="257">
        <f t="shared" si="10"/>
        <v>0</v>
      </c>
      <c r="W57" s="258"/>
      <c r="X57" s="217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</row>
    <row r="58" spans="1:46" ht="12.75" hidden="1" customHeight="1" x14ac:dyDescent="0.2">
      <c r="A58" s="357">
        <v>22</v>
      </c>
      <c r="B58" s="661"/>
      <c r="C58" s="91"/>
      <c r="D58" s="92"/>
      <c r="E58" s="736"/>
      <c r="F58" s="737"/>
      <c r="G58" s="93"/>
      <c r="H58" s="658"/>
      <c r="I58" s="664"/>
      <c r="J58" s="88"/>
      <c r="K58" s="90"/>
      <c r="L58" s="366"/>
      <c r="M58" s="367"/>
      <c r="N58" s="368"/>
      <c r="O58" s="369">
        <f t="shared" si="11"/>
        <v>0</v>
      </c>
      <c r="P58" s="356">
        <f t="shared" si="6"/>
        <v>0</v>
      </c>
      <c r="S58" s="257">
        <f t="shared" si="7"/>
        <v>0</v>
      </c>
      <c r="T58" s="257">
        <f t="shared" si="8"/>
        <v>0</v>
      </c>
      <c r="U58" s="257">
        <f t="shared" si="9"/>
        <v>0</v>
      </c>
      <c r="V58" s="257">
        <f t="shared" si="10"/>
        <v>0</v>
      </c>
      <c r="W58" s="258"/>
      <c r="X58" s="217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</row>
    <row r="59" spans="1:46" ht="12.75" hidden="1" customHeight="1" x14ac:dyDescent="0.2">
      <c r="A59" s="357">
        <v>23</v>
      </c>
      <c r="B59" s="661"/>
      <c r="C59" s="91"/>
      <c r="D59" s="92"/>
      <c r="E59" s="736"/>
      <c r="F59" s="737"/>
      <c r="G59" s="93"/>
      <c r="H59" s="658"/>
      <c r="I59" s="664"/>
      <c r="J59" s="88"/>
      <c r="K59" s="90"/>
      <c r="L59" s="366"/>
      <c r="M59" s="367"/>
      <c r="N59" s="368"/>
      <c r="O59" s="369">
        <f t="shared" si="11"/>
        <v>0</v>
      </c>
      <c r="P59" s="356">
        <f t="shared" si="6"/>
        <v>0</v>
      </c>
      <c r="S59" s="257">
        <f t="shared" si="7"/>
        <v>0</v>
      </c>
      <c r="T59" s="257">
        <f t="shared" si="8"/>
        <v>0</v>
      </c>
      <c r="U59" s="257">
        <f t="shared" si="9"/>
        <v>0</v>
      </c>
      <c r="V59" s="257">
        <f t="shared" si="10"/>
        <v>0</v>
      </c>
      <c r="W59" s="258"/>
      <c r="X59" s="217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133"/>
    </row>
    <row r="60" spans="1:46" ht="12.75" hidden="1" customHeight="1" x14ac:dyDescent="0.2">
      <c r="A60" s="357">
        <v>24</v>
      </c>
      <c r="B60" s="661"/>
      <c r="C60" s="91"/>
      <c r="D60" s="92"/>
      <c r="E60" s="736"/>
      <c r="F60" s="737"/>
      <c r="G60" s="93"/>
      <c r="H60" s="658"/>
      <c r="I60" s="664"/>
      <c r="J60" s="88"/>
      <c r="K60" s="90"/>
      <c r="L60" s="366"/>
      <c r="M60" s="367"/>
      <c r="N60" s="368"/>
      <c r="O60" s="369">
        <f t="shared" si="11"/>
        <v>0</v>
      </c>
      <c r="P60" s="356">
        <f t="shared" si="6"/>
        <v>0</v>
      </c>
      <c r="S60" s="257">
        <f t="shared" si="7"/>
        <v>0</v>
      </c>
      <c r="T60" s="257">
        <f t="shared" si="8"/>
        <v>0</v>
      </c>
      <c r="U60" s="257">
        <f t="shared" si="9"/>
        <v>0</v>
      </c>
      <c r="V60" s="257">
        <f t="shared" si="10"/>
        <v>0</v>
      </c>
      <c r="W60" s="258"/>
      <c r="X60" s="217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133"/>
    </row>
    <row r="61" spans="1:46" ht="4.5999999999999996" customHeight="1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49"/>
      <c r="P61" s="12"/>
      <c r="S61" s="237"/>
      <c r="T61" s="237"/>
      <c r="U61" s="237"/>
      <c r="V61" s="237"/>
      <c r="W61" s="237"/>
      <c r="X61" s="217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</row>
    <row r="62" spans="1:46" ht="13.6" x14ac:dyDescent="0.25">
      <c r="A62" s="370"/>
      <c r="B62" s="371" t="str">
        <f>VLOOKUP("sec2.3",translation,VLOOKUP(J2,languages,2,FALSE),FALSE)</f>
        <v>Section 2.3</v>
      </c>
      <c r="C62" s="371"/>
      <c r="D62" s="372" t="str">
        <f>VLOOKUP("moh",translation,VLOOKUP(J2,languages,2,FALSE),FALSE)</f>
        <v>Material &amp; Purchased Components Overhead</v>
      </c>
      <c r="E62" s="373"/>
      <c r="F62" s="373"/>
      <c r="G62" s="373"/>
      <c r="H62" s="373"/>
      <c r="I62" s="373"/>
      <c r="J62" s="373"/>
      <c r="K62" s="374"/>
      <c r="L62" s="374" t="str">
        <f>VLOOKUP("sec2_%",translation,VLOOKUP(J2,languages,2,FALSE),FALSE)</f>
        <v>% of Section 2.1, 2.2</v>
      </c>
      <c r="M62" s="302">
        <v>1.93</v>
      </c>
      <c r="N62" s="301" t="s">
        <v>820</v>
      </c>
      <c r="O62" s="631">
        <f>M62/100*(O12+O35)</f>
        <v>8.7701129999999988E-2</v>
      </c>
      <c r="P62" s="375">
        <f>IF($O$104=0,0,O62/$O$104)</f>
        <v>1.2085002058188226E-2</v>
      </c>
      <c r="S62" s="260"/>
      <c r="T62" s="744"/>
      <c r="U62" s="745"/>
      <c r="V62" s="237"/>
      <c r="W62" s="237"/>
      <c r="X62" s="217"/>
      <c r="Y62" s="51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</row>
    <row r="63" spans="1:46" ht="4.5999999999999996" customHeight="1" x14ac:dyDescent="0.2">
      <c r="A63" s="376"/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8"/>
      <c r="N63" s="378"/>
      <c r="O63" s="379"/>
      <c r="P63" s="380"/>
      <c r="S63" s="237"/>
      <c r="T63" s="237"/>
      <c r="U63" s="237"/>
      <c r="V63" s="237"/>
      <c r="W63" s="237"/>
      <c r="X63" s="217"/>
    </row>
    <row r="64" spans="1:46" ht="13.6" x14ac:dyDescent="0.25">
      <c r="A64" s="370"/>
      <c r="B64" s="371" t="str">
        <f>VLOOKUP("sec2.4",translation,VLOOKUP(J2,languages,2,FALSE),FALSE)</f>
        <v>Section 2.4</v>
      </c>
      <c r="C64" s="371"/>
      <c r="D64" s="372" t="str">
        <f>VLOOKUP("prod",translation,VLOOKUP(J2,languages,2,FALSE),FALSE)</f>
        <v>Production</v>
      </c>
      <c r="E64" s="373"/>
      <c r="F64" s="381"/>
      <c r="G64" s="382" t="s">
        <v>128</v>
      </c>
      <c r="H64" s="383">
        <f>MC</f>
        <v>1.4434910000000001</v>
      </c>
      <c r="I64" s="384" t="s">
        <v>129</v>
      </c>
      <c r="J64" s="385">
        <f>DL</f>
        <v>0.27793299999999999</v>
      </c>
      <c r="K64" s="386" t="s">
        <v>130</v>
      </c>
      <c r="L64" s="383">
        <f>Setup</f>
        <v>0.1976</v>
      </c>
      <c r="M64" s="387">
        <f>ROUND(TM,3)</f>
        <v>0</v>
      </c>
      <c r="N64" s="345">
        <f>ROUND(W64,3)</f>
        <v>7.0000000000000001E-3</v>
      </c>
      <c r="O64" s="632">
        <f>SUBTOTAL(109,O66:O89)</f>
        <v>1.9260922307692308</v>
      </c>
      <c r="P64" s="388">
        <f>IF($O$104=0,0,O64/$O$104)</f>
        <v>0.26541081709102843</v>
      </c>
      <c r="S64" s="254">
        <f>ROUND(SUBTOTAL(109,S66:S89),6)</f>
        <v>1.4434910000000001</v>
      </c>
      <c r="T64" s="254">
        <f>ROUND(SUBTOTAL(109,T66:T89),6)</f>
        <v>0.27793299999999999</v>
      </c>
      <c r="U64" s="254">
        <f>ROUND(SUBTOTAL(109,U66:U89),6)</f>
        <v>0.1976</v>
      </c>
      <c r="V64" s="254">
        <f>ROUND(SUBTOTAL(109,V66:V89),6)</f>
        <v>0</v>
      </c>
      <c r="W64" s="254">
        <f>ROUND(SUBTOTAL(109,W66:W89),6)</f>
        <v>7.0679999999999996E-3</v>
      </c>
      <c r="X64" s="217"/>
      <c r="Y64" s="13" t="str">
        <f>VLOOKUP("std_cap",translation,VLOOKUP(China!J2,languages,2,FALSE),FALSE)</f>
        <v>Std Capacity Calculation (for Contract review)</v>
      </c>
      <c r="AJ64" s="13" t="str">
        <f>VLOOKUP("m_cap",translation,VLOOKUP(J2,languages,2,FALSE),FALSE)</f>
        <v>Max Capacity</v>
      </c>
      <c r="AP64" s="72" t="str">
        <f>VLOOKUP("ct_conv",translation,VLOOKUP(J2,languages,2,FALSE),FALSE)</f>
        <v>Cycle time conversions</v>
      </c>
    </row>
    <row r="65" spans="1:46" ht="48.1" customHeight="1" x14ac:dyDescent="0.2">
      <c r="A65" s="347"/>
      <c r="B65" s="735" t="str">
        <f>VLOOKUP("process",translation,VLOOKUP(J2,languages,2,FALSE),FALSE)</f>
        <v>Process Desciption</v>
      </c>
      <c r="C65" s="735"/>
      <c r="D65" s="660" t="str">
        <f>VLOOKUP("mach_type",translation,VLOOKUP(J2,languages,2,FALSE),FALSE)</f>
        <v>Maschine Type</v>
      </c>
      <c r="E65" s="660" t="str">
        <f>VLOOKUP("ct",translation,VLOOKUP(J2,languages,2,FALSE),FALSE)</f>
        <v>Cycle Time [min]</v>
      </c>
      <c r="F65" s="735" t="str">
        <f>VLOOKUP("cav",translation,VLOOKUP(J2,languages,2,FALSE),FALSE)</f>
        <v>Pcs/cycle (cavities)</v>
      </c>
      <c r="G65" s="746"/>
      <c r="H65" s="660" t="str">
        <f>VLOOKUP("mach_hr",translation,VLOOKUP(J2,languages,2,FALSE),FALSE)&amp;" ["&amp;LEFT($D$7,3)&amp;VLOOKUP("/hr",translation,VLOOKUP(J2,languages,2,FALSE),FALSE)&amp;"]"</f>
        <v>Machine [EUR/hr]</v>
      </c>
      <c r="I65" s="660" t="str">
        <f>VLOOKUP("op_hr",translation,VLOOKUP(J2,languages,2,FALSE),FALSE)&amp;" ["&amp;LEFT($D$7,3)&amp;VLOOKUP("/hr",translation,VLOOKUP(J2,languages,2,FALSE),FALSE)&amp;"]"</f>
        <v>Operator [EUR/hr]</v>
      </c>
      <c r="J65" s="660" t="str">
        <f>VLOOKUP("#op",translation,VLOOKUP(J2,languages,2,FALSE),FALSE)</f>
        <v>No. Of Operators</v>
      </c>
      <c r="K65" s="389" t="str">
        <f>VLOOKUP("setup_cost",translation,VLOOKUP(J2,languages,2,FALSE),FALSE)&amp;" ["&amp;LEFT($D$7,3)&amp;VLOOKUP("/batch",translation,VLOOKUP(J2,languages,2,FALSE),FALSE)&amp;"]"</f>
        <v>Setup Cost [EUR/batch]</v>
      </c>
      <c r="L65" s="660" t="str">
        <f>VLOOKUP("batch",translation,VLOOKUP(J2,languages,2,FALSE),FALSE)</f>
        <v>Production Batch Size</v>
      </c>
      <c r="M65" s="660" t="str">
        <f>VLOOKUP("tool_maint",translation,VLOOKUP(J2,languages,2,FALSE),FALSE)&amp;" ["&amp;LEFT($D$7,3)&amp;VLOOKUP("/part",translation,VLOOKUP(J2,languages,2,FALSE),FALSE)&amp;"]"</f>
        <v>Tool Maint. [EUR/part]</v>
      </c>
      <c r="N65" s="660" t="str">
        <f>VLOOKUP("scrap",translation,VLOOKUP(J2,languages,2,FALSE),FALSE)</f>
        <v>Scrap [%]</v>
      </c>
      <c r="O65" s="390" t="str">
        <f>VLOOKUP("total",translation,VLOOKUP(J2,languages,2,FALSE),FALSE)&amp;" ["&amp;LEFT($D$7,3)&amp;$F$7&amp;"]"</f>
        <v>Total [EUR/pc]</v>
      </c>
      <c r="P65" s="391"/>
      <c r="R65" s="14"/>
      <c r="S65" s="255" t="s">
        <v>21</v>
      </c>
      <c r="T65" s="255" t="s">
        <v>22</v>
      </c>
      <c r="U65" s="255" t="s">
        <v>23</v>
      </c>
      <c r="V65" s="255" t="s">
        <v>24</v>
      </c>
      <c r="W65" s="256">
        <v>70</v>
      </c>
      <c r="X65" s="217"/>
      <c r="Y65" s="389" t="str">
        <f>VLOOKUP("h/s",translation,VLOOKUP(J2,languages,2,FALSE),FALSE)</f>
        <v>Hrs/shift</v>
      </c>
      <c r="Z65" s="660" t="str">
        <f>VLOOKUP("s/w",translation,VLOOKUP(J2,languages,2,FALSE),FALSE)</f>
        <v>Shifts/week</v>
      </c>
      <c r="AA65" s="603" t="str">
        <f>VLOOKUP("oper_eff",translation,VLOOKUP(J2,languages,2,FALSE),FALSE)</f>
        <v>Utilization ratio</v>
      </c>
      <c r="AB65" s="389" t="str">
        <f>VLOOKUP("setup_time",translation,VLOOKUP(J2,languages,2,FALSE),FALSE)</f>
        <v>Setup [hrs]</v>
      </c>
      <c r="AC65" s="591" t="str">
        <f>VLOOKUP("setup_loss",translation,VLOOKUP(J2,languages,2,FALSE),FALSE)</f>
        <v>Setup Loss</v>
      </c>
      <c r="AD65" s="389" t="str">
        <f>VLOOKUP("week_cap",translation,VLOOKUP(J2,languages,2,FALSE),FALSE)</f>
        <v>Weekly Capacity (pc)</v>
      </c>
      <c r="AE65" s="660" t="str">
        <f>VLOOKUP("w/y",translation,VLOOKUP(J2,languages,2,FALSE),FALSE)</f>
        <v>Weeks/year</v>
      </c>
      <c r="AF65" s="591" t="str">
        <f>VLOOKUP("an_cap",translation,VLOOKUP(J2,languages,2,FALSE),FALSE)</f>
        <v>Annual Capacity (pc)</v>
      </c>
      <c r="AG65" s="389" t="str">
        <f>VLOOKUP("oee",translation,VLOOKUP(J2,languages,2,FALSE),FALSE)</f>
        <v>Calc O.E.E.</v>
      </c>
      <c r="AH65" s="591" t="str">
        <f>VLOOKUP("cap_margin",translation,VLOOKUP(J2,languages,2,FALSE),FALSE)</f>
        <v>Necessary Capacity (%)</v>
      </c>
      <c r="AI65" s="278"/>
      <c r="AJ65" s="389" t="str">
        <f>VLOOKUP("h/s",translation,VLOOKUP(J2,languages,2,FALSE),FALSE)</f>
        <v>Hrs/shift</v>
      </c>
      <c r="AK65" s="660" t="str">
        <f>VLOOKUP("s/w",translation,VLOOKUP(J2,languages,2,FALSE),FALSE)</f>
        <v>Shifts/week</v>
      </c>
      <c r="AL65" s="604" t="str">
        <f>VLOOKUP("week_cap",translation,VLOOKUP(J2,languages,2,FALSE),FALSE)</f>
        <v>Weekly Capacity (pc)</v>
      </c>
      <c r="AM65" s="605" t="s">
        <v>25</v>
      </c>
      <c r="AN65" s="606" t="s">
        <v>62</v>
      </c>
      <c r="AO65" s="607"/>
      <c r="AP65" s="608" t="s">
        <v>26</v>
      </c>
      <c r="AQ65" s="665" t="s">
        <v>27</v>
      </c>
      <c r="AR65" s="660" t="str">
        <f>VLOOKUP("pcs/min",translation,VLOOKUP(J2,languages,2,FALSE),FALSE)</f>
        <v>Pcs/min</v>
      </c>
      <c r="AS65" s="660" t="str">
        <f>VLOOKUP("pcs/hr",translation,VLOOKUP(J2,languages,2,FALSE),FALSE)</f>
        <v>Pcs/hr</v>
      </c>
      <c r="AT65" s="590" t="str">
        <f>VLOOKUP("pcs/hr_eff",translation,VLOOKUP(J2,languages,2,FALSE),FALSE)</f>
        <v>Pcs/hr (incl Eff.)</v>
      </c>
    </row>
    <row r="66" spans="1:46" x14ac:dyDescent="0.2">
      <c r="A66" s="626">
        <v>1</v>
      </c>
      <c r="B66" s="747" t="s">
        <v>868</v>
      </c>
      <c r="C66" s="748"/>
      <c r="D66" s="366">
        <v>2600</v>
      </c>
      <c r="E66" s="88">
        <v>0.93</v>
      </c>
      <c r="F66" s="736">
        <v>1</v>
      </c>
      <c r="G66" s="737"/>
      <c r="H66" s="89">
        <v>42.77</v>
      </c>
      <c r="I66" s="89">
        <v>5.66</v>
      </c>
      <c r="J66" s="663">
        <v>0.5</v>
      </c>
      <c r="K66" s="627">
        <f>IF(AND(ISNUMBER($H$66),ISNUMBER($I$66)),($H$66+$I$66)*$AB$66,0)</f>
        <v>96.860000000000014</v>
      </c>
      <c r="L66" s="392">
        <v>800</v>
      </c>
      <c r="M66" s="88"/>
      <c r="N66" s="354">
        <v>0.01</v>
      </c>
      <c r="O66" s="393">
        <f>(IF(F66=0,0,(E66*60/3600*J66*I66+E66*60/3600*H66)/F66*(1+N66))+IF(L66=0,0,K66/L66)+M66)*PUC</f>
        <v>0.83494300000000021</v>
      </c>
      <c r="P66" s="395">
        <f>IF($O$104=0,0,O66/$O$104)</f>
        <v>0.11505311132786836</v>
      </c>
      <c r="R66" s="16"/>
      <c r="S66" s="257">
        <f t="shared" ref="S66:S89" si="16">IF(F66=0,0,(E66*60/3600*H66)/F66)*PUC</f>
        <v>0.66293500000000016</v>
      </c>
      <c r="T66" s="257">
        <f t="shared" ref="T66:T89" si="17">IF(F66=0,0,(E66*60/3600*J66*I66)/F66)*PUC</f>
        <v>4.3865000000000008E-2</v>
      </c>
      <c r="U66" s="257">
        <f t="shared" ref="U66:U89" si="18">IF(L66=0,0,K66/L66)*PUC</f>
        <v>0.12107500000000002</v>
      </c>
      <c r="V66" s="257">
        <f t="shared" ref="V66:V89" si="19">M66*PUC</f>
        <v>0</v>
      </c>
      <c r="W66" s="257">
        <f>N66*(S66+T66)</f>
        <v>7.0680000000000022E-3</v>
      </c>
      <c r="X66" s="217"/>
      <c r="Y66" s="609">
        <v>7.5</v>
      </c>
      <c r="Z66" s="88">
        <v>10</v>
      </c>
      <c r="AA66" s="367">
        <v>0.85</v>
      </c>
      <c r="AB66" s="396">
        <v>2</v>
      </c>
      <c r="AC66" s="611">
        <f>IF(L66*F66*AA66=0,0,AB66/(L66*E66*60/AA66/F66/3600+AB66))</f>
        <v>0.12056737588652482</v>
      </c>
      <c r="AD66" s="612">
        <f>IF(E66=0,0,Z66*Y66*3600/E66/60*F66*AA66)*(1-AC66)*(1-N66)</f>
        <v>3580.8510638297867</v>
      </c>
      <c r="AE66" s="88">
        <v>48</v>
      </c>
      <c r="AF66" s="612">
        <f>AD66*AE66</f>
        <v>171880.85106382976</v>
      </c>
      <c r="AG66" s="613">
        <f>AA66*(1-N66)*(1-AC66)</f>
        <v>0.74004255319148937</v>
      </c>
      <c r="AH66" s="614">
        <f>IF($J$4*AD66=0,0,100/AF66*($J$4-1))</f>
        <v>4.6538052089522681</v>
      </c>
      <c r="AI66" s="462"/>
      <c r="AJ66" s="609"/>
      <c r="AK66" s="88"/>
      <c r="AL66" s="612">
        <f>IF(E66=0,0,AK66*AJ66*3600/E66/60*F66*AA66)*(1-AC66)*(1-N66)</f>
        <v>0</v>
      </c>
      <c r="AM66" s="88"/>
      <c r="AN66" s="615">
        <f>AL66*AM66</f>
        <v>0</v>
      </c>
      <c r="AO66" s="610"/>
      <c r="AP66" s="616">
        <f>IF(F66=0,0,+E66/F66)</f>
        <v>0.93</v>
      </c>
      <c r="AQ66" s="617">
        <f>IF(E66=0,0,1/E66)</f>
        <v>1.075268817204301</v>
      </c>
      <c r="AR66" s="617">
        <f>AQ66*F66</f>
        <v>1.075268817204301</v>
      </c>
      <c r="AS66" s="618">
        <f>IF(E66=0,0,3600/E66/60*F66)</f>
        <v>64.516129032258064</v>
      </c>
      <c r="AT66" s="619">
        <f>AS66*AA66</f>
        <v>54.838709677419352</v>
      </c>
    </row>
    <row r="67" spans="1:46" x14ac:dyDescent="0.2">
      <c r="A67" s="626">
        <v>2</v>
      </c>
      <c r="B67" s="747" t="s">
        <v>869</v>
      </c>
      <c r="C67" s="748"/>
      <c r="D67" s="366"/>
      <c r="E67" s="88">
        <v>0.66</v>
      </c>
      <c r="F67" s="736">
        <v>1</v>
      </c>
      <c r="G67" s="737"/>
      <c r="H67" s="89">
        <v>0</v>
      </c>
      <c r="I67" s="89">
        <v>4.67</v>
      </c>
      <c r="J67" s="663">
        <v>1</v>
      </c>
      <c r="K67" s="627">
        <f>IF(AND(ISNUMBER($H$67),ISNUMBER($I$67)),($H$67+$I$67)*$AB$67,0)</f>
        <v>0</v>
      </c>
      <c r="L67" s="392"/>
      <c r="M67" s="88"/>
      <c r="N67" s="354"/>
      <c r="O67" s="393">
        <f t="shared" ref="O67:O89" si="20">(IF(F67=0,0,(E67*60/3600*J67*I67+E67*60/3600*H67)/F67*(1+N67))+IF(L67=0,0,K67/L67)+M67)*PUC</f>
        <v>5.1370000000000006E-2</v>
      </c>
      <c r="P67" s="395">
        <f>IF($O$104=0,0,O67/$O$104)</f>
        <v>7.0786608533907067E-3</v>
      </c>
      <c r="R67" s="16"/>
      <c r="S67" s="257">
        <f t="shared" si="16"/>
        <v>0</v>
      </c>
      <c r="T67" s="257">
        <f t="shared" si="17"/>
        <v>5.1370000000000006E-2</v>
      </c>
      <c r="U67" s="257">
        <f t="shared" si="18"/>
        <v>0</v>
      </c>
      <c r="V67" s="257">
        <f t="shared" si="19"/>
        <v>0</v>
      </c>
      <c r="W67" s="257">
        <f t="shared" ref="W67:W89" si="21">N67*(S67+T67)</f>
        <v>0</v>
      </c>
      <c r="X67" s="217"/>
      <c r="Y67" s="609"/>
      <c r="Z67" s="88"/>
      <c r="AA67" s="367"/>
      <c r="AB67" s="396">
        <v>0</v>
      </c>
      <c r="AC67" s="611">
        <f>IF(L67*F67*AA67=0,0,AB67/(L67*E67*60/AA67/F67/3600+AB67))</f>
        <v>0</v>
      </c>
      <c r="AD67" s="612">
        <f>IF(E67=0,0,Z67*Y67*3600/E67/60*F67*AA67)*(1-AC67)*(1-N67)</f>
        <v>0</v>
      </c>
      <c r="AE67" s="88"/>
      <c r="AF67" s="612">
        <f>AD67*AE67</f>
        <v>0</v>
      </c>
      <c r="AG67" s="613">
        <f>AA67*(1-N67)*(1-AC67)</f>
        <v>0</v>
      </c>
      <c r="AH67" s="614">
        <f t="shared" ref="AH67:AH89" si="22">IF($J$4*AD67=0,0,100/AF67*($J$4-1))</f>
        <v>0</v>
      </c>
      <c r="AI67" s="462"/>
      <c r="AJ67" s="609"/>
      <c r="AK67" s="88"/>
      <c r="AL67" s="612">
        <f>IF(E67=0,0,AK67*AJ67*3600/E67/60*F67*AA67)*(1-AC67)*(1-N67)</f>
        <v>0</v>
      </c>
      <c r="AM67" s="88"/>
      <c r="AN67" s="615">
        <f>AL67*AM67</f>
        <v>0</v>
      </c>
      <c r="AO67" s="610"/>
      <c r="AP67" s="616">
        <f>IF(F67=0,0,+E67/F67)</f>
        <v>0.66</v>
      </c>
      <c r="AQ67" s="617">
        <f>IF(E67=0,0,1/E67)</f>
        <v>1.5151515151515151</v>
      </c>
      <c r="AR67" s="617">
        <f>AQ67*F67</f>
        <v>1.5151515151515151</v>
      </c>
      <c r="AS67" s="618">
        <f>IF(E67=0,0,3600/E67/60*F67)</f>
        <v>90.909090909090907</v>
      </c>
      <c r="AT67" s="619">
        <f>AS67*AA67</f>
        <v>0</v>
      </c>
    </row>
    <row r="68" spans="1:46" x14ac:dyDescent="0.2">
      <c r="A68" s="626">
        <v>3</v>
      </c>
      <c r="B68" s="661" t="s">
        <v>870</v>
      </c>
      <c r="C68" s="664"/>
      <c r="D68" s="366"/>
      <c r="E68" s="88">
        <v>1.1000000000000001</v>
      </c>
      <c r="F68" s="736">
        <v>13</v>
      </c>
      <c r="G68" s="737"/>
      <c r="H68" s="89">
        <v>27.34</v>
      </c>
      <c r="I68" s="89">
        <v>5.5</v>
      </c>
      <c r="J68" s="663">
        <v>2</v>
      </c>
      <c r="K68" s="627">
        <f>IF(AND(ISNUMBER($H$68),ISNUMBER($I$68)),($H$68+$I$68)*$AB$68,0)</f>
        <v>8.2100000000000009</v>
      </c>
      <c r="L68" s="392">
        <v>800</v>
      </c>
      <c r="M68" s="88"/>
      <c r="N68" s="358"/>
      <c r="O68" s="393">
        <f t="shared" si="20"/>
        <v>6.4331730769230766E-2</v>
      </c>
      <c r="P68" s="395">
        <f>IF($O$104=0,0,O68/$O$104)</f>
        <v>8.8647557762706677E-3</v>
      </c>
      <c r="R68" s="17"/>
      <c r="S68" s="257">
        <f t="shared" si="16"/>
        <v>3.8556410256410253E-2</v>
      </c>
      <c r="T68" s="257">
        <f t="shared" si="17"/>
        <v>1.5512820512820512E-2</v>
      </c>
      <c r="U68" s="257">
        <f t="shared" si="18"/>
        <v>1.0262500000000001E-2</v>
      </c>
      <c r="V68" s="257">
        <f t="shared" si="19"/>
        <v>0</v>
      </c>
      <c r="W68" s="257">
        <f t="shared" si="21"/>
        <v>0</v>
      </c>
      <c r="X68" s="217"/>
      <c r="Y68" s="609"/>
      <c r="Z68" s="88"/>
      <c r="AA68" s="367"/>
      <c r="AB68" s="620">
        <v>0.25</v>
      </c>
      <c r="AC68" s="611">
        <f>IF(L68*F68*AA68=0,0,AB68/(L68*E68*60/AA68/F68/3600+AB68))</f>
        <v>0</v>
      </c>
      <c r="AD68" s="612">
        <f>IF(E68=0,0,Z68*Y68*3600/E68/60*F68*AA68)*(1-AC68)*(1-N68)</f>
        <v>0</v>
      </c>
      <c r="AE68" s="88"/>
      <c r="AF68" s="612">
        <f t="shared" ref="AF68:AF89" si="23">AD68*AE68</f>
        <v>0</v>
      </c>
      <c r="AG68" s="613">
        <f t="shared" ref="AG68:AG89" si="24">AA68*(1-N68)*(1-AC68)</f>
        <v>0</v>
      </c>
      <c r="AH68" s="611">
        <f t="shared" si="22"/>
        <v>0</v>
      </c>
      <c r="AI68" s="462"/>
      <c r="AJ68" s="609"/>
      <c r="AK68" s="88"/>
      <c r="AL68" s="612">
        <f>IF(E68=0,0,AK68*AJ68*3600/E68/60*F68*AA68)*(1-AC68)*(1-N68)</f>
        <v>0</v>
      </c>
      <c r="AM68" s="88"/>
      <c r="AN68" s="615">
        <f>AL68*AM68</f>
        <v>0</v>
      </c>
      <c r="AO68" s="610"/>
      <c r="AP68" s="616">
        <f>IF(F68=0,0,+E68/F68)</f>
        <v>8.461538461538462E-2</v>
      </c>
      <c r="AQ68" s="617">
        <f>IF(E68=0,0,1/E68)</f>
        <v>0.90909090909090906</v>
      </c>
      <c r="AR68" s="617">
        <f t="shared" ref="AR68:AR89" si="25">AQ68*F68</f>
        <v>11.818181818181818</v>
      </c>
      <c r="AS68" s="618">
        <f>IF(E68=0,0,3600/E68/60*F68)</f>
        <v>709.09090909090901</v>
      </c>
      <c r="AT68" s="619">
        <f t="shared" ref="AT68:AT89" si="26">AS68*AA68</f>
        <v>0</v>
      </c>
    </row>
    <row r="69" spans="1:46" x14ac:dyDescent="0.2">
      <c r="A69" s="626">
        <v>4</v>
      </c>
      <c r="B69" s="661" t="s">
        <v>871</v>
      </c>
      <c r="C69" s="664"/>
      <c r="D69" s="366"/>
      <c r="E69" s="88">
        <v>1.5</v>
      </c>
      <c r="F69" s="736">
        <v>1</v>
      </c>
      <c r="G69" s="737"/>
      <c r="H69" s="89">
        <v>29.68</v>
      </c>
      <c r="I69" s="89">
        <v>5.66</v>
      </c>
      <c r="J69" s="663">
        <v>1</v>
      </c>
      <c r="K69" s="627">
        <f>IF(AND(ISNUMBER($H$69),ISNUMBER($I$69)),($H$69+$I$69)*$AB$69,0)</f>
        <v>53.010000000000005</v>
      </c>
      <c r="L69" s="392">
        <v>800</v>
      </c>
      <c r="M69" s="88"/>
      <c r="N69" s="358"/>
      <c r="O69" s="393">
        <f t="shared" si="20"/>
        <v>0.94976249999999995</v>
      </c>
      <c r="P69" s="395">
        <f t="shared" ref="P69:P89" si="27">IF($O$104=0,0,O69/$O$104)</f>
        <v>0.13087495870680338</v>
      </c>
      <c r="R69" s="17"/>
      <c r="S69" s="257">
        <f t="shared" si="16"/>
        <v>0.74199999999999999</v>
      </c>
      <c r="T69" s="257">
        <f t="shared" si="17"/>
        <v>0.14150000000000001</v>
      </c>
      <c r="U69" s="257">
        <f t="shared" si="18"/>
        <v>6.6262500000000002E-2</v>
      </c>
      <c r="V69" s="257">
        <f t="shared" si="19"/>
        <v>0</v>
      </c>
      <c r="W69" s="257">
        <f t="shared" si="21"/>
        <v>0</v>
      </c>
      <c r="X69" s="217"/>
      <c r="Y69" s="609"/>
      <c r="Z69" s="88"/>
      <c r="AA69" s="367"/>
      <c r="AB69" s="620">
        <v>1.5</v>
      </c>
      <c r="AC69" s="611">
        <f>IF(L69*F69*AA69=0,0,AB69/(L69*E69*60/AA69/F69/3600+AB69))</f>
        <v>0</v>
      </c>
      <c r="AD69" s="612">
        <f>IF(E69=0,0,Z69*Y69*3600/E69/60*F69*AA69)*(1-AC69)*(1-N69)</f>
        <v>0</v>
      </c>
      <c r="AE69" s="88"/>
      <c r="AF69" s="612">
        <f t="shared" si="23"/>
        <v>0</v>
      </c>
      <c r="AG69" s="613">
        <f t="shared" si="24"/>
        <v>0</v>
      </c>
      <c r="AH69" s="611">
        <f t="shared" si="22"/>
        <v>0</v>
      </c>
      <c r="AI69" s="462"/>
      <c r="AJ69" s="609"/>
      <c r="AK69" s="88"/>
      <c r="AL69" s="612">
        <f>IF(E69=0,0,AK69*AJ69*3600/E69/60*F69*AA69)*(1-AC69)*(1-N69)</f>
        <v>0</v>
      </c>
      <c r="AM69" s="88"/>
      <c r="AN69" s="615"/>
      <c r="AO69" s="610"/>
      <c r="AP69" s="616">
        <f>IF(F69=0,0,+E69/F69)</f>
        <v>1.5</v>
      </c>
      <c r="AQ69" s="617">
        <f>IF(E69=0,0,1/E69)</f>
        <v>0.66666666666666663</v>
      </c>
      <c r="AR69" s="617">
        <f t="shared" si="25"/>
        <v>0.66666666666666663</v>
      </c>
      <c r="AS69" s="618">
        <f>IF(E69=0,0,3600/E69/60*F69)</f>
        <v>40</v>
      </c>
      <c r="AT69" s="621">
        <f t="shared" si="26"/>
        <v>0</v>
      </c>
    </row>
    <row r="70" spans="1:46" x14ac:dyDescent="0.2">
      <c r="A70" s="626">
        <v>5</v>
      </c>
      <c r="B70" s="661" t="s">
        <v>872</v>
      </c>
      <c r="C70" s="664"/>
      <c r="D70" s="366"/>
      <c r="E70" s="88">
        <v>0.33</v>
      </c>
      <c r="F70" s="736">
        <v>1</v>
      </c>
      <c r="G70" s="737"/>
      <c r="H70" s="89">
        <v>0</v>
      </c>
      <c r="I70" s="89">
        <v>4.67</v>
      </c>
      <c r="J70" s="663">
        <v>1</v>
      </c>
      <c r="K70" s="627">
        <f>IF(AND(ISNUMBER($H$70),ISNUMBER($I$70)),($H$70+$I$70)*$AB$70,0)</f>
        <v>0</v>
      </c>
      <c r="L70" s="392"/>
      <c r="M70" s="88"/>
      <c r="N70" s="358"/>
      <c r="O70" s="393">
        <f t="shared" si="20"/>
        <v>2.5685000000000003E-2</v>
      </c>
      <c r="P70" s="395">
        <f t="shared" si="27"/>
        <v>3.5393304266953533E-3</v>
      </c>
      <c r="R70" s="17"/>
      <c r="S70" s="257">
        <f t="shared" si="16"/>
        <v>0</v>
      </c>
      <c r="T70" s="257">
        <f t="shared" si="17"/>
        <v>2.5685000000000003E-2</v>
      </c>
      <c r="U70" s="257">
        <f t="shared" si="18"/>
        <v>0</v>
      </c>
      <c r="V70" s="257">
        <f t="shared" si="19"/>
        <v>0</v>
      </c>
      <c r="W70" s="257">
        <f t="shared" si="21"/>
        <v>0</v>
      </c>
      <c r="X70" s="217"/>
      <c r="Y70" s="609"/>
      <c r="Z70" s="88"/>
      <c r="AA70" s="367"/>
      <c r="AB70" s="620"/>
      <c r="AC70" s="611">
        <f t="shared" ref="AC70:AC89" si="28">IF(L70*F70*AA70=0,0,AB70/(L70*E70*60/AA70/F70/3600+AB70))</f>
        <v>0</v>
      </c>
      <c r="AD70" s="612">
        <f t="shared" ref="AD70:AD89" si="29">IF(E70=0,0,Z70*Y70*3600/E70/60*F70*AA70)*(1-AC70)*(1-N70)</f>
        <v>0</v>
      </c>
      <c r="AE70" s="88"/>
      <c r="AF70" s="612">
        <f t="shared" si="23"/>
        <v>0</v>
      </c>
      <c r="AG70" s="613">
        <f t="shared" si="24"/>
        <v>0</v>
      </c>
      <c r="AH70" s="611">
        <f t="shared" si="22"/>
        <v>0</v>
      </c>
      <c r="AI70" s="462"/>
      <c r="AJ70" s="609"/>
      <c r="AK70" s="88"/>
      <c r="AL70" s="612">
        <f t="shared" ref="AL70:AL89" si="30">IF(E70=0,0,AK70*AJ70*3600/E70/60*F70*AA70)*(1-AC70)*(1-N70)</f>
        <v>0</v>
      </c>
      <c r="AM70" s="88"/>
      <c r="AN70" s="615"/>
      <c r="AO70" s="610"/>
      <c r="AP70" s="616">
        <f t="shared" ref="AP70:AP89" si="31">IF(F70=0,0,+E70/F70)</f>
        <v>0.33</v>
      </c>
      <c r="AQ70" s="617">
        <f t="shared" ref="AQ70:AQ89" si="32">IF(E70=0,0,1/E70)</f>
        <v>3.0303030303030303</v>
      </c>
      <c r="AR70" s="617">
        <f t="shared" si="25"/>
        <v>3.0303030303030303</v>
      </c>
      <c r="AS70" s="618">
        <f t="shared" ref="AS70:AS89" si="33">IF(E70=0,0,3600/E70/60*F70)</f>
        <v>181.81818181818181</v>
      </c>
      <c r="AT70" s="621">
        <f t="shared" si="26"/>
        <v>0</v>
      </c>
    </row>
    <row r="71" spans="1:46" hidden="1" x14ac:dyDescent="0.2">
      <c r="A71" s="626">
        <v>6</v>
      </c>
      <c r="B71" s="661"/>
      <c r="C71" s="664"/>
      <c r="D71" s="366"/>
      <c r="E71" s="88"/>
      <c r="F71" s="736"/>
      <c r="G71" s="737"/>
      <c r="H71" s="89">
        <v>0</v>
      </c>
      <c r="I71" s="89">
        <v>0</v>
      </c>
      <c r="J71" s="663"/>
      <c r="K71" s="627">
        <f>IF(AND(ISNUMBER($H$71),ISNUMBER($I$71)),($H$71+$I$71)*$AB$71,0)</f>
        <v>0</v>
      </c>
      <c r="L71" s="392"/>
      <c r="M71" s="88"/>
      <c r="N71" s="358"/>
      <c r="O71" s="393">
        <f t="shared" si="20"/>
        <v>0</v>
      </c>
      <c r="P71" s="395">
        <f t="shared" si="27"/>
        <v>0</v>
      </c>
      <c r="R71" s="17"/>
      <c r="S71" s="257">
        <f t="shared" si="16"/>
        <v>0</v>
      </c>
      <c r="T71" s="257">
        <f t="shared" si="17"/>
        <v>0</v>
      </c>
      <c r="U71" s="257">
        <f t="shared" si="18"/>
        <v>0</v>
      </c>
      <c r="V71" s="257">
        <f t="shared" si="19"/>
        <v>0</v>
      </c>
      <c r="W71" s="257">
        <f t="shared" si="21"/>
        <v>0</v>
      </c>
      <c r="X71" s="217"/>
      <c r="Y71" s="609"/>
      <c r="Z71" s="88"/>
      <c r="AA71" s="367"/>
      <c r="AB71" s="620"/>
      <c r="AC71" s="611">
        <f t="shared" si="28"/>
        <v>0</v>
      </c>
      <c r="AD71" s="612">
        <f t="shared" si="29"/>
        <v>0</v>
      </c>
      <c r="AE71" s="88"/>
      <c r="AF71" s="612">
        <f t="shared" si="23"/>
        <v>0</v>
      </c>
      <c r="AG71" s="613">
        <f t="shared" si="24"/>
        <v>0</v>
      </c>
      <c r="AH71" s="611">
        <f t="shared" si="22"/>
        <v>0</v>
      </c>
      <c r="AI71" s="462"/>
      <c r="AJ71" s="609"/>
      <c r="AK71" s="88"/>
      <c r="AL71" s="612">
        <f t="shared" si="30"/>
        <v>0</v>
      </c>
      <c r="AM71" s="88"/>
      <c r="AN71" s="615"/>
      <c r="AO71" s="610"/>
      <c r="AP71" s="616">
        <f t="shared" si="31"/>
        <v>0</v>
      </c>
      <c r="AQ71" s="617">
        <f t="shared" si="32"/>
        <v>0</v>
      </c>
      <c r="AR71" s="617">
        <f t="shared" si="25"/>
        <v>0</v>
      </c>
      <c r="AS71" s="618">
        <f t="shared" si="33"/>
        <v>0</v>
      </c>
      <c r="AT71" s="621">
        <f t="shared" si="26"/>
        <v>0</v>
      </c>
    </row>
    <row r="72" spans="1:46" hidden="1" x14ac:dyDescent="0.2">
      <c r="A72" s="626">
        <v>7</v>
      </c>
      <c r="B72" s="661"/>
      <c r="C72" s="664"/>
      <c r="D72" s="366"/>
      <c r="E72" s="88"/>
      <c r="F72" s="736"/>
      <c r="G72" s="737"/>
      <c r="H72" s="89">
        <v>0</v>
      </c>
      <c r="I72" s="89">
        <v>0</v>
      </c>
      <c r="J72" s="663"/>
      <c r="K72" s="627">
        <f>IF(AND(ISNUMBER($H$72),ISNUMBER($I$72)),($H$72+$I$72)*$AB$72,0)</f>
        <v>0</v>
      </c>
      <c r="L72" s="392"/>
      <c r="M72" s="88"/>
      <c r="N72" s="358"/>
      <c r="O72" s="393">
        <f t="shared" si="20"/>
        <v>0</v>
      </c>
      <c r="P72" s="395">
        <f t="shared" si="27"/>
        <v>0</v>
      </c>
      <c r="R72" s="17"/>
      <c r="S72" s="257">
        <f t="shared" si="16"/>
        <v>0</v>
      </c>
      <c r="T72" s="257">
        <f t="shared" si="17"/>
        <v>0</v>
      </c>
      <c r="U72" s="257">
        <f t="shared" si="18"/>
        <v>0</v>
      </c>
      <c r="V72" s="257">
        <f t="shared" si="19"/>
        <v>0</v>
      </c>
      <c r="W72" s="257">
        <f t="shared" si="21"/>
        <v>0</v>
      </c>
      <c r="X72" s="217"/>
      <c r="Y72" s="609"/>
      <c r="Z72" s="88"/>
      <c r="AA72" s="367"/>
      <c r="AB72" s="620"/>
      <c r="AC72" s="611">
        <f t="shared" si="28"/>
        <v>0</v>
      </c>
      <c r="AD72" s="612">
        <f t="shared" si="29"/>
        <v>0</v>
      </c>
      <c r="AE72" s="88"/>
      <c r="AF72" s="612">
        <f t="shared" si="23"/>
        <v>0</v>
      </c>
      <c r="AG72" s="613">
        <f t="shared" si="24"/>
        <v>0</v>
      </c>
      <c r="AH72" s="611">
        <f t="shared" si="22"/>
        <v>0</v>
      </c>
      <c r="AI72" s="462"/>
      <c r="AJ72" s="609"/>
      <c r="AK72" s="88"/>
      <c r="AL72" s="612">
        <f t="shared" si="30"/>
        <v>0</v>
      </c>
      <c r="AM72" s="88"/>
      <c r="AN72" s="615"/>
      <c r="AO72" s="610"/>
      <c r="AP72" s="616">
        <f t="shared" si="31"/>
        <v>0</v>
      </c>
      <c r="AQ72" s="617">
        <f t="shared" si="32"/>
        <v>0</v>
      </c>
      <c r="AR72" s="617">
        <f t="shared" si="25"/>
        <v>0</v>
      </c>
      <c r="AS72" s="618">
        <f t="shared" si="33"/>
        <v>0</v>
      </c>
      <c r="AT72" s="621">
        <f t="shared" si="26"/>
        <v>0</v>
      </c>
    </row>
    <row r="73" spans="1:46" hidden="1" x14ac:dyDescent="0.2">
      <c r="A73" s="626">
        <v>8</v>
      </c>
      <c r="B73" s="661"/>
      <c r="C73" s="664"/>
      <c r="D73" s="366"/>
      <c r="E73" s="88"/>
      <c r="F73" s="736"/>
      <c r="G73" s="737"/>
      <c r="H73" s="89">
        <v>0</v>
      </c>
      <c r="I73" s="89">
        <v>0</v>
      </c>
      <c r="J73" s="663"/>
      <c r="K73" s="627">
        <f>IF(AND(ISNUMBER($H$73),ISNUMBER($I$73)),($H$73+$I$73)*$AB$73,0)</f>
        <v>0</v>
      </c>
      <c r="L73" s="392"/>
      <c r="M73" s="88"/>
      <c r="N73" s="358"/>
      <c r="O73" s="393">
        <f t="shared" si="20"/>
        <v>0</v>
      </c>
      <c r="P73" s="395">
        <f t="shared" si="27"/>
        <v>0</v>
      </c>
      <c r="R73" s="17"/>
      <c r="S73" s="257">
        <f t="shared" si="16"/>
        <v>0</v>
      </c>
      <c r="T73" s="257">
        <f t="shared" si="17"/>
        <v>0</v>
      </c>
      <c r="U73" s="257">
        <f t="shared" si="18"/>
        <v>0</v>
      </c>
      <c r="V73" s="257">
        <f t="shared" si="19"/>
        <v>0</v>
      </c>
      <c r="W73" s="257">
        <f t="shared" si="21"/>
        <v>0</v>
      </c>
      <c r="X73" s="217"/>
      <c r="Y73" s="609"/>
      <c r="Z73" s="88"/>
      <c r="AA73" s="367"/>
      <c r="AB73" s="620"/>
      <c r="AC73" s="611">
        <f t="shared" si="28"/>
        <v>0</v>
      </c>
      <c r="AD73" s="612">
        <f t="shared" si="29"/>
        <v>0</v>
      </c>
      <c r="AE73" s="88"/>
      <c r="AF73" s="612">
        <f t="shared" si="23"/>
        <v>0</v>
      </c>
      <c r="AG73" s="613">
        <f t="shared" si="24"/>
        <v>0</v>
      </c>
      <c r="AH73" s="611">
        <f t="shared" si="22"/>
        <v>0</v>
      </c>
      <c r="AI73" s="462"/>
      <c r="AJ73" s="609"/>
      <c r="AK73" s="88"/>
      <c r="AL73" s="612">
        <f t="shared" si="30"/>
        <v>0</v>
      </c>
      <c r="AM73" s="88"/>
      <c r="AN73" s="615"/>
      <c r="AO73" s="610"/>
      <c r="AP73" s="616">
        <f t="shared" si="31"/>
        <v>0</v>
      </c>
      <c r="AQ73" s="617">
        <f t="shared" si="32"/>
        <v>0</v>
      </c>
      <c r="AR73" s="617">
        <f t="shared" si="25"/>
        <v>0</v>
      </c>
      <c r="AS73" s="618">
        <f t="shared" si="33"/>
        <v>0</v>
      </c>
      <c r="AT73" s="621">
        <f t="shared" si="26"/>
        <v>0</v>
      </c>
    </row>
    <row r="74" spans="1:46" hidden="1" x14ac:dyDescent="0.2">
      <c r="A74" s="626">
        <v>9</v>
      </c>
      <c r="B74" s="661"/>
      <c r="C74" s="664"/>
      <c r="D74" s="366"/>
      <c r="E74" s="88"/>
      <c r="F74" s="736"/>
      <c r="G74" s="737"/>
      <c r="H74" s="89">
        <v>0</v>
      </c>
      <c r="I74" s="89">
        <v>0</v>
      </c>
      <c r="J74" s="663"/>
      <c r="K74" s="627">
        <f>IF(AND(ISNUMBER($H$74),ISNUMBER($I$74)),($H$74+$I$74)*$AB$74,0)</f>
        <v>0</v>
      </c>
      <c r="L74" s="392"/>
      <c r="M74" s="88"/>
      <c r="N74" s="358"/>
      <c r="O74" s="393">
        <f t="shared" si="20"/>
        <v>0</v>
      </c>
      <c r="P74" s="395">
        <f t="shared" si="27"/>
        <v>0</v>
      </c>
      <c r="R74" s="17"/>
      <c r="S74" s="257">
        <f t="shared" si="16"/>
        <v>0</v>
      </c>
      <c r="T74" s="257">
        <f t="shared" si="17"/>
        <v>0</v>
      </c>
      <c r="U74" s="257">
        <f t="shared" si="18"/>
        <v>0</v>
      </c>
      <c r="V74" s="257">
        <f t="shared" si="19"/>
        <v>0</v>
      </c>
      <c r="W74" s="257">
        <f t="shared" si="21"/>
        <v>0</v>
      </c>
      <c r="X74" s="217"/>
      <c r="Y74" s="609"/>
      <c r="Z74" s="88"/>
      <c r="AA74" s="367"/>
      <c r="AB74" s="620"/>
      <c r="AC74" s="611">
        <f t="shared" si="28"/>
        <v>0</v>
      </c>
      <c r="AD74" s="612">
        <f t="shared" si="29"/>
        <v>0</v>
      </c>
      <c r="AE74" s="88"/>
      <c r="AF74" s="612">
        <f t="shared" si="23"/>
        <v>0</v>
      </c>
      <c r="AG74" s="613">
        <f t="shared" si="24"/>
        <v>0</v>
      </c>
      <c r="AH74" s="611">
        <f t="shared" si="22"/>
        <v>0</v>
      </c>
      <c r="AI74" s="462"/>
      <c r="AJ74" s="609"/>
      <c r="AK74" s="88"/>
      <c r="AL74" s="612">
        <f t="shared" si="30"/>
        <v>0</v>
      </c>
      <c r="AM74" s="88"/>
      <c r="AN74" s="615"/>
      <c r="AO74" s="610"/>
      <c r="AP74" s="616">
        <f t="shared" si="31"/>
        <v>0</v>
      </c>
      <c r="AQ74" s="617">
        <f t="shared" si="32"/>
        <v>0</v>
      </c>
      <c r="AR74" s="617">
        <f t="shared" si="25"/>
        <v>0</v>
      </c>
      <c r="AS74" s="618">
        <f t="shared" si="33"/>
        <v>0</v>
      </c>
      <c r="AT74" s="621">
        <f t="shared" si="26"/>
        <v>0</v>
      </c>
    </row>
    <row r="75" spans="1:46" hidden="1" x14ac:dyDescent="0.2">
      <c r="A75" s="626">
        <v>10</v>
      </c>
      <c r="B75" s="661"/>
      <c r="C75" s="664"/>
      <c r="D75" s="366"/>
      <c r="E75" s="88"/>
      <c r="F75" s="736"/>
      <c r="G75" s="737"/>
      <c r="H75" s="89">
        <v>0</v>
      </c>
      <c r="I75" s="89">
        <v>0</v>
      </c>
      <c r="J75" s="663"/>
      <c r="K75" s="627">
        <f>IF(AND(ISNUMBER($H$75),ISNUMBER($I$75)),($H$75+$I$75)*$AB$75,0)</f>
        <v>0</v>
      </c>
      <c r="L75" s="392"/>
      <c r="M75" s="88"/>
      <c r="N75" s="358"/>
      <c r="O75" s="393">
        <f t="shared" si="20"/>
        <v>0</v>
      </c>
      <c r="P75" s="395">
        <f t="shared" si="27"/>
        <v>0</v>
      </c>
      <c r="R75" s="17"/>
      <c r="S75" s="257">
        <f t="shared" si="16"/>
        <v>0</v>
      </c>
      <c r="T75" s="257">
        <f t="shared" si="17"/>
        <v>0</v>
      </c>
      <c r="U75" s="257">
        <f t="shared" si="18"/>
        <v>0</v>
      </c>
      <c r="V75" s="257">
        <f t="shared" si="19"/>
        <v>0</v>
      </c>
      <c r="W75" s="257">
        <f t="shared" si="21"/>
        <v>0</v>
      </c>
      <c r="X75" s="217"/>
      <c r="Y75" s="609"/>
      <c r="Z75" s="88"/>
      <c r="AA75" s="367"/>
      <c r="AB75" s="620"/>
      <c r="AC75" s="611">
        <f t="shared" si="28"/>
        <v>0</v>
      </c>
      <c r="AD75" s="612">
        <f t="shared" si="29"/>
        <v>0</v>
      </c>
      <c r="AE75" s="88"/>
      <c r="AF75" s="612">
        <f t="shared" si="23"/>
        <v>0</v>
      </c>
      <c r="AG75" s="613">
        <f t="shared" si="24"/>
        <v>0</v>
      </c>
      <c r="AH75" s="611">
        <f t="shared" si="22"/>
        <v>0</v>
      </c>
      <c r="AI75" s="462"/>
      <c r="AJ75" s="609"/>
      <c r="AK75" s="88"/>
      <c r="AL75" s="612">
        <f t="shared" si="30"/>
        <v>0</v>
      </c>
      <c r="AM75" s="88"/>
      <c r="AN75" s="615"/>
      <c r="AO75" s="610"/>
      <c r="AP75" s="616">
        <f t="shared" si="31"/>
        <v>0</v>
      </c>
      <c r="AQ75" s="617">
        <f t="shared" si="32"/>
        <v>0</v>
      </c>
      <c r="AR75" s="617">
        <f t="shared" si="25"/>
        <v>0</v>
      </c>
      <c r="AS75" s="618">
        <f t="shared" si="33"/>
        <v>0</v>
      </c>
      <c r="AT75" s="621">
        <f t="shared" si="26"/>
        <v>0</v>
      </c>
    </row>
    <row r="76" spans="1:46" hidden="1" x14ac:dyDescent="0.2">
      <c r="A76" s="626">
        <v>11</v>
      </c>
      <c r="B76" s="661"/>
      <c r="C76" s="664"/>
      <c r="D76" s="366"/>
      <c r="E76" s="88"/>
      <c r="F76" s="736"/>
      <c r="G76" s="737"/>
      <c r="H76" s="89">
        <v>0</v>
      </c>
      <c r="I76" s="89">
        <v>0</v>
      </c>
      <c r="J76" s="663"/>
      <c r="K76" s="627">
        <f>IF(AND(ISNUMBER($H$76),ISNUMBER($I$76)),($H$76+$I$76)*$AB$76,0)</f>
        <v>0</v>
      </c>
      <c r="L76" s="392"/>
      <c r="M76" s="88"/>
      <c r="N76" s="358"/>
      <c r="O76" s="393">
        <f t="shared" si="20"/>
        <v>0</v>
      </c>
      <c r="P76" s="395">
        <f t="shared" si="27"/>
        <v>0</v>
      </c>
      <c r="R76" s="17"/>
      <c r="S76" s="257">
        <f t="shared" si="16"/>
        <v>0</v>
      </c>
      <c r="T76" s="257">
        <f t="shared" si="17"/>
        <v>0</v>
      </c>
      <c r="U76" s="257">
        <f t="shared" si="18"/>
        <v>0</v>
      </c>
      <c r="V76" s="257">
        <f t="shared" si="19"/>
        <v>0</v>
      </c>
      <c r="W76" s="257">
        <f t="shared" si="21"/>
        <v>0</v>
      </c>
      <c r="X76" s="217"/>
      <c r="Y76" s="609"/>
      <c r="Z76" s="88"/>
      <c r="AA76" s="367"/>
      <c r="AB76" s="620"/>
      <c r="AC76" s="611">
        <f t="shared" si="28"/>
        <v>0</v>
      </c>
      <c r="AD76" s="612">
        <f t="shared" si="29"/>
        <v>0</v>
      </c>
      <c r="AE76" s="88"/>
      <c r="AF76" s="612">
        <f t="shared" si="23"/>
        <v>0</v>
      </c>
      <c r="AG76" s="613">
        <f t="shared" si="24"/>
        <v>0</v>
      </c>
      <c r="AH76" s="611">
        <f t="shared" si="22"/>
        <v>0</v>
      </c>
      <c r="AI76" s="462"/>
      <c r="AJ76" s="609"/>
      <c r="AK76" s="88"/>
      <c r="AL76" s="612">
        <f t="shared" si="30"/>
        <v>0</v>
      </c>
      <c r="AM76" s="88"/>
      <c r="AN76" s="615"/>
      <c r="AO76" s="610"/>
      <c r="AP76" s="616">
        <f t="shared" si="31"/>
        <v>0</v>
      </c>
      <c r="AQ76" s="617">
        <f t="shared" si="32"/>
        <v>0</v>
      </c>
      <c r="AR76" s="617">
        <f t="shared" si="25"/>
        <v>0</v>
      </c>
      <c r="AS76" s="618">
        <f t="shared" si="33"/>
        <v>0</v>
      </c>
      <c r="AT76" s="621">
        <f t="shared" si="26"/>
        <v>0</v>
      </c>
    </row>
    <row r="77" spans="1:46" hidden="1" x14ac:dyDescent="0.2">
      <c r="A77" s="626">
        <v>12</v>
      </c>
      <c r="B77" s="661"/>
      <c r="C77" s="664"/>
      <c r="D77" s="366"/>
      <c r="E77" s="88"/>
      <c r="F77" s="736"/>
      <c r="G77" s="737"/>
      <c r="H77" s="89">
        <v>0</v>
      </c>
      <c r="I77" s="89">
        <v>0</v>
      </c>
      <c r="J77" s="663"/>
      <c r="K77" s="627">
        <f>IF(AND(ISNUMBER($H$77),ISNUMBER($I$77)),($H$77+$I$77)*$AB$77,0)</f>
        <v>0</v>
      </c>
      <c r="L77" s="392"/>
      <c r="M77" s="88"/>
      <c r="N77" s="358"/>
      <c r="O77" s="393">
        <f t="shared" si="20"/>
        <v>0</v>
      </c>
      <c r="P77" s="395">
        <f t="shared" si="27"/>
        <v>0</v>
      </c>
      <c r="R77" s="17"/>
      <c r="S77" s="257">
        <f t="shared" si="16"/>
        <v>0</v>
      </c>
      <c r="T77" s="257">
        <f t="shared" si="17"/>
        <v>0</v>
      </c>
      <c r="U77" s="257">
        <f t="shared" si="18"/>
        <v>0</v>
      </c>
      <c r="V77" s="257">
        <f t="shared" si="19"/>
        <v>0</v>
      </c>
      <c r="W77" s="257">
        <f t="shared" si="21"/>
        <v>0</v>
      </c>
      <c r="X77" s="217"/>
      <c r="Y77" s="609"/>
      <c r="Z77" s="88"/>
      <c r="AA77" s="367"/>
      <c r="AB77" s="620"/>
      <c r="AC77" s="611">
        <f t="shared" si="28"/>
        <v>0</v>
      </c>
      <c r="AD77" s="612">
        <f t="shared" si="29"/>
        <v>0</v>
      </c>
      <c r="AE77" s="88"/>
      <c r="AF77" s="612">
        <f t="shared" si="23"/>
        <v>0</v>
      </c>
      <c r="AG77" s="613">
        <f t="shared" si="24"/>
        <v>0</v>
      </c>
      <c r="AH77" s="611">
        <f t="shared" si="22"/>
        <v>0</v>
      </c>
      <c r="AI77" s="462"/>
      <c r="AJ77" s="609"/>
      <c r="AK77" s="88"/>
      <c r="AL77" s="612">
        <f t="shared" si="30"/>
        <v>0</v>
      </c>
      <c r="AM77" s="88"/>
      <c r="AN77" s="615">
        <f>AL77*AM77</f>
        <v>0</v>
      </c>
      <c r="AO77" s="610"/>
      <c r="AP77" s="616">
        <f t="shared" si="31"/>
        <v>0</v>
      </c>
      <c r="AQ77" s="617">
        <f t="shared" si="32"/>
        <v>0</v>
      </c>
      <c r="AR77" s="617">
        <f t="shared" si="25"/>
        <v>0</v>
      </c>
      <c r="AS77" s="618">
        <f t="shared" si="33"/>
        <v>0</v>
      </c>
      <c r="AT77" s="621">
        <f t="shared" si="26"/>
        <v>0</v>
      </c>
    </row>
    <row r="78" spans="1:46" hidden="1" x14ac:dyDescent="0.2">
      <c r="A78" s="626">
        <v>13</v>
      </c>
      <c r="B78" s="661"/>
      <c r="C78" s="664"/>
      <c r="D78" s="366"/>
      <c r="E78" s="88"/>
      <c r="F78" s="736"/>
      <c r="G78" s="737"/>
      <c r="H78" s="89">
        <v>0</v>
      </c>
      <c r="I78" s="89">
        <v>0</v>
      </c>
      <c r="J78" s="663"/>
      <c r="K78" s="627">
        <f>IF(AND(ISNUMBER($H$78),ISNUMBER($I$78)),($H$78+$I$78)*$AB$78,0)</f>
        <v>0</v>
      </c>
      <c r="L78" s="392"/>
      <c r="M78" s="88"/>
      <c r="N78" s="358"/>
      <c r="O78" s="393">
        <f t="shared" si="20"/>
        <v>0</v>
      </c>
      <c r="P78" s="395">
        <f t="shared" si="27"/>
        <v>0</v>
      </c>
      <c r="R78" s="16"/>
      <c r="S78" s="257">
        <f t="shared" si="16"/>
        <v>0</v>
      </c>
      <c r="T78" s="257">
        <f t="shared" si="17"/>
        <v>0</v>
      </c>
      <c r="U78" s="257">
        <f t="shared" si="18"/>
        <v>0</v>
      </c>
      <c r="V78" s="257">
        <f t="shared" si="19"/>
        <v>0</v>
      </c>
      <c r="W78" s="257">
        <f t="shared" si="21"/>
        <v>0</v>
      </c>
      <c r="X78" s="217"/>
      <c r="Y78" s="609"/>
      <c r="Z78" s="88"/>
      <c r="AA78" s="367"/>
      <c r="AB78" s="620"/>
      <c r="AC78" s="611">
        <f t="shared" si="28"/>
        <v>0</v>
      </c>
      <c r="AD78" s="612">
        <f t="shared" si="29"/>
        <v>0</v>
      </c>
      <c r="AE78" s="88"/>
      <c r="AF78" s="612">
        <f t="shared" si="23"/>
        <v>0</v>
      </c>
      <c r="AG78" s="613">
        <f t="shared" si="24"/>
        <v>0</v>
      </c>
      <c r="AH78" s="611">
        <f t="shared" si="22"/>
        <v>0</v>
      </c>
      <c r="AI78" s="462"/>
      <c r="AJ78" s="609"/>
      <c r="AK78" s="88"/>
      <c r="AL78" s="612">
        <f t="shared" si="30"/>
        <v>0</v>
      </c>
      <c r="AM78" s="88"/>
      <c r="AN78" s="615">
        <f>AL78*AM78</f>
        <v>0</v>
      </c>
      <c r="AO78" s="610"/>
      <c r="AP78" s="616">
        <f t="shared" si="31"/>
        <v>0</v>
      </c>
      <c r="AQ78" s="617">
        <f t="shared" si="32"/>
        <v>0</v>
      </c>
      <c r="AR78" s="617">
        <f t="shared" si="25"/>
        <v>0</v>
      </c>
      <c r="AS78" s="618">
        <f t="shared" si="33"/>
        <v>0</v>
      </c>
      <c r="AT78" s="621">
        <f t="shared" si="26"/>
        <v>0</v>
      </c>
    </row>
    <row r="79" spans="1:46" hidden="1" x14ac:dyDescent="0.2">
      <c r="A79" s="626">
        <v>14</v>
      </c>
      <c r="B79" s="661"/>
      <c r="C79" s="664"/>
      <c r="D79" s="366"/>
      <c r="E79" s="88"/>
      <c r="F79" s="736"/>
      <c r="G79" s="737"/>
      <c r="H79" s="89">
        <v>0</v>
      </c>
      <c r="I79" s="89">
        <v>0</v>
      </c>
      <c r="J79" s="663"/>
      <c r="K79" s="627">
        <f>IF(AND(ISNUMBER($H$79),ISNUMBER($I$79)),($H$79+$I$79)*$AB$79,0)</f>
        <v>0</v>
      </c>
      <c r="L79" s="392"/>
      <c r="M79" s="88"/>
      <c r="N79" s="358"/>
      <c r="O79" s="393">
        <f t="shared" si="20"/>
        <v>0</v>
      </c>
      <c r="P79" s="395">
        <f t="shared" si="27"/>
        <v>0</v>
      </c>
      <c r="R79" s="16"/>
      <c r="S79" s="257">
        <f t="shared" si="16"/>
        <v>0</v>
      </c>
      <c r="T79" s="257">
        <f t="shared" si="17"/>
        <v>0</v>
      </c>
      <c r="U79" s="257">
        <f t="shared" si="18"/>
        <v>0</v>
      </c>
      <c r="V79" s="257">
        <f t="shared" si="19"/>
        <v>0</v>
      </c>
      <c r="W79" s="257">
        <f t="shared" si="21"/>
        <v>0</v>
      </c>
      <c r="X79" s="217"/>
      <c r="Y79" s="609"/>
      <c r="Z79" s="88"/>
      <c r="AA79" s="367"/>
      <c r="AB79" s="620"/>
      <c r="AC79" s="611">
        <f t="shared" si="28"/>
        <v>0</v>
      </c>
      <c r="AD79" s="612">
        <f t="shared" si="29"/>
        <v>0</v>
      </c>
      <c r="AE79" s="88"/>
      <c r="AF79" s="612">
        <f t="shared" si="23"/>
        <v>0</v>
      </c>
      <c r="AG79" s="613">
        <f t="shared" si="24"/>
        <v>0</v>
      </c>
      <c r="AH79" s="611">
        <f t="shared" si="22"/>
        <v>0</v>
      </c>
      <c r="AI79" s="462"/>
      <c r="AJ79" s="609"/>
      <c r="AK79" s="88"/>
      <c r="AL79" s="612">
        <f t="shared" si="30"/>
        <v>0</v>
      </c>
      <c r="AM79" s="88"/>
      <c r="AN79" s="615">
        <f>AL79*AM79</f>
        <v>0</v>
      </c>
      <c r="AO79" s="610"/>
      <c r="AP79" s="616">
        <f t="shared" si="31"/>
        <v>0</v>
      </c>
      <c r="AQ79" s="617">
        <f t="shared" si="32"/>
        <v>0</v>
      </c>
      <c r="AR79" s="617">
        <f t="shared" si="25"/>
        <v>0</v>
      </c>
      <c r="AS79" s="618">
        <f t="shared" si="33"/>
        <v>0</v>
      </c>
      <c r="AT79" s="621">
        <f t="shared" si="26"/>
        <v>0</v>
      </c>
    </row>
    <row r="80" spans="1:46" hidden="1" x14ac:dyDescent="0.2">
      <c r="A80" s="626">
        <v>15</v>
      </c>
      <c r="B80" s="661"/>
      <c r="C80" s="664"/>
      <c r="D80" s="366"/>
      <c r="E80" s="88"/>
      <c r="F80" s="736"/>
      <c r="G80" s="737"/>
      <c r="H80" s="89">
        <v>0</v>
      </c>
      <c r="I80" s="89">
        <v>0</v>
      </c>
      <c r="J80" s="663"/>
      <c r="K80" s="627">
        <f>IF(AND(ISNUMBER($H$80),ISNUMBER($I$80)),($H$80+$I$80)*$AB$80,0)</f>
        <v>0</v>
      </c>
      <c r="L80" s="392"/>
      <c r="M80" s="88"/>
      <c r="N80" s="358"/>
      <c r="O80" s="393">
        <f t="shared" si="20"/>
        <v>0</v>
      </c>
      <c r="P80" s="395">
        <f t="shared" si="27"/>
        <v>0</v>
      </c>
      <c r="R80" s="16"/>
      <c r="S80" s="257">
        <f t="shared" si="16"/>
        <v>0</v>
      </c>
      <c r="T80" s="257">
        <f t="shared" si="17"/>
        <v>0</v>
      </c>
      <c r="U80" s="257">
        <f t="shared" si="18"/>
        <v>0</v>
      </c>
      <c r="V80" s="257">
        <f t="shared" si="19"/>
        <v>0</v>
      </c>
      <c r="W80" s="257">
        <f t="shared" si="21"/>
        <v>0</v>
      </c>
      <c r="X80" s="217"/>
      <c r="Y80" s="609"/>
      <c r="Z80" s="88"/>
      <c r="AA80" s="367"/>
      <c r="AB80" s="620"/>
      <c r="AC80" s="611">
        <f t="shared" si="28"/>
        <v>0</v>
      </c>
      <c r="AD80" s="612">
        <f t="shared" si="29"/>
        <v>0</v>
      </c>
      <c r="AE80" s="88"/>
      <c r="AF80" s="612">
        <f t="shared" si="23"/>
        <v>0</v>
      </c>
      <c r="AG80" s="613">
        <f t="shared" si="24"/>
        <v>0</v>
      </c>
      <c r="AH80" s="611">
        <f t="shared" si="22"/>
        <v>0</v>
      </c>
      <c r="AI80" s="462"/>
      <c r="AJ80" s="609"/>
      <c r="AK80" s="88"/>
      <c r="AL80" s="612">
        <f t="shared" si="30"/>
        <v>0</v>
      </c>
      <c r="AM80" s="88"/>
      <c r="AN80" s="615"/>
      <c r="AO80" s="610"/>
      <c r="AP80" s="616">
        <f t="shared" si="31"/>
        <v>0</v>
      </c>
      <c r="AQ80" s="617">
        <f t="shared" si="32"/>
        <v>0</v>
      </c>
      <c r="AR80" s="617">
        <f t="shared" si="25"/>
        <v>0</v>
      </c>
      <c r="AS80" s="618">
        <f t="shared" si="33"/>
        <v>0</v>
      </c>
      <c r="AT80" s="621">
        <f t="shared" si="26"/>
        <v>0</v>
      </c>
    </row>
    <row r="81" spans="1:46" hidden="1" x14ac:dyDescent="0.2">
      <c r="A81" s="626">
        <v>16</v>
      </c>
      <c r="B81" s="661"/>
      <c r="C81" s="664"/>
      <c r="D81" s="366"/>
      <c r="E81" s="88"/>
      <c r="F81" s="736"/>
      <c r="G81" s="737"/>
      <c r="H81" s="89">
        <v>0</v>
      </c>
      <c r="I81" s="89">
        <v>0</v>
      </c>
      <c r="J81" s="663"/>
      <c r="K81" s="627">
        <f>IF(AND(ISNUMBER($H$81),ISNUMBER($I$81)),($H$81+$I$81)*$AB$81,0)</f>
        <v>0</v>
      </c>
      <c r="L81" s="392"/>
      <c r="M81" s="88"/>
      <c r="N81" s="358"/>
      <c r="O81" s="393">
        <f t="shared" si="20"/>
        <v>0</v>
      </c>
      <c r="P81" s="395">
        <f t="shared" si="27"/>
        <v>0</v>
      </c>
      <c r="R81" s="16"/>
      <c r="S81" s="257">
        <f t="shared" si="16"/>
        <v>0</v>
      </c>
      <c r="T81" s="257">
        <f t="shared" si="17"/>
        <v>0</v>
      </c>
      <c r="U81" s="257">
        <f t="shared" si="18"/>
        <v>0</v>
      </c>
      <c r="V81" s="257">
        <f t="shared" si="19"/>
        <v>0</v>
      </c>
      <c r="W81" s="257">
        <f t="shared" si="21"/>
        <v>0</v>
      </c>
      <c r="X81" s="217"/>
      <c r="Y81" s="609"/>
      <c r="Z81" s="88"/>
      <c r="AA81" s="367"/>
      <c r="AB81" s="620"/>
      <c r="AC81" s="611">
        <f t="shared" si="28"/>
        <v>0</v>
      </c>
      <c r="AD81" s="612">
        <f t="shared" si="29"/>
        <v>0</v>
      </c>
      <c r="AE81" s="88"/>
      <c r="AF81" s="612">
        <f t="shared" si="23"/>
        <v>0</v>
      </c>
      <c r="AG81" s="613">
        <f t="shared" si="24"/>
        <v>0</v>
      </c>
      <c r="AH81" s="611">
        <f t="shared" si="22"/>
        <v>0</v>
      </c>
      <c r="AI81" s="462"/>
      <c r="AJ81" s="609"/>
      <c r="AK81" s="88"/>
      <c r="AL81" s="612">
        <f t="shared" si="30"/>
        <v>0</v>
      </c>
      <c r="AM81" s="88"/>
      <c r="AN81" s="615"/>
      <c r="AO81" s="610"/>
      <c r="AP81" s="616">
        <f t="shared" si="31"/>
        <v>0</v>
      </c>
      <c r="AQ81" s="617">
        <f t="shared" si="32"/>
        <v>0</v>
      </c>
      <c r="AR81" s="617">
        <f t="shared" si="25"/>
        <v>0</v>
      </c>
      <c r="AS81" s="618">
        <f t="shared" si="33"/>
        <v>0</v>
      </c>
      <c r="AT81" s="621">
        <f t="shared" si="26"/>
        <v>0</v>
      </c>
    </row>
    <row r="82" spans="1:46" hidden="1" x14ac:dyDescent="0.2">
      <c r="A82" s="626">
        <v>17</v>
      </c>
      <c r="B82" s="661"/>
      <c r="C82" s="664"/>
      <c r="D82" s="366"/>
      <c r="E82" s="88"/>
      <c r="F82" s="736"/>
      <c r="G82" s="737"/>
      <c r="H82" s="89">
        <v>0</v>
      </c>
      <c r="I82" s="89">
        <v>0</v>
      </c>
      <c r="J82" s="663"/>
      <c r="K82" s="627">
        <f>IF(AND(ISNUMBER($H$82),ISNUMBER($I$82)),($H$82+$I$82)*$AB$82,0)</f>
        <v>0</v>
      </c>
      <c r="L82" s="392"/>
      <c r="M82" s="88"/>
      <c r="N82" s="358"/>
      <c r="O82" s="393">
        <f t="shared" si="20"/>
        <v>0</v>
      </c>
      <c r="P82" s="395">
        <f t="shared" si="27"/>
        <v>0</v>
      </c>
      <c r="R82" s="16"/>
      <c r="S82" s="257">
        <f t="shared" si="16"/>
        <v>0</v>
      </c>
      <c r="T82" s="257">
        <f t="shared" si="17"/>
        <v>0</v>
      </c>
      <c r="U82" s="257">
        <f t="shared" si="18"/>
        <v>0</v>
      </c>
      <c r="V82" s="257">
        <f t="shared" si="19"/>
        <v>0</v>
      </c>
      <c r="W82" s="257">
        <f t="shared" si="21"/>
        <v>0</v>
      </c>
      <c r="X82" s="217"/>
      <c r="Y82" s="609"/>
      <c r="Z82" s="88"/>
      <c r="AA82" s="367"/>
      <c r="AB82" s="620"/>
      <c r="AC82" s="611">
        <f t="shared" si="28"/>
        <v>0</v>
      </c>
      <c r="AD82" s="612">
        <f t="shared" si="29"/>
        <v>0</v>
      </c>
      <c r="AE82" s="88"/>
      <c r="AF82" s="612">
        <f t="shared" si="23"/>
        <v>0</v>
      </c>
      <c r="AG82" s="613">
        <f t="shared" si="24"/>
        <v>0</v>
      </c>
      <c r="AH82" s="611">
        <f t="shared" si="22"/>
        <v>0</v>
      </c>
      <c r="AI82" s="462"/>
      <c r="AJ82" s="609"/>
      <c r="AK82" s="88"/>
      <c r="AL82" s="612">
        <f t="shared" si="30"/>
        <v>0</v>
      </c>
      <c r="AM82" s="88"/>
      <c r="AN82" s="615"/>
      <c r="AO82" s="610"/>
      <c r="AP82" s="616">
        <f t="shared" si="31"/>
        <v>0</v>
      </c>
      <c r="AQ82" s="617">
        <f t="shared" si="32"/>
        <v>0</v>
      </c>
      <c r="AR82" s="617">
        <f t="shared" si="25"/>
        <v>0</v>
      </c>
      <c r="AS82" s="618">
        <f t="shared" si="33"/>
        <v>0</v>
      </c>
      <c r="AT82" s="621">
        <f t="shared" si="26"/>
        <v>0</v>
      </c>
    </row>
    <row r="83" spans="1:46" hidden="1" x14ac:dyDescent="0.2">
      <c r="A83" s="626">
        <v>18</v>
      </c>
      <c r="B83" s="661"/>
      <c r="C83" s="664"/>
      <c r="D83" s="366"/>
      <c r="E83" s="88"/>
      <c r="F83" s="736"/>
      <c r="G83" s="737"/>
      <c r="H83" s="89">
        <v>0</v>
      </c>
      <c r="I83" s="89">
        <v>0</v>
      </c>
      <c r="J83" s="663"/>
      <c r="K83" s="627">
        <f>IF(AND(ISNUMBER($H$83),ISNUMBER($I$83)),($H$83+$I$83)*$AB$83,0)</f>
        <v>0</v>
      </c>
      <c r="L83" s="392"/>
      <c r="M83" s="88"/>
      <c r="N83" s="358"/>
      <c r="O83" s="393">
        <f t="shared" si="20"/>
        <v>0</v>
      </c>
      <c r="P83" s="395">
        <f t="shared" si="27"/>
        <v>0</v>
      </c>
      <c r="R83" s="16"/>
      <c r="S83" s="257">
        <f t="shared" si="16"/>
        <v>0</v>
      </c>
      <c r="T83" s="257">
        <f t="shared" si="17"/>
        <v>0</v>
      </c>
      <c r="U83" s="257">
        <f t="shared" si="18"/>
        <v>0</v>
      </c>
      <c r="V83" s="257">
        <f t="shared" si="19"/>
        <v>0</v>
      </c>
      <c r="W83" s="257">
        <f t="shared" si="21"/>
        <v>0</v>
      </c>
      <c r="X83" s="217"/>
      <c r="Y83" s="609"/>
      <c r="Z83" s="88"/>
      <c r="AA83" s="367"/>
      <c r="AB83" s="620"/>
      <c r="AC83" s="611">
        <f t="shared" si="28"/>
        <v>0</v>
      </c>
      <c r="AD83" s="612">
        <f t="shared" si="29"/>
        <v>0</v>
      </c>
      <c r="AE83" s="88"/>
      <c r="AF83" s="612">
        <f t="shared" si="23"/>
        <v>0</v>
      </c>
      <c r="AG83" s="613">
        <f t="shared" si="24"/>
        <v>0</v>
      </c>
      <c r="AH83" s="611">
        <f t="shared" si="22"/>
        <v>0</v>
      </c>
      <c r="AI83" s="462"/>
      <c r="AJ83" s="609"/>
      <c r="AK83" s="88"/>
      <c r="AL83" s="612">
        <f t="shared" si="30"/>
        <v>0</v>
      </c>
      <c r="AM83" s="88"/>
      <c r="AN83" s="615"/>
      <c r="AO83" s="610"/>
      <c r="AP83" s="616">
        <f t="shared" si="31"/>
        <v>0</v>
      </c>
      <c r="AQ83" s="617">
        <f t="shared" si="32"/>
        <v>0</v>
      </c>
      <c r="AR83" s="617">
        <f t="shared" si="25"/>
        <v>0</v>
      </c>
      <c r="AS83" s="618">
        <f t="shared" si="33"/>
        <v>0</v>
      </c>
      <c r="AT83" s="621">
        <f t="shared" si="26"/>
        <v>0</v>
      </c>
    </row>
    <row r="84" spans="1:46" hidden="1" x14ac:dyDescent="0.2">
      <c r="A84" s="626">
        <v>19</v>
      </c>
      <c r="B84" s="661"/>
      <c r="C84" s="664"/>
      <c r="D84" s="366"/>
      <c r="E84" s="88"/>
      <c r="F84" s="736"/>
      <c r="G84" s="737"/>
      <c r="H84" s="89">
        <v>0</v>
      </c>
      <c r="I84" s="89">
        <v>0</v>
      </c>
      <c r="J84" s="663"/>
      <c r="K84" s="627">
        <f>IF(AND(ISNUMBER($H$84),ISNUMBER($I$84)),($H$84+$I$84)*$AB$84,0)</f>
        <v>0</v>
      </c>
      <c r="L84" s="392"/>
      <c r="M84" s="88"/>
      <c r="N84" s="358"/>
      <c r="O84" s="393">
        <f t="shared" si="20"/>
        <v>0</v>
      </c>
      <c r="P84" s="395">
        <f t="shared" si="27"/>
        <v>0</v>
      </c>
      <c r="R84" s="16"/>
      <c r="S84" s="257">
        <f t="shared" si="16"/>
        <v>0</v>
      </c>
      <c r="T84" s="257">
        <f t="shared" si="17"/>
        <v>0</v>
      </c>
      <c r="U84" s="257">
        <f t="shared" si="18"/>
        <v>0</v>
      </c>
      <c r="V84" s="257">
        <f t="shared" si="19"/>
        <v>0</v>
      </c>
      <c r="W84" s="257">
        <f t="shared" si="21"/>
        <v>0</v>
      </c>
      <c r="X84" s="217"/>
      <c r="Y84" s="609"/>
      <c r="Z84" s="88"/>
      <c r="AA84" s="367"/>
      <c r="AB84" s="620"/>
      <c r="AC84" s="611">
        <f t="shared" si="28"/>
        <v>0</v>
      </c>
      <c r="AD84" s="612">
        <f t="shared" si="29"/>
        <v>0</v>
      </c>
      <c r="AE84" s="88"/>
      <c r="AF84" s="612">
        <f t="shared" si="23"/>
        <v>0</v>
      </c>
      <c r="AG84" s="613">
        <f t="shared" si="24"/>
        <v>0</v>
      </c>
      <c r="AH84" s="611">
        <f t="shared" si="22"/>
        <v>0</v>
      </c>
      <c r="AI84" s="462"/>
      <c r="AJ84" s="609"/>
      <c r="AK84" s="88"/>
      <c r="AL84" s="612">
        <f t="shared" si="30"/>
        <v>0</v>
      </c>
      <c r="AM84" s="88"/>
      <c r="AN84" s="615">
        <f t="shared" ref="AN84:AN89" si="34">AL84*AM84</f>
        <v>0</v>
      </c>
      <c r="AO84" s="610"/>
      <c r="AP84" s="616">
        <f t="shared" si="31"/>
        <v>0</v>
      </c>
      <c r="AQ84" s="617">
        <f t="shared" si="32"/>
        <v>0</v>
      </c>
      <c r="AR84" s="617">
        <f t="shared" si="25"/>
        <v>0</v>
      </c>
      <c r="AS84" s="618">
        <f t="shared" si="33"/>
        <v>0</v>
      </c>
      <c r="AT84" s="621">
        <f t="shared" si="26"/>
        <v>0</v>
      </c>
    </row>
    <row r="85" spans="1:46" hidden="1" x14ac:dyDescent="0.2">
      <c r="A85" s="626">
        <v>20</v>
      </c>
      <c r="B85" s="661"/>
      <c r="C85" s="664"/>
      <c r="D85" s="366"/>
      <c r="E85" s="88"/>
      <c r="F85" s="736"/>
      <c r="G85" s="737"/>
      <c r="H85" s="89">
        <v>0</v>
      </c>
      <c r="I85" s="89">
        <v>0</v>
      </c>
      <c r="J85" s="663"/>
      <c r="K85" s="627">
        <f>IF(AND(ISNUMBER($H$85),ISNUMBER($I$85)),($H$85+$I$85)*$AB$85,0)</f>
        <v>0</v>
      </c>
      <c r="L85" s="392"/>
      <c r="M85" s="88"/>
      <c r="N85" s="358"/>
      <c r="O85" s="393">
        <f t="shared" si="20"/>
        <v>0</v>
      </c>
      <c r="P85" s="395">
        <f t="shared" si="27"/>
        <v>0</v>
      </c>
      <c r="R85" s="16"/>
      <c r="S85" s="257">
        <f t="shared" si="16"/>
        <v>0</v>
      </c>
      <c r="T85" s="257">
        <f t="shared" si="17"/>
        <v>0</v>
      </c>
      <c r="U85" s="257">
        <f t="shared" si="18"/>
        <v>0</v>
      </c>
      <c r="V85" s="257">
        <f t="shared" si="19"/>
        <v>0</v>
      </c>
      <c r="W85" s="257">
        <f t="shared" si="21"/>
        <v>0</v>
      </c>
      <c r="X85" s="217"/>
      <c r="Y85" s="609"/>
      <c r="Z85" s="88"/>
      <c r="AA85" s="367"/>
      <c r="AB85" s="620"/>
      <c r="AC85" s="611">
        <f t="shared" si="28"/>
        <v>0</v>
      </c>
      <c r="AD85" s="612">
        <f t="shared" si="29"/>
        <v>0</v>
      </c>
      <c r="AE85" s="88"/>
      <c r="AF85" s="612">
        <f t="shared" si="23"/>
        <v>0</v>
      </c>
      <c r="AG85" s="613">
        <f t="shared" si="24"/>
        <v>0</v>
      </c>
      <c r="AH85" s="611">
        <f t="shared" si="22"/>
        <v>0</v>
      </c>
      <c r="AI85" s="462"/>
      <c r="AJ85" s="609"/>
      <c r="AK85" s="88"/>
      <c r="AL85" s="612">
        <f t="shared" si="30"/>
        <v>0</v>
      </c>
      <c r="AM85" s="88"/>
      <c r="AN85" s="615">
        <f t="shared" si="34"/>
        <v>0</v>
      </c>
      <c r="AO85" s="610"/>
      <c r="AP85" s="616">
        <f t="shared" si="31"/>
        <v>0</v>
      </c>
      <c r="AQ85" s="617">
        <f t="shared" si="32"/>
        <v>0</v>
      </c>
      <c r="AR85" s="617">
        <f t="shared" si="25"/>
        <v>0</v>
      </c>
      <c r="AS85" s="618">
        <f t="shared" si="33"/>
        <v>0</v>
      </c>
      <c r="AT85" s="621">
        <f t="shared" si="26"/>
        <v>0</v>
      </c>
    </row>
    <row r="86" spans="1:46" hidden="1" x14ac:dyDescent="0.2">
      <c r="A86" s="626">
        <v>21</v>
      </c>
      <c r="B86" s="661"/>
      <c r="C86" s="664"/>
      <c r="D86" s="366"/>
      <c r="E86" s="88"/>
      <c r="F86" s="736"/>
      <c r="G86" s="737"/>
      <c r="H86" s="89">
        <v>0</v>
      </c>
      <c r="I86" s="89">
        <v>0</v>
      </c>
      <c r="J86" s="663"/>
      <c r="K86" s="627">
        <f>IF(AND(ISNUMBER($H$86),ISNUMBER($I$86)),($H$86+$I$86)*$AB$86,0)</f>
        <v>0</v>
      </c>
      <c r="L86" s="392"/>
      <c r="M86" s="88"/>
      <c r="N86" s="358"/>
      <c r="O86" s="393">
        <f t="shared" si="20"/>
        <v>0</v>
      </c>
      <c r="P86" s="395">
        <f t="shared" si="27"/>
        <v>0</v>
      </c>
      <c r="R86" s="16"/>
      <c r="S86" s="257">
        <f t="shared" si="16"/>
        <v>0</v>
      </c>
      <c r="T86" s="257">
        <f t="shared" si="17"/>
        <v>0</v>
      </c>
      <c r="U86" s="257">
        <f t="shared" si="18"/>
        <v>0</v>
      </c>
      <c r="V86" s="257">
        <f t="shared" si="19"/>
        <v>0</v>
      </c>
      <c r="W86" s="257">
        <f t="shared" si="21"/>
        <v>0</v>
      </c>
      <c r="X86" s="217"/>
      <c r="Y86" s="609"/>
      <c r="Z86" s="88"/>
      <c r="AA86" s="367"/>
      <c r="AB86" s="620"/>
      <c r="AC86" s="611">
        <f t="shared" si="28"/>
        <v>0</v>
      </c>
      <c r="AD86" s="612">
        <f t="shared" si="29"/>
        <v>0</v>
      </c>
      <c r="AE86" s="88"/>
      <c r="AF86" s="612">
        <f t="shared" si="23"/>
        <v>0</v>
      </c>
      <c r="AG86" s="613">
        <f t="shared" si="24"/>
        <v>0</v>
      </c>
      <c r="AH86" s="611">
        <f t="shared" si="22"/>
        <v>0</v>
      </c>
      <c r="AI86" s="462"/>
      <c r="AJ86" s="609"/>
      <c r="AK86" s="88"/>
      <c r="AL86" s="612">
        <f t="shared" si="30"/>
        <v>0</v>
      </c>
      <c r="AM86" s="88"/>
      <c r="AN86" s="615">
        <f t="shared" si="34"/>
        <v>0</v>
      </c>
      <c r="AO86" s="610"/>
      <c r="AP86" s="616">
        <f t="shared" si="31"/>
        <v>0</v>
      </c>
      <c r="AQ86" s="617">
        <f t="shared" si="32"/>
        <v>0</v>
      </c>
      <c r="AR86" s="617">
        <f t="shared" si="25"/>
        <v>0</v>
      </c>
      <c r="AS86" s="618">
        <f t="shared" si="33"/>
        <v>0</v>
      </c>
      <c r="AT86" s="621">
        <f t="shared" si="26"/>
        <v>0</v>
      </c>
    </row>
    <row r="87" spans="1:46" hidden="1" x14ac:dyDescent="0.2">
      <c r="A87" s="626">
        <v>22</v>
      </c>
      <c r="B87" s="661"/>
      <c r="C87" s="664"/>
      <c r="D87" s="366"/>
      <c r="E87" s="88"/>
      <c r="F87" s="736"/>
      <c r="G87" s="737"/>
      <c r="H87" s="89">
        <v>0</v>
      </c>
      <c r="I87" s="89">
        <v>0</v>
      </c>
      <c r="J87" s="663"/>
      <c r="K87" s="627">
        <f>IF(AND(ISNUMBER($H$87),ISNUMBER($I$87)),($H$87+$I$87)*$AB$87,0)</f>
        <v>0</v>
      </c>
      <c r="L87" s="392"/>
      <c r="M87" s="88"/>
      <c r="N87" s="358"/>
      <c r="O87" s="393">
        <f t="shared" si="20"/>
        <v>0</v>
      </c>
      <c r="P87" s="395">
        <f t="shared" si="27"/>
        <v>0</v>
      </c>
      <c r="R87" s="16"/>
      <c r="S87" s="257">
        <f t="shared" si="16"/>
        <v>0</v>
      </c>
      <c r="T87" s="257">
        <f t="shared" si="17"/>
        <v>0</v>
      </c>
      <c r="U87" s="257">
        <f t="shared" si="18"/>
        <v>0</v>
      </c>
      <c r="V87" s="257">
        <f t="shared" si="19"/>
        <v>0</v>
      </c>
      <c r="W87" s="257">
        <f t="shared" si="21"/>
        <v>0</v>
      </c>
      <c r="X87" s="217"/>
      <c r="Y87" s="609"/>
      <c r="Z87" s="88"/>
      <c r="AA87" s="367"/>
      <c r="AB87" s="620"/>
      <c r="AC87" s="611">
        <f t="shared" si="28"/>
        <v>0</v>
      </c>
      <c r="AD87" s="612">
        <f t="shared" si="29"/>
        <v>0</v>
      </c>
      <c r="AE87" s="88"/>
      <c r="AF87" s="612">
        <f t="shared" si="23"/>
        <v>0</v>
      </c>
      <c r="AG87" s="613">
        <f t="shared" si="24"/>
        <v>0</v>
      </c>
      <c r="AH87" s="611">
        <f t="shared" si="22"/>
        <v>0</v>
      </c>
      <c r="AI87" s="462"/>
      <c r="AJ87" s="609"/>
      <c r="AK87" s="88"/>
      <c r="AL87" s="612">
        <f t="shared" si="30"/>
        <v>0</v>
      </c>
      <c r="AM87" s="88"/>
      <c r="AN87" s="615">
        <f t="shared" si="34"/>
        <v>0</v>
      </c>
      <c r="AO87" s="610"/>
      <c r="AP87" s="616">
        <f t="shared" si="31"/>
        <v>0</v>
      </c>
      <c r="AQ87" s="617">
        <f t="shared" si="32"/>
        <v>0</v>
      </c>
      <c r="AR87" s="617">
        <f t="shared" si="25"/>
        <v>0</v>
      </c>
      <c r="AS87" s="618">
        <f t="shared" si="33"/>
        <v>0</v>
      </c>
      <c r="AT87" s="621">
        <f t="shared" si="26"/>
        <v>0</v>
      </c>
    </row>
    <row r="88" spans="1:46" hidden="1" x14ac:dyDescent="0.2">
      <c r="A88" s="626">
        <v>23</v>
      </c>
      <c r="B88" s="661"/>
      <c r="C88" s="664"/>
      <c r="D88" s="366"/>
      <c r="E88" s="88"/>
      <c r="F88" s="736"/>
      <c r="G88" s="737"/>
      <c r="H88" s="89">
        <v>0</v>
      </c>
      <c r="I88" s="89">
        <v>0</v>
      </c>
      <c r="J88" s="663"/>
      <c r="K88" s="627">
        <f>IF(AND(ISNUMBER($H$88),ISNUMBER($I$88)),($H$88+$I$88)*$AB$88,0)</f>
        <v>0</v>
      </c>
      <c r="L88" s="392"/>
      <c r="M88" s="88"/>
      <c r="N88" s="358"/>
      <c r="O88" s="393">
        <f t="shared" si="20"/>
        <v>0</v>
      </c>
      <c r="P88" s="395">
        <f t="shared" si="27"/>
        <v>0</v>
      </c>
      <c r="R88" s="16"/>
      <c r="S88" s="257">
        <f t="shared" si="16"/>
        <v>0</v>
      </c>
      <c r="T88" s="257">
        <f t="shared" si="17"/>
        <v>0</v>
      </c>
      <c r="U88" s="257">
        <f t="shared" si="18"/>
        <v>0</v>
      </c>
      <c r="V88" s="257">
        <f t="shared" si="19"/>
        <v>0</v>
      </c>
      <c r="W88" s="257">
        <f t="shared" si="21"/>
        <v>0</v>
      </c>
      <c r="X88" s="217"/>
      <c r="Y88" s="609"/>
      <c r="Z88" s="88"/>
      <c r="AA88" s="367"/>
      <c r="AB88" s="620"/>
      <c r="AC88" s="611">
        <f t="shared" si="28"/>
        <v>0</v>
      </c>
      <c r="AD88" s="612">
        <f t="shared" si="29"/>
        <v>0</v>
      </c>
      <c r="AE88" s="88"/>
      <c r="AF88" s="612">
        <f t="shared" si="23"/>
        <v>0</v>
      </c>
      <c r="AG88" s="613">
        <f t="shared" si="24"/>
        <v>0</v>
      </c>
      <c r="AH88" s="611">
        <f t="shared" si="22"/>
        <v>0</v>
      </c>
      <c r="AI88" s="462"/>
      <c r="AJ88" s="609"/>
      <c r="AK88" s="88"/>
      <c r="AL88" s="612">
        <f t="shared" si="30"/>
        <v>0</v>
      </c>
      <c r="AM88" s="88"/>
      <c r="AN88" s="615">
        <f t="shared" si="34"/>
        <v>0</v>
      </c>
      <c r="AO88" s="610"/>
      <c r="AP88" s="616">
        <f t="shared" si="31"/>
        <v>0</v>
      </c>
      <c r="AQ88" s="617">
        <f t="shared" si="32"/>
        <v>0</v>
      </c>
      <c r="AR88" s="617">
        <f t="shared" si="25"/>
        <v>0</v>
      </c>
      <c r="AS88" s="618">
        <f t="shared" si="33"/>
        <v>0</v>
      </c>
      <c r="AT88" s="621">
        <f t="shared" si="26"/>
        <v>0</v>
      </c>
    </row>
    <row r="89" spans="1:46" hidden="1" x14ac:dyDescent="0.2">
      <c r="A89" s="626">
        <v>24</v>
      </c>
      <c r="B89" s="661"/>
      <c r="C89" s="664"/>
      <c r="D89" s="366"/>
      <c r="E89" s="88"/>
      <c r="F89" s="736"/>
      <c r="G89" s="737"/>
      <c r="H89" s="89">
        <v>0</v>
      </c>
      <c r="I89" s="89">
        <v>0</v>
      </c>
      <c r="J89" s="663"/>
      <c r="K89" s="627">
        <f>IF(AND(ISNUMBER($H$89),ISNUMBER($I$89)),($H$89+$I$89)*$AB$89,0)</f>
        <v>0</v>
      </c>
      <c r="L89" s="392"/>
      <c r="M89" s="88"/>
      <c r="N89" s="358"/>
      <c r="O89" s="393">
        <f t="shared" si="20"/>
        <v>0</v>
      </c>
      <c r="P89" s="395">
        <f t="shared" si="27"/>
        <v>0</v>
      </c>
      <c r="R89" s="16"/>
      <c r="S89" s="257">
        <f t="shared" si="16"/>
        <v>0</v>
      </c>
      <c r="T89" s="257">
        <f t="shared" si="17"/>
        <v>0</v>
      </c>
      <c r="U89" s="257">
        <f t="shared" si="18"/>
        <v>0</v>
      </c>
      <c r="V89" s="257">
        <f t="shared" si="19"/>
        <v>0</v>
      </c>
      <c r="W89" s="257">
        <f t="shared" si="21"/>
        <v>0</v>
      </c>
      <c r="X89" s="217"/>
      <c r="Y89" s="609"/>
      <c r="Z89" s="88"/>
      <c r="AA89" s="367"/>
      <c r="AB89" s="620"/>
      <c r="AC89" s="611">
        <f t="shared" si="28"/>
        <v>0</v>
      </c>
      <c r="AD89" s="612">
        <f t="shared" si="29"/>
        <v>0</v>
      </c>
      <c r="AE89" s="88"/>
      <c r="AF89" s="612">
        <f t="shared" si="23"/>
        <v>0</v>
      </c>
      <c r="AG89" s="613">
        <f t="shared" si="24"/>
        <v>0</v>
      </c>
      <c r="AH89" s="611">
        <f t="shared" si="22"/>
        <v>0</v>
      </c>
      <c r="AI89" s="462"/>
      <c r="AJ89" s="609"/>
      <c r="AK89" s="88"/>
      <c r="AL89" s="612">
        <f t="shared" si="30"/>
        <v>0</v>
      </c>
      <c r="AM89" s="88"/>
      <c r="AN89" s="615">
        <f t="shared" si="34"/>
        <v>0</v>
      </c>
      <c r="AO89" s="610"/>
      <c r="AP89" s="616">
        <f t="shared" si="31"/>
        <v>0</v>
      </c>
      <c r="AQ89" s="617">
        <f t="shared" si="32"/>
        <v>0</v>
      </c>
      <c r="AR89" s="617">
        <f t="shared" si="25"/>
        <v>0</v>
      </c>
      <c r="AS89" s="618">
        <f t="shared" si="33"/>
        <v>0</v>
      </c>
      <c r="AT89" s="621">
        <f t="shared" si="26"/>
        <v>0</v>
      </c>
    </row>
    <row r="90" spans="1:46" ht="4.5999999999999996" customHeight="1" x14ac:dyDescent="0.2">
      <c r="A90" s="10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49"/>
      <c r="P90" s="12"/>
      <c r="S90" s="237"/>
      <c r="T90" s="237"/>
      <c r="U90" s="237"/>
      <c r="V90" s="237"/>
      <c r="W90" s="237"/>
      <c r="X90" s="217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J90" s="18"/>
      <c r="AK90" s="18"/>
      <c r="AL90" s="18"/>
      <c r="AM90" s="18"/>
      <c r="AN90" s="18"/>
      <c r="AP90" s="18"/>
      <c r="AQ90" s="18"/>
      <c r="AR90" s="18"/>
      <c r="AS90" s="18"/>
      <c r="AT90" s="18"/>
    </row>
    <row r="91" spans="1:46" ht="13.6" x14ac:dyDescent="0.25">
      <c r="A91" s="397"/>
      <c r="B91" s="398" t="str">
        <f>VLOOKUP("sec2.5",translation,VLOOKUP(J2,languages,2,FALSE),FALSE)</f>
        <v>Section 2.5</v>
      </c>
      <c r="C91" s="399"/>
      <c r="D91" s="372" t="str">
        <f>VLOOKUP("poh",translation,VLOOKUP(J2,languages,2,FALSE),FALSE)</f>
        <v>Production Overhead</v>
      </c>
      <c r="E91" s="400"/>
      <c r="F91" s="400"/>
      <c r="G91" s="400"/>
      <c r="H91" s="400"/>
      <c r="I91" s="401" t="s">
        <v>105</v>
      </c>
      <c r="J91" s="749" t="s">
        <v>28</v>
      </c>
      <c r="K91" s="750"/>
      <c r="L91" s="402" t="s">
        <v>220</v>
      </c>
      <c r="M91" s="403">
        <v>20.95</v>
      </c>
      <c r="N91" s="303" t="s">
        <v>820</v>
      </c>
      <c r="O91" s="631">
        <f>$M$91/100*DL</f>
        <v>5.8226963499999992E-2</v>
      </c>
      <c r="P91" s="388">
        <f>IF($O$104=0,0,O91/$O$104)</f>
        <v>8.0235337188876675E-3</v>
      </c>
      <c r="S91" s="261"/>
      <c r="T91" s="751"/>
      <c r="U91" s="752"/>
      <c r="V91" s="262"/>
      <c r="W91" s="751"/>
      <c r="X91" s="753"/>
      <c r="Y91" s="51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</row>
    <row r="92" spans="1:46" ht="13.6" x14ac:dyDescent="0.25">
      <c r="A92" s="404"/>
      <c r="B92" s="405" t="str">
        <f>VLOOKUP("sec2.6",translation,VLOOKUP(J2,languages,2,FALSE),FALSE)</f>
        <v>Section 2.6</v>
      </c>
      <c r="C92" s="406"/>
      <c r="D92" s="407" t="str">
        <f>VLOOKUP("scrap2",translation,VLOOKUP(J2,languages,2,FALSE),FALSE)</f>
        <v>Scrap (Material &amp; Production)</v>
      </c>
      <c r="E92" s="408"/>
      <c r="F92" s="408"/>
      <c r="G92" s="408"/>
      <c r="H92" s="408"/>
      <c r="I92" s="409"/>
      <c r="J92" s="409" t="str">
        <f>VLOOKUP("info2",translation,VLOOKUP(J2,languages,2,FALSE),FALSE)</f>
        <v>Info only: already included in Material &amp; Production Totals</v>
      </c>
      <c r="K92" s="401"/>
      <c r="L92" s="401"/>
      <c r="M92" s="401"/>
      <c r="N92" s="410"/>
      <c r="O92" s="633">
        <f>T12+T35+W64</f>
        <v>9.6168000000000017E-2</v>
      </c>
      <c r="P92" s="375">
        <f>IF($O$104=0,0,O92/$O$104)</f>
        <v>1.3251716117361836E-2</v>
      </c>
      <c r="Y92" s="51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</row>
    <row r="93" spans="1:46" ht="4.5999999999999996" customHeight="1" x14ac:dyDescent="0.2">
      <c r="A93" s="411"/>
      <c r="B93" s="412"/>
      <c r="C93" s="412"/>
      <c r="D93" s="412"/>
      <c r="E93" s="412"/>
      <c r="F93" s="412"/>
      <c r="G93" s="412"/>
      <c r="H93" s="412"/>
      <c r="I93" s="412"/>
      <c r="J93" s="412"/>
      <c r="K93" s="412"/>
      <c r="L93" s="412"/>
      <c r="M93" s="412"/>
      <c r="N93" s="412"/>
      <c r="O93" s="634"/>
      <c r="P93" s="413"/>
      <c r="R93" s="1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/>
      <c r="AK93" s="35"/>
      <c r="AL93" s="35"/>
      <c r="AM93" s="35"/>
      <c r="AN93" s="35"/>
      <c r="AO93" s="35"/>
      <c r="AP93" s="35"/>
      <c r="AQ93" s="35"/>
      <c r="AR93" s="35"/>
      <c r="AS93" s="35"/>
      <c r="AT93" s="35"/>
    </row>
    <row r="94" spans="1:46" ht="14.3" thickBot="1" x14ac:dyDescent="0.3">
      <c r="A94" s="414"/>
      <c r="B94" s="415" t="str">
        <f>VLOOKUP("total_mc",translation,VLOOKUP(J2,languages,2,FALSE),FALSE)</f>
        <v>Total Manufactured Cost (Sections 2.1 - 2.6)</v>
      </c>
      <c r="C94" s="415"/>
      <c r="D94" s="415"/>
      <c r="E94" s="416"/>
      <c r="F94" s="416"/>
      <c r="G94" s="416"/>
      <c r="H94" s="416"/>
      <c r="I94" s="417"/>
      <c r="J94" s="418"/>
      <c r="K94" s="418"/>
      <c r="L94" s="418"/>
      <c r="M94" s="419"/>
      <c r="N94" s="419"/>
      <c r="O94" s="635">
        <f>O12+O35+O62+O64+O91</f>
        <v>6.6161203242692315</v>
      </c>
      <c r="P94" s="420">
        <f>IF($O$104=0,0,O94/$O$104)</f>
        <v>0.91168526261878979</v>
      </c>
      <c r="X94" s="19"/>
      <c r="Y94" s="35"/>
      <c r="Z94" s="35"/>
      <c r="AA94" s="35"/>
      <c r="AB94" s="43"/>
      <c r="AC94" s="43"/>
      <c r="AD94" s="44"/>
      <c r="AE94" s="45"/>
      <c r="AF94" s="35"/>
      <c r="AG94" s="35"/>
      <c r="AH94" s="35"/>
      <c r="AI94" s="35"/>
      <c r="AJ94"/>
      <c r="AK94" s="35"/>
      <c r="AL94" s="35"/>
      <c r="AM94" s="35"/>
      <c r="AN94" s="35"/>
      <c r="AO94" s="35"/>
      <c r="AP94" s="35"/>
      <c r="AQ94" s="35"/>
      <c r="AR94" s="35"/>
      <c r="AS94" s="35"/>
      <c r="AT94" s="35"/>
    </row>
    <row r="95" spans="1:46" s="17" customFormat="1" ht="4.5999999999999996" customHeight="1" thickBot="1" x14ac:dyDescent="0.25">
      <c r="A95" s="376"/>
      <c r="B95" s="378"/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636"/>
      <c r="P95" s="421"/>
      <c r="R95" s="15"/>
      <c r="S95" s="20"/>
      <c r="T95" s="20"/>
      <c r="U95" s="20"/>
      <c r="V95" s="20"/>
      <c r="W95" s="20"/>
      <c r="X95" s="19"/>
      <c r="Y95" s="35"/>
      <c r="Z95" s="36"/>
      <c r="AA95" s="36"/>
      <c r="AB95" s="36"/>
      <c r="AC95" s="36"/>
      <c r="AD95" s="36"/>
      <c r="AE95" s="46"/>
      <c r="AF95" s="36"/>
      <c r="AG95" s="36"/>
      <c r="AH95" s="35"/>
      <c r="AI95" s="35"/>
      <c r="AJ95"/>
      <c r="AK95" s="35"/>
      <c r="AL95" s="36"/>
      <c r="AM95" s="36"/>
      <c r="AN95" s="36"/>
      <c r="AO95" s="36"/>
      <c r="AP95" s="36"/>
      <c r="AQ95" s="36"/>
      <c r="AR95" s="36"/>
      <c r="AS95" s="36"/>
      <c r="AT95" s="36"/>
    </row>
    <row r="96" spans="1:46" ht="13.6" x14ac:dyDescent="0.25">
      <c r="A96" s="339"/>
      <c r="B96" s="341" t="str">
        <f>VLOOKUP("sec2.7",translation,VLOOKUP(J2,languages,2,FALSE),FALSE)</f>
        <v>Section 2.7</v>
      </c>
      <c r="C96" s="341"/>
      <c r="D96" s="342" t="str">
        <f>VLOOKUP("cost_other",translation,VLOOKUP(J2,languages,2,FALSE),FALSE)</f>
        <v>Other Costs / Overheads &amp; Profits</v>
      </c>
      <c r="E96" s="342"/>
      <c r="F96" s="343"/>
      <c r="G96" s="343"/>
      <c r="H96" s="343"/>
      <c r="I96" s="343"/>
      <c r="J96" s="343"/>
      <c r="K96" s="343"/>
      <c r="L96" s="343"/>
      <c r="M96" s="754"/>
      <c r="N96" s="755"/>
      <c r="O96" s="629">
        <f>SUM(O97:O103)</f>
        <v>0.6409020227462453</v>
      </c>
      <c r="P96" s="422">
        <f t="shared" ref="P96:P103" si="35">IF($O$104=0,0,O96/$O$104)</f>
        <v>8.8314737381210165E-2</v>
      </c>
      <c r="R96" s="21"/>
      <c r="X96" s="19"/>
      <c r="Y96" s="35"/>
      <c r="Z96" s="35"/>
      <c r="AA96" s="35"/>
      <c r="AB96" s="43"/>
      <c r="AC96" s="43"/>
      <c r="AD96" s="44"/>
      <c r="AE96" s="45"/>
      <c r="AF96" s="35"/>
      <c r="AG96" s="35"/>
      <c r="AH96" s="35"/>
      <c r="AI96" s="35"/>
      <c r="AJ96"/>
      <c r="AK96" s="35"/>
      <c r="AL96" s="35"/>
      <c r="AM96" s="35"/>
      <c r="AN96" s="35"/>
      <c r="AO96" s="35"/>
      <c r="AP96" s="35"/>
      <c r="AQ96" s="35"/>
      <c r="AR96" s="35"/>
      <c r="AS96" s="35"/>
      <c r="AT96" s="35"/>
    </row>
    <row r="97" spans="1:46" x14ac:dyDescent="0.2">
      <c r="A97" s="423" t="str">
        <f>VLOOKUP("goh",translation,VLOOKUP(J2,languages,2,FALSE),FALSE)</f>
        <v>General Overhead / SG&amp;A</v>
      </c>
      <c r="B97" s="424"/>
      <c r="C97" s="424"/>
      <c r="D97" s="424"/>
      <c r="E97" s="424"/>
      <c r="F97" s="425"/>
      <c r="G97" s="425"/>
      <c r="H97" s="426"/>
      <c r="I97" s="424"/>
      <c r="J97" s="427" t="s">
        <v>105</v>
      </c>
      <c r="K97" s="767" t="s">
        <v>274</v>
      </c>
      <c r="L97" s="769"/>
      <c r="M97" s="622">
        <v>1.61</v>
      </c>
      <c r="N97" s="624">
        <v>8.6999999999999993</v>
      </c>
      <c r="O97" s="428">
        <f>($M$97+$N$97)/100*(MC+DL+Setup+POH)</f>
        <v>0.20385457433684998</v>
      </c>
      <c r="P97" s="395">
        <f t="shared" si="35"/>
        <v>2.8090663717011594E-2</v>
      </c>
      <c r="R97" s="21"/>
      <c r="S97"/>
      <c r="T97"/>
      <c r="U97"/>
      <c r="V97"/>
      <c r="W97"/>
      <c r="X97" s="19"/>
      <c r="Y97" s="51"/>
      <c r="Z97" s="35"/>
      <c r="AA97" s="35"/>
      <c r="AB97" s="35"/>
      <c r="AC97" s="43"/>
      <c r="AD97" s="35"/>
      <c r="AE97" s="35"/>
      <c r="AF97" s="35"/>
      <c r="AG97" s="35"/>
      <c r="AH97" s="35"/>
      <c r="AI97" s="35"/>
      <c r="AJ97"/>
      <c r="AK97" s="35"/>
      <c r="AL97" s="35"/>
      <c r="AM97" s="35"/>
      <c r="AN97" s="35"/>
      <c r="AO97" s="35"/>
      <c r="AP97" s="35"/>
      <c r="AQ97" s="35"/>
      <c r="AR97" s="35"/>
      <c r="AS97" s="35"/>
      <c r="AT97" s="35"/>
    </row>
    <row r="98" spans="1:46" x14ac:dyDescent="0.2">
      <c r="A98" s="423" t="str">
        <f>VLOOKUP("d&amp;d",translation,VLOOKUP(J2,languages,2,FALSE),FALSE)</f>
        <v>Engineering / Design &amp; Developement</v>
      </c>
      <c r="B98" s="424"/>
      <c r="C98" s="424"/>
      <c r="D98" s="424"/>
      <c r="E98" s="424"/>
      <c r="F98" s="424"/>
      <c r="G98" s="424"/>
      <c r="H98" s="424"/>
      <c r="I98" s="424"/>
      <c r="J98" s="429" t="s">
        <v>105</v>
      </c>
      <c r="K98" s="738" t="s">
        <v>274</v>
      </c>
      <c r="L98" s="770"/>
      <c r="M98" s="623">
        <v>0</v>
      </c>
      <c r="N98" s="304" t="s">
        <v>820</v>
      </c>
      <c r="O98" s="430">
        <f>($M$98)/100*(MC+DL+Setup+POH)</f>
        <v>0</v>
      </c>
      <c r="P98" s="395">
        <f t="shared" si="35"/>
        <v>0</v>
      </c>
      <c r="R98" s="21"/>
      <c r="S98"/>
      <c r="T98"/>
      <c r="U98"/>
      <c r="V98"/>
      <c r="W98"/>
      <c r="X98" s="19"/>
      <c r="Y98" s="51"/>
      <c r="Z98" s="35"/>
      <c r="AA98" s="35"/>
      <c r="AB98" s="35"/>
      <c r="AC98" s="43"/>
      <c r="AD98" s="44"/>
      <c r="AE98" s="35"/>
      <c r="AF98" s="35"/>
      <c r="AG98" s="35"/>
      <c r="AH98" s="35"/>
      <c r="AI98" s="35"/>
      <c r="AJ98" s="217"/>
      <c r="AK98" s="35"/>
      <c r="AL98" s="35"/>
      <c r="AM98" s="35"/>
      <c r="AN98" s="35"/>
      <c r="AO98" s="35"/>
      <c r="AP98" s="35"/>
      <c r="AQ98" s="35"/>
      <c r="AR98" s="35"/>
      <c r="AS98" s="35"/>
      <c r="AT98" s="35"/>
    </row>
    <row r="99" spans="1:46" x14ac:dyDescent="0.2">
      <c r="A99" s="423"/>
      <c r="B99" s="424"/>
      <c r="C99" s="424"/>
      <c r="D99" s="424"/>
      <c r="E99" s="771"/>
      <c r="F99" s="772"/>
      <c r="G99" s="772"/>
      <c r="H99" s="773"/>
      <c r="I99" s="424"/>
      <c r="J99" s="431" t="str">
        <f>VLOOKUP("amount",translation,VLOOKUP(J2,languages,2,FALSE),FALSE)&amp;" ["&amp;LEFT($D$7,3)&amp;"]"</f>
        <v>Amount [EUR]</v>
      </c>
      <c r="K99" s="432"/>
      <c r="L99" s="433" t="str">
        <f>VLOOKUP("qty3",translation,VLOOKUP(J2,languages,2,FALSE),FALSE)</f>
        <v>Quantity</v>
      </c>
      <c r="M99" s="774"/>
      <c r="N99" s="775"/>
      <c r="O99" s="434">
        <f>IF(M99=0,0,K99/M99)*PUC</f>
        <v>0</v>
      </c>
      <c r="P99" s="435">
        <f t="shared" si="35"/>
        <v>0</v>
      </c>
      <c r="R99" s="21"/>
      <c r="X99" s="19"/>
      <c r="Y99" s="35"/>
      <c r="Z99" s="35"/>
      <c r="AA99" s="35"/>
      <c r="AB99" s="35"/>
      <c r="AC99" s="43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</row>
    <row r="100" spans="1:46" ht="16.5" customHeight="1" x14ac:dyDescent="0.2">
      <c r="A100" s="423"/>
      <c r="B100" s="424"/>
      <c r="C100" s="424"/>
      <c r="D100" s="424"/>
      <c r="E100" s="771"/>
      <c r="F100" s="772"/>
      <c r="G100" s="772"/>
      <c r="H100" s="773"/>
      <c r="I100" s="424"/>
      <c r="J100" s="431" t="str">
        <f>VLOOKUP("amount",translation,VLOOKUP(J2,languages,2,FALSE),FALSE)&amp;" ["&amp;LEFT($D$7,3)&amp;"]"</f>
        <v>Amount [EUR]</v>
      </c>
      <c r="K100" s="432"/>
      <c r="L100" s="433" t="str">
        <f>VLOOKUP("qty3",translation,VLOOKUP(J2,languages,2,FALSE),FALSE)</f>
        <v>Quantity</v>
      </c>
      <c r="M100" s="774"/>
      <c r="N100" s="775"/>
      <c r="O100" s="434">
        <f>IF(M100=0,0,K100/M100)*PUC</f>
        <v>0</v>
      </c>
      <c r="P100" s="435">
        <f t="shared" si="35"/>
        <v>0</v>
      </c>
      <c r="R100" s="21"/>
      <c r="X100" s="19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</row>
    <row r="101" spans="1:46" ht="16.5" customHeight="1" x14ac:dyDescent="0.2">
      <c r="A101" s="436" t="str">
        <f>VLOOKUP("profit",translation,VLOOKUP(J2,languages,2,FALSE),FALSE)</f>
        <v>Profit (on Material &amp; Components)</v>
      </c>
      <c r="B101" s="424"/>
      <c r="C101" s="424"/>
      <c r="D101" s="424"/>
      <c r="E101" s="424"/>
      <c r="F101" s="424"/>
      <c r="G101" s="424"/>
      <c r="H101" s="424"/>
      <c r="I101" s="424"/>
      <c r="J101" s="429"/>
      <c r="K101" s="429"/>
      <c r="L101" s="437" t="str">
        <f>VLOOKUP("material_%",translation,VLOOKUP(J2,languages,2,FALSE),FALSE)</f>
        <v>% of Material &amp; Purchased Components</v>
      </c>
      <c r="M101" s="756"/>
      <c r="N101" s="757"/>
      <c r="O101" s="434">
        <f>M101*(O12+O35-T12-T35)</f>
        <v>0</v>
      </c>
      <c r="P101" s="435">
        <f t="shared" si="35"/>
        <v>0</v>
      </c>
      <c r="R101" s="21"/>
      <c r="X101" s="19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</row>
    <row r="102" spans="1:46" ht="16.5" customHeight="1" x14ac:dyDescent="0.2">
      <c r="A102" s="436" t="str">
        <f>VLOOKUP("profit2",translation,VLOOKUP(J2,languages,2,FALSE),FALSE)</f>
        <v>Profit (on Manufacturing)</v>
      </c>
      <c r="B102" s="424"/>
      <c r="C102" s="424"/>
      <c r="D102" s="424"/>
      <c r="E102" s="424"/>
      <c r="F102" s="424"/>
      <c r="G102" s="424"/>
      <c r="H102" s="424"/>
      <c r="I102" s="424"/>
      <c r="J102" s="429"/>
      <c r="K102" s="429"/>
      <c r="L102" s="438" t="str">
        <f>VLOOKUP("va_%",translation,VLOOKUP(J2,languages,2,FALSE),FALSE)</f>
        <v>% of Value Added + Overheads</v>
      </c>
      <c r="M102" s="756"/>
      <c r="N102" s="757"/>
      <c r="O102" s="434">
        <f>M102*(O64+POH+O97+O98)</f>
        <v>0</v>
      </c>
      <c r="P102" s="435">
        <f t="shared" si="35"/>
        <v>0</v>
      </c>
      <c r="R102" s="21"/>
      <c r="X102" s="19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</row>
    <row r="103" spans="1:46" ht="16.5" customHeight="1" thickBot="1" x14ac:dyDescent="0.25">
      <c r="A103" s="439"/>
      <c r="B103" s="424"/>
      <c r="C103" s="424"/>
      <c r="D103" s="424"/>
      <c r="E103" s="424"/>
      <c r="F103" s="424"/>
      <c r="G103" s="424"/>
      <c r="H103" s="440"/>
      <c r="I103" s="441"/>
      <c r="J103" s="441"/>
      <c r="K103" s="441"/>
      <c r="L103" s="441" t="str">
        <f>VLOOKUP("mc_%",translation,VLOOKUP(J2,languages,2,FALSE),FALSE)</f>
        <v>% of Manufacturing Cost + Overheads</v>
      </c>
      <c r="M103" s="305">
        <v>6.5</v>
      </c>
      <c r="N103" s="306" t="s">
        <v>820</v>
      </c>
      <c r="O103" s="442">
        <f>M103/100*(O94+O97+O98-O92)</f>
        <v>0.4370474484093953</v>
      </c>
      <c r="P103" s="443">
        <f t="shared" si="35"/>
        <v>6.0224073664198574E-2</v>
      </c>
      <c r="R103" s="21"/>
      <c r="Y103" s="35">
        <v>0</v>
      </c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65"/>
      <c r="AQ103" s="35"/>
      <c r="AR103" s="35"/>
      <c r="AS103" s="35"/>
      <c r="AT103" s="35"/>
    </row>
    <row r="104" spans="1:46" ht="14.3" thickBot="1" x14ac:dyDescent="0.3">
      <c r="A104" s="444"/>
      <c r="B104" s="444"/>
      <c r="C104" s="444"/>
      <c r="D104" s="444"/>
      <c r="E104" s="445"/>
      <c r="F104" s="445"/>
      <c r="G104" s="445"/>
      <c r="H104" s="445"/>
      <c r="I104" s="446"/>
      <c r="J104" s="447" t="str">
        <f>VLOOKUP("price",translation,VLOOKUP(J2,languages,2,FALSE),FALSE)&amp;" ["&amp;LEFT($D$7,3)&amp;F7&amp;"]"</f>
        <v>Base Price [EUR/pc]</v>
      </c>
      <c r="K104" s="448"/>
      <c r="L104" s="448"/>
      <c r="M104" s="758"/>
      <c r="N104" s="759"/>
      <c r="O104" s="637">
        <f>O94+O96</f>
        <v>7.2570223470154769</v>
      </c>
      <c r="P104" s="449">
        <v>1</v>
      </c>
      <c r="R104" s="21"/>
      <c r="S104" s="75"/>
      <c r="T104" s="76"/>
      <c r="Y104" s="51" t="str">
        <f>VLOOKUP("part_price1",translation,VLOOKUP(J2,languages,2,FALSE),FALSE)</f>
        <v>&lt;-- Part Price without packaging/logistics</v>
      </c>
      <c r="Z104" s="35"/>
      <c r="AA104" s="35"/>
      <c r="AB104" s="35"/>
      <c r="AC104" s="35"/>
      <c r="AD104" s="35"/>
      <c r="AE104" s="77"/>
      <c r="AF104" s="6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</row>
    <row r="105" spans="1:46" ht="4.5999999999999996" customHeight="1" thickBot="1" x14ac:dyDescent="0.25">
      <c r="A105" s="377"/>
      <c r="B105" s="378"/>
      <c r="C105" s="378"/>
      <c r="D105" s="378"/>
      <c r="E105" s="378"/>
      <c r="F105" s="377"/>
      <c r="G105" s="377"/>
      <c r="H105" s="377"/>
      <c r="I105" s="377"/>
      <c r="J105" s="377"/>
      <c r="K105" s="377"/>
      <c r="L105" s="377"/>
      <c r="M105" s="377"/>
      <c r="N105" s="377"/>
      <c r="O105" s="450"/>
      <c r="P105" s="377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</row>
    <row r="106" spans="1:46" ht="13.6" x14ac:dyDescent="0.25">
      <c r="A106" s="339"/>
      <c r="B106" s="341" t="str">
        <f>VLOOKUP("sec3",translation,VLOOKUP(J2,languages,2,FALSE),FALSE)</f>
        <v>Section 3</v>
      </c>
      <c r="C106" s="341"/>
      <c r="D106" s="342" t="str">
        <f>VLOOKUP("logistics",translation,VLOOKUP(J2,languages,2,FALSE),FALSE)</f>
        <v>Packaging &amp; Logistics</v>
      </c>
      <c r="E106" s="342"/>
      <c r="F106" s="343"/>
      <c r="G106" s="343"/>
      <c r="H106" s="343"/>
      <c r="I106" s="343"/>
      <c r="J106" s="343"/>
      <c r="K106" s="343"/>
      <c r="L106" s="343"/>
      <c r="M106" s="754"/>
      <c r="N106" s="760"/>
      <c r="O106" s="451"/>
      <c r="P106" s="452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</row>
    <row r="107" spans="1:46" ht="36" customHeight="1" x14ac:dyDescent="0.2">
      <c r="A107" s="453"/>
      <c r="B107" s="454"/>
      <c r="C107" s="454"/>
      <c r="D107" s="660" t="str">
        <f>VLOOKUP("length",translation,VLOOKUP(J2,languages,2,FALSE),FALSE)</f>
        <v>Length [mm]</v>
      </c>
      <c r="E107" s="660" t="str">
        <f>VLOOKUP("width",translation,VLOOKUP(J2,languages,2,FALSE),FALSE)</f>
        <v>Width [mm]</v>
      </c>
      <c r="F107" s="735" t="str">
        <f>VLOOKUP("height",translation,VLOOKUP(J2,languages,2,FALSE),FALSE)</f>
        <v>Height [mm]</v>
      </c>
      <c r="G107" s="746"/>
      <c r="H107" s="660" t="str">
        <f>VLOOKUP("pcs_box",translation,VLOOKUP(J2,languages,2,FALSE),FALSE)</f>
        <v>Pcs/box</v>
      </c>
      <c r="I107" s="660" t="str">
        <f>VLOOKUP("box_cost",translation,VLOOKUP(J2,languages,2,FALSE),FALSE)&amp;" ["&amp;LEFT($D$7,3)&amp;"]"</f>
        <v>Box Cost [EUR]</v>
      </c>
      <c r="J107" s="660" t="str">
        <f>VLOOKUP("box_cost_other",translation,VLOOKUP(J2,languages,2,FALSE),FALSE)&amp;" ["&amp;LEFT($D$7,3)&amp;"]"</f>
        <v>Other Box Cost [EUR]</v>
      </c>
      <c r="K107" s="660" t="str">
        <f>VLOOKUP("box_pallet",translation,VLOOKUP(J2,languages,2,FALSE),FALSE)</f>
        <v>Boxes /Pallet</v>
      </c>
      <c r="L107" s="660" t="str">
        <f>VLOOKUP("pallet_cost",translation,VLOOKUP(J2,languages,2,FALSE),FALSE)&amp;" ["&amp;LEFT($D$7,3)&amp;"]"</f>
        <v>Pallet Cost [EUR]</v>
      </c>
      <c r="M107" s="761"/>
      <c r="N107" s="762"/>
      <c r="O107" s="455" t="str">
        <f>VLOOKUP("total",translation,VLOOKUP(J2,languages,2,FALSE),FALSE)&amp;" ["&amp;LEFT($D$7,3)&amp;$F$7&amp;"]"</f>
        <v>Total [EUR/pc]</v>
      </c>
      <c r="P107" s="456"/>
      <c r="W107" s="3">
        <v>11</v>
      </c>
      <c r="Y107" s="590" t="str">
        <f>VLOOKUP("#loops",translation,VLOOKUP(J2,languages,2,FALSE),FALSE)</f>
        <v>No. of Loops</v>
      </c>
      <c r="Z107" s="590" t="str">
        <f>VLOOKUP("parts/pallet",translation,VLOOKUP(J2,languages,2,FALSE),FALSE)</f>
        <v>Parts/Pallet</v>
      </c>
      <c r="AA107" s="590" t="str">
        <f>VLOOKUP("part_wgt",translation,VLOOKUP(J2,languages,2,FALSE),FALSE)</f>
        <v>Part Wgt [g]</v>
      </c>
      <c r="AB107" s="590" t="str">
        <f>VLOOKUP("empty_box",translation,VLOOKUP(J2,languages,2,FALSE),FALSE)</f>
        <v>Empty Box [g]</v>
      </c>
      <c r="AC107" s="591" t="str">
        <f>VLOOKUP("full_box",translation,VLOOKUP(J2,languages,2,FALSE),FALSE)</f>
        <v>Full Box [kg]</v>
      </c>
      <c r="AD107" s="590" t="str">
        <f>VLOOKUP("pallet",translation,VLOOKUP(J2,languages,2,FALSE),FALSE)</f>
        <v>Pallet [kg]</v>
      </c>
      <c r="AE107" s="590" t="str">
        <f>VLOOKUP("pallet/w",translation,VLOOKUP(J2,languages,2,FALSE),FALSE)</f>
        <v>Pallet/week</v>
      </c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</row>
    <row r="108" spans="1:46" ht="13.6" x14ac:dyDescent="0.25">
      <c r="A108" s="457"/>
      <c r="B108" s="763" t="s">
        <v>160</v>
      </c>
      <c r="C108" s="764"/>
      <c r="D108" s="90"/>
      <c r="E108" s="90"/>
      <c r="F108" s="765"/>
      <c r="G108" s="766"/>
      <c r="H108" s="88"/>
      <c r="I108" s="88"/>
      <c r="J108" s="88"/>
      <c r="K108" s="88">
        <f>IF(D108*E108*F108=0,1,MAX(ROUNDDOWN(920/D108,0)*ROUNDDOWN(1200/E108,0),ROUNDDOWN(1200/D108,0)*ROUNDDOWN(920/E108,0))*ROUNDDOWN(840/F108,0))</f>
        <v>1</v>
      </c>
      <c r="L108" s="88"/>
      <c r="M108" s="767"/>
      <c r="N108" s="768"/>
      <c r="O108" s="638">
        <f>IF(H108=0,0,((I108+J108)/H108+L108/S108)*PUC)</f>
        <v>0</v>
      </c>
      <c r="P108" s="394">
        <f>IF($O$104=0,0,O108/$O$104)</f>
        <v>0</v>
      </c>
      <c r="R108" s="21"/>
      <c r="S108" s="3">
        <f>H108*K108</f>
        <v>0</v>
      </c>
      <c r="Y108" s="592"/>
      <c r="Z108" s="593">
        <f>H108*K108</f>
        <v>0</v>
      </c>
      <c r="AA108" s="776">
        <v>2500</v>
      </c>
      <c r="AB108" s="594"/>
      <c r="AC108" s="595">
        <f>(H108*$AA$108+AB108)/1000</f>
        <v>0</v>
      </c>
      <c r="AD108" s="596">
        <f>+AC108*K108+15</f>
        <v>15</v>
      </c>
      <c r="AE108" s="597">
        <f>IF(Z108=0,0,J4/Z108/48)</f>
        <v>0</v>
      </c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</row>
    <row r="109" spans="1:46" ht="14.3" thickBot="1" x14ac:dyDescent="0.3">
      <c r="A109" s="458"/>
      <c r="B109" s="778" t="s">
        <v>298</v>
      </c>
      <c r="C109" s="779"/>
      <c r="D109" s="90">
        <v>1200</v>
      </c>
      <c r="E109" s="90">
        <v>1000</v>
      </c>
      <c r="F109" s="765">
        <v>700</v>
      </c>
      <c r="G109" s="766"/>
      <c r="H109" s="88">
        <v>46</v>
      </c>
      <c r="I109" s="666">
        <v>80</v>
      </c>
      <c r="J109" s="666">
        <v>0</v>
      </c>
      <c r="K109" s="88">
        <v>1</v>
      </c>
      <c r="L109" s="666">
        <v>0</v>
      </c>
      <c r="M109" s="780"/>
      <c r="N109" s="781"/>
      <c r="O109" s="639">
        <f>IF(H109=0,0,(I109/H109/IF(Y109=0,50,Y109)+J109/H109+L109/S109)*PUC)</f>
        <v>3.4782608695652174E-2</v>
      </c>
      <c r="P109" s="460">
        <f>IF($O$104=0,0,O109/$O$104)</f>
        <v>4.7929587415363097E-3</v>
      </c>
      <c r="S109" s="3">
        <f>H109*K109</f>
        <v>46</v>
      </c>
      <c r="Y109" s="598">
        <v>50</v>
      </c>
      <c r="Z109" s="599">
        <f>+H109*K109</f>
        <v>46</v>
      </c>
      <c r="AA109" s="777"/>
      <c r="AB109" s="600"/>
      <c r="AC109" s="601">
        <f>(H109*$AA$108+AB109)/1000</f>
        <v>115</v>
      </c>
      <c r="AD109" s="596">
        <f>+AC109*K109+15</f>
        <v>130</v>
      </c>
      <c r="AE109" s="602">
        <f>IF(Z109=0,0,J4/Z109/48)</f>
        <v>3.6231884057971016</v>
      </c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</row>
    <row r="110" spans="1:46" ht="14.3" thickBot="1" x14ac:dyDescent="0.3">
      <c r="A110" s="461"/>
      <c r="B110" s="462"/>
      <c r="C110" s="462"/>
      <c r="D110" s="463"/>
      <c r="E110" s="463"/>
      <c r="F110" s="463"/>
      <c r="G110" s="463"/>
      <c r="H110" s="463"/>
      <c r="I110" s="462"/>
      <c r="J110" s="447" t="str">
        <f>VLOOKUP("price",translation,VLOOKUP(J2,languages,2,FALSE),FALSE)&amp;" "&amp;IF(M110="none",VLOOKUP("without",translation,VLOOKUP(J2,languages,2,FALSE),FALSE),VLOOKUP("with",translation,VLOOKUP(J2,languages,2,FALSE),FALSE))&amp;" " &amp;VLOOKUP("pack2",translation,VLOOKUP(J2,languages,2,FALSE),FALSE)</f>
        <v>Base Price with packaging</v>
      </c>
      <c r="K110" s="448"/>
      <c r="L110" s="464"/>
      <c r="M110" s="782" t="s">
        <v>298</v>
      </c>
      <c r="N110" s="783"/>
      <c r="O110" s="637">
        <f>O104+IF(M110="none",0,VLOOKUP(M110,B$108:O$109,14,0))</f>
        <v>7.2918049557111289</v>
      </c>
      <c r="P110" s="465"/>
      <c r="S110" s="3">
        <f>IF(K112="one-way",S108,IF(K112="returnable",S109,0))</f>
        <v>46</v>
      </c>
      <c r="T110" s="3">
        <f>IF($K112="one-way",H108,IF($K112="returnable",H109,0))</f>
        <v>46</v>
      </c>
      <c r="Y110" s="51" t="str">
        <f>VLOOKUP("part_price2",translation,VLOOKUP(J2,languages,2,FALSE),FALSE)</f>
        <v>&lt;-- Part Price with specified packaging</v>
      </c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35"/>
      <c r="AR110" s="35"/>
      <c r="AS110" s="35"/>
      <c r="AT110" s="35"/>
    </row>
    <row r="111" spans="1:46" s="2" customFormat="1" ht="29.25" customHeight="1" x14ac:dyDescent="0.2">
      <c r="A111" s="466"/>
      <c r="B111" s="467"/>
      <c r="C111" s="665" t="s">
        <v>749</v>
      </c>
      <c r="D111" s="469" t="str">
        <f>VLOOKUP("loc",translation,VLOOKUP(J2,languages,2,FALSE),FALSE)</f>
        <v>Location</v>
      </c>
      <c r="E111" s="470"/>
      <c r="F111" s="735" t="str">
        <f>"Transport ["&amp;LEFT($D$7,3)&amp;VLOOKUP("/pallet",translation,VLOOKUP(J2,languages,2,FALSE),FALSE)&amp;"]"</f>
        <v>Transport [EUR/pallet]</v>
      </c>
      <c r="G111" s="746"/>
      <c r="H111" s="660" t="str">
        <f>"Handling ["&amp;LEFT($D$7,3)&amp;VLOOKUP("/box",translation,VLOOKUP(J2,languages,2,FALSE),FALSE)&amp;"]"</f>
        <v>Handling [EUR/box]</v>
      </c>
      <c r="I111" s="660" t="str">
        <f>VLOOKUP("tax",translation,VLOOKUP(J2,languages,2,FALSE),FALSE)&amp;" ["&amp;LEFT($D$7,3)&amp;VLOOKUP("/pc",translation,VLOOKUP(J2,languages,2,FALSE),FALSE)&amp;"]"</f>
        <v>Taxes [EUR/pc]</v>
      </c>
      <c r="J111" s="660" t="str">
        <f>VLOOKUP("duties",translation,VLOOKUP(J2,languages,2,FALSE),FALSE)&amp;" ["&amp;LEFT($D$7,3)&amp;VLOOKUP("/pc",translation,VLOOKUP(J2,languages,2,FALSE),FALSE)&amp;"]"</f>
        <v>Duties [EUR/pc]</v>
      </c>
      <c r="K111" s="471" t="str">
        <f>VLOOKUP("pack_type",translation,VLOOKUP(J2,languages,2,FALSE),FALSE)</f>
        <v>Packaging Type</v>
      </c>
      <c r="L111" s="660" t="str">
        <f>VLOOKUP("stack",translation,VLOOKUP(J2,languages,2,FALSE),FALSE)</f>
        <v>Pallet Stackability</v>
      </c>
      <c r="M111" s="784" t="str">
        <f>VLOOKUP("frt_return",translation,VLOOKUP(J2,languages,2,FALSE),FALSE)</f>
        <v>Return Freight</v>
      </c>
      <c r="N111" s="785"/>
      <c r="O111" s="455" t="str">
        <f>VLOOKUP("total",translation,VLOOKUP(J2,languages,2,FALSE),FALSE)&amp;" ["&amp;LEFT($D$7,3)&amp;$F$7&amp;"]"</f>
        <v>Total [EUR/pc]</v>
      </c>
      <c r="P111" s="472"/>
      <c r="Q111" s="1"/>
      <c r="S111" s="23" t="s">
        <v>57</v>
      </c>
      <c r="T111" s="24" t="s">
        <v>58</v>
      </c>
      <c r="U111" s="24" t="s">
        <v>59</v>
      </c>
      <c r="V111" s="24" t="s">
        <v>60</v>
      </c>
      <c r="W111" s="4"/>
      <c r="Y111" s="35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</row>
    <row r="112" spans="1:46" ht="13.6" x14ac:dyDescent="0.25">
      <c r="A112" s="473">
        <v>1</v>
      </c>
      <c r="B112" s="474" t="str">
        <f>$D$6</f>
        <v>Munich</v>
      </c>
      <c r="C112" s="475" t="s">
        <v>873</v>
      </c>
      <c r="D112" s="786" t="s">
        <v>874</v>
      </c>
      <c r="E112" s="787"/>
      <c r="F112" s="788">
        <v>80</v>
      </c>
      <c r="G112" s="789"/>
      <c r="H112" s="476"/>
      <c r="I112" s="476"/>
      <c r="J112" s="476"/>
      <c r="K112" s="477" t="s">
        <v>298</v>
      </c>
      <c r="L112" s="475" t="s">
        <v>875</v>
      </c>
      <c r="M112" s="790"/>
      <c r="N112" s="789"/>
      <c r="O112" s="638">
        <f>IF(K112="none",0,IF(C112&lt;&gt;"FCA",F112/VLOOKUP(K112,$B$108:$S$109,18,0)+H112/VLOOKUP(K112,$B$108:$H$109,7,0)+I112+J112,0)*PUC)</f>
        <v>1.7391304347826086</v>
      </c>
      <c r="P112" s="356">
        <f>IF($O$104=0,0,O112/$O$104)</f>
        <v>0.23964793707681545</v>
      </c>
      <c r="S112" s="69">
        <f>IF(K112="none",0,VLOOKUP(K112,B$108:O$109,14,0)*PUC)</f>
        <v>3.4782608695652174E-2</v>
      </c>
      <c r="T112" s="69">
        <f>IF(K112="none",0,F112/VLOOKUP(K112,$B$108:$S$109,18,0)*PUC)</f>
        <v>1.7391304347826086</v>
      </c>
      <c r="U112" s="69">
        <f>IF(K112="none",0,H112/VLOOKUP(K112,$B$108:$H$109,7,0)*PUC)</f>
        <v>0</v>
      </c>
      <c r="V112" s="69">
        <f>(I112+J112)*PUC</f>
        <v>0</v>
      </c>
      <c r="Y112" s="51" t="str">
        <f>VLOOKUP("quot_opt",translation,VLOOKUP(J2,languages,2,FALSE),FALSE)</f>
        <v>&lt;-- Primary option for quotations</v>
      </c>
      <c r="Z112" s="35"/>
      <c r="AA112" s="35"/>
      <c r="AB112" s="35"/>
      <c r="AC112" s="35"/>
      <c r="AD112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</row>
    <row r="113" spans="1:46" ht="13.6" x14ac:dyDescent="0.25">
      <c r="A113" s="478">
        <v>2</v>
      </c>
      <c r="B113" s="474">
        <f>$F$6</f>
        <v>0</v>
      </c>
      <c r="C113" s="479"/>
      <c r="D113" s="791"/>
      <c r="E113" s="792"/>
      <c r="F113" s="788"/>
      <c r="G113" s="789"/>
      <c r="H113" s="90"/>
      <c r="I113" s="90"/>
      <c r="J113" s="90"/>
      <c r="K113" s="477" t="s">
        <v>211</v>
      </c>
      <c r="L113" s="88"/>
      <c r="M113" s="738"/>
      <c r="N113" s="770"/>
      <c r="O113" s="638">
        <f>IF(K113="none",0,IF(C113&lt;&gt;"FCA",F113/VLOOKUP(K113,$B$108:$S$109,18,0)+H113/VLOOKUP(K113,$B$108:$H$109,7,0)+I113+J113,0)*PUC)</f>
        <v>0</v>
      </c>
      <c r="P113" s="395">
        <f>IF($O$104=0,0,O113/$O$104)</f>
        <v>0</v>
      </c>
      <c r="S113" s="69">
        <f>IF(K113="none",0,VLOOKUP(K113,B$108:O$109,14,0)*PUC)</f>
        <v>0</v>
      </c>
      <c r="T113" s="69">
        <f>IF(K113="none",0,F113/VLOOKUP(K113,$B$108:$S$109,18,0)*PUC)</f>
        <v>0</v>
      </c>
      <c r="U113" s="69">
        <f>IF(K113="none",0,H113/VLOOKUP(K113,$B$108:$H$109,7,0)*PUC)</f>
        <v>0</v>
      </c>
      <c r="V113" s="69">
        <f>(I113+J113)*PUC</f>
        <v>0</v>
      </c>
      <c r="Y113" s="35"/>
      <c r="Z113" s="6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</row>
    <row r="114" spans="1:46" ht="14.3" thickBot="1" x14ac:dyDescent="0.3">
      <c r="A114" s="480">
        <v>3</v>
      </c>
      <c r="B114" s="657">
        <f>$G$6</f>
        <v>0</v>
      </c>
      <c r="C114" s="481"/>
      <c r="D114" s="793"/>
      <c r="E114" s="794"/>
      <c r="F114" s="788"/>
      <c r="G114" s="789"/>
      <c r="H114" s="90"/>
      <c r="I114" s="90"/>
      <c r="J114" s="90"/>
      <c r="K114" s="477" t="s">
        <v>211</v>
      </c>
      <c r="L114" s="88"/>
      <c r="M114" s="738"/>
      <c r="N114" s="770"/>
      <c r="O114" s="638">
        <f>IF(K114="none",0,IF(C114&lt;&gt;"FCA",F114/VLOOKUP(K114,$B$108:$S$109,18,0)+H114/VLOOKUP(K114,$B$108:$H$109,7,0)+I114+J114,0)*PUC)</f>
        <v>0</v>
      </c>
      <c r="P114" s="482">
        <f>IF($O$104=0,0,O114/$O$104)</f>
        <v>0</v>
      </c>
      <c r="S114" s="69">
        <f>IF(K114="none",0,VLOOKUP(K114,B$108:O$109,14,0)*PUC)</f>
        <v>0</v>
      </c>
      <c r="T114" s="69">
        <f>IF(K114="none",0,F114/VLOOKUP(K114,$B$108:$S$109,18,0)*PUC)</f>
        <v>0</v>
      </c>
      <c r="U114" s="69">
        <f>IF(K114="none",0,H114/VLOOKUP(K114,$B$108:$H$109,7,0)*PUC)</f>
        <v>0</v>
      </c>
      <c r="V114" s="69">
        <f>(I114+J114)*PUC</f>
        <v>0</v>
      </c>
      <c r="Y114" s="35"/>
      <c r="Z114" s="6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</row>
    <row r="115" spans="1:46" ht="4.5999999999999996" customHeight="1" thickBot="1" x14ac:dyDescent="0.3">
      <c r="A115" s="25"/>
      <c r="B115" s="26"/>
      <c r="C115" s="26"/>
      <c r="D115" s="27"/>
      <c r="E115" s="22"/>
      <c r="F115" s="22"/>
      <c r="G115" s="22"/>
      <c r="H115" s="22"/>
      <c r="I115" s="22"/>
      <c r="J115" s="25"/>
      <c r="K115" s="25"/>
      <c r="L115" s="25"/>
      <c r="M115" s="25"/>
      <c r="N115" s="25"/>
      <c r="O115" s="50"/>
      <c r="P115" s="2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</row>
    <row r="116" spans="1:46" ht="13.6" x14ac:dyDescent="0.2">
      <c r="A116" s="436" t="str">
        <f>VLOOKUP("supplier_ref",translation,VLOOKUP(J2,languages,2,FALSE),FALSE)</f>
        <v>Supplier Reference</v>
      </c>
      <c r="B116" s="424"/>
      <c r="C116" s="424"/>
      <c r="D116" s="795"/>
      <c r="E116" s="795"/>
      <c r="F116" s="796" t="str">
        <f>VLOOKUP("date",translation,VLOOKUP(J2,languages,2,FALSE),FALSE)</f>
        <v>Date</v>
      </c>
      <c r="G116" s="797"/>
      <c r="H116" s="798"/>
      <c r="I116" s="799"/>
      <c r="J116" s="483" t="str">
        <f>VLOOKUP("cbd_pricesummary",translation,VLOOKUP(J2,languages,2,FALSE),FALSE)</f>
        <v>Cost Breakdown Pricing Summary</v>
      </c>
      <c r="K116" s="484"/>
      <c r="L116" s="485"/>
      <c r="M116" s="485"/>
      <c r="N116" s="485"/>
      <c r="O116" s="486" t="str">
        <f>LEFT($D$7,3)&amp;F7</f>
        <v>EUR/pc</v>
      </c>
      <c r="P116" s="487"/>
      <c r="Y116" s="51" t="str">
        <f>VLOOKUP("part_price3",translation,VLOOKUP(J2,languages,2,FALSE),FALSE)</f>
        <v>&lt;-- Part Price including packaging/logistics</v>
      </c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</row>
    <row r="117" spans="1:46" ht="13.6" x14ac:dyDescent="0.25">
      <c r="A117" s="488"/>
      <c r="B117" s="424"/>
      <c r="C117" s="424"/>
      <c r="D117" s="489"/>
      <c r="E117" s="800" t="str">
        <f>VLOOKUP("prep_by",translation,VLOOKUP(J2,languages,2,FALSE),FALSE)</f>
        <v>Prepared by</v>
      </c>
      <c r="F117" s="801"/>
      <c r="G117" s="802"/>
      <c r="H117" s="803"/>
      <c r="I117" s="804"/>
      <c r="J117" s="805" t="str">
        <f>IF(C112="","",C112&amp;" "&amp;D112&amp;", "&amp;IF(K112="none",VLOOKUP("without",translation,VLOOKUP(J2,languages,2,FALSE),FALSE),K112)&amp;" "&amp;VLOOKUP("pack2",translation,VLOOKUP(J2,languages,2,FALSE),FALSE))</f>
        <v>DDP Hamburg, returnable packaging</v>
      </c>
      <c r="K117" s="806"/>
      <c r="L117" s="806"/>
      <c r="M117" s="806"/>
      <c r="N117" s="807"/>
      <c r="O117" s="640">
        <f>IF(C112=0,0,SUM(O$104,O112,IF(K112="none",0,VLOOKUP(K112,B$108:O$109,14,0))))</f>
        <v>9.0309353904937382</v>
      </c>
      <c r="P117" s="490"/>
      <c r="S117" s="75"/>
      <c r="T117" s="76"/>
      <c r="Y117" s="51" t="str">
        <f>VLOOKUP("quot_opt",translation,VLOOKUP(J2,languages,2,FALSE),FALSE)</f>
        <v>&lt;-- Primary option for quotations</v>
      </c>
      <c r="Z117" s="35"/>
      <c r="AA117" s="35"/>
      <c r="AB117" s="35"/>
      <c r="AC117" s="35"/>
      <c r="AD117" s="35"/>
      <c r="AE117" s="94"/>
      <c r="AF117" s="134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</row>
    <row r="118" spans="1:46" x14ac:dyDescent="0.2">
      <c r="A118" s="808"/>
      <c r="B118" s="809"/>
      <c r="C118" s="809"/>
      <c r="D118" s="809"/>
      <c r="E118" s="809"/>
      <c r="F118" s="809"/>
      <c r="G118" s="809"/>
      <c r="H118" s="809"/>
      <c r="I118" s="810"/>
      <c r="J118" s="814" t="str">
        <f>IF(C113="","",C113&amp;" "&amp;D113&amp;", "&amp;IF(K113="none",VLOOKUP("without",translation,VLOOKUP(J2,languages,2,FALSE),FALSE),K113)&amp;" "&amp;VLOOKUP("pack2",translation,VLOOKUP(J2,languages,2,FALSE),FALSE))</f>
        <v/>
      </c>
      <c r="K118" s="815"/>
      <c r="L118" s="815"/>
      <c r="M118" s="815"/>
      <c r="N118" s="816"/>
      <c r="O118" s="641">
        <f>IF(C113=0,0,SUM(O$104,O113,IF(K113="none",0,VLOOKUP(K113,B$108:O$109,14,0))))</f>
        <v>0</v>
      </c>
      <c r="P118" s="491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</row>
    <row r="119" spans="1:46" ht="13.6" thickBot="1" x14ac:dyDescent="0.25">
      <c r="A119" s="811"/>
      <c r="B119" s="812"/>
      <c r="C119" s="812"/>
      <c r="D119" s="812"/>
      <c r="E119" s="812"/>
      <c r="F119" s="812"/>
      <c r="G119" s="812"/>
      <c r="H119" s="812"/>
      <c r="I119" s="813"/>
      <c r="J119" s="817" t="str">
        <f>IF(C114="","",C114&amp;" "&amp;D114&amp;", "&amp;IF(K114="none",VLOOKUP("without",translation,VLOOKUP(J2,languages,2,FALSE),FALSE),K114)&amp;" "&amp;VLOOKUP("pack2",translation,VLOOKUP(J2,languages,2,FALSE),FALSE))</f>
        <v/>
      </c>
      <c r="K119" s="818"/>
      <c r="L119" s="818"/>
      <c r="M119" s="818"/>
      <c r="N119" s="819"/>
      <c r="O119" s="642">
        <f>IF(C114=0,0,SUM(O$104,O114,IF(K114="none",0,VLOOKUP(K114,B$108:O$109,14,0))))</f>
        <v>0</v>
      </c>
      <c r="P119" s="492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</row>
    <row r="120" spans="1:46" ht="4.5999999999999996" customHeight="1" thickBot="1" x14ac:dyDescent="0.25">
      <c r="A120" s="493"/>
      <c r="B120" s="493"/>
      <c r="C120" s="493"/>
      <c r="D120" s="493"/>
      <c r="E120" s="493"/>
      <c r="F120" s="493"/>
      <c r="G120" s="493"/>
      <c r="H120" s="493"/>
      <c r="I120" s="493"/>
      <c r="J120" s="494"/>
      <c r="K120" s="494"/>
      <c r="L120" s="494"/>
      <c r="M120" s="494"/>
      <c r="N120" s="494"/>
      <c r="O120" s="495"/>
      <c r="P120" s="493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</row>
    <row r="121" spans="1:46" ht="13.6" x14ac:dyDescent="0.25">
      <c r="A121" s="339"/>
      <c r="B121" s="341" t="str">
        <f>VLOOKUP("sec4",translation,VLOOKUP(J2,languages,2,FALSE),FALSE)</f>
        <v>Section 4</v>
      </c>
      <c r="C121" s="341"/>
      <c r="D121" s="342" t="str">
        <f>VLOOKUP("invest",translation,VLOOKUP(J2,languages,2,FALSE),FALSE)</f>
        <v>Investment / Tooling</v>
      </c>
      <c r="E121" s="343"/>
      <c r="F121" s="343"/>
      <c r="G121" s="343"/>
      <c r="H121" s="343"/>
      <c r="I121" s="343"/>
      <c r="J121" s="662"/>
      <c r="K121" s="662"/>
      <c r="L121" s="662"/>
      <c r="M121" s="497" t="str">
        <f>LEFT($D$7,3)</f>
        <v>EUR</v>
      </c>
      <c r="N121" s="497"/>
      <c r="O121" s="498">
        <f>SUBTOTAL(109,O123:O130)</f>
        <v>85000</v>
      </c>
      <c r="P121" s="452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</row>
    <row r="122" spans="1:46" ht="49.6" customHeight="1" x14ac:dyDescent="0.2">
      <c r="A122" s="499"/>
      <c r="B122" s="728" t="str">
        <f>VLOOKUP("descr2",translation,VLOOKUP(J2,languages,2,FALSE),FALSE)</f>
        <v>Description</v>
      </c>
      <c r="C122" s="728"/>
      <c r="D122" s="728"/>
      <c r="E122" s="820"/>
      <c r="F122" s="660" t="str">
        <f>VLOOKUP("qty2",translation,VLOOKUP(J2,languages,2,FALSE),FALSE)</f>
        <v>Qty</v>
      </c>
      <c r="G122" s="660" t="str">
        <f>VLOOKUP("cav",translation,VLOOKUP(J2,languages,2,FALSE),FALSE)</f>
        <v>Pcs/cycle (cavities)</v>
      </c>
      <c r="H122" s="660" t="str">
        <f>VLOOKUP("lt",translation,VLOOKUP(J2,languages,2,FALSE),FALSE)</f>
        <v>Lead Time [weeks]</v>
      </c>
      <c r="I122" s="660" t="str">
        <f>VLOOKUP("fot2",translation,VLOOKUP(J2,languages,2,FALSE),FALSE)</f>
        <v>FOT [weeks]</v>
      </c>
      <c r="J122" s="660" t="str">
        <f>VLOOKUP("warranty",translation,VLOOKUP(J2,languages,2,FALSE),FALSE)</f>
        <v>Warranty [parts]</v>
      </c>
      <c r="K122" s="660" t="str">
        <f>VLOOKUP("tool_cap",translation,VLOOKUP(J2,languages,2,FALSE),FALSE)</f>
        <v>Tool Cap.</v>
      </c>
      <c r="L122" s="660" t="str">
        <f>VLOOKUP("mach_cap",translation,VLOOKUP(J2,languages,2,FALSE),FALSE)</f>
        <v>Maschine Cap. [/week]</v>
      </c>
      <c r="M122" s="735" t="str">
        <f>VLOOKUP("max_cap",translation,VLOOKUP(J2,languages,2,FALSE),FALSE)</f>
        <v>Max. Capacity [p.A.]</v>
      </c>
      <c r="N122" s="746"/>
      <c r="O122" s="660" t="str">
        <f>VLOOKUP("tool_cost",translation,VLOOKUP(J2,languages,2,FALSE),FALSE)&amp;" ["&amp;LEFT($D$7,3)&amp;"]"</f>
        <v>Tool Cost [EUR]</v>
      </c>
      <c r="P122" s="352"/>
      <c r="W122">
        <v>125</v>
      </c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</row>
    <row r="123" spans="1:46" x14ac:dyDescent="0.2">
      <c r="A123" s="353">
        <v>1</v>
      </c>
      <c r="B123" s="747" t="s">
        <v>876</v>
      </c>
      <c r="C123" s="821"/>
      <c r="D123" s="821"/>
      <c r="E123" s="822"/>
      <c r="F123" s="500">
        <v>1</v>
      </c>
      <c r="G123" s="500"/>
      <c r="H123" s="88"/>
      <c r="I123" s="392">
        <v>20</v>
      </c>
      <c r="J123" s="501">
        <v>150000</v>
      </c>
      <c r="K123" s="501"/>
      <c r="L123" s="501"/>
      <c r="M123" s="823"/>
      <c r="N123" s="824"/>
      <c r="O123" s="501">
        <v>85000</v>
      </c>
      <c r="P123" s="502"/>
      <c r="S123" s="3">
        <f t="shared" ref="S123:S130" si="36">F123*O123</f>
        <v>85000</v>
      </c>
      <c r="Y123" s="35"/>
      <c r="Z123" s="41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</row>
    <row r="124" spans="1:46" x14ac:dyDescent="0.2">
      <c r="A124" s="357">
        <v>2</v>
      </c>
      <c r="B124" s="747"/>
      <c r="C124" s="821"/>
      <c r="D124" s="821"/>
      <c r="E124" s="822"/>
      <c r="F124" s="500"/>
      <c r="G124" s="500"/>
      <c r="H124" s="88"/>
      <c r="I124" s="503"/>
      <c r="J124" s="501"/>
      <c r="K124" s="501"/>
      <c r="L124" s="501"/>
      <c r="M124" s="823"/>
      <c r="N124" s="824"/>
      <c r="O124" s="501"/>
      <c r="P124" s="504"/>
      <c r="S124" s="3">
        <f t="shared" si="36"/>
        <v>0</v>
      </c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</row>
    <row r="125" spans="1:46" ht="13.6" thickBot="1" x14ac:dyDescent="0.25">
      <c r="A125" s="357">
        <v>3</v>
      </c>
      <c r="B125" s="747"/>
      <c r="C125" s="821"/>
      <c r="D125" s="821"/>
      <c r="E125" s="822"/>
      <c r="F125" s="500"/>
      <c r="G125" s="500"/>
      <c r="H125" s="88"/>
      <c r="I125" s="503"/>
      <c r="J125" s="501"/>
      <c r="K125" s="501"/>
      <c r="L125" s="501"/>
      <c r="M125" s="823"/>
      <c r="N125" s="824"/>
      <c r="O125" s="501"/>
      <c r="P125" s="504"/>
      <c r="S125" s="3">
        <f t="shared" si="36"/>
        <v>0</v>
      </c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</row>
    <row r="126" spans="1:46" ht="13.6" hidden="1" customHeight="1" thickBot="1" x14ac:dyDescent="0.25">
      <c r="A126" s="357">
        <v>4</v>
      </c>
      <c r="B126" s="747"/>
      <c r="C126" s="821"/>
      <c r="D126" s="821"/>
      <c r="E126" s="822"/>
      <c r="F126" s="500"/>
      <c r="G126" s="500"/>
      <c r="H126" s="88"/>
      <c r="I126" s="503"/>
      <c r="J126" s="501"/>
      <c r="K126" s="501"/>
      <c r="L126" s="501"/>
      <c r="M126" s="823"/>
      <c r="N126" s="824"/>
      <c r="O126" s="501"/>
      <c r="P126" s="504"/>
      <c r="S126" s="3">
        <f t="shared" si="36"/>
        <v>0</v>
      </c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</row>
    <row r="127" spans="1:46" ht="13.6" hidden="1" customHeight="1" thickBot="1" x14ac:dyDescent="0.25">
      <c r="A127" s="357">
        <v>5</v>
      </c>
      <c r="B127" s="747"/>
      <c r="C127" s="821"/>
      <c r="D127" s="821"/>
      <c r="E127" s="822"/>
      <c r="F127" s="500"/>
      <c r="G127" s="500"/>
      <c r="H127" s="88"/>
      <c r="I127" s="503"/>
      <c r="J127" s="501"/>
      <c r="K127" s="501"/>
      <c r="L127" s="501"/>
      <c r="M127" s="823"/>
      <c r="N127" s="824"/>
      <c r="O127" s="501"/>
      <c r="P127" s="504"/>
      <c r="S127" s="3">
        <f t="shared" si="36"/>
        <v>0</v>
      </c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</row>
    <row r="128" spans="1:46" ht="13.6" hidden="1" customHeight="1" thickBot="1" x14ac:dyDescent="0.25">
      <c r="A128" s="357">
        <v>6</v>
      </c>
      <c r="B128" s="747"/>
      <c r="C128" s="821"/>
      <c r="D128" s="821"/>
      <c r="E128" s="822"/>
      <c r="F128" s="500"/>
      <c r="G128" s="500"/>
      <c r="H128" s="88"/>
      <c r="I128" s="503"/>
      <c r="J128" s="501"/>
      <c r="K128" s="501"/>
      <c r="L128" s="501"/>
      <c r="M128" s="823"/>
      <c r="N128" s="824"/>
      <c r="O128" s="501"/>
      <c r="P128" s="504"/>
      <c r="S128" s="3">
        <f t="shared" si="36"/>
        <v>0</v>
      </c>
      <c r="Y128" s="35"/>
      <c r="Z128" s="35"/>
      <c r="AA128" s="35"/>
      <c r="AB128" s="35"/>
      <c r="AC128" s="6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</row>
    <row r="129" spans="1:46" ht="13.6" hidden="1" customHeight="1" thickBot="1" x14ac:dyDescent="0.25">
      <c r="A129" s="357">
        <v>7</v>
      </c>
      <c r="B129" s="747"/>
      <c r="C129" s="821"/>
      <c r="D129" s="821"/>
      <c r="E129" s="822"/>
      <c r="F129" s="500"/>
      <c r="G129" s="500"/>
      <c r="H129" s="88"/>
      <c r="I129" s="503"/>
      <c r="J129" s="501"/>
      <c r="K129" s="501"/>
      <c r="L129" s="501"/>
      <c r="M129" s="823"/>
      <c r="N129" s="824"/>
      <c r="O129" s="501"/>
      <c r="P129" s="504"/>
      <c r="S129" s="3">
        <f t="shared" si="36"/>
        <v>0</v>
      </c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</row>
    <row r="130" spans="1:46" ht="13.6" hidden="1" customHeight="1" thickBot="1" x14ac:dyDescent="0.25">
      <c r="A130" s="357">
        <v>8</v>
      </c>
      <c r="B130" s="747"/>
      <c r="C130" s="821"/>
      <c r="D130" s="821"/>
      <c r="E130" s="822"/>
      <c r="F130" s="500"/>
      <c r="G130" s="500"/>
      <c r="H130" s="88"/>
      <c r="I130" s="503"/>
      <c r="J130" s="501"/>
      <c r="K130" s="501"/>
      <c r="L130" s="501"/>
      <c r="M130" s="823"/>
      <c r="N130" s="824"/>
      <c r="O130" s="501"/>
      <c r="P130" s="504"/>
      <c r="S130" s="3">
        <f t="shared" si="36"/>
        <v>0</v>
      </c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</row>
    <row r="131" spans="1:46" ht="5.3" customHeight="1" thickBot="1" x14ac:dyDescent="0.25">
      <c r="A131" s="505"/>
      <c r="B131" s="505"/>
      <c r="C131" s="505"/>
      <c r="D131" s="505"/>
      <c r="E131" s="505"/>
      <c r="F131" s="505"/>
      <c r="G131" s="505"/>
      <c r="H131" s="505"/>
      <c r="I131" s="505"/>
      <c r="J131" s="505"/>
      <c r="K131" s="505"/>
      <c r="L131" s="505"/>
      <c r="M131" s="505"/>
      <c r="N131" s="505"/>
      <c r="O131" s="505"/>
      <c r="P131" s="50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</row>
    <row r="132" spans="1:46" ht="13.6" x14ac:dyDescent="0.25">
      <c r="A132" s="339"/>
      <c r="B132" s="341" t="str">
        <f>VLOOKUP("sec5",translation,VLOOKUP(J2,languages,2,FALSE),FALSE)</f>
        <v>Section 5</v>
      </c>
      <c r="C132" s="341"/>
      <c r="D132" s="342" t="str">
        <f>VLOOKUP("pc_terms",translation,VLOOKUP(J2,languages,2,FALSE),FALSE)</f>
        <v>Productivity &amp; Commercial Terms</v>
      </c>
      <c r="E132" s="343"/>
      <c r="F132" s="343"/>
      <c r="G132" s="343"/>
      <c r="H132" s="343"/>
      <c r="I132" s="343"/>
      <c r="J132" s="343"/>
      <c r="K132" s="343"/>
      <c r="L132" s="343"/>
      <c r="M132" s="343"/>
      <c r="N132" s="343"/>
      <c r="O132" s="506"/>
      <c r="P132" s="452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</row>
    <row r="133" spans="1:46" x14ac:dyDescent="0.2">
      <c r="A133" s="507"/>
      <c r="B133" s="508" t="str">
        <f>VLOOKUP("pay_terms",translation,VLOOKUP(J2,languages,2,FALSE),FALSE)</f>
        <v>Payment terms</v>
      </c>
      <c r="C133" s="508"/>
      <c r="D133" s="508"/>
      <c r="E133" s="509"/>
      <c r="F133" s="509"/>
      <c r="G133" s="825" t="s">
        <v>851</v>
      </c>
      <c r="H133" s="826"/>
      <c r="I133" s="826"/>
      <c r="J133" s="826"/>
      <c r="K133" s="827"/>
      <c r="L133" s="509"/>
      <c r="M133" s="509"/>
      <c r="N133" s="509"/>
      <c r="O133" s="510"/>
      <c r="P133" s="511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</row>
    <row r="134" spans="1:46" x14ac:dyDescent="0.2">
      <c r="A134" s="507"/>
      <c r="B134" s="508" t="str">
        <f>VLOOKUP("tool_terms",translation,VLOOKUP(J2,languages,2,FALSE),FALSE)</f>
        <v>Tool payment terms</v>
      </c>
      <c r="C134" s="508"/>
      <c r="D134" s="508"/>
      <c r="E134" s="509"/>
      <c r="F134" s="509"/>
      <c r="G134" s="828" t="s">
        <v>851</v>
      </c>
      <c r="H134" s="829"/>
      <c r="I134" s="830"/>
      <c r="J134" s="830"/>
      <c r="K134" s="831"/>
      <c r="L134" s="509"/>
      <c r="M134" s="509"/>
      <c r="N134" s="509"/>
      <c r="O134" s="510"/>
      <c r="P134" s="511"/>
      <c r="Y134" s="35"/>
      <c r="Z134" s="6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</row>
    <row r="135" spans="1:46" ht="12.75" customHeight="1" x14ac:dyDescent="0.2">
      <c r="A135" s="507"/>
      <c r="B135" s="508" t="str">
        <f>VLOOKUP("sparepart_price",translation,VLOOKUP(J2,languages,2,FALSE),FALSE)</f>
        <v>Spare part pricing at serial price after EoP</v>
      </c>
      <c r="C135" s="508"/>
      <c r="D135" s="508"/>
      <c r="E135" s="509"/>
      <c r="F135" s="509"/>
      <c r="G135" s="832">
        <v>5</v>
      </c>
      <c r="H135" s="833"/>
      <c r="I135" s="512" t="str">
        <f>VLOOKUP("yr",translation,VLOOKUP(J2,languages,2,FALSE),FALSE)</f>
        <v>years</v>
      </c>
      <c r="J135" s="509"/>
      <c r="K135" s="509"/>
      <c r="L135" s="834" t="str">
        <f>B112&amp;CHAR(10)&amp;C112</f>
        <v>Munich
DDP</v>
      </c>
      <c r="M135" s="836" t="str">
        <f>B113&amp;CHAR(10)&amp;C113</f>
        <v xml:space="preserve">0
</v>
      </c>
      <c r="N135" s="837"/>
      <c r="O135" s="840"/>
      <c r="P135" s="511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</row>
    <row r="136" spans="1:46" x14ac:dyDescent="0.2">
      <c r="A136" s="507"/>
      <c r="B136" s="508" t="str">
        <f>VLOOKUP("tot_cap",translation,VLOOKUP(J2,languages,2,FALSE),FALSE)</f>
        <v>Overall committed capacity</v>
      </c>
      <c r="C136" s="508"/>
      <c r="D136" s="508"/>
      <c r="E136" s="509" t="str">
        <f>VLOOKUP("w",translation,VLOOKUP(J2,languages,2,FALSE),FALSE)</f>
        <v>[/week]</v>
      </c>
      <c r="F136" s="509"/>
      <c r="G136" s="842"/>
      <c r="H136" s="843"/>
      <c r="I136" s="513"/>
      <c r="J136" s="509"/>
      <c r="K136" s="509"/>
      <c r="L136" s="835"/>
      <c r="M136" s="838"/>
      <c r="N136" s="839"/>
      <c r="O136" s="841"/>
      <c r="P136" s="511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</row>
    <row r="137" spans="1:46" x14ac:dyDescent="0.2">
      <c r="A137" s="507"/>
      <c r="B137" s="508"/>
      <c r="C137" s="508"/>
      <c r="D137" s="508"/>
      <c r="E137" s="509" t="str">
        <f>VLOOKUP("y",translation,VLOOKUP(J2,languages,2,FALSE),FALSE)</f>
        <v>[/year]</v>
      </c>
      <c r="F137" s="509"/>
      <c r="G137" s="844"/>
      <c r="H137" s="845"/>
      <c r="I137" s="509"/>
      <c r="J137" s="514" t="str">
        <f>VLOOKUP("price",translation,VLOOKUP(J2,languages,2,FALSE),FALSE)</f>
        <v>Base Price</v>
      </c>
      <c r="K137" s="515" t="str">
        <f>VLOOKUP("package",translation,VLOOKUP(J2,languages,2,FALSE),FALSE)</f>
        <v>w/ Packaging</v>
      </c>
      <c r="L137" s="516" t="str">
        <f>VLOOKUP("trans",translation,VLOOKUP(J2,languages,2,FALSE),FALSE)</f>
        <v>w/ Logistics</v>
      </c>
      <c r="M137" s="846" t="str">
        <f>VLOOKUP("trans",translation,VLOOKUP(J2,languages,2,FALSE),FALSE)</f>
        <v>w/ Logistics</v>
      </c>
      <c r="N137" s="847"/>
      <c r="O137" s="514" t="str">
        <f>VLOOKUP("trans",translation,VLOOKUP(J2,languages,2,FALSE),FALSE)</f>
        <v>w/ Logistics</v>
      </c>
      <c r="P137" s="511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</row>
    <row r="138" spans="1:46" ht="13.6" x14ac:dyDescent="0.25">
      <c r="A138" s="507"/>
      <c r="B138" s="508"/>
      <c r="C138" s="508"/>
      <c r="D138" s="508"/>
      <c r="E138" s="509"/>
      <c r="F138" s="509"/>
      <c r="G138" s="509"/>
      <c r="H138" s="517"/>
      <c r="I138" s="518"/>
      <c r="J138" s="519" t="str">
        <f>"["&amp;LEFT($D$7,3)&amp;$F$7&amp;"]"</f>
        <v>[EUR/pc]</v>
      </c>
      <c r="K138" s="520" t="str">
        <f>"["&amp;LEFT($D$7,3)&amp;$F$7&amp;"]"</f>
        <v>[EUR/pc]</v>
      </c>
      <c r="L138" s="521" t="str">
        <f>"["&amp;LEFT($D$7,3)&amp;$F$7&amp;"]"</f>
        <v>[EUR/pc]</v>
      </c>
      <c r="M138" s="848" t="str">
        <f>"["&amp;LEFT($D$7,3)&amp;$F$7&amp;"]"</f>
        <v>[EUR/pc]</v>
      </c>
      <c r="N138" s="849"/>
      <c r="O138" s="519" t="str">
        <f>"["&amp;LEFT($D$7,3)&amp;$F$7&amp;"]"</f>
        <v>[EUR/pc]</v>
      </c>
      <c r="P138" s="511"/>
      <c r="U138" s="29"/>
      <c r="V138" s="1"/>
      <c r="W138" s="1"/>
      <c r="Y138" s="177"/>
      <c r="Z138" s="177"/>
      <c r="AA138" s="177"/>
      <c r="AB138" s="177"/>
      <c r="AC138" s="177"/>
      <c r="AD138" s="177"/>
      <c r="AE138" s="177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</row>
    <row r="139" spans="1:46" ht="12.75" customHeight="1" x14ac:dyDescent="0.25">
      <c r="A139" s="507"/>
      <c r="B139" s="508"/>
      <c r="C139" s="508"/>
      <c r="D139" s="508"/>
      <c r="E139" s="509"/>
      <c r="F139" s="509"/>
      <c r="G139" s="850" t="str">
        <f>VLOOKUP("y1",translation,VLOOKUP(J2,languages,2,FALSE),FALSE)</f>
        <v>Year</v>
      </c>
      <c r="H139" s="851"/>
      <c r="I139" s="522" t="s">
        <v>93</v>
      </c>
      <c r="J139" s="643">
        <f>O104</f>
        <v>7.2570223470154769</v>
      </c>
      <c r="K139" s="647">
        <f>O110</f>
        <v>7.2918049557111289</v>
      </c>
      <c r="L139" s="656">
        <f>O117</f>
        <v>9.0309353904937382</v>
      </c>
      <c r="M139" s="852">
        <f>O118</f>
        <v>0</v>
      </c>
      <c r="N139" s="853"/>
      <c r="O139" s="643">
        <f>O119</f>
        <v>0</v>
      </c>
      <c r="P139" s="511"/>
      <c r="U139" s="29"/>
      <c r="V139" s="1"/>
      <c r="W139" s="1"/>
      <c r="Y139" s="177"/>
      <c r="Z139" s="177"/>
      <c r="AA139" s="177"/>
      <c r="AB139" s="177"/>
      <c r="AC139" s="177"/>
      <c r="AD139" s="177"/>
      <c r="AE139" s="177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</row>
    <row r="140" spans="1:46" ht="13.6" x14ac:dyDescent="0.25">
      <c r="A140" s="507"/>
      <c r="B140" s="508" t="str">
        <f>VLOOKUP("price_cbd",translation,VLOOKUP(J2,languages,2,FALSE),FALSE)</f>
        <v>Pricing acc. to breakdown</v>
      </c>
      <c r="C140" s="523"/>
      <c r="D140" s="508"/>
      <c r="E140" s="854" t="s">
        <v>94</v>
      </c>
      <c r="F140" s="855"/>
      <c r="G140" s="856"/>
      <c r="H140" s="857"/>
      <c r="I140" s="524"/>
      <c r="J140" s="644">
        <f>O104</f>
        <v>7.2570223470154769</v>
      </c>
      <c r="K140" s="648">
        <f>O110</f>
        <v>7.2918049557111289</v>
      </c>
      <c r="L140" s="655">
        <f>O117</f>
        <v>9.0309353904937382</v>
      </c>
      <c r="M140" s="858">
        <f>O118</f>
        <v>0</v>
      </c>
      <c r="N140" s="859"/>
      <c r="O140" s="644">
        <f>O119</f>
        <v>0</v>
      </c>
      <c r="P140" s="511"/>
      <c r="S140" s="236">
        <f>MIN($J$5,1)</f>
        <v>1</v>
      </c>
      <c r="U140" s="1"/>
      <c r="V140" s="7"/>
      <c r="W140" s="7"/>
      <c r="X140" s="7"/>
      <c r="Y140" s="231"/>
      <c r="Z140" s="231"/>
      <c r="AA140" s="231"/>
      <c r="AB140" s="232"/>
      <c r="AC140" s="234"/>
      <c r="AD140" s="233"/>
      <c r="AE140" s="231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</row>
    <row r="141" spans="1:46" ht="13.6" x14ac:dyDescent="0.25">
      <c r="A141" s="507"/>
      <c r="B141" s="508" t="str">
        <f>VLOOKUP("price_neg",translation,VLOOKUP(J2,languages,2,FALSE),FALSE)</f>
        <v>Negotiated offer pricing</v>
      </c>
      <c r="C141" s="525"/>
      <c r="D141" s="508"/>
      <c r="E141" s="860" t="str">
        <f>VLOOKUP("y2",translation,VLOOKUP(J2,languages,2,FALSE),FALSE)</f>
        <v>Year 2</v>
      </c>
      <c r="F141" s="861"/>
      <c r="G141" s="862">
        <v>43281</v>
      </c>
      <c r="H141" s="863"/>
      <c r="I141" s="526">
        <v>0.03</v>
      </c>
      <c r="J141" s="645">
        <f t="shared" ref="J141:M144" si="37">J140*(1-$I141)</f>
        <v>7.0393116766050126</v>
      </c>
      <c r="K141" s="649">
        <f t="shared" si="37"/>
        <v>7.0730508070397944</v>
      </c>
      <c r="L141" s="650">
        <f t="shared" si="37"/>
        <v>8.7600073287789257</v>
      </c>
      <c r="M141" s="864">
        <f t="shared" si="37"/>
        <v>0</v>
      </c>
      <c r="N141" s="865"/>
      <c r="O141" s="651">
        <f>O140*(1-$I141)</f>
        <v>0</v>
      </c>
      <c r="P141" s="511"/>
      <c r="S141" s="236">
        <f>MIN(MAX($J$5-1,0),1)</f>
        <v>1</v>
      </c>
      <c r="U141" s="1"/>
      <c r="V141" s="30"/>
      <c r="W141" s="30"/>
      <c r="X141" s="30"/>
      <c r="Y141" s="177"/>
      <c r="Z141" s="177"/>
      <c r="AA141" s="177"/>
      <c r="AB141" s="177"/>
      <c r="AC141" s="177"/>
      <c r="AD141" s="177"/>
      <c r="AE141" s="177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</row>
    <row r="142" spans="1:46" ht="13.6" x14ac:dyDescent="0.25">
      <c r="A142" s="507"/>
      <c r="B142" s="508"/>
      <c r="C142" s="527"/>
      <c r="D142" s="527"/>
      <c r="E142" s="860" t="str">
        <f>VLOOKUP("y3",translation,VLOOKUP(J2,languages,2,FALSE),FALSE)</f>
        <v>Year 3</v>
      </c>
      <c r="F142" s="861"/>
      <c r="G142" s="866">
        <f>DATE(YEAR(G141)+1,MONTH(G141),DAY(G141))</f>
        <v>43646</v>
      </c>
      <c r="H142" s="867"/>
      <c r="I142" s="526">
        <v>0.01</v>
      </c>
      <c r="J142" s="646">
        <f t="shared" si="37"/>
        <v>6.9689185598389622</v>
      </c>
      <c r="K142" s="652">
        <f t="shared" si="37"/>
        <v>7.002320298969396</v>
      </c>
      <c r="L142" s="653">
        <f t="shared" si="37"/>
        <v>8.6724072554911356</v>
      </c>
      <c r="M142" s="864">
        <f t="shared" si="37"/>
        <v>0</v>
      </c>
      <c r="N142" s="865"/>
      <c r="O142" s="654">
        <f>O141*(1-$I142)</f>
        <v>0</v>
      </c>
      <c r="P142" s="511"/>
      <c r="S142" s="236">
        <f>MIN(MAX($J$5-2,0),1)</f>
        <v>1</v>
      </c>
      <c r="U142" s="1"/>
      <c r="V142" s="30"/>
      <c r="W142" s="30"/>
      <c r="X142" s="30"/>
      <c r="Y142" s="177"/>
      <c r="Z142" s="177"/>
      <c r="AA142" s="177"/>
      <c r="AB142" s="177"/>
      <c r="AC142" s="177"/>
      <c r="AD142" s="177"/>
      <c r="AE142" s="177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</row>
    <row r="143" spans="1:46" ht="13.6" x14ac:dyDescent="0.25">
      <c r="A143" s="507"/>
      <c r="B143" s="508"/>
      <c r="C143" s="527"/>
      <c r="D143" s="527"/>
      <c r="E143" s="860" t="str">
        <f>VLOOKUP("y4",translation,VLOOKUP(J2,languages,2,FALSE),FALSE)</f>
        <v>Year 4</v>
      </c>
      <c r="F143" s="861"/>
      <c r="G143" s="866">
        <f>DATE(YEAR(G142)+1,MONTH(G142),DAY(G142))</f>
        <v>44012</v>
      </c>
      <c r="H143" s="867"/>
      <c r="I143" s="526">
        <v>0.01</v>
      </c>
      <c r="J143" s="646">
        <f t="shared" si="37"/>
        <v>6.8992293742405728</v>
      </c>
      <c r="K143" s="652">
        <f t="shared" si="37"/>
        <v>6.9322970959797017</v>
      </c>
      <c r="L143" s="653">
        <f t="shared" si="37"/>
        <v>8.5856831829362239</v>
      </c>
      <c r="M143" s="864">
        <f t="shared" si="37"/>
        <v>0</v>
      </c>
      <c r="N143" s="865"/>
      <c r="O143" s="654">
        <f>O142*(1-$I143)</f>
        <v>0</v>
      </c>
      <c r="P143" s="511"/>
      <c r="S143" s="236">
        <f>MIN(MAX($J$5-3,0),1)</f>
        <v>1</v>
      </c>
      <c r="U143" s="1"/>
      <c r="V143" s="30"/>
      <c r="W143" s="30"/>
      <c r="X143" s="30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</row>
    <row r="144" spans="1:46" ht="13.6" x14ac:dyDescent="0.25">
      <c r="A144" s="507"/>
      <c r="B144" s="508"/>
      <c r="C144" s="527"/>
      <c r="D144" s="527"/>
      <c r="E144" s="882" t="str">
        <f>VLOOKUP("y5",translation,VLOOKUP(J2,languages,2,FALSE),FALSE)</f>
        <v>Year 5</v>
      </c>
      <c r="F144" s="883"/>
      <c r="G144" s="884">
        <f>DATE(YEAR(G143)+1,MONTH(G143),DAY(G143))</f>
        <v>44377</v>
      </c>
      <c r="H144" s="885"/>
      <c r="I144" s="528"/>
      <c r="J144" s="646">
        <f t="shared" si="37"/>
        <v>6.8992293742405728</v>
      </c>
      <c r="K144" s="652">
        <f t="shared" si="37"/>
        <v>6.9322970959797017</v>
      </c>
      <c r="L144" s="653">
        <f t="shared" si="37"/>
        <v>8.5856831829362239</v>
      </c>
      <c r="M144" s="864">
        <f t="shared" si="37"/>
        <v>0</v>
      </c>
      <c r="N144" s="865"/>
      <c r="O144" s="654">
        <f>O143*(1-$I144)</f>
        <v>0</v>
      </c>
      <c r="P144" s="511"/>
      <c r="S144" s="236">
        <f>MIN(MAX($J$5-4,0),1)</f>
        <v>1</v>
      </c>
      <c r="T144" s="2"/>
      <c r="U144" s="2"/>
      <c r="V144" s="2"/>
      <c r="W144" s="2"/>
      <c r="X144" s="2"/>
      <c r="Y144" s="47"/>
      <c r="Z144" s="47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</row>
    <row r="145" spans="1:46" ht="12.75" hidden="1" customHeight="1" x14ac:dyDescent="0.25">
      <c r="A145" s="507"/>
      <c r="B145" s="508"/>
      <c r="C145" s="527"/>
      <c r="D145" s="527"/>
      <c r="E145" s="529"/>
      <c r="F145" s="509"/>
      <c r="G145" s="509"/>
      <c r="H145" s="530" t="s">
        <v>136</v>
      </c>
      <c r="I145" s="531"/>
      <c r="J145" s="532"/>
      <c r="K145" s="533"/>
      <c r="L145" s="534"/>
      <c r="M145" s="886">
        <f>M144*(1-$I145)</f>
        <v>0</v>
      </c>
      <c r="N145" s="887"/>
      <c r="O145" s="535">
        <f>O144*(1-$I145)</f>
        <v>0</v>
      </c>
      <c r="P145" s="511"/>
      <c r="S145" s="32"/>
      <c r="T145" s="2"/>
      <c r="U145" s="2"/>
      <c r="V145" s="2"/>
      <c r="W145" s="2"/>
      <c r="X145" s="2"/>
      <c r="Y145" s="47"/>
      <c r="Z145" s="47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</row>
    <row r="146" spans="1:46" ht="3.75" customHeight="1" x14ac:dyDescent="0.2">
      <c r="A146" s="507"/>
      <c r="B146" s="508"/>
      <c r="C146" s="527"/>
      <c r="D146" s="527"/>
      <c r="E146" s="529"/>
      <c r="F146" s="509"/>
      <c r="G146" s="509"/>
      <c r="H146" s="536"/>
      <c r="I146" s="536"/>
      <c r="J146" s="536"/>
      <c r="K146" s="536"/>
      <c r="L146" s="537"/>
      <c r="M146" s="536"/>
      <c r="N146" s="538"/>
      <c r="O146" s="538"/>
      <c r="P146" s="511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</row>
    <row r="147" spans="1:46" x14ac:dyDescent="0.2">
      <c r="A147" s="507"/>
      <c r="B147" s="508" t="str">
        <f>VLOOKUP("tool_cbd",translation,VLOOKUP(J2,languages,2,FALSE),FALSE)</f>
        <v>Tooling acc. to breakdown (Section 4)</v>
      </c>
      <c r="C147" s="527"/>
      <c r="D147" s="527"/>
      <c r="E147" s="529"/>
      <c r="F147" s="509"/>
      <c r="G147" s="509"/>
      <c r="H147" s="509"/>
      <c r="I147" s="509" t="str">
        <f>LEFT($D$7,3)</f>
        <v>EUR</v>
      </c>
      <c r="J147" s="888">
        <f>O121</f>
        <v>85000</v>
      </c>
      <c r="K147" s="889"/>
      <c r="L147" s="889"/>
      <c r="M147" s="889"/>
      <c r="N147" s="889"/>
      <c r="O147" s="890"/>
      <c r="P147" s="511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</row>
    <row r="148" spans="1:46" ht="13.6" x14ac:dyDescent="0.25">
      <c r="A148" s="507"/>
      <c r="B148" s="508" t="str">
        <f>VLOOKUP("tool_neg",translation,VLOOKUP(J2,languages,2,FALSE),FALSE)</f>
        <v>Negotiated tooling amount</v>
      </c>
      <c r="C148" s="508"/>
      <c r="D148" s="508"/>
      <c r="E148" s="509"/>
      <c r="F148" s="509"/>
      <c r="G148" s="509"/>
      <c r="H148" s="509"/>
      <c r="I148" s="509" t="str">
        <f>LEFT($D$7,3)</f>
        <v>EUR</v>
      </c>
      <c r="J148" s="868">
        <f>$O$121</f>
        <v>85000</v>
      </c>
      <c r="K148" s="869"/>
      <c r="L148" s="869"/>
      <c r="M148" s="869"/>
      <c r="N148" s="869"/>
      <c r="O148" s="870"/>
      <c r="P148" s="511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</row>
    <row r="149" spans="1:46" ht="13.6" x14ac:dyDescent="0.25">
      <c r="A149" s="507"/>
      <c r="B149" s="508" t="str">
        <f>VLOOKUP("pay_add",translation,VLOOKUP(J2,languages,2,FALSE),FALSE)</f>
        <v>Additional (one time payment)</v>
      </c>
      <c r="C149" s="508"/>
      <c r="D149" s="508"/>
      <c r="E149" s="509"/>
      <c r="F149" s="509"/>
      <c r="G149" s="509"/>
      <c r="H149" s="509"/>
      <c r="I149" s="509" t="str">
        <f>LEFT($D$7,3)</f>
        <v>EUR</v>
      </c>
      <c r="J149" s="868"/>
      <c r="K149" s="869"/>
      <c r="L149" s="869"/>
      <c r="M149" s="869"/>
      <c r="N149" s="869"/>
      <c r="O149" s="870"/>
      <c r="P149" s="511"/>
      <c r="Y149" s="51" t="str">
        <f>VLOOKUP("pos_numb",translation,VLOOKUP(J2,languages,2,FALSE),FALSE)</f>
        <v>&lt;-- Enter as positive number</v>
      </c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</row>
    <row r="150" spans="1:46" ht="4.5999999999999996" customHeight="1" x14ac:dyDescent="0.2">
      <c r="A150" s="507"/>
      <c r="B150" s="508"/>
      <c r="C150" s="508"/>
      <c r="D150" s="508"/>
      <c r="E150" s="509"/>
      <c r="F150" s="509"/>
      <c r="G150" s="509"/>
      <c r="H150" s="509"/>
      <c r="I150" s="509"/>
      <c r="J150" s="509"/>
      <c r="K150" s="509"/>
      <c r="L150" s="509"/>
      <c r="M150" s="509"/>
      <c r="N150" s="509"/>
      <c r="O150" s="509"/>
      <c r="P150" s="511"/>
      <c r="Y150" s="51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</row>
    <row r="151" spans="1:46" ht="13.6" x14ac:dyDescent="0.25">
      <c r="A151" s="507"/>
      <c r="B151" s="539" t="str">
        <f>VLOOKUP("total",translation,VLOOKUP(J2,languages,2,FALSE),FALSE)&amp;" ["&amp;LEFT($D$7,3)&amp;"]"</f>
        <v>Total [EUR]</v>
      </c>
      <c r="C151" s="508"/>
      <c r="D151" s="508"/>
      <c r="E151" s="509"/>
      <c r="F151" s="509"/>
      <c r="G151" s="540" t="str">
        <f>VLOOKUP("lifetime2",translation,VLOOKUP(J2,languages,2,FALSE),FALSE)&amp;" "&amp;MIN(J5,5)&amp;" yrs"</f>
        <v>Lifetime 5 yrs</v>
      </c>
      <c r="H151" s="509"/>
      <c r="I151" s="509" t="str">
        <f>LEFT($D$7,3)</f>
        <v>EUR</v>
      </c>
      <c r="J151" s="541">
        <f>IF(J140=0,0,$J$4*SUMPRODUCT($S140:$S144,J140:J144)/PUC+$J$148-$J$149)</f>
        <v>365509.69065552478</v>
      </c>
      <c r="K151" s="541">
        <f>IF(K140=0,0,$J$4*SUMPRODUCT($S140:$S144,K140:K144)/PUC+$J$148-$J$149)</f>
        <v>366854.16202943784</v>
      </c>
      <c r="L151" s="541">
        <f>IF(L140=0,0,$J$4*SUMPRODUCT($S140:$S144,L140:L144)/PUC+$J$148-$J$149)</f>
        <v>434077.73072508996</v>
      </c>
      <c r="M151" s="871">
        <f>IF(M140=0,0,$J$4*SUMPRODUCT($S140:$S144,M140:M144)+$J$148-$J$149)/PUC</f>
        <v>0</v>
      </c>
      <c r="N151" s="872"/>
      <c r="O151" s="541">
        <f>IF(O140=0,0,$J$4*SUMPRODUCT($S140:$S144,O140:O144)+$J$148-$J$149)/PUC</f>
        <v>0</v>
      </c>
      <c r="P151" s="511"/>
      <c r="Y151" s="51" t="str">
        <f>VLOOKUP("max_lft",translation,VLOOKUP(J2,languages,2,FALSE),FALSE)</f>
        <v>&lt;-- Max lifetime limited to 5 years</v>
      </c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</row>
    <row r="152" spans="1:46" ht="12.75" customHeight="1" x14ac:dyDescent="0.2">
      <c r="A152" s="507"/>
      <c r="B152" s="508" t="str">
        <f>VLOOKUP("comments",translation,VLOOKUP(J2,languages,2,FALSE),FALSE)</f>
        <v>Additional comments/benefits if sourced</v>
      </c>
      <c r="C152" s="508"/>
      <c r="D152" s="508"/>
      <c r="E152" s="509"/>
      <c r="F152" s="509"/>
      <c r="G152" s="873"/>
      <c r="H152" s="874"/>
      <c r="I152" s="874"/>
      <c r="J152" s="874"/>
      <c r="K152" s="874"/>
      <c r="L152" s="874"/>
      <c r="M152" s="874"/>
      <c r="N152" s="874"/>
      <c r="O152" s="875"/>
      <c r="P152" s="511"/>
      <c r="R152"/>
      <c r="S152"/>
      <c r="T152"/>
      <c r="U152"/>
      <c r="V152"/>
      <c r="W152"/>
      <c r="X152"/>
      <c r="Y152" s="131"/>
      <c r="Z152" s="131"/>
      <c r="AA152" s="131"/>
      <c r="AB152" s="131"/>
      <c r="AC152" s="131"/>
      <c r="AD152" s="131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</row>
    <row r="153" spans="1:46" x14ac:dyDescent="0.2">
      <c r="A153" s="507"/>
      <c r="B153" s="508"/>
      <c r="C153" s="508"/>
      <c r="D153" s="508"/>
      <c r="E153" s="508"/>
      <c r="F153" s="508"/>
      <c r="G153" s="876"/>
      <c r="H153" s="877"/>
      <c r="I153" s="877"/>
      <c r="J153" s="877"/>
      <c r="K153" s="877"/>
      <c r="L153" s="877"/>
      <c r="M153" s="877"/>
      <c r="N153" s="877"/>
      <c r="O153" s="878"/>
      <c r="P153" s="511"/>
      <c r="R153"/>
      <c r="S153"/>
      <c r="T153"/>
      <c r="U153"/>
      <c r="V153"/>
      <c r="W153"/>
      <c r="X153"/>
      <c r="Y153" s="131"/>
      <c r="Z153" s="131"/>
      <c r="AA153" s="131"/>
      <c r="AB153" s="131"/>
      <c r="AC153" s="131"/>
      <c r="AD153" s="131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</row>
    <row r="154" spans="1:46" ht="3.75" customHeight="1" thickBot="1" x14ac:dyDescent="0.25">
      <c r="A154" s="542"/>
      <c r="B154" s="543"/>
      <c r="C154" s="543"/>
      <c r="D154" s="543"/>
      <c r="E154" s="543"/>
      <c r="F154" s="543"/>
      <c r="G154" s="543"/>
      <c r="H154" s="543"/>
      <c r="I154" s="543"/>
      <c r="J154" s="543"/>
      <c r="K154" s="543"/>
      <c r="L154" s="543"/>
      <c r="M154" s="543"/>
      <c r="N154" s="543"/>
      <c r="O154" s="543"/>
      <c r="P154" s="544"/>
      <c r="R154"/>
      <c r="S154"/>
      <c r="T154"/>
      <c r="U154"/>
      <c r="V154"/>
      <c r="W154"/>
      <c r="X154"/>
      <c r="Y154" s="131"/>
      <c r="Z154" s="131"/>
      <c r="AA154" s="131"/>
      <c r="AB154" s="131"/>
      <c r="AC154" s="131"/>
      <c r="AD154" s="131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</row>
    <row r="155" spans="1:46" ht="3.75" customHeight="1" thickBot="1" x14ac:dyDescent="0.25">
      <c r="A155" s="377"/>
      <c r="B155" s="377"/>
      <c r="C155" s="377"/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R155"/>
      <c r="S155"/>
      <c r="T155"/>
      <c r="U155"/>
      <c r="V155"/>
      <c r="W155"/>
      <c r="X155"/>
      <c r="Y155" s="131"/>
      <c r="Z155" s="131"/>
      <c r="AA155" s="131"/>
      <c r="AB155" s="131"/>
      <c r="AC155" s="131"/>
      <c r="AD155" s="131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</row>
    <row r="156" spans="1:46" ht="13.6" x14ac:dyDescent="0.25">
      <c r="A156" s="545"/>
      <c r="B156" s="546"/>
      <c r="C156" s="546"/>
      <c r="D156" s="546"/>
      <c r="E156" s="546"/>
      <c r="F156" s="547" t="str">
        <f>VLOOKUP("price_view",translation,VLOOKUP(J2,languages,2,FALSE),FALSE)&amp;": "&amp; N7&amp;" ("&amp;N8&amp;")"</f>
        <v>Pricing Overview: Housing ()</v>
      </c>
      <c r="G156" s="547"/>
      <c r="H156" s="548"/>
      <c r="I156" s="548"/>
      <c r="J156" s="548"/>
      <c r="K156" s="548"/>
      <c r="L156" s="549" t="str">
        <f>LEFT($D$7,3)</f>
        <v>EUR</v>
      </c>
      <c r="M156" s="548"/>
      <c r="N156" s="548"/>
      <c r="O156" s="548"/>
      <c r="P156" s="550"/>
      <c r="R156"/>
      <c r="S156"/>
      <c r="T156"/>
      <c r="U156"/>
      <c r="V156"/>
      <c r="W156"/>
      <c r="X156"/>
      <c r="Y156" s="131"/>
      <c r="Z156" s="131"/>
      <c r="AA156" s="131"/>
      <c r="AB156" s="131"/>
      <c r="AC156" s="131"/>
      <c r="AD156" s="131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</row>
    <row r="157" spans="1:46" ht="13.6" x14ac:dyDescent="0.25">
      <c r="A157" s="551"/>
      <c r="B157" s="552"/>
      <c r="C157" s="552"/>
      <c r="D157" s="552"/>
      <c r="E157" s="552"/>
      <c r="F157" s="182" t="str">
        <f>VLOOKUP("dmat",translation,VLOOKUP(J2,languages,2,FALSE),FALSE)</f>
        <v>Direct Material</v>
      </c>
      <c r="G157" s="182"/>
      <c r="H157" s="183"/>
      <c r="I157" s="183"/>
      <c r="J157" s="183"/>
      <c r="K157" s="183"/>
      <c r="L157" s="138">
        <f>SUM(L158:L160)</f>
        <v>4.5427011300000002</v>
      </c>
      <c r="M157" s="139">
        <f t="shared" ref="M157:M171" si="38">IF(AND(ISNUMBER($L$171),$L$171&gt;0),L157/$L$171,0)</f>
        <v>0.62597316877818054</v>
      </c>
      <c r="N157" s="553"/>
      <c r="O157" s="553"/>
      <c r="P157" s="554"/>
      <c r="R157"/>
      <c r="S157"/>
      <c r="T157"/>
      <c r="U157"/>
      <c r="V157"/>
      <c r="W157"/>
      <c r="X157"/>
      <c r="Y157" s="131"/>
      <c r="Z157" s="131"/>
      <c r="AA157" s="131"/>
      <c r="AB157" s="131"/>
      <c r="AC157" s="131"/>
      <c r="AD157" s="131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</row>
    <row r="158" spans="1:46" x14ac:dyDescent="0.2">
      <c r="A158" s="551"/>
      <c r="B158" s="552"/>
      <c r="C158" s="552"/>
      <c r="D158" s="552"/>
      <c r="E158" s="552"/>
      <c r="F158" s="555" t="str">
        <f>VLOOKUP("mat",translation,VLOOKUP(J2,languages,2,FALSE),FALSE)</f>
        <v>Material</v>
      </c>
      <c r="G158" s="555"/>
      <c r="H158" s="556"/>
      <c r="I158" s="556"/>
      <c r="J158" s="556"/>
      <c r="K158" s="556"/>
      <c r="L158" s="557">
        <f>(S12+U12)/PUC</f>
        <v>4.4550000000000001</v>
      </c>
      <c r="M158" s="558">
        <f t="shared" si="38"/>
        <v>0.61388816633569598</v>
      </c>
      <c r="N158" s="553"/>
      <c r="O158" s="553"/>
      <c r="P158" s="554"/>
      <c r="R158"/>
      <c r="S158"/>
      <c r="T158"/>
      <c r="U158"/>
      <c r="V158"/>
      <c r="W158"/>
      <c r="X158"/>
      <c r="Y158" s="131"/>
      <c r="Z158" s="131"/>
      <c r="AA158" s="131"/>
      <c r="AB158" s="131"/>
      <c r="AC158" s="131"/>
      <c r="AD158" s="131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</row>
    <row r="159" spans="1:46" x14ac:dyDescent="0.2">
      <c r="A159" s="551"/>
      <c r="B159" s="552"/>
      <c r="C159" s="552"/>
      <c r="D159" s="552"/>
      <c r="E159" s="552"/>
      <c r="F159" s="559" t="str">
        <f>VLOOKUP("purch_parts",translation,VLOOKUP(J2,languages,2,FALSE),FALSE)</f>
        <v>Purchased Parts</v>
      </c>
      <c r="G159" s="559"/>
      <c r="H159" s="560"/>
      <c r="I159" s="560"/>
      <c r="J159" s="560"/>
      <c r="K159" s="560"/>
      <c r="L159" s="561">
        <f>(S35+U35)/PUC</f>
        <v>0</v>
      </c>
      <c r="M159" s="562">
        <f t="shared" si="38"/>
        <v>0</v>
      </c>
      <c r="N159" s="553"/>
      <c r="O159" s="553"/>
      <c r="P159" s="554"/>
      <c r="R159"/>
      <c r="S159"/>
      <c r="T159"/>
      <c r="U159"/>
      <c r="V159"/>
      <c r="W159"/>
      <c r="X159"/>
      <c r="Y159" s="131"/>
      <c r="Z159" s="131"/>
      <c r="AA159" s="131"/>
      <c r="AB159" s="131"/>
      <c r="AC159" s="131"/>
      <c r="AD159" s="131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</row>
    <row r="160" spans="1:46" x14ac:dyDescent="0.2">
      <c r="A160" s="551"/>
      <c r="B160" s="552"/>
      <c r="C160" s="552"/>
      <c r="D160" s="552"/>
      <c r="E160" s="552"/>
      <c r="F160" s="559" t="str">
        <f>VLOOKUP("moh2",translation,VLOOKUP(J2,languages,2,FALSE),FALSE)</f>
        <v>Material OH</v>
      </c>
      <c r="G160" s="559"/>
      <c r="H160" s="560"/>
      <c r="I160" s="560"/>
      <c r="J160" s="560"/>
      <c r="K160" s="560"/>
      <c r="L160" s="561">
        <f>O62/PUC</f>
        <v>8.7701129999999988E-2</v>
      </c>
      <c r="M160" s="562">
        <f t="shared" si="38"/>
        <v>1.208500244248451E-2</v>
      </c>
      <c r="N160" s="553"/>
      <c r="O160" s="553"/>
      <c r="P160" s="554"/>
      <c r="R160"/>
      <c r="S160"/>
      <c r="T160"/>
      <c r="U160"/>
      <c r="V160"/>
      <c r="W160"/>
      <c r="X160"/>
      <c r="Y160" s="131"/>
      <c r="Z160" s="131"/>
      <c r="AA160" s="131"/>
      <c r="AB160" s="131"/>
      <c r="AC160" s="131"/>
      <c r="AD160" s="131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</row>
    <row r="161" spans="1:70" ht="13.6" x14ac:dyDescent="0.25">
      <c r="A161" s="551"/>
      <c r="B161" s="552"/>
      <c r="C161" s="552"/>
      <c r="D161" s="552"/>
      <c r="E161" s="552"/>
      <c r="F161" s="184" t="str">
        <f>VLOOKUP("mc2",translation,VLOOKUP(J2,languages,2,FALSE),FALSE)</f>
        <v>Production Cost</v>
      </c>
      <c r="G161" s="185"/>
      <c r="H161" s="186"/>
      <c r="I161" s="186"/>
      <c r="J161" s="186"/>
      <c r="K161" s="186"/>
      <c r="L161" s="107">
        <f>SUM(L162:L166)</f>
        <v>1.9772509635</v>
      </c>
      <c r="M161" s="126">
        <f t="shared" si="38"/>
        <v>0.2724603744934912</v>
      </c>
      <c r="N161" s="553"/>
      <c r="O161" s="553"/>
      <c r="P161" s="554"/>
      <c r="R161"/>
      <c r="S161"/>
      <c r="T161"/>
      <c r="U161"/>
      <c r="V161"/>
      <c r="W161"/>
      <c r="X161"/>
      <c r="Y161" s="131"/>
      <c r="Z161" s="131"/>
      <c r="AA161" s="131"/>
      <c r="AB161" s="131"/>
      <c r="AC161" s="131"/>
      <c r="AD161" s="131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</row>
    <row r="162" spans="1:70" x14ac:dyDescent="0.2">
      <c r="A162" s="551"/>
      <c r="B162" s="552"/>
      <c r="C162" s="552"/>
      <c r="D162" s="552"/>
      <c r="E162" s="552"/>
      <c r="F162" s="563" t="str">
        <f>VLOOKUP("mach_cost2",translation,VLOOKUP(J2,languages,2,FALSE),FALSE)</f>
        <v>Machine Cost</v>
      </c>
      <c r="G162" s="563"/>
      <c r="H162" s="564"/>
      <c r="I162" s="564"/>
      <c r="J162" s="564"/>
      <c r="K162" s="564"/>
      <c r="L162" s="565">
        <f>S64/PUC</f>
        <v>1.4434910000000001</v>
      </c>
      <c r="M162" s="566">
        <f t="shared" si="38"/>
        <v>0.19890954952010781</v>
      </c>
      <c r="N162" s="553"/>
      <c r="O162" s="553"/>
      <c r="P162" s="554"/>
      <c r="R162"/>
      <c r="S162"/>
      <c r="T162"/>
      <c r="U162"/>
      <c r="V162"/>
      <c r="W162"/>
      <c r="X162"/>
      <c r="Y162" s="131"/>
      <c r="Z162" s="131"/>
      <c r="AA162" s="131"/>
      <c r="AB162" s="131"/>
      <c r="AC162" s="131"/>
      <c r="AD162" s="131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</row>
    <row r="163" spans="1:70" x14ac:dyDescent="0.2">
      <c r="A163" s="551"/>
      <c r="B163" s="552"/>
      <c r="C163" s="552"/>
      <c r="D163" s="552"/>
      <c r="E163" s="552"/>
      <c r="F163" s="567" t="str">
        <f>VLOOKUP("dl",translation,VLOOKUP(J2,languages,2,FALSE),FALSE)</f>
        <v>Direct Labour</v>
      </c>
      <c r="G163" s="567"/>
      <c r="H163" s="568"/>
      <c r="I163" s="568"/>
      <c r="J163" s="568"/>
      <c r="K163" s="568"/>
      <c r="L163" s="569">
        <f>T64/PUC</f>
        <v>0.27793299999999999</v>
      </c>
      <c r="M163" s="570">
        <f t="shared" si="38"/>
        <v>3.8298491522823566E-2</v>
      </c>
      <c r="N163" s="553"/>
      <c r="O163" s="553"/>
      <c r="P163" s="554"/>
      <c r="R163"/>
      <c r="S163"/>
      <c r="T163"/>
      <c r="U163"/>
      <c r="V163"/>
      <c r="W163"/>
      <c r="X163"/>
      <c r="Y163" s="131"/>
      <c r="Z163" s="131"/>
      <c r="AA163" s="131"/>
      <c r="AB163" s="131"/>
      <c r="AC163" s="131"/>
      <c r="AD163" s="131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</row>
    <row r="164" spans="1:70" x14ac:dyDescent="0.2">
      <c r="A164" s="551"/>
      <c r="B164" s="552"/>
      <c r="C164" s="552"/>
      <c r="D164" s="552"/>
      <c r="E164" s="552"/>
      <c r="F164" s="567" t="str">
        <f>VLOOKUP("poh2",translation,VLOOKUP(J2,languages,2,FALSE),FALSE)</f>
        <v>Production OH</v>
      </c>
      <c r="G164" s="567"/>
      <c r="H164" s="568"/>
      <c r="I164" s="568"/>
      <c r="J164" s="568"/>
      <c r="K164" s="568"/>
      <c r="L164" s="569">
        <f>O91/PUC</f>
        <v>5.8226963499999992E-2</v>
      </c>
      <c r="M164" s="570">
        <f t="shared" si="38"/>
        <v>8.0235339740315371E-3</v>
      </c>
      <c r="N164" s="553"/>
      <c r="O164" s="553"/>
      <c r="P164" s="554"/>
      <c r="R164"/>
      <c r="S164"/>
      <c r="T164"/>
      <c r="U164"/>
      <c r="V164"/>
      <c r="W164"/>
      <c r="X164"/>
      <c r="Y164" s="131"/>
      <c r="Z164" s="131"/>
      <c r="AA164" s="131"/>
      <c r="AB164" s="131"/>
      <c r="AC164" s="131"/>
      <c r="AD164" s="131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</row>
    <row r="165" spans="1:70" x14ac:dyDescent="0.2">
      <c r="A165" s="551"/>
      <c r="B165" s="552"/>
      <c r="C165" s="552"/>
      <c r="D165" s="552"/>
      <c r="E165" s="552"/>
      <c r="F165" s="567" t="str">
        <f>VLOOKUP("setup_cost2",translation,VLOOKUP(J2,languages,2,FALSE),FALSE)</f>
        <v>Setup Costs</v>
      </c>
      <c r="G165" s="567"/>
      <c r="H165" s="568"/>
      <c r="I165" s="568"/>
      <c r="J165" s="568"/>
      <c r="K165" s="568"/>
      <c r="L165" s="569">
        <f>U64/PUC</f>
        <v>0.1976</v>
      </c>
      <c r="M165" s="570">
        <f t="shared" si="38"/>
        <v>2.722879947652829E-2</v>
      </c>
      <c r="N165" s="553"/>
      <c r="O165" s="553"/>
      <c r="P165" s="554"/>
      <c r="R165"/>
      <c r="S165"/>
      <c r="T165"/>
      <c r="U165"/>
      <c r="V165"/>
      <c r="W165"/>
      <c r="X165"/>
      <c r="Y165" s="131"/>
      <c r="Z165" s="131"/>
      <c r="AA165" s="131"/>
      <c r="AB165" s="131"/>
      <c r="AC165" s="131"/>
      <c r="AD165" s="131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</row>
    <row r="166" spans="1:70" x14ac:dyDescent="0.2">
      <c r="A166" s="551"/>
      <c r="B166" s="552"/>
      <c r="C166" s="552"/>
      <c r="D166" s="552"/>
      <c r="E166" s="552"/>
      <c r="F166" s="567" t="str">
        <f>VLOOKUP("tool_cost2",translation,VLOOKUP(J2,languages,2,FALSE),FALSE)</f>
        <v>Tooling Costs</v>
      </c>
      <c r="G166" s="567"/>
      <c r="H166" s="568"/>
      <c r="I166" s="568"/>
      <c r="J166" s="568"/>
      <c r="K166" s="568"/>
      <c r="L166" s="569">
        <f>V64/PUC</f>
        <v>0</v>
      </c>
      <c r="M166" s="570">
        <f t="shared" si="38"/>
        <v>0</v>
      </c>
      <c r="N166" s="553"/>
      <c r="O166" s="553"/>
      <c r="P166" s="554"/>
      <c r="R166"/>
      <c r="S166"/>
      <c r="T166"/>
      <c r="U166"/>
      <c r="V166"/>
      <c r="W166"/>
      <c r="X166"/>
      <c r="Y166" s="131"/>
      <c r="Z166" s="131"/>
      <c r="AA166" s="131"/>
      <c r="AB166" s="131"/>
      <c r="AC166" s="131"/>
      <c r="AD166" s="131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</row>
    <row r="167" spans="1:70" ht="13.6" x14ac:dyDescent="0.25">
      <c r="A167" s="551"/>
      <c r="B167" s="552"/>
      <c r="C167" s="552"/>
      <c r="D167" s="552"/>
      <c r="E167" s="552"/>
      <c r="F167" s="187" t="str">
        <f>VLOOKUP("scrap_cost2",translation,VLOOKUP(J2,languages,2,FALSE),FALSE)</f>
        <v>Scrap Costs</v>
      </c>
      <c r="G167" s="187"/>
      <c r="H167" s="188"/>
      <c r="I167" s="188"/>
      <c r="J167" s="188"/>
      <c r="K167" s="188"/>
      <c r="L167" s="142">
        <f>(O92)/PUC</f>
        <v>9.6168000000000017E-2</v>
      </c>
      <c r="M167" s="143">
        <f t="shared" si="38"/>
        <v>1.3251716538758973E-2</v>
      </c>
      <c r="N167" s="553"/>
      <c r="O167" s="553"/>
      <c r="P167" s="554"/>
      <c r="R167"/>
      <c r="S167"/>
      <c r="T167"/>
      <c r="U167"/>
      <c r="V167"/>
      <c r="W167"/>
      <c r="X167" s="128"/>
      <c r="Y167" s="35"/>
      <c r="Z167" s="35"/>
      <c r="AA167" s="131"/>
      <c r="AB167" s="131"/>
      <c r="AC167" s="131"/>
      <c r="AD167" s="131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</row>
    <row r="168" spans="1:70" ht="13.6" x14ac:dyDescent="0.25">
      <c r="A168" s="551"/>
      <c r="B168" s="552"/>
      <c r="C168" s="552"/>
      <c r="D168" s="552"/>
      <c r="E168" s="552"/>
      <c r="F168" s="189" t="str">
        <f>VLOOKUP("ohs",translation,VLOOKUP(J2,languages,2,FALSE),FALSE)</f>
        <v>Overheads (SG&amp;A;Eng)</v>
      </c>
      <c r="G168" s="189"/>
      <c r="H168" s="190"/>
      <c r="I168" s="190"/>
      <c r="J168" s="190"/>
      <c r="K168" s="190"/>
      <c r="L168" s="74">
        <f>(O97+O98)/PUC</f>
        <v>0.20385457433684998</v>
      </c>
      <c r="M168" s="127">
        <f t="shared" si="38"/>
        <v>2.8090664610278936E-2</v>
      </c>
      <c r="N168" s="553"/>
      <c r="O168" s="553"/>
      <c r="P168" s="554"/>
      <c r="R168"/>
      <c r="S168"/>
      <c r="T168"/>
      <c r="U168"/>
      <c r="V168"/>
      <c r="W168"/>
      <c r="X168" s="128"/>
      <c r="Y168" s="129" t="str">
        <f>"&lt;- "&amp;TEXT(IF($L$171&gt;0,SUM(L160,L162,L164:L166,L168:L170)/$L$171,0),"0%")&amp; " " &amp; VLOOKUP("contr",translation,VLOOKUP(J2,languages,2,FALSE),FALSE)</f>
        <v>&lt;- 33% Contribution Margin</v>
      </c>
      <c r="Z168" s="130"/>
      <c r="AA168" s="129"/>
      <c r="AB168"/>
      <c r="AC168"/>
      <c r="AD168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</row>
    <row r="169" spans="1:70" ht="13.6" x14ac:dyDescent="0.25">
      <c r="A169" s="551"/>
      <c r="B169" s="552"/>
      <c r="C169" s="552"/>
      <c r="D169" s="552"/>
      <c r="E169" s="552"/>
      <c r="F169" s="571" t="str">
        <f>VLOOKUP("special_cost",translation,VLOOKUP(J2,languages,2,FALSE),FALSE)</f>
        <v>Special Costs</v>
      </c>
      <c r="G169" s="571"/>
      <c r="H169" s="572"/>
      <c r="I169" s="572"/>
      <c r="J169" s="572"/>
      <c r="K169" s="572"/>
      <c r="L169" s="573">
        <f>(O99+O100)/PUC</f>
        <v>0</v>
      </c>
      <c r="M169" s="574">
        <f t="shared" si="38"/>
        <v>0</v>
      </c>
      <c r="N169" s="553"/>
      <c r="O169" s="553"/>
      <c r="P169" s="554"/>
      <c r="R169"/>
      <c r="S169"/>
      <c r="T169"/>
      <c r="U169"/>
      <c r="V169"/>
      <c r="W169"/>
      <c r="X169"/>
      <c r="Y169" s="129" t="str">
        <f>"&lt;- "&amp;TEXT(IF($L$171&gt;0,SUM(L168:L170)/$L$171,0),"0%")&amp;" "&amp; VLOOKUP("gross_margin",translation,VLOOKUP(J2,languages,2,FALSE),FALSE)</f>
        <v>&lt;- 9% Gross Margin</v>
      </c>
      <c r="Z169" s="130"/>
      <c r="AA169" s="129"/>
      <c r="AB169"/>
      <c r="AC169"/>
      <c r="AD169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</row>
    <row r="170" spans="1:70" ht="13.6" x14ac:dyDescent="0.25">
      <c r="A170" s="551"/>
      <c r="B170" s="552"/>
      <c r="C170" s="552"/>
      <c r="D170" s="552"/>
      <c r="E170" s="552"/>
      <c r="F170" s="191" t="str">
        <f>VLOOKUP("profit3",translation,VLOOKUP(J2,languages,2,FALSE),FALSE)</f>
        <v>Profit</v>
      </c>
      <c r="G170" s="191"/>
      <c r="H170" s="192"/>
      <c r="I170" s="192"/>
      <c r="J170" s="192"/>
      <c r="K170" s="192"/>
      <c r="L170" s="140">
        <f>(O101+O102+O103)/PUC</f>
        <v>0.4370474484093953</v>
      </c>
      <c r="M170" s="141">
        <f t="shared" si="38"/>
        <v>6.0224075579290326E-2</v>
      </c>
      <c r="N170" s="553"/>
      <c r="O170" s="553"/>
      <c r="P170" s="554"/>
      <c r="R170"/>
      <c r="S170"/>
      <c r="T170"/>
      <c r="U170"/>
      <c r="V170"/>
      <c r="W170"/>
      <c r="X170"/>
      <c r="Y170" s="131"/>
      <c r="Z170" s="131"/>
      <c r="AA170" s="131"/>
      <c r="AB170" s="131"/>
      <c r="AC170" s="131"/>
      <c r="AD170" s="131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</row>
    <row r="171" spans="1:70" ht="13.6" x14ac:dyDescent="0.25">
      <c r="A171" s="575"/>
      <c r="B171" s="552"/>
      <c r="C171" s="552"/>
      <c r="D171" s="552"/>
      <c r="E171" s="552"/>
      <c r="F171" s="193" t="str">
        <f>VLOOKUP("price2",translation,VLOOKUP(J2,languages,2,FALSE),FALSE)</f>
        <v>Pricing acc. to breakdown</v>
      </c>
      <c r="G171" s="193"/>
      <c r="H171" s="194"/>
      <c r="I171" s="194"/>
      <c r="J171" s="194"/>
      <c r="K171" s="194"/>
      <c r="L171" s="136">
        <f>SUM(L157,L161,L167,L168,L169,L170)</f>
        <v>7.2570221162462456</v>
      </c>
      <c r="M171" s="137">
        <f t="shared" si="38"/>
        <v>1</v>
      </c>
      <c r="N171" s="576"/>
      <c r="O171" s="577"/>
      <c r="P171" s="554"/>
      <c r="R171"/>
      <c r="S171"/>
      <c r="T171"/>
      <c r="U171"/>
      <c r="V171"/>
      <c r="W171"/>
      <c r="X171"/>
      <c r="Y171" s="35"/>
      <c r="Z171" s="35"/>
      <c r="AA171" s="131"/>
      <c r="AB171" s="131"/>
      <c r="AC171" s="131"/>
      <c r="AD171" s="131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</row>
    <row r="172" spans="1:70" x14ac:dyDescent="0.2">
      <c r="A172" s="551"/>
      <c r="B172" s="552"/>
      <c r="C172" s="552"/>
      <c r="D172" s="552"/>
      <c r="E172" s="552"/>
      <c r="F172" s="578" t="str">
        <f>VLOOKUP("pack",translation,VLOOKUP(J2,languages,2,FALSE),FALSE)&amp;" ("&amp;$K$112&amp;")"</f>
        <v>Packaging (returnable)</v>
      </c>
      <c r="G172" s="578"/>
      <c r="H172" s="579"/>
      <c r="I172" s="579"/>
      <c r="J172" s="579"/>
      <c r="K172" s="579"/>
      <c r="L172" s="580">
        <f>IF(K112="none",0,VLOOKUP(K112,B$108:O$109,14,0)/PUC)</f>
        <v>3.4782608695652174E-2</v>
      </c>
      <c r="M172" s="581"/>
      <c r="N172" s="553"/>
      <c r="O172" s="553"/>
      <c r="P172" s="554"/>
      <c r="R172"/>
      <c r="S172"/>
      <c r="T172"/>
      <c r="U172"/>
      <c r="V172"/>
      <c r="W172"/>
      <c r="X172"/>
      <c r="Y172" s="131"/>
      <c r="Z172" s="131"/>
      <c r="AA172" s="131"/>
      <c r="AB172" s="131"/>
      <c r="AC172" s="131"/>
      <c r="AD172" s="131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</row>
    <row r="173" spans="1:70" x14ac:dyDescent="0.2">
      <c r="A173" s="551"/>
      <c r="B173" s="552"/>
      <c r="C173" s="552"/>
      <c r="D173" s="552"/>
      <c r="E173" s="552"/>
      <c r="F173" s="578" t="str">
        <f>VLOOKUP("logi",translation,VLOOKUP(J2,languages,2,FALSE),FALSE)&amp;" ("&amp;$C$112&amp;" "&amp;$D$112&amp;")"</f>
        <v>Logistics (DDP Hamburg)</v>
      </c>
      <c r="G173" s="578"/>
      <c r="H173" s="579"/>
      <c r="I173" s="579"/>
      <c r="J173" s="579"/>
      <c r="K173" s="579"/>
      <c r="L173" s="582">
        <f>O112/PUC</f>
        <v>1.7391304347826086</v>
      </c>
      <c r="M173" s="581"/>
      <c r="N173" s="553"/>
      <c r="O173" s="553"/>
      <c r="P173" s="554"/>
      <c r="R173"/>
      <c r="S173"/>
      <c r="T173"/>
      <c r="U173"/>
      <c r="V173"/>
      <c r="W173"/>
      <c r="X173"/>
      <c r="Y173" s="131"/>
      <c r="Z173" s="131"/>
      <c r="AA173" s="131"/>
      <c r="AB173" s="131"/>
      <c r="AC173" s="131"/>
      <c r="AD173" s="131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</row>
    <row r="174" spans="1:70" ht="13.6" x14ac:dyDescent="0.25">
      <c r="A174" s="575"/>
      <c r="B174" s="552"/>
      <c r="C174" s="552"/>
      <c r="D174" s="552"/>
      <c r="E174" s="552"/>
      <c r="F174" s="879" t="str">
        <f>VLOOKUP("final",translation,VLOOKUP(J2,languages,2,FALSE),FALSE)&amp;" ("&amp;J117&amp;")"</f>
        <v>Final Price (DDP Hamburg, returnable packaging)</v>
      </c>
      <c r="G174" s="880"/>
      <c r="H174" s="880"/>
      <c r="I174" s="880"/>
      <c r="J174" s="880"/>
      <c r="K174" s="881"/>
      <c r="L174" s="583">
        <f>SUM(L171:L173)</f>
        <v>9.0309351597245069</v>
      </c>
      <c r="M174" s="581"/>
      <c r="N174" s="553"/>
      <c r="O174" s="584"/>
      <c r="P174" s="585"/>
      <c r="R174"/>
      <c r="S174"/>
      <c r="T174"/>
      <c r="U174"/>
      <c r="V174"/>
      <c r="W174"/>
      <c r="X174"/>
      <c r="Y174" s="131"/>
      <c r="Z174" s="131"/>
      <c r="AA174" s="131"/>
      <c r="AB174" s="131"/>
      <c r="AC174" s="131"/>
      <c r="AD174" s="131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</row>
    <row r="175" spans="1:70" ht="5.95" customHeight="1" thickBot="1" x14ac:dyDescent="0.25">
      <c r="A175" s="542"/>
      <c r="B175" s="543"/>
      <c r="C175" s="543"/>
      <c r="D175" s="543"/>
      <c r="E175" s="543"/>
      <c r="F175" s="586"/>
      <c r="G175" s="586"/>
      <c r="H175" s="586"/>
      <c r="I175" s="587"/>
      <c r="J175" s="586"/>
      <c r="K175" s="586"/>
      <c r="L175" s="586"/>
      <c r="M175" s="586"/>
      <c r="N175" s="586"/>
      <c r="O175" s="588"/>
      <c r="P175" s="589"/>
      <c r="R175"/>
      <c r="S175"/>
      <c r="T175"/>
      <c r="U175"/>
      <c r="V175"/>
      <c r="W175"/>
      <c r="X175"/>
      <c r="Y175" s="131"/>
      <c r="Z175" s="131"/>
      <c r="AA175" s="131"/>
      <c r="AB175" s="131"/>
      <c r="AC175" s="131"/>
      <c r="AD175" s="131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</row>
    <row r="176" spans="1:70" ht="14.3" thickBot="1" x14ac:dyDescent="0.3">
      <c r="O176" s="28"/>
      <c r="S176" s="291" t="s">
        <v>791</v>
      </c>
      <c r="T176" s="1"/>
      <c r="V176" s="79"/>
      <c r="W176" s="7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</row>
    <row r="177" spans="5:70" x14ac:dyDescent="0.2">
      <c r="O177" s="28"/>
      <c r="R177" s="1"/>
      <c r="S177" s="292" t="s">
        <v>81</v>
      </c>
      <c r="T177" s="1"/>
      <c r="U177" s="1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</row>
    <row r="178" spans="5:70" x14ac:dyDescent="0.2">
      <c r="O178" s="28"/>
      <c r="S178" s="293" t="s">
        <v>82</v>
      </c>
      <c r="T178" s="1"/>
      <c r="V178" s="79"/>
      <c r="W178" s="7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</row>
    <row r="179" spans="5:70" x14ac:dyDescent="0.2">
      <c r="S179" s="293" t="s">
        <v>83</v>
      </c>
      <c r="T179" s="1"/>
      <c r="V179" s="79"/>
      <c r="W179" s="7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</row>
    <row r="180" spans="5:70" x14ac:dyDescent="0.2">
      <c r="S180" s="293" t="s">
        <v>84</v>
      </c>
      <c r="T180" s="1"/>
      <c r="V180" s="79"/>
      <c r="W180" s="7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</row>
    <row r="181" spans="5:70" ht="13.6" x14ac:dyDescent="0.25">
      <c r="E181" s="29"/>
      <c r="S181" s="293" t="s">
        <v>85</v>
      </c>
      <c r="T181" s="1"/>
      <c r="V181" s="79"/>
      <c r="W181" s="7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</row>
    <row r="182" spans="5:70" x14ac:dyDescent="0.2">
      <c r="F182" s="7"/>
      <c r="G182" s="7"/>
      <c r="S182" s="293" t="s">
        <v>86</v>
      </c>
      <c r="T182" s="1"/>
      <c r="V182" s="79"/>
      <c r="W182" s="7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</row>
    <row r="183" spans="5:70" x14ac:dyDescent="0.2">
      <c r="F183" s="30"/>
      <c r="G183" s="30"/>
      <c r="H183" s="7"/>
      <c r="I183" s="7"/>
      <c r="S183" s="293" t="s">
        <v>87</v>
      </c>
      <c r="T183" s="1"/>
      <c r="V183" s="79"/>
      <c r="W183" s="7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</row>
    <row r="184" spans="5:70" x14ac:dyDescent="0.2">
      <c r="F184" s="30"/>
      <c r="G184" s="30"/>
      <c r="H184" s="30"/>
      <c r="I184" s="30"/>
      <c r="S184" s="293" t="s">
        <v>88</v>
      </c>
      <c r="T184" s="1"/>
      <c r="V184" s="79"/>
      <c r="W184" s="7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</row>
    <row r="185" spans="5:70" x14ac:dyDescent="0.2">
      <c r="F185" s="30"/>
      <c r="G185" s="30"/>
      <c r="H185" s="30"/>
      <c r="I185" s="30"/>
      <c r="S185" s="293" t="s">
        <v>89</v>
      </c>
      <c r="V185" s="79"/>
      <c r="W185" s="7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</row>
    <row r="186" spans="5:70" x14ac:dyDescent="0.2">
      <c r="H186" s="30"/>
      <c r="I186" s="30"/>
      <c r="S186" s="293" t="s">
        <v>90</v>
      </c>
      <c r="V186" s="79"/>
      <c r="W186" s="7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</row>
    <row r="187" spans="5:70" x14ac:dyDescent="0.2">
      <c r="S187" s="293" t="s">
        <v>99</v>
      </c>
      <c r="V187" s="79"/>
      <c r="W187" s="7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</row>
    <row r="188" spans="5:70" ht="13.6" thickBot="1" x14ac:dyDescent="0.25">
      <c r="S188" s="294" t="s">
        <v>91</v>
      </c>
      <c r="V188" s="79"/>
      <c r="W188" s="7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</row>
    <row r="189" spans="5:70" ht="14.3" thickBot="1" x14ac:dyDescent="0.3">
      <c r="S189" s="295" t="s">
        <v>792</v>
      </c>
      <c r="V189" s="79"/>
      <c r="W189" s="7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</row>
    <row r="190" spans="5:70" x14ac:dyDescent="0.2">
      <c r="S190" s="296" t="s">
        <v>793</v>
      </c>
      <c r="V190" s="79"/>
      <c r="W190" s="7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</row>
    <row r="191" spans="5:70" x14ac:dyDescent="0.2">
      <c r="S191" s="297" t="s">
        <v>794</v>
      </c>
      <c r="V191" s="79"/>
      <c r="W191" s="7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</row>
    <row r="192" spans="5:70" x14ac:dyDescent="0.2">
      <c r="S192" s="297" t="s">
        <v>795</v>
      </c>
      <c r="V192" s="79"/>
      <c r="W192" s="7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</row>
    <row r="193" spans="19:70" x14ac:dyDescent="0.2">
      <c r="S193" s="297" t="s">
        <v>796</v>
      </c>
      <c r="V193" s="79"/>
      <c r="W193" s="7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</row>
    <row r="194" spans="19:70" x14ac:dyDescent="0.2">
      <c r="S194" s="297" t="s">
        <v>797</v>
      </c>
      <c r="V194" s="79"/>
      <c r="W194" s="7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</row>
    <row r="195" spans="19:70" x14ac:dyDescent="0.2">
      <c r="S195" s="298" t="s">
        <v>798</v>
      </c>
      <c r="V195" s="79"/>
      <c r="W195" s="7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</row>
    <row r="196" spans="19:70" x14ac:dyDescent="0.2">
      <c r="S196" s="298" t="s">
        <v>799</v>
      </c>
      <c r="V196" s="79"/>
      <c r="W196" s="7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</row>
    <row r="197" spans="19:70" x14ac:dyDescent="0.2">
      <c r="S197" s="298" t="s">
        <v>800</v>
      </c>
      <c r="V197" s="79"/>
      <c r="W197" s="7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</row>
    <row r="198" spans="19:70" x14ac:dyDescent="0.2">
      <c r="S198" s="298" t="s">
        <v>801</v>
      </c>
      <c r="V198" s="79"/>
      <c r="W198" s="7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</row>
    <row r="199" spans="19:70" ht="13.6" thickBot="1" x14ac:dyDescent="0.25">
      <c r="S199" s="299" t="s">
        <v>802</v>
      </c>
      <c r="V199" s="79"/>
      <c r="W199" s="7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</row>
    <row r="200" spans="19:70" x14ac:dyDescent="0.2">
      <c r="V200" s="79"/>
      <c r="W200" s="7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</row>
    <row r="201" spans="19:70" x14ac:dyDescent="0.2">
      <c r="V201" s="79"/>
      <c r="W201" s="7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</row>
    <row r="202" spans="19:70" x14ac:dyDescent="0.2">
      <c r="V202" s="79"/>
      <c r="W202" s="7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</row>
    <row r="203" spans="19:70" x14ac:dyDescent="0.2">
      <c r="V203" s="79"/>
      <c r="W203" s="7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</row>
    <row r="204" spans="19:70" x14ac:dyDescent="0.2">
      <c r="V204" s="79"/>
      <c r="W204" s="7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</row>
    <row r="205" spans="19:70" x14ac:dyDescent="0.2">
      <c r="V205" s="79"/>
      <c r="W205" s="7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</row>
    <row r="206" spans="19:70" x14ac:dyDescent="0.2">
      <c r="V206" s="79"/>
      <c r="W206" s="7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</row>
    <row r="207" spans="19:70" x14ac:dyDescent="0.2">
      <c r="V207" s="79"/>
      <c r="W207" s="7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</row>
    <row r="208" spans="19:70" x14ac:dyDescent="0.2">
      <c r="V208" s="79"/>
      <c r="W208" s="7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</row>
    <row r="209" spans="22:70" x14ac:dyDescent="0.2">
      <c r="V209" s="79"/>
      <c r="W209" s="7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</row>
    <row r="210" spans="22:70" x14ac:dyDescent="0.2">
      <c r="V210" s="79"/>
      <c r="W210" s="7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</row>
    <row r="211" spans="22:70" x14ac:dyDescent="0.2">
      <c r="V211" s="79"/>
      <c r="W211" s="7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</row>
    <row r="212" spans="22:70" x14ac:dyDescent="0.2">
      <c r="V212" s="79"/>
      <c r="W212" s="7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</row>
    <row r="213" spans="22:70" x14ac:dyDescent="0.2">
      <c r="V213" s="79"/>
      <c r="W213" s="7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</row>
    <row r="214" spans="22:70" x14ac:dyDescent="0.2">
      <c r="V214" s="79"/>
      <c r="W214" s="7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</row>
    <row r="215" spans="22:70" x14ac:dyDescent="0.2">
      <c r="V215" s="79"/>
      <c r="W215" s="7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</row>
    <row r="216" spans="22:70" x14ac:dyDescent="0.2">
      <c r="V216" s="79"/>
      <c r="W216" s="7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</row>
    <row r="217" spans="22:70" x14ac:dyDescent="0.2">
      <c r="V217" s="79"/>
      <c r="W217" s="7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</row>
    <row r="218" spans="22:70" x14ac:dyDescent="0.2">
      <c r="V218" s="79"/>
      <c r="W218" s="7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</row>
    <row r="219" spans="22:70" x14ac:dyDescent="0.2">
      <c r="V219" s="79"/>
      <c r="W219" s="7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</row>
    <row r="220" spans="22:70" x14ac:dyDescent="0.2">
      <c r="V220" s="79"/>
      <c r="W220" s="7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</row>
    <row r="221" spans="22:70" x14ac:dyDescent="0.2">
      <c r="V221" s="79"/>
      <c r="W221" s="7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</row>
    <row r="222" spans="22:70" x14ac:dyDescent="0.2">
      <c r="V222" s="79"/>
      <c r="W222" s="7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</row>
    <row r="223" spans="22:70" x14ac:dyDescent="0.2">
      <c r="V223" s="79"/>
      <c r="W223" s="7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</row>
    <row r="224" spans="22:70" x14ac:dyDescent="0.2">
      <c r="V224" s="79"/>
      <c r="W224" s="7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</row>
    <row r="225" spans="22:70" x14ac:dyDescent="0.2">
      <c r="V225" s="79"/>
      <c r="W225" s="7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</row>
    <row r="226" spans="22:70" x14ac:dyDescent="0.2">
      <c r="V226" s="79"/>
      <c r="W226" s="7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</row>
    <row r="227" spans="22:70" x14ac:dyDescent="0.2">
      <c r="V227" s="79"/>
      <c r="W227" s="7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</row>
    <row r="228" spans="22:70" x14ac:dyDescent="0.2">
      <c r="V228" s="79"/>
      <c r="W228" s="7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</row>
    <row r="229" spans="22:70" x14ac:dyDescent="0.2">
      <c r="V229" s="79"/>
      <c r="W229" s="7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</row>
    <row r="230" spans="22:70" x14ac:dyDescent="0.2">
      <c r="V230" s="79"/>
      <c r="W230" s="7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</row>
    <row r="231" spans="22:70" x14ac:dyDescent="0.2">
      <c r="V231" s="79"/>
      <c r="W231" s="7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</row>
    <row r="232" spans="22:70" x14ac:dyDescent="0.2">
      <c r="V232" s="79"/>
      <c r="W232" s="7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</row>
    <row r="233" spans="22:70" x14ac:dyDescent="0.2">
      <c r="V233" s="79"/>
      <c r="W233" s="7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</row>
    <row r="234" spans="22:70" x14ac:dyDescent="0.2">
      <c r="V234" s="79"/>
      <c r="W234" s="7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</row>
    <row r="235" spans="22:70" x14ac:dyDescent="0.2">
      <c r="V235" s="79"/>
      <c r="W235" s="7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</row>
    <row r="236" spans="22:70" x14ac:dyDescent="0.2">
      <c r="V236" s="79"/>
      <c r="W236" s="7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</row>
    <row r="237" spans="22:70" x14ac:dyDescent="0.2">
      <c r="V237" s="79"/>
      <c r="W237" s="7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</row>
    <row r="238" spans="22:70" x14ac:dyDescent="0.2">
      <c r="V238" s="79"/>
      <c r="W238" s="7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</row>
    <row r="239" spans="22:70" x14ac:dyDescent="0.2">
      <c r="V239" s="79"/>
      <c r="W239" s="7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</row>
    <row r="240" spans="22:70" x14ac:dyDescent="0.2">
      <c r="V240" s="79"/>
      <c r="W240" s="7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</row>
    <row r="241" spans="22:70" x14ac:dyDescent="0.2">
      <c r="V241" s="79"/>
      <c r="W241" s="7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</row>
    <row r="242" spans="22:70" x14ac:dyDescent="0.2">
      <c r="V242" s="79"/>
      <c r="W242" s="7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</row>
    <row r="243" spans="22:70" x14ac:dyDescent="0.2">
      <c r="V243" s="79"/>
      <c r="W243" s="7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</row>
    <row r="244" spans="22:70" x14ac:dyDescent="0.2">
      <c r="V244" s="79"/>
      <c r="W244" s="7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</row>
    <row r="245" spans="22:70" x14ac:dyDescent="0.2">
      <c r="V245" s="79"/>
      <c r="W245" s="7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</row>
    <row r="246" spans="22:70" x14ac:dyDescent="0.2">
      <c r="V246" s="79"/>
      <c r="W246" s="7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</row>
    <row r="247" spans="22:70" x14ac:dyDescent="0.2">
      <c r="V247" s="79"/>
      <c r="W247" s="7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</row>
    <row r="248" spans="22:70" x14ac:dyDescent="0.2">
      <c r="V248" s="79"/>
      <c r="W248" s="7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</row>
    <row r="249" spans="22:70" x14ac:dyDescent="0.2">
      <c r="V249" s="79"/>
      <c r="W249" s="7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</row>
    <row r="250" spans="22:70" x14ac:dyDescent="0.2">
      <c r="V250" s="79"/>
      <c r="W250" s="7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</row>
    <row r="251" spans="22:70" x14ac:dyDescent="0.2">
      <c r="V251" s="79"/>
      <c r="W251" s="7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</row>
    <row r="252" spans="22:70" x14ac:dyDescent="0.2">
      <c r="V252" s="79"/>
      <c r="W252" s="7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</row>
    <row r="253" spans="22:70" x14ac:dyDescent="0.2">
      <c r="V253" s="79"/>
      <c r="W253" s="7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</row>
    <row r="254" spans="22:70" x14ac:dyDescent="0.2">
      <c r="V254" s="79"/>
      <c r="W254" s="7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</row>
    <row r="255" spans="22:70" x14ac:dyDescent="0.2">
      <c r="V255" s="79"/>
      <c r="W255" s="7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</row>
    <row r="256" spans="22:70" x14ac:dyDescent="0.2">
      <c r="V256" s="79"/>
      <c r="W256" s="7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</row>
    <row r="257" spans="22:70" x14ac:dyDescent="0.2">
      <c r="V257" s="79"/>
      <c r="W257" s="7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</row>
    <row r="258" spans="22:70" x14ac:dyDescent="0.2">
      <c r="V258" s="79"/>
      <c r="W258" s="7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</row>
    <row r="259" spans="22:70" x14ac:dyDescent="0.2">
      <c r="V259" s="79"/>
      <c r="W259" s="7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</row>
    <row r="260" spans="22:70" x14ac:dyDescent="0.2">
      <c r="V260" s="79"/>
      <c r="W260" s="7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</row>
    <row r="261" spans="22:70" x14ac:dyDescent="0.2">
      <c r="V261" s="79"/>
      <c r="W261" s="7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</row>
    <row r="262" spans="22:70" x14ac:dyDescent="0.2">
      <c r="V262" s="79"/>
      <c r="W262" s="7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</row>
    <row r="263" spans="22:70" x14ac:dyDescent="0.2">
      <c r="V263" s="79"/>
      <c r="W263" s="7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</row>
    <row r="264" spans="22:70" x14ac:dyDescent="0.2">
      <c r="V264" s="79"/>
      <c r="W264" s="7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</row>
    <row r="265" spans="22:70" x14ac:dyDescent="0.2">
      <c r="V265" s="79"/>
      <c r="W265" s="7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</row>
    <row r="266" spans="22:70" x14ac:dyDescent="0.2">
      <c r="V266" s="79"/>
      <c r="W266" s="7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</row>
    <row r="267" spans="22:70" x14ac:dyDescent="0.2">
      <c r="V267" s="79"/>
      <c r="W267" s="7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</row>
    <row r="268" spans="22:70" x14ac:dyDescent="0.2">
      <c r="V268" s="79"/>
      <c r="W268" s="7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</row>
    <row r="269" spans="22:70" x14ac:dyDescent="0.2">
      <c r="V269" s="79"/>
      <c r="W269" s="7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</row>
    <row r="270" spans="22:70" x14ac:dyDescent="0.2">
      <c r="V270" s="79"/>
      <c r="W270" s="7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</row>
    <row r="271" spans="22:70" x14ac:dyDescent="0.2">
      <c r="V271" s="79"/>
      <c r="W271" s="7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</row>
    <row r="272" spans="22:70" x14ac:dyDescent="0.2">
      <c r="V272" s="79"/>
      <c r="W272" s="7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</row>
    <row r="273" spans="22:70" x14ac:dyDescent="0.2">
      <c r="V273" s="79"/>
      <c r="W273" s="7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</row>
    <row r="274" spans="22:70" x14ac:dyDescent="0.2">
      <c r="V274" s="79"/>
      <c r="W274" s="7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</row>
    <row r="275" spans="22:70" x14ac:dyDescent="0.2">
      <c r="V275" s="79"/>
      <c r="W275" s="7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</row>
    <row r="276" spans="22:70" x14ac:dyDescent="0.2">
      <c r="V276" s="79"/>
      <c r="W276" s="7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</row>
    <row r="277" spans="22:70" x14ac:dyDescent="0.2">
      <c r="V277" s="79"/>
      <c r="W277" s="7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</row>
    <row r="278" spans="22:70" x14ac:dyDescent="0.2">
      <c r="V278" s="79"/>
      <c r="W278" s="7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</row>
    <row r="279" spans="22:70" x14ac:dyDescent="0.2">
      <c r="V279" s="79"/>
      <c r="W279" s="7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</row>
    <row r="280" spans="22:70" x14ac:dyDescent="0.2">
      <c r="V280" s="79"/>
      <c r="W280" s="7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</row>
    <row r="281" spans="22:70" x14ac:dyDescent="0.2">
      <c r="V281" s="79"/>
      <c r="W281" s="7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</row>
    <row r="282" spans="22:70" x14ac:dyDescent="0.2">
      <c r="V282" s="79"/>
      <c r="W282" s="7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</row>
    <row r="283" spans="22:70" x14ac:dyDescent="0.2">
      <c r="V283" s="79"/>
      <c r="W283" s="7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</row>
    <row r="284" spans="22:70" x14ac:dyDescent="0.2">
      <c r="V284" s="79"/>
      <c r="W284" s="7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</row>
    <row r="285" spans="22:70" x14ac:dyDescent="0.2">
      <c r="V285" s="79"/>
      <c r="W285" s="7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</row>
    <row r="286" spans="22:70" x14ac:dyDescent="0.2">
      <c r="V286" s="79"/>
      <c r="W286" s="7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</row>
    <row r="287" spans="22:70" x14ac:dyDescent="0.2">
      <c r="V287" s="79"/>
      <c r="W287" s="7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</row>
    <row r="288" spans="22:70" x14ac:dyDescent="0.2">
      <c r="V288" s="79"/>
      <c r="W288" s="7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</row>
    <row r="289" spans="22:70" x14ac:dyDescent="0.2">
      <c r="V289" s="79"/>
      <c r="W289" s="7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</row>
    <row r="290" spans="22:70" x14ac:dyDescent="0.2">
      <c r="V290" s="79"/>
      <c r="W290" s="7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</row>
    <row r="291" spans="22:70" x14ac:dyDescent="0.2">
      <c r="V291" s="79"/>
      <c r="W291" s="7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</row>
    <row r="292" spans="22:70" x14ac:dyDescent="0.2">
      <c r="V292" s="79"/>
      <c r="W292" s="7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</row>
    <row r="293" spans="22:70" x14ac:dyDescent="0.2">
      <c r="V293" s="79"/>
      <c r="W293" s="7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</row>
    <row r="294" spans="22:70" x14ac:dyDescent="0.2">
      <c r="V294" s="79"/>
      <c r="W294" s="7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</row>
    <row r="295" spans="22:70" x14ac:dyDescent="0.2">
      <c r="V295" s="79"/>
      <c r="W295" s="7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</row>
    <row r="296" spans="22:70" x14ac:dyDescent="0.2">
      <c r="V296" s="79"/>
      <c r="W296" s="7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</row>
    <row r="297" spans="22:70" x14ac:dyDescent="0.2">
      <c r="V297" s="79"/>
      <c r="W297" s="7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</row>
    <row r="298" spans="22:70" x14ac:dyDescent="0.2">
      <c r="V298" s="79"/>
      <c r="W298" s="7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</row>
    <row r="299" spans="22:70" x14ac:dyDescent="0.2">
      <c r="V299" s="79"/>
      <c r="W299" s="7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</row>
    <row r="300" spans="22:70" x14ac:dyDescent="0.2">
      <c r="V300" s="79"/>
      <c r="W300" s="7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</row>
    <row r="301" spans="22:70" x14ac:dyDescent="0.2">
      <c r="V301" s="79"/>
      <c r="W301" s="7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</row>
    <row r="302" spans="22:70" x14ac:dyDescent="0.2">
      <c r="V302" s="79"/>
      <c r="W302" s="7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</row>
    <row r="303" spans="22:70" x14ac:dyDescent="0.2">
      <c r="V303" s="79"/>
      <c r="W303" s="7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</row>
    <row r="304" spans="22:70" x14ac:dyDescent="0.2">
      <c r="V304" s="79"/>
      <c r="W304" s="7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</row>
    <row r="305" spans="22:70" x14ac:dyDescent="0.2">
      <c r="V305" s="79"/>
      <c r="W305" s="7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</row>
    <row r="306" spans="22:70" x14ac:dyDescent="0.2">
      <c r="V306" s="79"/>
      <c r="W306" s="7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</row>
    <row r="307" spans="22:70" x14ac:dyDescent="0.2">
      <c r="V307" s="79"/>
      <c r="W307" s="7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</row>
    <row r="308" spans="22:70" x14ac:dyDescent="0.2">
      <c r="V308" s="79"/>
      <c r="W308" s="7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</row>
    <row r="309" spans="22:70" x14ac:dyDescent="0.2">
      <c r="V309" s="79"/>
      <c r="W309" s="7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</row>
    <row r="310" spans="22:70" x14ac:dyDescent="0.2">
      <c r="V310" s="79"/>
      <c r="W310" s="7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</row>
    <row r="311" spans="22:70" x14ac:dyDescent="0.2">
      <c r="V311" s="79"/>
      <c r="W311" s="7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</row>
    <row r="312" spans="22:70" x14ac:dyDescent="0.2">
      <c r="V312" s="79"/>
      <c r="W312" s="7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</row>
    <row r="313" spans="22:70" x14ac:dyDescent="0.2">
      <c r="V313" s="79"/>
      <c r="W313" s="7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</row>
    <row r="314" spans="22:70" x14ac:dyDescent="0.2">
      <c r="V314" s="79"/>
      <c r="W314" s="7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</row>
    <row r="315" spans="22:70" x14ac:dyDescent="0.2">
      <c r="V315" s="79"/>
      <c r="W315" s="7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</row>
    <row r="316" spans="22:70" x14ac:dyDescent="0.2">
      <c r="V316" s="79"/>
      <c r="W316" s="7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</row>
    <row r="317" spans="22:70" x14ac:dyDescent="0.2">
      <c r="V317" s="79"/>
      <c r="W317" s="7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</row>
    <row r="318" spans="22:70" x14ac:dyDescent="0.2">
      <c r="V318" s="79"/>
      <c r="W318" s="7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</row>
    <row r="319" spans="22:70" x14ac:dyDescent="0.2">
      <c r="V319" s="79"/>
      <c r="W319" s="7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</row>
    <row r="320" spans="22:70" x14ac:dyDescent="0.2">
      <c r="V320" s="79"/>
      <c r="W320" s="7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</row>
    <row r="321" spans="22:70" x14ac:dyDescent="0.2">
      <c r="V321" s="79"/>
      <c r="W321" s="7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</row>
    <row r="322" spans="22:70" x14ac:dyDescent="0.2">
      <c r="V322" s="79"/>
      <c r="W322" s="7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</row>
    <row r="323" spans="22:70" x14ac:dyDescent="0.2">
      <c r="V323" s="79"/>
      <c r="W323" s="7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</row>
    <row r="324" spans="22:70" x14ac:dyDescent="0.2">
      <c r="V324" s="79"/>
      <c r="W324" s="7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</row>
    <row r="325" spans="22:70" x14ac:dyDescent="0.2">
      <c r="V325" s="79"/>
      <c r="W325" s="7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</row>
    <row r="326" spans="22:70" x14ac:dyDescent="0.2">
      <c r="V326" s="79"/>
      <c r="W326" s="7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</row>
    <row r="327" spans="22:70" x14ac:dyDescent="0.2">
      <c r="V327" s="79"/>
      <c r="W327" s="7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</row>
    <row r="328" spans="22:70" x14ac:dyDescent="0.2">
      <c r="V328" s="79"/>
      <c r="W328" s="7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</row>
    <row r="329" spans="22:70" x14ac:dyDescent="0.2">
      <c r="V329" s="79"/>
      <c r="W329" s="7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</row>
    <row r="330" spans="22:70" x14ac:dyDescent="0.2">
      <c r="V330" s="79"/>
      <c r="W330" s="7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</row>
    <row r="331" spans="22:70" x14ac:dyDescent="0.2">
      <c r="V331" s="79"/>
      <c r="W331" s="7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</row>
    <row r="332" spans="22:70" x14ac:dyDescent="0.2">
      <c r="V332" s="79"/>
      <c r="W332" s="7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</row>
  </sheetData>
  <sheetProtection formatCells="0"/>
  <protectedRanges>
    <protectedRange sqref="J2" name="Sprache"/>
  </protectedRanges>
  <dataConsolidate/>
  <mergeCells count="214">
    <mergeCell ref="F174:K174"/>
    <mergeCell ref="M145:N145"/>
    <mergeCell ref="J147:O147"/>
    <mergeCell ref="J148:O148"/>
    <mergeCell ref="J149:O149"/>
    <mergeCell ref="M151:N151"/>
    <mergeCell ref="G152:O153"/>
    <mergeCell ref="E143:F143"/>
    <mergeCell ref="G143:H143"/>
    <mergeCell ref="M143:N143"/>
    <mergeCell ref="E144:F144"/>
    <mergeCell ref="G144:H144"/>
    <mergeCell ref="M144:N144"/>
    <mergeCell ref="E141:F141"/>
    <mergeCell ref="G141:H141"/>
    <mergeCell ref="M141:N141"/>
    <mergeCell ref="E142:F142"/>
    <mergeCell ref="G142:H142"/>
    <mergeCell ref="M142:N142"/>
    <mergeCell ref="G137:H137"/>
    <mergeCell ref="M137:N137"/>
    <mergeCell ref="M138:N138"/>
    <mergeCell ref="G139:H139"/>
    <mergeCell ref="M139:N139"/>
    <mergeCell ref="E140:F140"/>
    <mergeCell ref="G140:H140"/>
    <mergeCell ref="M140:N140"/>
    <mergeCell ref="G133:K133"/>
    <mergeCell ref="G134:K134"/>
    <mergeCell ref="G135:H135"/>
    <mergeCell ref="L135:L136"/>
    <mergeCell ref="M135:N136"/>
    <mergeCell ref="O135:O136"/>
    <mergeCell ref="G136:H136"/>
    <mergeCell ref="B128:E128"/>
    <mergeCell ref="M128:N128"/>
    <mergeCell ref="B129:E129"/>
    <mergeCell ref="M129:N129"/>
    <mergeCell ref="B130:E130"/>
    <mergeCell ref="M130:N130"/>
    <mergeCell ref="B125:E125"/>
    <mergeCell ref="M125:N125"/>
    <mergeCell ref="B126:E126"/>
    <mergeCell ref="M126:N126"/>
    <mergeCell ref="B127:E127"/>
    <mergeCell ref="M127:N127"/>
    <mergeCell ref="B122:E122"/>
    <mergeCell ref="M122:N122"/>
    <mergeCell ref="B123:E123"/>
    <mergeCell ref="M123:N123"/>
    <mergeCell ref="B124:E124"/>
    <mergeCell ref="M124:N124"/>
    <mergeCell ref="E117:G117"/>
    <mergeCell ref="H117:I117"/>
    <mergeCell ref="J117:N117"/>
    <mergeCell ref="A118:I119"/>
    <mergeCell ref="J118:N118"/>
    <mergeCell ref="J119:N119"/>
    <mergeCell ref="D114:E114"/>
    <mergeCell ref="F114:G114"/>
    <mergeCell ref="M114:N114"/>
    <mergeCell ref="D116:E116"/>
    <mergeCell ref="F116:G116"/>
    <mergeCell ref="H116:I116"/>
    <mergeCell ref="D112:E112"/>
    <mergeCell ref="F112:G112"/>
    <mergeCell ref="M112:N112"/>
    <mergeCell ref="D113:E113"/>
    <mergeCell ref="F113:G113"/>
    <mergeCell ref="M113:N113"/>
    <mergeCell ref="AA108:AA109"/>
    <mergeCell ref="B109:C109"/>
    <mergeCell ref="F109:G109"/>
    <mergeCell ref="M109:N109"/>
    <mergeCell ref="M110:N110"/>
    <mergeCell ref="F111:G111"/>
    <mergeCell ref="M111:N111"/>
    <mergeCell ref="M104:N104"/>
    <mergeCell ref="M106:N106"/>
    <mergeCell ref="F107:G107"/>
    <mergeCell ref="M107:N107"/>
    <mergeCell ref="B108:C108"/>
    <mergeCell ref="F108:G108"/>
    <mergeCell ref="M108:N108"/>
    <mergeCell ref="E99:H99"/>
    <mergeCell ref="M99:N99"/>
    <mergeCell ref="E100:H100"/>
    <mergeCell ref="M100:N100"/>
    <mergeCell ref="M101:N101"/>
    <mergeCell ref="M102:N102"/>
    <mergeCell ref="J91:K91"/>
    <mergeCell ref="T91:U91"/>
    <mergeCell ref="W91:X91"/>
    <mergeCell ref="M96:N96"/>
    <mergeCell ref="K97:L97"/>
    <mergeCell ref="K98:L98"/>
    <mergeCell ref="F84:G84"/>
    <mergeCell ref="F85:G85"/>
    <mergeCell ref="F86:G86"/>
    <mergeCell ref="F87:G87"/>
    <mergeCell ref="F88:G88"/>
    <mergeCell ref="F89:G89"/>
    <mergeCell ref="F78:G78"/>
    <mergeCell ref="F79:G79"/>
    <mergeCell ref="F80:G80"/>
    <mergeCell ref="F81:G81"/>
    <mergeCell ref="F82:G82"/>
    <mergeCell ref="F83:G83"/>
    <mergeCell ref="F72:G72"/>
    <mergeCell ref="F73:G73"/>
    <mergeCell ref="F74:G74"/>
    <mergeCell ref="F75:G75"/>
    <mergeCell ref="F76:G76"/>
    <mergeCell ref="F77:G77"/>
    <mergeCell ref="B67:C67"/>
    <mergeCell ref="F67:G67"/>
    <mergeCell ref="F68:G68"/>
    <mergeCell ref="F69:G69"/>
    <mergeCell ref="F70:G70"/>
    <mergeCell ref="F71:G71"/>
    <mergeCell ref="E60:F60"/>
    <mergeCell ref="T62:U62"/>
    <mergeCell ref="B65:C65"/>
    <mergeCell ref="F65:G65"/>
    <mergeCell ref="B66:C66"/>
    <mergeCell ref="F66:G66"/>
    <mergeCell ref="E54:F54"/>
    <mergeCell ref="E55:F55"/>
    <mergeCell ref="E56:F56"/>
    <mergeCell ref="E57:F57"/>
    <mergeCell ref="E58:F58"/>
    <mergeCell ref="E59:F59"/>
    <mergeCell ref="E48:F48"/>
    <mergeCell ref="E49:F49"/>
    <mergeCell ref="E50:F50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H36:I36"/>
    <mergeCell ref="E37:F37"/>
    <mergeCell ref="E38:F38"/>
    <mergeCell ref="E39:F39"/>
    <mergeCell ref="E40:F40"/>
    <mergeCell ref="E41:F41"/>
    <mergeCell ref="B32:D32"/>
    <mergeCell ref="E32:F32"/>
    <mergeCell ref="B33:D33"/>
    <mergeCell ref="E33:F33"/>
    <mergeCell ref="B36:C36"/>
    <mergeCell ref="E36:F36"/>
    <mergeCell ref="B29:D29"/>
    <mergeCell ref="E29:F29"/>
    <mergeCell ref="B30:D30"/>
    <mergeCell ref="E30:F30"/>
    <mergeCell ref="B31:D31"/>
    <mergeCell ref="E31:F31"/>
    <mergeCell ref="B26:D26"/>
    <mergeCell ref="E26:F26"/>
    <mergeCell ref="B27:D27"/>
    <mergeCell ref="E27:F27"/>
    <mergeCell ref="B28:D28"/>
    <mergeCell ref="E28:F28"/>
    <mergeCell ref="B23:D23"/>
    <mergeCell ref="E23:F23"/>
    <mergeCell ref="B24:D24"/>
    <mergeCell ref="E24:F24"/>
    <mergeCell ref="B25:D25"/>
    <mergeCell ref="E25:F25"/>
    <mergeCell ref="B20:D20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B19:D19"/>
    <mergeCell ref="E19:F19"/>
    <mergeCell ref="B14:D14"/>
    <mergeCell ref="E14:F14"/>
    <mergeCell ref="B15:D15"/>
    <mergeCell ref="E15:F15"/>
    <mergeCell ref="B16:D16"/>
    <mergeCell ref="E16:F16"/>
    <mergeCell ref="D9:K10"/>
    <mergeCell ref="L9:M9"/>
    <mergeCell ref="N9:P9"/>
    <mergeCell ref="L10:M10"/>
    <mergeCell ref="N10:P10"/>
    <mergeCell ref="B13:C13"/>
    <mergeCell ref="E13:F13"/>
    <mergeCell ref="D7:E7"/>
    <mergeCell ref="F7:G7"/>
    <mergeCell ref="J7:K7"/>
    <mergeCell ref="N7:P7"/>
    <mergeCell ref="U7:V7"/>
    <mergeCell ref="J8:K8"/>
    <mergeCell ref="N8:P8"/>
    <mergeCell ref="A1:D1"/>
    <mergeCell ref="E1:K1"/>
    <mergeCell ref="L1:P5"/>
    <mergeCell ref="D4:G4"/>
    <mergeCell ref="D5:G5"/>
    <mergeCell ref="D6:E6"/>
    <mergeCell ref="J6:K6"/>
    <mergeCell ref="N6:P6"/>
  </mergeCells>
  <conditionalFormatting sqref="M110:N110">
    <cfRule type="expression" dxfId="78" priority="14" stopIfTrue="1">
      <formula>$M$110="none"</formula>
    </cfRule>
  </conditionalFormatting>
  <conditionalFormatting sqref="K112:K113">
    <cfRule type="expression" dxfId="77" priority="13" stopIfTrue="1">
      <formula>$K112="none"</formula>
    </cfRule>
  </conditionalFormatting>
  <conditionalFormatting sqref="F112:J114 M112:N114">
    <cfRule type="expression" dxfId="76" priority="12">
      <formula>$C112="FCA"</formula>
    </cfRule>
  </conditionalFormatting>
  <conditionalFormatting sqref="K114">
    <cfRule type="expression" dxfId="75" priority="11" stopIfTrue="1">
      <formula>$K114="none"</formula>
    </cfRule>
  </conditionalFormatting>
  <conditionalFormatting sqref="J141:O145">
    <cfRule type="expression" dxfId="74" priority="10">
      <formula>$S141=0</formula>
    </cfRule>
  </conditionalFormatting>
  <conditionalFormatting sqref="AH67:AH69">
    <cfRule type="cellIs" dxfId="73" priority="8" stopIfTrue="1" operator="lessThan">
      <formula>0.1</formula>
    </cfRule>
    <cfRule type="cellIs" dxfId="72" priority="9" stopIfTrue="1" operator="lessThan">
      <formula>0.2</formula>
    </cfRule>
  </conditionalFormatting>
  <conditionalFormatting sqref="AH70:AH89">
    <cfRule type="cellIs" dxfId="71" priority="6" stopIfTrue="1" operator="lessThan">
      <formula>0.1</formula>
    </cfRule>
    <cfRule type="cellIs" dxfId="70" priority="7" stopIfTrue="1" operator="lessThan">
      <formula>0.2</formula>
    </cfRule>
  </conditionalFormatting>
  <conditionalFormatting sqref="AH66">
    <cfRule type="cellIs" dxfId="69" priority="4" stopIfTrue="1" operator="lessThan">
      <formula>0.1</formula>
    </cfRule>
    <cfRule type="cellIs" dxfId="68" priority="5" stopIfTrue="1" operator="lessThan">
      <formula>0.2</formula>
    </cfRule>
  </conditionalFormatting>
  <conditionalFormatting sqref="M91">
    <cfRule type="expression" dxfId="67" priority="3">
      <formula>$J$91="Value Added"</formula>
    </cfRule>
  </conditionalFormatting>
  <conditionalFormatting sqref="M97:N97">
    <cfRule type="expression" dxfId="66" priority="2">
      <formula>$K$97="Manufactured Cost"</formula>
    </cfRule>
  </conditionalFormatting>
  <conditionalFormatting sqref="M98">
    <cfRule type="expression" dxfId="65" priority="1">
      <formula>$K$98="Manufactured Cost"</formula>
    </cfRule>
  </conditionalFormatting>
  <dataValidations count="21">
    <dataValidation type="decimal" errorStyle="warning" operator="greaterThanOrEqual" allowBlank="1" showInputMessage="1" showErrorMessage="1" errorTitle="Gross&lt;Net" error="EN: The 'Gross Amount' is smaller than the 'Net Amount'!_x000a_DE: Das Brutto-Gewicht ist kleinre als das Netto-Gewicht!" sqref="I14:I33" xr:uid="{D6DB8B1A-3750-4DBC-B1BE-E3506F2D3E14}">
      <formula1>H14</formula1>
    </dataValidation>
    <dataValidation type="list" operator="notBetween" showInputMessage="1" showErrorMessage="1" sqref="K114" xr:uid="{906D5E1F-7ED8-4753-9EB0-5D7F006A2633}">
      <formula1>"none,one-way,returnable"</formula1>
    </dataValidation>
    <dataValidation type="list" allowBlank="1" showInputMessage="1" showErrorMessage="1" sqref="M110:N110" xr:uid="{4864BC8F-1B97-4608-A283-364FDF92FB2F}">
      <formula1>"one-way, returnable,none"</formula1>
    </dataValidation>
    <dataValidation type="list" allowBlank="1" showInputMessage="1" showErrorMessage="1" sqref="U7:V7" xr:uid="{4E72C3A4-FCB0-47A1-B574-B0BAF19E9537}">
      <formula1>$S$176:$S$187</formula1>
    </dataValidation>
    <dataValidation type="list" showInputMessage="1" showErrorMessage="1" sqref="E7" xr:uid="{D0CE9FF9-9496-4033-9CA8-BE9D67726BDE}">
      <formula1>$S$190:$S$199</formula1>
    </dataValidation>
    <dataValidation type="list" allowBlank="1" showInputMessage="1" showErrorMessage="1" sqref="M13 M36" xr:uid="{02D366DB-1643-4185-9738-652EFDB936DA}">
      <formula1>$U$3:$U$4</formula1>
    </dataValidation>
    <dataValidation type="list" allowBlank="1" showInputMessage="1" showErrorMessage="1" sqref="K97:L98" xr:uid="{F2DBB6CB-A77C-4E6D-9F43-469B618F0727}">
      <formula1>"Manufactured Cost, Value Added"</formula1>
    </dataValidation>
    <dataValidation type="list" allowBlank="1" showInputMessage="1" showErrorMessage="1" sqref="J91:K91" xr:uid="{8F35301D-3378-406F-9EDB-D273E21C2F54}">
      <formula1>"Direct Labour, Value Added"</formula1>
    </dataValidation>
    <dataValidation type="decimal" operator="notBetween" showInputMessage="1" showErrorMessage="1" sqref="F112:J114" xr:uid="{6BCA20D4-A910-49E8-A32E-3B419A9FA41A}">
      <formula1>0</formula1>
      <formula2>0</formula2>
    </dataValidation>
    <dataValidation type="decimal" allowBlank="1" showInputMessage="1" showErrorMessage="1" sqref="I141:I145" xr:uid="{E72A0C7C-DB68-48E0-A297-63FC392AF744}">
      <formula1>0</formula1>
      <formula2>1</formula2>
    </dataValidation>
    <dataValidation type="decimal" operator="greaterThanOrEqual" allowBlank="1" showInputMessage="1" showErrorMessage="1" sqref="J5 J148:O149 J140:O140 G135:H137 H140:H141 G140:G144" xr:uid="{ACA278D3-F210-4DE1-BFF7-53F6149639B4}">
      <formula1>0</formula1>
    </dataValidation>
    <dataValidation type="list" allowBlank="1" showInputMessage="1" showErrorMessage="1" sqref="F7:G7" xr:uid="{50735887-771E-4662-B44B-038272E80ADE}">
      <formula1>"/pc,/10,/100,/1000"</formula1>
    </dataValidation>
    <dataValidation allowBlank="1" showInputMessage="1" showErrorMessage="1" promptTitle="Fixed Value" prompt="Enter" sqref="V62" xr:uid="{2B34462C-8B6F-443F-8FD0-81C7E2B0ED44}"/>
    <dataValidation type="whole" operator="greaterThan" allowBlank="1" showInputMessage="1" showErrorMessage="1" sqref="J4:K4" xr:uid="{C1385E01-7D15-4FAD-9E8C-51C758AFC7B3}">
      <formula1>0</formula1>
    </dataValidation>
    <dataValidation type="date" allowBlank="1" showInputMessage="1" showErrorMessage="1" sqref="J6:K8" xr:uid="{ADF10C4A-6B1B-4B4E-BA88-FF64C93FB83C}">
      <formula1>36526</formula1>
      <formula2>73050</formula2>
    </dataValidation>
    <dataValidation type="list" allowBlank="1" showInputMessage="1" showErrorMessage="1" sqref="C112:C114" xr:uid="{50A5F402-59D7-401A-AA51-842B04B1561B}">
      <formula1>"FCA,DAP,DDP,DDU"</formula1>
    </dataValidation>
    <dataValidation type="list" allowBlank="1" showInputMessage="1" showErrorMessage="1" sqref="L112:L114" xr:uid="{CC455F0C-2368-4952-9DB5-686AB0AFBFEF}">
      <formula1>"None, 2-high, 3-high"</formula1>
    </dataValidation>
    <dataValidation type="list" allowBlank="1" showInputMessage="1" showErrorMessage="1" sqref="M112:M114" xr:uid="{E9790446-B023-41F0-B176-7E7DF50B8543}">
      <formula1>"included, excluded, n/a"</formula1>
    </dataValidation>
    <dataValidation type="list" allowBlank="1" showInputMessage="1" showErrorMessage="1" sqref="K112:K113" xr:uid="{64347A6E-87E0-4CB5-8EEC-E9005B374F05}">
      <formula1>"none,one-way,returnable"</formula1>
    </dataValidation>
    <dataValidation type="list" allowBlank="1" showInputMessage="1" showErrorMessage="1" sqref="Z153" xr:uid="{23544419-6E5E-41D8-861D-B19933C2F707}">
      <formula1>"High, Medium, Low"</formula1>
    </dataValidation>
    <dataValidation type="list" allowBlank="1" showInputMessage="1" showErrorMessage="1" sqref="W6" xr:uid="{824CBB97-1006-434E-AFA6-145332774161}">
      <formula1>"Yes, No"</formula1>
    </dataValidation>
  </dataValidations>
  <printOptions horizontalCentered="1"/>
  <pageMargins left="0.59055118110236227" right="0.39370078740157483" top="0.59055118110236227" bottom="0.47244094488188981" header="0.39370078740157483" footer="0.31496062992125984"/>
  <pageSetup paperSize="9" fitToHeight="0" orientation="portrait" r:id="rId1"/>
  <headerFooter>
    <oddFooter xml:space="preserve">&amp;LVersion 1.01&amp;CCALC4XL GmbH&amp;RPrinted: &amp;D </oddFooter>
  </headerFooter>
  <rowBreaks count="1" manualBreakCount="1">
    <brk id="9" max="16383" man="1"/>
  </rowBreaks>
  <drawing r:id="rId2"/>
  <legacyDrawing r:id="rId3"/>
  <controls>
    <mc:AlternateContent xmlns:mc="http://schemas.openxmlformats.org/markup-compatibility/2006">
      <mc:Choice Requires="x14">
        <control shapeId="5516296" r:id="rId4" name="orderSection24">
          <controlPr defaultSize="0" autoLine="0" r:id="rId5">
            <anchor moveWithCells="1">
              <from>
                <xdr:col>0</xdr:col>
                <xdr:colOff>0</xdr:colOff>
                <xdr:row>64</xdr:row>
                <xdr:rowOff>388189</xdr:rowOff>
              </from>
              <to>
                <xdr:col>1</xdr:col>
                <xdr:colOff>77638</xdr:colOff>
                <xdr:row>65</xdr:row>
                <xdr:rowOff>8626</xdr:rowOff>
              </to>
            </anchor>
          </controlPr>
        </control>
      </mc:Choice>
      <mc:Fallback>
        <control shapeId="5516296" r:id="rId4" name="orderSection24"/>
      </mc:Fallback>
    </mc:AlternateContent>
    <mc:AlternateContent xmlns:mc="http://schemas.openxmlformats.org/markup-compatibility/2006">
      <mc:Choice Requires="x14">
        <control shapeId="5516295" r:id="rId6" name="cmdPartPicture">
          <controlPr defaultSize="0" autoLine="0" r:id="rId7">
            <anchor moveWithCells="1">
              <from>
                <xdr:col>12</xdr:col>
                <xdr:colOff>112143</xdr:colOff>
                <xdr:row>0</xdr:row>
                <xdr:rowOff>215660</xdr:rowOff>
              </from>
              <to>
                <xdr:col>13</xdr:col>
                <xdr:colOff>388189</xdr:colOff>
                <xdr:row>3</xdr:row>
                <xdr:rowOff>60385</xdr:rowOff>
              </to>
            </anchor>
          </controlPr>
        </control>
      </mc:Choice>
      <mc:Fallback>
        <control shapeId="5516295" r:id="rId6" name="cmdPartPicture"/>
      </mc:Fallback>
    </mc:AlternateContent>
    <mc:AlternateContent xmlns:mc="http://schemas.openxmlformats.org/markup-compatibility/2006">
      <mc:Choice Requires="x14">
        <control shapeId="5516294" r:id="rId8" name="CmdClearSheet">
          <controlPr defaultSize="0" autoLine="0" autoPict="0" r:id="rId9">
            <anchor moveWithCells="1">
              <from>
                <xdr:col>24</xdr:col>
                <xdr:colOff>0</xdr:colOff>
                <xdr:row>1</xdr:row>
                <xdr:rowOff>60385</xdr:rowOff>
              </from>
              <to>
                <xdr:col>25</xdr:col>
                <xdr:colOff>60385</xdr:colOff>
                <xdr:row>3</xdr:row>
                <xdr:rowOff>112143</xdr:rowOff>
              </to>
            </anchor>
          </controlPr>
        </control>
      </mc:Choice>
      <mc:Fallback>
        <control shapeId="5516294" r:id="rId8" name="CmdClearSheet"/>
      </mc:Fallback>
    </mc:AlternateContent>
    <mc:AlternateContent xmlns:mc="http://schemas.openxmlformats.org/markup-compatibility/2006">
      <mc:Choice Requires="x14">
        <control shapeId="5516293" r:id="rId10" name="SpinButton4">
          <controlPr defaultSize="0" autoLine="0" r:id="rId11">
            <anchor moveWithCells="1">
              <from>
                <xdr:col>17</xdr:col>
                <xdr:colOff>181155</xdr:colOff>
                <xdr:row>122</xdr:row>
                <xdr:rowOff>17253</xdr:rowOff>
              </from>
              <to>
                <xdr:col>17</xdr:col>
                <xdr:colOff>422694</xdr:colOff>
                <xdr:row>130</xdr:row>
                <xdr:rowOff>17253</xdr:rowOff>
              </to>
            </anchor>
          </controlPr>
        </control>
      </mc:Choice>
      <mc:Fallback>
        <control shapeId="5516293" r:id="rId10" name="SpinButton4"/>
      </mc:Fallback>
    </mc:AlternateContent>
    <mc:AlternateContent xmlns:mc="http://schemas.openxmlformats.org/markup-compatibility/2006">
      <mc:Choice Requires="x14">
        <control shapeId="5516292" r:id="rId12" name="SpinButton3">
          <controlPr defaultSize="0" autoLine="0" r:id="rId13">
            <anchor moveWithCells="1">
              <from>
                <xdr:col>17</xdr:col>
                <xdr:colOff>129396</xdr:colOff>
                <xdr:row>64</xdr:row>
                <xdr:rowOff>207034</xdr:rowOff>
              </from>
              <to>
                <xdr:col>17</xdr:col>
                <xdr:colOff>379562</xdr:colOff>
                <xdr:row>65</xdr:row>
                <xdr:rowOff>86264</xdr:rowOff>
              </to>
            </anchor>
          </controlPr>
        </control>
      </mc:Choice>
      <mc:Fallback>
        <control shapeId="5516292" r:id="rId12" name="SpinButton3"/>
      </mc:Fallback>
    </mc:AlternateContent>
    <mc:AlternateContent xmlns:mc="http://schemas.openxmlformats.org/markup-compatibility/2006">
      <mc:Choice Requires="x14">
        <control shapeId="5516291" r:id="rId14" name="SpinButton2">
          <controlPr defaultSize="0" autoLine="0" r:id="rId15">
            <anchor moveWithCells="1">
              <from>
                <xdr:col>17</xdr:col>
                <xdr:colOff>112143</xdr:colOff>
                <xdr:row>35</xdr:row>
                <xdr:rowOff>163902</xdr:rowOff>
              </from>
              <to>
                <xdr:col>17</xdr:col>
                <xdr:colOff>370936</xdr:colOff>
                <xdr:row>37</xdr:row>
                <xdr:rowOff>155275</xdr:rowOff>
              </to>
            </anchor>
          </controlPr>
        </control>
      </mc:Choice>
      <mc:Fallback>
        <control shapeId="5516291" r:id="rId14" name="SpinButton2"/>
      </mc:Fallback>
    </mc:AlternateContent>
    <mc:AlternateContent xmlns:mc="http://schemas.openxmlformats.org/markup-compatibility/2006">
      <mc:Choice Requires="x14">
        <control shapeId="5516290" r:id="rId16" name="SpinButton1">
          <controlPr defaultSize="0" autoLine="0" r:id="rId17">
            <anchor moveWithCells="1">
              <from>
                <xdr:col>17</xdr:col>
                <xdr:colOff>129396</xdr:colOff>
                <xdr:row>12</xdr:row>
                <xdr:rowOff>129396</xdr:rowOff>
              </from>
              <to>
                <xdr:col>17</xdr:col>
                <xdr:colOff>379562</xdr:colOff>
                <xdr:row>14</xdr:row>
                <xdr:rowOff>51758</xdr:rowOff>
              </to>
            </anchor>
          </controlPr>
        </control>
      </mc:Choice>
      <mc:Fallback>
        <control shapeId="5516290" r:id="rId16" name="SpinButton1"/>
      </mc:Fallback>
    </mc:AlternateContent>
    <mc:AlternateContent xmlns:mc="http://schemas.openxmlformats.org/markup-compatibility/2006">
      <mc:Choice Requires="x14">
        <control shapeId="5516289" r:id="rId18" name="cmdCopySheet">
          <controlPr defaultSize="0" autoLine="0" autoPict="0" r:id="rId19">
            <anchor moveWithCells="1">
              <from>
                <xdr:col>24</xdr:col>
                <xdr:colOff>25879</xdr:colOff>
                <xdr:row>0</xdr:row>
                <xdr:rowOff>94891</xdr:rowOff>
              </from>
              <to>
                <xdr:col>25</xdr:col>
                <xdr:colOff>86264</xdr:colOff>
                <xdr:row>0</xdr:row>
                <xdr:rowOff>448574</xdr:rowOff>
              </to>
            </anchor>
          </controlPr>
        </control>
      </mc:Choice>
      <mc:Fallback>
        <control shapeId="5516289" r:id="rId18" name="cmdCopySheet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D842-B8A8-41F4-ADF5-83AC36470EC8}">
  <sheetPr codeName="Sheet4">
    <pageSetUpPr autoPageBreaks="0"/>
  </sheetPr>
  <dimension ref="A1:BR332"/>
  <sheetViews>
    <sheetView showGridLines="0" showZeros="0" zoomScaleNormal="100" zoomScaleSheetLayoutView="55" workbookViewId="0">
      <pane ySplit="10" topLeftCell="A96" activePane="bottomLeft" state="frozen"/>
      <selection pane="bottomLeft" activeCell="Y14" sqref="Y14"/>
    </sheetView>
  </sheetViews>
  <sheetFormatPr defaultColWidth="11.375" defaultRowHeight="12.9" x14ac:dyDescent="0.2"/>
  <cols>
    <col min="1" max="1" width="3.75" style="1" customWidth="1"/>
    <col min="2" max="2" width="11.75" style="1" customWidth="1"/>
    <col min="3" max="3" width="8.75" style="1" customWidth="1"/>
    <col min="4" max="4" width="7.25" style="1" customWidth="1"/>
    <col min="5" max="5" width="7" style="1" customWidth="1"/>
    <col min="6" max="6" width="6.875" style="1" customWidth="1"/>
    <col min="7" max="7" width="7.25" style="1" customWidth="1"/>
    <col min="8" max="8" width="9" style="1" customWidth="1"/>
    <col min="9" max="9" width="9.25" style="1" customWidth="1"/>
    <col min="10" max="10" width="9.75" style="1" customWidth="1"/>
    <col min="11" max="11" width="10" style="1" customWidth="1"/>
    <col min="12" max="12" width="12.625" style="1" customWidth="1"/>
    <col min="13" max="13" width="9" style="1" customWidth="1"/>
    <col min="14" max="14" width="8.375" style="1" customWidth="1"/>
    <col min="15" max="15" width="10.125" style="1" customWidth="1"/>
    <col min="16" max="16" width="6" style="1" customWidth="1"/>
    <col min="17" max="17" width="1.75" style="1" customWidth="1"/>
    <col min="18" max="18" width="16.875" style="2" customWidth="1"/>
    <col min="19" max="19" width="6.125" style="3" hidden="1" customWidth="1"/>
    <col min="20" max="20" width="8.625" style="3" hidden="1" customWidth="1"/>
    <col min="21" max="21" width="9.25" style="3" hidden="1" customWidth="1"/>
    <col min="22" max="22" width="13.25" style="3" hidden="1" customWidth="1"/>
    <col min="23" max="23" width="24.25" style="3" hidden="1" customWidth="1"/>
    <col min="24" max="24" width="21.875" style="1" hidden="1" customWidth="1"/>
    <col min="25" max="25" width="11.875" style="1" customWidth="1"/>
    <col min="26" max="26" width="9.25" style="1" customWidth="1"/>
    <col min="27" max="27" width="7.875" style="1" customWidth="1"/>
    <col min="28" max="28" width="7.125" style="1" bestFit="1" customWidth="1"/>
    <col min="29" max="29" width="7.125" style="1" customWidth="1"/>
    <col min="30" max="30" width="8.75" style="1" customWidth="1"/>
    <col min="31" max="31" width="6.875" style="1" customWidth="1"/>
    <col min="32" max="32" width="8" style="1" customWidth="1"/>
    <col min="33" max="33" width="5.75" style="1" customWidth="1"/>
    <col min="34" max="34" width="8.25" style="1" customWidth="1"/>
    <col min="35" max="35" width="1.75" style="1" customWidth="1"/>
    <col min="36" max="36" width="9" style="1" customWidth="1"/>
    <col min="37" max="37" width="8" style="1" customWidth="1"/>
    <col min="38" max="38" width="8.75" style="1" customWidth="1"/>
    <col min="39" max="39" width="6.75" style="1" hidden="1" customWidth="1"/>
    <col min="40" max="40" width="8.75" style="1" hidden="1" customWidth="1"/>
    <col min="41" max="41" width="1.75" style="1" customWidth="1"/>
    <col min="42" max="42" width="6" style="1" customWidth="1"/>
    <col min="43" max="43" width="4.75" style="1" customWidth="1"/>
    <col min="44" max="44" width="5.75" style="1" customWidth="1"/>
    <col min="45" max="45" width="5.875" style="1" customWidth="1"/>
    <col min="46" max="46" width="7.75" style="1" customWidth="1"/>
    <col min="47" max="47" width="11.125" style="1" customWidth="1"/>
    <col min="48" max="16384" width="11.375" style="1"/>
  </cols>
  <sheetData>
    <row r="1" spans="1:46" ht="47.25" customHeight="1" x14ac:dyDescent="0.25">
      <c r="A1" s="703"/>
      <c r="B1" s="704"/>
      <c r="C1" s="704"/>
      <c r="D1" s="705"/>
      <c r="E1" s="669" t="s">
        <v>878</v>
      </c>
      <c r="F1" s="670"/>
      <c r="G1" s="670"/>
      <c r="H1" s="670"/>
      <c r="I1" s="670"/>
      <c r="J1" s="670"/>
      <c r="K1" s="671"/>
      <c r="L1" s="694"/>
      <c r="M1" s="695"/>
      <c r="N1" s="695"/>
      <c r="O1" s="695"/>
      <c r="P1" s="696"/>
      <c r="Q1" s="53"/>
      <c r="R1" s="78"/>
      <c r="S1" s="237"/>
      <c r="T1" s="238"/>
      <c r="U1" s="237"/>
      <c r="V1" s="237"/>
      <c r="W1" s="267" t="s">
        <v>137</v>
      </c>
      <c r="X1" s="239"/>
      <c r="Y1" s="132"/>
      <c r="Z1" s="36"/>
      <c r="AA1" s="37"/>
      <c r="AB1" s="36"/>
      <c r="AC1" s="54"/>
      <c r="AD1" s="36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</row>
    <row r="2" spans="1:46" s="6" customFormat="1" ht="10.55" customHeight="1" x14ac:dyDescent="0.2">
      <c r="A2" s="70" t="str">
        <f ca="1">CELL("Filename",A2)</f>
        <v>https://d.docs.live.net/4c7d4790709b1d71/WEBSITE PICS/[Diecasting Example_forUserWithoutCALC4XL.xlsx]Germany</v>
      </c>
      <c r="B2" s="71"/>
      <c r="C2" s="71"/>
      <c r="D2" s="71"/>
      <c r="E2" s="71"/>
      <c r="F2" s="71"/>
      <c r="G2" s="71"/>
      <c r="H2" s="5"/>
      <c r="I2" s="31"/>
      <c r="J2" s="307" t="str">
        <f>A!$J$2</f>
        <v>en</v>
      </c>
      <c r="K2" s="178" t="s">
        <v>219</v>
      </c>
      <c r="L2" s="697"/>
      <c r="M2" s="698"/>
      <c r="N2" s="698"/>
      <c r="O2" s="698"/>
      <c r="P2" s="699"/>
      <c r="R2" s="81"/>
      <c r="S2" s="240">
        <f>IF(O117&gt;10000,9999,PUC)</f>
        <v>1</v>
      </c>
      <c r="T2" s="241"/>
      <c r="U2" s="242"/>
      <c r="V2" s="241"/>
      <c r="W2" s="241"/>
      <c r="X2" s="239"/>
      <c r="Y2" s="38"/>
      <c r="Z2" s="38"/>
      <c r="AA2" s="38"/>
      <c r="AB2" s="36"/>
      <c r="AC2" s="36"/>
      <c r="AD2" s="82"/>
      <c r="AE2" s="81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</row>
    <row r="3" spans="1:46" s="53" customFormat="1" ht="13.6" x14ac:dyDescent="0.25">
      <c r="A3" s="309"/>
      <c r="B3" s="310" t="str">
        <f>VLOOKUP("sec1",translation,VLOOKUP(J2,languages,2,FALSE),FALSE)</f>
        <v>Section 1</v>
      </c>
      <c r="C3" s="310"/>
      <c r="D3" s="311" t="str">
        <f>VLOOKUP("buyer",translation,VLOOKUP(J2,languages,2,FALSE),FALSE)</f>
        <v>Details Buyer Section</v>
      </c>
      <c r="E3" s="312"/>
      <c r="F3" s="312"/>
      <c r="G3" s="312"/>
      <c r="H3" s="322"/>
      <c r="I3" s="323"/>
      <c r="J3" s="324" t="str">
        <f>VLOOKUP("avrg",translation,VLOOKUP(J2,languages,2,FALSE),FALSE)</f>
        <v>Average</v>
      </c>
      <c r="K3" s="325" t="str">
        <f>VLOOKUP("pk",translation,VLOOKUP(J2,languages,2,FALSE),FALSE)</f>
        <v>Peak</v>
      </c>
      <c r="L3" s="697"/>
      <c r="M3" s="698"/>
      <c r="N3" s="698"/>
      <c r="O3" s="698"/>
      <c r="P3" s="699"/>
      <c r="Q3" s="64"/>
      <c r="R3" s="83"/>
      <c r="S3" s="243">
        <f>IF(F7="/pc",1,IF(F7="/10",10,IF(F7="/100",100,IF(F7="/1000",1000))))</f>
        <v>1</v>
      </c>
      <c r="T3" s="238"/>
      <c r="U3" s="244" t="str">
        <f>"Frt In "&amp;CHAR(10)&amp;"[%]"</f>
        <v>Frt In 
[%]</v>
      </c>
      <c r="V3" s="238"/>
      <c r="W3" s="238"/>
      <c r="X3" s="245"/>
      <c r="Y3" s="54"/>
      <c r="Z3" s="54"/>
      <c r="AA3" s="54"/>
      <c r="AB3" s="54"/>
      <c r="AC3" s="36"/>
      <c r="AD3" s="68"/>
      <c r="AE3" s="23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</row>
    <row r="4" spans="1:46" ht="12.75" customHeight="1" x14ac:dyDescent="0.2">
      <c r="A4" s="313" t="str">
        <f>VLOOKUP("quot",translation,VLOOKUP(J2,languages,2,FALSE),FALSE)</f>
        <v>Quotation No. /Rev</v>
      </c>
      <c r="B4" s="314"/>
      <c r="C4" s="314"/>
      <c r="D4" s="672"/>
      <c r="E4" s="673"/>
      <c r="F4" s="674"/>
      <c r="G4" s="675"/>
      <c r="H4" s="316"/>
      <c r="I4" s="326" t="str">
        <f>VLOOKUP("an_qty",translation,VLOOKUP(J2,languages,2,FALSE),FALSE)</f>
        <v>Est. Annual Qty</v>
      </c>
      <c r="J4" s="331">
        <v>8000</v>
      </c>
      <c r="K4" s="332"/>
      <c r="L4" s="697"/>
      <c r="M4" s="698"/>
      <c r="N4" s="698"/>
      <c r="O4" s="698"/>
      <c r="P4" s="699"/>
      <c r="R4" s="84"/>
      <c r="S4" s="246">
        <v>1</v>
      </c>
      <c r="T4" s="237"/>
      <c r="U4" s="244" t="str">
        <f>"Frt In "&amp;CHAR(10)&amp;"[/UoM]"</f>
        <v>Frt In 
[/UoM]</v>
      </c>
      <c r="V4" s="237"/>
      <c r="W4" s="238"/>
      <c r="X4" s="245"/>
      <c r="Y4" s="36"/>
      <c r="Z4" s="36"/>
      <c r="AA4" s="36"/>
      <c r="AB4" s="36"/>
      <c r="AC4" s="54"/>
      <c r="AD4" s="36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</row>
    <row r="5" spans="1:46" ht="12.75" customHeight="1" x14ac:dyDescent="0.2">
      <c r="A5" s="313" t="str">
        <f>VLOOKUP("jh_buyer",translation,VLOOKUP(J2,languages,2,FALSE),FALSE)</f>
        <v>Buyer</v>
      </c>
      <c r="B5" s="314"/>
      <c r="C5" s="314"/>
      <c r="D5" s="676"/>
      <c r="E5" s="677"/>
      <c r="F5" s="677"/>
      <c r="G5" s="678"/>
      <c r="H5" s="327"/>
      <c r="I5" s="328" t="str">
        <f>VLOOKUP("lifetime",translation,VLOOKUP(J2,languages,2,FALSE),FALSE)</f>
        <v>Estimated Lifetime</v>
      </c>
      <c r="J5" s="333">
        <v>7</v>
      </c>
      <c r="K5" s="314" t="str">
        <f>VLOOKUP("yr",translation,VLOOKUP(J2,languages,2,FALSE),FALSE)</f>
        <v>years</v>
      </c>
      <c r="L5" s="700"/>
      <c r="M5" s="701"/>
      <c r="N5" s="701"/>
      <c r="O5" s="701"/>
      <c r="P5" s="702"/>
      <c r="R5" s="84"/>
      <c r="S5" s="237"/>
      <c r="T5" s="237"/>
      <c r="U5" s="244" t="str">
        <f>"Frt In "&amp;CHAR(10)&amp;"["&amp;LEFT(D$7,3)&amp;"]"</f>
        <v>Frt In 
[EUR]</v>
      </c>
      <c r="V5" s="237"/>
      <c r="W5" s="238" t="s">
        <v>847</v>
      </c>
      <c r="X5" s="247"/>
      <c r="Y5" s="36"/>
      <c r="Z5" s="36"/>
      <c r="AA5" s="36"/>
      <c r="AB5" s="54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>
        <v>1</v>
      </c>
      <c r="AN5" s="36">
        <v>1</v>
      </c>
      <c r="AO5" s="35"/>
      <c r="AP5" s="35"/>
      <c r="AQ5" s="35"/>
      <c r="AR5" s="35"/>
      <c r="AS5" s="35"/>
      <c r="AT5" s="35"/>
    </row>
    <row r="6" spans="1:46" ht="12.75" customHeight="1" x14ac:dyDescent="0.2">
      <c r="A6" s="315" t="str">
        <f>VLOOKUP("jh_loc",translation,VLOOKUP(J2,languages,2,FALSE),FALSE)</f>
        <v>Location</v>
      </c>
      <c r="B6" s="314"/>
      <c r="C6" s="316"/>
      <c r="D6" s="692" t="s">
        <v>864</v>
      </c>
      <c r="E6" s="693"/>
      <c r="F6" s="320"/>
      <c r="G6" s="321"/>
      <c r="H6" s="316"/>
      <c r="I6" s="316" t="str">
        <f>VLOOKUP("sop",translation,VLOOKUP(J2,languages,2,FALSE),FALSE)</f>
        <v>Start of Production</v>
      </c>
      <c r="J6" s="679"/>
      <c r="K6" s="680"/>
      <c r="L6" s="334" t="str">
        <f>VLOOKUP("supplier",translation,VLOOKUP(J2,languages,2,FALSE),FALSE)</f>
        <v>Supplier</v>
      </c>
      <c r="M6" s="202"/>
      <c r="N6" s="681"/>
      <c r="O6" s="682"/>
      <c r="P6" s="683"/>
      <c r="R6" s="78"/>
      <c r="S6" s="217" t="s">
        <v>53</v>
      </c>
      <c r="T6" s="237"/>
      <c r="U6" s="237"/>
      <c r="V6" s="237"/>
      <c r="W6" s="248" t="s">
        <v>846</v>
      </c>
      <c r="X6" s="249" t="b">
        <v>0</v>
      </c>
      <c r="Y6" s="36"/>
      <c r="Z6" s="264"/>
      <c r="AA6" s="264"/>
      <c r="AB6" s="264"/>
      <c r="AC6" s="264"/>
      <c r="AD6" s="265"/>
      <c r="AE6" s="265"/>
      <c r="AF6" s="265"/>
      <c r="AG6" s="265"/>
      <c r="AH6" s="80"/>
      <c r="AI6" s="36"/>
      <c r="AJ6" s="36"/>
      <c r="AK6" s="36"/>
      <c r="AL6" s="36"/>
      <c r="AM6" s="35"/>
      <c r="AN6" s="35"/>
      <c r="AO6" s="35"/>
      <c r="AP6" s="35"/>
      <c r="AQ6" s="35"/>
      <c r="AR6" s="35"/>
      <c r="AS6" s="35"/>
      <c r="AT6" s="133"/>
    </row>
    <row r="7" spans="1:46" ht="12.75" customHeight="1" x14ac:dyDescent="0.2">
      <c r="A7" s="313" t="str">
        <f>VLOOKUP("currency",translation,VLOOKUP(J2,languages,2,FALSE),FALSE)</f>
        <v>Currency</v>
      </c>
      <c r="B7" s="314"/>
      <c r="C7" s="317"/>
      <c r="D7" s="684" t="s">
        <v>877</v>
      </c>
      <c r="E7" s="685"/>
      <c r="F7" s="686" t="s">
        <v>178</v>
      </c>
      <c r="G7" s="687"/>
      <c r="H7" s="316"/>
      <c r="I7" s="316" t="str">
        <f>VLOOKUP("ppap",translation,VLOOKUP(J2,languages,2,FALSE),FALSE)</f>
        <v>PPAP Date</v>
      </c>
      <c r="J7" s="679"/>
      <c r="K7" s="688"/>
      <c r="L7" s="335"/>
      <c r="M7" s="336" t="str">
        <f>VLOOKUP("descr",translation,VLOOKUP(J2,languages,2,FALSE),FALSE)</f>
        <v>Description</v>
      </c>
      <c r="N7" s="689" t="s">
        <v>862</v>
      </c>
      <c r="O7" s="690"/>
      <c r="P7" s="691"/>
      <c r="R7" s="78"/>
      <c r="S7" s="237" t="s">
        <v>56</v>
      </c>
      <c r="T7" s="237"/>
      <c r="U7" s="706" t="s">
        <v>92</v>
      </c>
      <c r="V7" s="707"/>
      <c r="W7" s="248" t="str">
        <f>IF(X7=TRUE,"Yes","No")</f>
        <v>No</v>
      </c>
      <c r="X7" s="249" t="b">
        <v>0</v>
      </c>
      <c r="Y7" s="36"/>
      <c r="Z7" s="264"/>
      <c r="AA7" s="264"/>
      <c r="AB7" s="264"/>
      <c r="AC7" s="264"/>
      <c r="AD7" s="265"/>
      <c r="AE7" s="265"/>
      <c r="AF7" s="265"/>
      <c r="AG7" s="265"/>
      <c r="AH7" s="80"/>
      <c r="AI7" s="36"/>
      <c r="AJ7" s="36"/>
      <c r="AK7" s="36"/>
      <c r="AL7" s="36"/>
      <c r="AM7" s="35"/>
      <c r="AN7" s="35"/>
      <c r="AO7" s="35"/>
      <c r="AP7" s="35"/>
      <c r="AQ7" s="35"/>
      <c r="AR7" s="35"/>
      <c r="AS7" s="35"/>
      <c r="AT7" s="133"/>
    </row>
    <row r="8" spans="1:46" ht="12.75" customHeight="1" x14ac:dyDescent="0.2">
      <c r="A8" s="315"/>
      <c r="B8" s="314"/>
      <c r="C8" s="317"/>
      <c r="D8" s="329"/>
      <c r="E8" s="329"/>
      <c r="F8" s="329"/>
      <c r="G8" s="329"/>
      <c r="H8" s="329"/>
      <c r="I8" s="330" t="str">
        <f>VLOOKUP("fot",translation,VLOOKUP(J2,languages,2,FALSE),FALSE)</f>
        <v>FOT Date</v>
      </c>
      <c r="J8" s="708"/>
      <c r="K8" s="709"/>
      <c r="L8" s="337"/>
      <c r="M8" s="338" t="str">
        <f>VLOOKUP("partno",translation,VLOOKUP(J2,languages,2,FALSE),FALSE)</f>
        <v>Part No.</v>
      </c>
      <c r="N8" s="710"/>
      <c r="O8" s="711"/>
      <c r="P8" s="712"/>
      <c r="R8" s="78"/>
      <c r="S8" s="217" t="s">
        <v>42</v>
      </c>
      <c r="T8" s="237"/>
      <c r="U8" s="250" t="b">
        <v>1</v>
      </c>
      <c r="V8" s="251" t="s">
        <v>165</v>
      </c>
      <c r="W8" s="237" t="str">
        <f>IF(V8=6,"Yes","No")</f>
        <v>No</v>
      </c>
      <c r="X8" s="249"/>
      <c r="Y8" s="36"/>
      <c r="Z8" s="264"/>
      <c r="AA8" s="264"/>
      <c r="AB8" s="264"/>
      <c r="AC8" s="264"/>
      <c r="AD8" s="264"/>
      <c r="AE8" s="264"/>
      <c r="AF8" s="264"/>
      <c r="AG8" s="264"/>
      <c r="AH8" s="36"/>
      <c r="AI8" s="36"/>
      <c r="AJ8" s="36"/>
      <c r="AK8" s="36"/>
      <c r="AL8" s="36"/>
      <c r="AM8" s="35"/>
      <c r="AN8" s="35"/>
      <c r="AO8" s="35"/>
      <c r="AP8" s="35"/>
      <c r="AQ8" s="35"/>
      <c r="AR8" s="35"/>
      <c r="AS8" s="35"/>
      <c r="AT8" s="35"/>
    </row>
    <row r="9" spans="1:46" ht="12.75" customHeight="1" x14ac:dyDescent="0.2">
      <c r="A9" s="318" t="str">
        <f>VLOOKUP("info",translation,VLOOKUP(J2,languages,2,FALSE),FALSE)</f>
        <v>Additional Information</v>
      </c>
      <c r="B9" s="314"/>
      <c r="C9" s="316"/>
      <c r="D9" s="713"/>
      <c r="E9" s="714"/>
      <c r="F9" s="714"/>
      <c r="G9" s="714"/>
      <c r="H9" s="714"/>
      <c r="I9" s="714"/>
      <c r="J9" s="714"/>
      <c r="K9" s="715"/>
      <c r="L9" s="719" t="str">
        <f>VLOOKUP("drawing",translation,VLOOKUP(J2,languages,2,FALSE),FALSE)</f>
        <v>Drawing</v>
      </c>
      <c r="M9" s="720"/>
      <c r="N9" s="710"/>
      <c r="O9" s="721"/>
      <c r="P9" s="722"/>
      <c r="R9" s="78"/>
      <c r="S9" s="217"/>
      <c r="T9" s="237"/>
      <c r="U9" s="250"/>
      <c r="V9" s="252"/>
      <c r="W9" s="237" t="s">
        <v>850</v>
      </c>
      <c r="X9" s="245" t="s">
        <v>849</v>
      </c>
      <c r="Y9" s="36"/>
      <c r="Z9" s="264"/>
      <c r="AA9" s="264"/>
      <c r="AB9" s="264"/>
      <c r="AC9" s="264"/>
      <c r="AD9" s="264"/>
      <c r="AE9" s="264"/>
      <c r="AF9" s="264"/>
      <c r="AG9" s="264"/>
      <c r="AH9" s="36"/>
      <c r="AI9" s="36"/>
      <c r="AJ9" s="36"/>
      <c r="AK9" s="36"/>
      <c r="AL9" s="36"/>
      <c r="AM9" s="35"/>
      <c r="AN9" s="35"/>
      <c r="AO9" s="35"/>
      <c r="AP9" s="35"/>
      <c r="AQ9" s="35"/>
      <c r="AR9" s="35"/>
      <c r="AS9" s="35"/>
      <c r="AT9" s="35"/>
    </row>
    <row r="10" spans="1:46" ht="12.75" customHeight="1" thickBot="1" x14ac:dyDescent="0.25">
      <c r="A10" s="318"/>
      <c r="B10" s="314"/>
      <c r="C10" s="319"/>
      <c r="D10" s="716"/>
      <c r="E10" s="717"/>
      <c r="F10" s="717"/>
      <c r="G10" s="717"/>
      <c r="H10" s="717"/>
      <c r="I10" s="717"/>
      <c r="J10" s="717"/>
      <c r="K10" s="718"/>
      <c r="L10" s="723" t="str">
        <f>VLOOKUP("project",translation,VLOOKUP(J2,languages,2,FALSE),FALSE)</f>
        <v>Project/Customer</v>
      </c>
      <c r="M10" s="724"/>
      <c r="N10" s="725" t="s">
        <v>863</v>
      </c>
      <c r="O10" s="726"/>
      <c r="P10" s="727"/>
      <c r="S10" s="237" t="s">
        <v>54</v>
      </c>
      <c r="T10" s="237"/>
      <c r="U10" s="237"/>
      <c r="V10" s="252">
        <f>W13+W36+W65</f>
        <v>125</v>
      </c>
      <c r="W10" s="252">
        <f>W13+W36+W65+W122</f>
        <v>250</v>
      </c>
      <c r="X10" s="247"/>
      <c r="Y10" s="36"/>
      <c r="Z10" s="264"/>
      <c r="AA10" s="264"/>
      <c r="AB10" s="264"/>
      <c r="AC10" s="264"/>
      <c r="AD10" s="264"/>
      <c r="AE10" s="264"/>
      <c r="AF10" s="264"/>
      <c r="AG10" s="264"/>
      <c r="AH10" s="36"/>
      <c r="AI10" s="36"/>
      <c r="AJ10" s="36"/>
      <c r="AK10" s="36"/>
      <c r="AL10" s="36"/>
      <c r="AM10" s="35"/>
      <c r="AN10" s="35"/>
      <c r="AO10" s="35"/>
      <c r="AP10" s="35"/>
      <c r="AQ10" s="35"/>
      <c r="AR10" s="35"/>
      <c r="AS10" s="35"/>
      <c r="AT10" s="35"/>
    </row>
    <row r="11" spans="1:46" ht="4.5999999999999996" customHeight="1" thickBot="1" x14ac:dyDescent="0.25">
      <c r="A11" s="33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34"/>
      <c r="S11" s="237"/>
      <c r="T11" s="237"/>
      <c r="U11" s="253" t="str">
        <f>IF(RIGHT(M$13,2)="%]","P","A")</f>
        <v>P</v>
      </c>
      <c r="V11" s="237"/>
      <c r="W11" s="237"/>
      <c r="X11" s="217"/>
      <c r="Y11" s="35"/>
      <c r="Z11" s="264"/>
      <c r="AA11" s="264"/>
      <c r="AB11" s="264"/>
      <c r="AC11" s="264"/>
      <c r="AD11" s="266"/>
      <c r="AE11" s="264"/>
      <c r="AF11" s="264"/>
      <c r="AG11" s="264"/>
      <c r="AH11" s="36"/>
      <c r="AI11" s="36"/>
      <c r="AJ11" s="36"/>
      <c r="AK11" s="36"/>
      <c r="AL11" s="36"/>
      <c r="AM11" s="35"/>
      <c r="AN11" s="35"/>
      <c r="AO11" s="35"/>
      <c r="AP11" s="35"/>
      <c r="AQ11" s="35"/>
      <c r="AR11" s="35"/>
      <c r="AS11" s="35"/>
      <c r="AT11" s="35"/>
    </row>
    <row r="12" spans="1:46" ht="13.6" x14ac:dyDescent="0.25">
      <c r="A12" s="339"/>
      <c r="B12" s="340" t="str">
        <f>VLOOKUP("sec2.1",translation,VLOOKUP(J2,languages,2,FALSE),FALSE)</f>
        <v>Section 2.1</v>
      </c>
      <c r="C12" s="341"/>
      <c r="D12" s="342" t="str">
        <f>VLOOKUP("material",translation,VLOOKUP(J2,languages,2,FALSE),FALSE)</f>
        <v>Raw Material</v>
      </c>
      <c r="E12" s="343"/>
      <c r="F12" s="343"/>
      <c r="G12" s="343"/>
      <c r="H12" s="343"/>
      <c r="I12" s="344"/>
      <c r="J12" s="344"/>
      <c r="K12" s="343"/>
      <c r="L12" s="343"/>
      <c r="M12" s="345">
        <f>U12</f>
        <v>8.8817841970012523E-16</v>
      </c>
      <c r="N12" s="345">
        <f>T12</f>
        <v>9.4932000000000016E-2</v>
      </c>
      <c r="O12" s="629">
        <f>SUBTOTAL(109,O14:O33)</f>
        <v>4.8415320000000008</v>
      </c>
      <c r="P12" s="346">
        <f>IF($O$104=0,0,O12/$O$104)</f>
        <v>0.4601345878748771</v>
      </c>
      <c r="S12" s="254">
        <f>SUBTOTAL(109,S14:S33)</f>
        <v>4.7465999999999999</v>
      </c>
      <c r="T12" s="254">
        <f>SUBTOTAL(109,T14:T33)</f>
        <v>9.4932000000000016E-2</v>
      </c>
      <c r="U12" s="254">
        <f>SUBTOTAL(109,U14:U33)</f>
        <v>8.8817841970012523E-16</v>
      </c>
      <c r="V12" s="254">
        <f>SUBTOTAL(109,V14:V33)</f>
        <v>4.8415320000000008</v>
      </c>
      <c r="W12" s="254"/>
      <c r="X12" s="217"/>
      <c r="Y12" s="35"/>
      <c r="Z12" s="264"/>
      <c r="AA12" s="264"/>
      <c r="AB12" s="264"/>
      <c r="AC12" s="264"/>
      <c r="AD12" s="264"/>
      <c r="AE12" s="264"/>
      <c r="AF12" s="264"/>
      <c r="AG12" s="264"/>
      <c r="AH12" s="36"/>
      <c r="AI12" s="36"/>
      <c r="AJ12" s="36"/>
      <c r="AK12" s="36"/>
      <c r="AL12" s="36"/>
      <c r="AM12" s="35"/>
      <c r="AN12" s="35"/>
      <c r="AO12" s="35"/>
      <c r="AP12" s="35"/>
      <c r="AQ12" s="35"/>
      <c r="AR12" s="35"/>
      <c r="AS12" s="35"/>
      <c r="AT12" s="35"/>
    </row>
    <row r="13" spans="1:46" ht="32.299999999999997" customHeight="1" x14ac:dyDescent="0.2">
      <c r="A13" s="347"/>
      <c r="B13" s="728" t="str">
        <f>VLOOKUP("descr2",translation,VLOOKUP(J2,languages,2,FALSE),FALSE)</f>
        <v>Description</v>
      </c>
      <c r="C13" s="728"/>
      <c r="D13" s="659"/>
      <c r="E13" s="729" t="str">
        <f>VLOOKUP("spec",translation,VLOOKUP(J2,languages,2,FALSE),FALSE)</f>
        <v>Specification</v>
      </c>
      <c r="F13" s="730"/>
      <c r="G13" s="349" t="str">
        <f>VLOOKUP("uom",translation,VLOOKUP(J2,languages,2,FALSE),FALSE)</f>
        <v>UoM</v>
      </c>
      <c r="H13" s="660" t="str">
        <f>VLOOKUP("nweight",translation,VLOOKUP(J2,languages,2,FALSE),FALSE)</f>
        <v>Net Amount</v>
      </c>
      <c r="I13" s="660" t="str">
        <f>VLOOKUP("bweight",translation,VLOOKUP(J2,languages,2,FALSE),FALSE)</f>
        <v>Gross Amount</v>
      </c>
      <c r="J13" s="660" t="str">
        <f>VLOOKUP("qty1",translation,VLOOKUP(J2,languages,2,FALSE),FALSE)</f>
        <v>Qty (optional)</v>
      </c>
      <c r="K13" s="660" t="str">
        <f>VLOOKUP("ucost",translation,VLOOKUP(J2,languages,2,FALSE),FALSE) &amp; " ["&amp;LEFT($D$7,3)&amp;"]"</f>
        <v>Unit Cost [EUR]</v>
      </c>
      <c r="L13" s="660" t="str">
        <f>VLOOKUP("resale",translation,VLOOKUP(J2,languages,2,FALSE),FALSE)&amp;" ["&amp;LEFT($D$7,3)&amp;VLOOKUP("/UoM",translation,VLOOKUP(J2,languages,2,FALSE),FALSE)&amp;"]"</f>
        <v>Refund [EUR/UoM]</v>
      </c>
      <c r="M13" s="351" t="s">
        <v>193</v>
      </c>
      <c r="N13" s="660" t="str">
        <f>VLOOKUP("scrap",translation,VLOOKUP(J2,languages,2,FALSE),FALSE)</f>
        <v>Scrap [%]</v>
      </c>
      <c r="O13" s="660" t="str">
        <f>VLOOKUP("total",translation,VLOOKUP(J2,languages,2,FALSE),FALSE)&amp;" ["&amp;LEFT($D$7,3)&amp;$F$7&amp;"]"</f>
        <v>Total [EUR/pc]</v>
      </c>
      <c r="P13" s="352"/>
      <c r="S13" s="255" t="s">
        <v>13</v>
      </c>
      <c r="T13" s="255" t="s">
        <v>14</v>
      </c>
      <c r="U13" s="255" t="s">
        <v>15</v>
      </c>
      <c r="V13" s="255" t="s">
        <v>16</v>
      </c>
      <c r="W13" s="256">
        <v>16</v>
      </c>
      <c r="X13" s="217"/>
      <c r="Y13" s="35"/>
      <c r="Z13" s="264"/>
      <c r="AA13" s="264"/>
      <c r="AB13" s="264"/>
      <c r="AC13" s="264"/>
      <c r="AD13" s="264"/>
      <c r="AE13" s="264"/>
      <c r="AF13" s="264"/>
      <c r="AG13" s="264"/>
      <c r="AH13" s="36"/>
      <c r="AI13" s="36"/>
      <c r="AJ13" s="36"/>
      <c r="AK13" s="36"/>
      <c r="AL13" s="36"/>
      <c r="AM13" s="35"/>
      <c r="AN13" s="35"/>
      <c r="AO13" s="35"/>
      <c r="AP13" s="35"/>
      <c r="AQ13" s="35"/>
      <c r="AR13" s="35"/>
      <c r="AS13" s="35"/>
      <c r="AT13" s="35"/>
    </row>
    <row r="14" spans="1:46" x14ac:dyDescent="0.2">
      <c r="A14" s="353">
        <v>1</v>
      </c>
      <c r="B14" s="891" t="s">
        <v>867</v>
      </c>
      <c r="C14" s="892"/>
      <c r="D14" s="893"/>
      <c r="E14" s="731" t="s">
        <v>865</v>
      </c>
      <c r="F14" s="732"/>
      <c r="G14" s="88" t="s">
        <v>866</v>
      </c>
      <c r="H14" s="90">
        <v>2.5</v>
      </c>
      <c r="I14" s="90">
        <v>2.7</v>
      </c>
      <c r="J14" s="90"/>
      <c r="K14" s="90">
        <v>1.758</v>
      </c>
      <c r="L14" s="90">
        <v>0</v>
      </c>
      <c r="M14" s="218"/>
      <c r="N14" s="354">
        <v>0.02</v>
      </c>
      <c r="O14" s="355">
        <f>IF(J14="",1,J14)*(I14*(1+N14)*(K14+IF(RIGHT(M$13,2)="%]",(K14*M14),M14)-L14)+H14*L14)*PUC</f>
        <v>4.8415320000000008</v>
      </c>
      <c r="P14" s="356">
        <f t="shared" ref="P14:P33" si="0">IF($O$104=0,0,O14/$O$104)</f>
        <v>0.4601345878748771</v>
      </c>
      <c r="S14" s="257">
        <f>IF(J14="",1,J14)*(I14*(K14-L14)+(H14*L14))*PUC</f>
        <v>4.7465999999999999</v>
      </c>
      <c r="T14" s="257">
        <f>IF(J14="",1,J14)*(K14+IF(RIGHT(M$13,2)="%]",(K14*M14),M14)-L14)*(I14*N14)*PUC</f>
        <v>9.4932000000000016E-2</v>
      </c>
      <c r="U14" s="257">
        <f>V14-S14-T14</f>
        <v>8.8817841970012523E-16</v>
      </c>
      <c r="V14" s="257">
        <f>IF(J14="",1,J14)*(I14*(1+N14)*(K14+IF(RIGHT(M$13,2)="%]",(K14*M14),M14)-L14)+H14*L14)*PUC</f>
        <v>4.8415320000000008</v>
      </c>
      <c r="W14" s="258"/>
      <c r="X14" s="217"/>
      <c r="Y14" s="40"/>
      <c r="Z14" s="264"/>
      <c r="AA14" s="264"/>
      <c r="AB14" s="264"/>
      <c r="AC14" s="264"/>
      <c r="AD14" s="264"/>
      <c r="AE14" s="264"/>
      <c r="AF14" s="266"/>
      <c r="AG14" s="264"/>
      <c r="AH14" s="54"/>
      <c r="AI14" s="36"/>
      <c r="AJ14" s="36"/>
      <c r="AK14" s="36"/>
      <c r="AL14" s="36"/>
      <c r="AM14" s="41"/>
      <c r="AN14" s="41"/>
      <c r="AO14" s="41"/>
      <c r="AP14" s="41"/>
      <c r="AQ14" s="41"/>
      <c r="AR14" s="41"/>
      <c r="AS14" s="41"/>
      <c r="AT14" s="41"/>
    </row>
    <row r="15" spans="1:46" x14ac:dyDescent="0.2">
      <c r="A15" s="357">
        <v>2</v>
      </c>
      <c r="B15" s="738"/>
      <c r="C15" s="739"/>
      <c r="D15" s="740"/>
      <c r="E15" s="731"/>
      <c r="F15" s="732"/>
      <c r="G15" s="88"/>
      <c r="H15" s="90"/>
      <c r="I15" s="90"/>
      <c r="J15" s="90"/>
      <c r="K15" s="90"/>
      <c r="L15" s="90"/>
      <c r="M15" s="218"/>
      <c r="N15" s="358"/>
      <c r="O15" s="355">
        <f>IF(J15="",1,J15)*(I15*(1+N15)*(K15+IF(RIGHT(M$13,2)="%]",(K15*M15),M15)-L15)+H15*L15)*PUC</f>
        <v>0</v>
      </c>
      <c r="P15" s="356">
        <f t="shared" si="0"/>
        <v>0</v>
      </c>
      <c r="S15" s="257">
        <f>IF(J15="",1,J15)*(I15*(K15-L15)+(H15*L15))*PUC</f>
        <v>0</v>
      </c>
      <c r="T15" s="257">
        <f>IF(J15="",1,J15)*(K15+IF(RIGHT(M$13,2)="%]",(K15*M15),M15)-L15)*(I15*N15)*PUC</f>
        <v>0</v>
      </c>
      <c r="U15" s="257">
        <f t="shared" ref="U15:U33" si="1">V15-S15-T15</f>
        <v>0</v>
      </c>
      <c r="V15" s="257">
        <f>IF(J15="",1,J15)*(I15*(1+N15)*(K15+IF(RIGHT(M$13,2)="%]",(K15*M15),M15)-L15)+H15*L15)*PUC</f>
        <v>0</v>
      </c>
      <c r="W15" s="258"/>
      <c r="X15" s="217"/>
      <c r="Y15" s="40"/>
      <c r="Z15" s="264"/>
      <c r="AA15" s="264"/>
      <c r="AB15" s="264"/>
      <c r="AC15" s="264"/>
      <c r="AD15" s="264"/>
      <c r="AE15" s="264"/>
      <c r="AF15" s="264"/>
      <c r="AG15" s="264"/>
      <c r="AH15" s="36"/>
      <c r="AI15" s="36"/>
      <c r="AJ15" s="36"/>
      <c r="AK15" s="36"/>
      <c r="AL15" s="36"/>
      <c r="AM15" s="41"/>
      <c r="AN15" s="41"/>
      <c r="AO15" s="41"/>
      <c r="AP15" s="41"/>
      <c r="AQ15" s="41"/>
      <c r="AR15" s="41"/>
      <c r="AS15" s="41"/>
      <c r="AT15" s="41"/>
    </row>
    <row r="16" spans="1:46" x14ac:dyDescent="0.2">
      <c r="A16" s="357">
        <v>3</v>
      </c>
      <c r="B16" s="738"/>
      <c r="C16" s="739"/>
      <c r="D16" s="740"/>
      <c r="E16" s="731"/>
      <c r="F16" s="733"/>
      <c r="G16" s="88"/>
      <c r="H16" s="90"/>
      <c r="I16" s="90"/>
      <c r="J16" s="90"/>
      <c r="K16" s="90"/>
      <c r="L16" s="90"/>
      <c r="M16" s="218"/>
      <c r="N16" s="358"/>
      <c r="O16" s="355">
        <f>IF(J16="",1,J16)*(I16*(1+N16)*(K16+IF(RIGHT(M$13,2)="%]",(K16*M16),M16)-L16)+H16*L16)*PUC</f>
        <v>0</v>
      </c>
      <c r="P16" s="356">
        <f t="shared" si="0"/>
        <v>0</v>
      </c>
      <c r="S16" s="257">
        <f>IF(J16="",1,J16)*(I16*(K16-L16)+(H16*L16))*PUC</f>
        <v>0</v>
      </c>
      <c r="T16" s="257">
        <f>IF(J16="",1,J16)*(K16+IF(RIGHT(M$13,2)="%]",(K16*M16),M16)-L16)*(I16*N16)*PUC</f>
        <v>0</v>
      </c>
      <c r="U16" s="257">
        <f t="shared" si="1"/>
        <v>0</v>
      </c>
      <c r="V16" s="257">
        <f>IF(J16="",1,J16)*(I16*(1+N16)*(K16+IF(RIGHT(M$13,2)="%]",(K16*M16),M16)-L16)+H16*L16)*PUC</f>
        <v>0</v>
      </c>
      <c r="W16" s="258"/>
      <c r="X16" s="217"/>
      <c r="Y16" s="40"/>
      <c r="Z16" s="264"/>
      <c r="AA16" s="264"/>
      <c r="AB16" s="264"/>
      <c r="AC16" s="264"/>
      <c r="AD16" s="264"/>
      <c r="AE16" s="264"/>
      <c r="AF16" s="264"/>
      <c r="AG16" s="264"/>
      <c r="AH16" s="36"/>
      <c r="AI16" s="36"/>
      <c r="AJ16" s="36"/>
      <c r="AK16" s="36"/>
      <c r="AL16" s="36"/>
      <c r="AM16" s="41"/>
      <c r="AN16" s="41"/>
      <c r="AO16" s="41"/>
      <c r="AP16" s="41"/>
      <c r="AQ16" s="41"/>
      <c r="AR16" s="41"/>
      <c r="AS16" s="41"/>
      <c r="AT16" s="41"/>
    </row>
    <row r="17" spans="1:46" ht="12.75" hidden="1" customHeight="1" x14ac:dyDescent="0.2">
      <c r="A17" s="357">
        <v>4</v>
      </c>
      <c r="B17" s="738"/>
      <c r="C17" s="739"/>
      <c r="D17" s="740"/>
      <c r="E17" s="731"/>
      <c r="F17" s="733"/>
      <c r="G17" s="88"/>
      <c r="H17" s="90"/>
      <c r="I17" s="90"/>
      <c r="J17" s="90"/>
      <c r="K17" s="90"/>
      <c r="L17" s="90"/>
      <c r="M17" s="218"/>
      <c r="N17" s="358"/>
      <c r="O17" s="355">
        <f>IF(J17="",1,J17)*(I17*(1+N17)*(K17+IF(RIGHT(M$13,2)="%]",(K17*M17),M17)-L17)+H17*L17)*PUC</f>
        <v>0</v>
      </c>
      <c r="P17" s="356">
        <f t="shared" si="0"/>
        <v>0</v>
      </c>
      <c r="S17" s="257">
        <f>IF(J17="",1,J17)*(I17*(K17-L17)+(H17*L17))*PUC</f>
        <v>0</v>
      </c>
      <c r="T17" s="257">
        <f>IF(J17="",1,J17)*(K17+IF(RIGHT(M$13,2)="%]",(K17*M17),M17)-L17)*(I17*N17)*PUC</f>
        <v>0</v>
      </c>
      <c r="U17" s="257">
        <f t="shared" si="1"/>
        <v>0</v>
      </c>
      <c r="V17" s="257">
        <f>IF(J17="",1,J17)*(I17*(1+N17)*(K17+IF(RIGHT(M$13,2)="%]",(K17*M17),M17)-L17)+H17*L17)*PUC</f>
        <v>0</v>
      </c>
      <c r="W17" s="258"/>
      <c r="X17" s="217"/>
      <c r="Y17" s="40"/>
      <c r="Z17" s="264"/>
      <c r="AA17" s="264"/>
      <c r="AB17" s="264"/>
      <c r="AC17" s="264"/>
      <c r="AD17" s="264"/>
      <c r="AE17" s="264"/>
      <c r="AF17" s="264"/>
      <c r="AG17" s="264"/>
      <c r="AH17" s="36"/>
      <c r="AI17" s="36"/>
      <c r="AJ17" s="36"/>
      <c r="AK17" s="36"/>
      <c r="AL17" s="36"/>
      <c r="AM17" s="41"/>
      <c r="AN17" s="41"/>
      <c r="AO17" s="41"/>
      <c r="AP17" s="41"/>
      <c r="AQ17" s="41"/>
      <c r="AR17" s="41"/>
      <c r="AS17" s="41"/>
      <c r="AT17" s="41"/>
    </row>
    <row r="18" spans="1:46" ht="12.75" hidden="1" customHeight="1" x14ac:dyDescent="0.2">
      <c r="A18" s="357">
        <v>5</v>
      </c>
      <c r="B18" s="738"/>
      <c r="C18" s="739"/>
      <c r="D18" s="740"/>
      <c r="E18" s="731"/>
      <c r="F18" s="733"/>
      <c r="G18" s="88"/>
      <c r="H18" s="90"/>
      <c r="I18" s="90"/>
      <c r="J18" s="90"/>
      <c r="K18" s="90"/>
      <c r="L18" s="90"/>
      <c r="M18" s="218"/>
      <c r="N18" s="358"/>
      <c r="O18" s="355">
        <f t="shared" ref="O18:O30" si="2">IF(J18="",1,J18)*(I18*(1+N18)*(K18+IF(RIGHT(M$13,2)="%]",(K18*M18),M18)-L18)+H18*L18)*PUC</f>
        <v>0</v>
      </c>
      <c r="P18" s="356">
        <f t="shared" si="0"/>
        <v>0</v>
      </c>
      <c r="S18" s="257">
        <f t="shared" ref="S18:S30" si="3">IF(J18="",1,J18)*(I18*(K18-L18)+(H18*L18))*PUC</f>
        <v>0</v>
      </c>
      <c r="T18" s="257">
        <f t="shared" ref="T18:T30" si="4">IF(J18="",1,J18)*(K18+IF(RIGHT(M$13,2)="%]",(K18*M18),M18)-L18)*(I18*N18)*PUC</f>
        <v>0</v>
      </c>
      <c r="U18" s="257">
        <f t="shared" si="1"/>
        <v>0</v>
      </c>
      <c r="V18" s="257">
        <f t="shared" ref="V18:V30" si="5">IF(J18="",1,J18)*(I18*(1+N18)*(K18+IF(RIGHT(M$13,2)="%]",(K18*M18),M18)-L18)+H18*L18)*PUC</f>
        <v>0</v>
      </c>
      <c r="W18" s="258"/>
      <c r="X18" s="217"/>
      <c r="Y18" s="40"/>
      <c r="Z18" s="264"/>
      <c r="AA18" s="264"/>
      <c r="AB18" s="264"/>
      <c r="AC18" s="264"/>
      <c r="AD18" s="264"/>
      <c r="AE18" s="264"/>
      <c r="AF18" s="264"/>
      <c r="AG18" s="264"/>
      <c r="AH18" s="54"/>
      <c r="AI18" s="36"/>
      <c r="AJ18" s="36"/>
      <c r="AK18" s="36"/>
      <c r="AL18" s="36"/>
      <c r="AM18" s="41"/>
      <c r="AN18" s="41"/>
      <c r="AO18" s="41"/>
      <c r="AP18" s="41"/>
      <c r="AQ18" s="41"/>
      <c r="AR18" s="41"/>
      <c r="AS18" s="41"/>
      <c r="AT18" s="41"/>
    </row>
    <row r="19" spans="1:46" ht="12.75" hidden="1" customHeight="1" x14ac:dyDescent="0.2">
      <c r="A19" s="357">
        <v>6</v>
      </c>
      <c r="B19" s="738"/>
      <c r="C19" s="739"/>
      <c r="D19" s="740"/>
      <c r="E19" s="731"/>
      <c r="F19" s="733"/>
      <c r="G19" s="88"/>
      <c r="H19" s="90"/>
      <c r="I19" s="90"/>
      <c r="J19" s="90"/>
      <c r="K19" s="90"/>
      <c r="L19" s="90"/>
      <c r="M19" s="218"/>
      <c r="N19" s="358"/>
      <c r="O19" s="355">
        <f t="shared" si="2"/>
        <v>0</v>
      </c>
      <c r="P19" s="356">
        <f t="shared" si="0"/>
        <v>0</v>
      </c>
      <c r="S19" s="257">
        <f t="shared" si="3"/>
        <v>0</v>
      </c>
      <c r="T19" s="257">
        <f t="shared" si="4"/>
        <v>0</v>
      </c>
      <c r="U19" s="257">
        <f t="shared" si="1"/>
        <v>0</v>
      </c>
      <c r="V19" s="257">
        <f t="shared" si="5"/>
        <v>0</v>
      </c>
      <c r="W19" s="258"/>
      <c r="X19" s="217"/>
      <c r="Y19" s="40"/>
      <c r="Z19" s="264"/>
      <c r="AA19" s="264"/>
      <c r="AB19" s="264"/>
      <c r="AC19" s="264"/>
      <c r="AD19" s="264"/>
      <c r="AE19" s="264"/>
      <c r="AF19" s="264"/>
      <c r="AG19" s="264"/>
      <c r="AH19" s="36"/>
      <c r="AI19" s="36"/>
      <c r="AJ19" s="36"/>
      <c r="AK19" s="36"/>
      <c r="AL19" s="36"/>
      <c r="AM19" s="41"/>
      <c r="AN19" s="41"/>
      <c r="AO19" s="41"/>
      <c r="AP19" s="41"/>
      <c r="AQ19" s="41"/>
      <c r="AR19" s="41"/>
      <c r="AS19" s="41"/>
      <c r="AT19" s="41"/>
    </row>
    <row r="20" spans="1:46" ht="12.75" hidden="1" customHeight="1" x14ac:dyDescent="0.2">
      <c r="A20" s="357">
        <v>7</v>
      </c>
      <c r="B20" s="738"/>
      <c r="C20" s="739"/>
      <c r="D20" s="740"/>
      <c r="E20" s="731"/>
      <c r="F20" s="733"/>
      <c r="G20" s="88"/>
      <c r="H20" s="90"/>
      <c r="I20" s="90"/>
      <c r="J20" s="90"/>
      <c r="K20" s="90"/>
      <c r="L20" s="90"/>
      <c r="M20" s="218"/>
      <c r="N20" s="358"/>
      <c r="O20" s="355">
        <f t="shared" si="2"/>
        <v>0</v>
      </c>
      <c r="P20" s="356">
        <f t="shared" si="0"/>
        <v>0</v>
      </c>
      <c r="S20" s="257">
        <f t="shared" si="3"/>
        <v>0</v>
      </c>
      <c r="T20" s="257">
        <f t="shared" si="4"/>
        <v>0</v>
      </c>
      <c r="U20" s="257">
        <f t="shared" si="1"/>
        <v>0</v>
      </c>
      <c r="V20" s="257">
        <f t="shared" si="5"/>
        <v>0</v>
      </c>
      <c r="W20" s="258"/>
      <c r="X20" s="217"/>
      <c r="Y20" s="42"/>
      <c r="Z20" s="264"/>
      <c r="AA20" s="264"/>
      <c r="AB20" s="264"/>
      <c r="AC20" s="264"/>
      <c r="AD20" s="264"/>
      <c r="AE20" s="264"/>
      <c r="AF20" s="264"/>
      <c r="AG20" s="264"/>
      <c r="AH20" s="36"/>
      <c r="AI20" s="36"/>
      <c r="AJ20" s="36"/>
      <c r="AK20" s="36"/>
      <c r="AL20" s="36"/>
      <c r="AM20" s="42"/>
      <c r="AN20" s="42"/>
      <c r="AO20" s="42"/>
      <c r="AP20" s="42"/>
      <c r="AQ20" s="42"/>
      <c r="AR20" s="42"/>
      <c r="AS20" s="42"/>
      <c r="AT20" s="42"/>
    </row>
    <row r="21" spans="1:46" ht="12.75" hidden="1" customHeight="1" x14ac:dyDescent="0.2">
      <c r="A21" s="357">
        <v>8</v>
      </c>
      <c r="B21" s="738"/>
      <c r="C21" s="739"/>
      <c r="D21" s="740"/>
      <c r="E21" s="731"/>
      <c r="F21" s="733"/>
      <c r="G21" s="88"/>
      <c r="H21" s="90"/>
      <c r="I21" s="90"/>
      <c r="J21" s="90"/>
      <c r="K21" s="90"/>
      <c r="L21" s="90"/>
      <c r="M21" s="218"/>
      <c r="N21" s="358"/>
      <c r="O21" s="355">
        <f t="shared" si="2"/>
        <v>0</v>
      </c>
      <c r="P21" s="356">
        <f t="shared" si="0"/>
        <v>0</v>
      </c>
      <c r="S21" s="257">
        <f t="shared" si="3"/>
        <v>0</v>
      </c>
      <c r="T21" s="257">
        <f t="shared" si="4"/>
        <v>0</v>
      </c>
      <c r="U21" s="257">
        <f t="shared" si="1"/>
        <v>0</v>
      </c>
      <c r="V21" s="257">
        <f t="shared" si="5"/>
        <v>0</v>
      </c>
      <c r="W21" s="258"/>
      <c r="X21" s="217"/>
      <c r="Y21" s="42"/>
      <c r="Z21" s="264"/>
      <c r="AA21" s="264"/>
      <c r="AB21" s="264"/>
      <c r="AC21" s="264"/>
      <c r="AD21" s="264"/>
      <c r="AE21" s="264"/>
      <c r="AF21" s="264"/>
      <c r="AG21" s="264"/>
      <c r="AH21" s="36"/>
      <c r="AI21" s="36"/>
      <c r="AJ21" s="36"/>
      <c r="AK21" s="36"/>
      <c r="AL21" s="36"/>
      <c r="AM21" s="42"/>
      <c r="AN21" s="42"/>
      <c r="AO21" s="42"/>
      <c r="AP21" s="42"/>
      <c r="AQ21" s="42"/>
      <c r="AR21" s="42"/>
      <c r="AS21" s="42"/>
      <c r="AT21" s="42"/>
    </row>
    <row r="22" spans="1:46" ht="12.75" hidden="1" customHeight="1" x14ac:dyDescent="0.2">
      <c r="A22" s="357">
        <v>9</v>
      </c>
      <c r="B22" s="738"/>
      <c r="C22" s="739"/>
      <c r="D22" s="740"/>
      <c r="E22" s="731"/>
      <c r="F22" s="733"/>
      <c r="G22" s="88"/>
      <c r="H22" s="90"/>
      <c r="I22" s="90"/>
      <c r="J22" s="90"/>
      <c r="K22" s="90"/>
      <c r="L22" s="90"/>
      <c r="M22" s="218"/>
      <c r="N22" s="358"/>
      <c r="O22" s="355">
        <f t="shared" si="2"/>
        <v>0</v>
      </c>
      <c r="P22" s="356">
        <f t="shared" si="0"/>
        <v>0</v>
      </c>
      <c r="S22" s="257">
        <f t="shared" si="3"/>
        <v>0</v>
      </c>
      <c r="T22" s="257">
        <f t="shared" si="4"/>
        <v>0</v>
      </c>
      <c r="U22" s="257">
        <f t="shared" si="1"/>
        <v>0</v>
      </c>
      <c r="V22" s="257">
        <f t="shared" si="5"/>
        <v>0</v>
      </c>
      <c r="W22" s="258"/>
      <c r="X22" s="217"/>
      <c r="Y22" s="42"/>
      <c r="Z22" s="264"/>
      <c r="AA22" s="264"/>
      <c r="AB22" s="264"/>
      <c r="AC22" s="264"/>
      <c r="AD22" s="264"/>
      <c r="AE22" s="264"/>
      <c r="AF22" s="264"/>
      <c r="AG22" s="264"/>
      <c r="AH22" s="36"/>
      <c r="AI22" s="36"/>
      <c r="AJ22" s="36"/>
      <c r="AK22" s="36"/>
      <c r="AL22" s="36"/>
      <c r="AM22" s="42"/>
      <c r="AN22" s="42"/>
      <c r="AO22" s="42"/>
      <c r="AP22" s="42"/>
      <c r="AQ22" s="42"/>
      <c r="AR22" s="42"/>
      <c r="AS22" s="42"/>
      <c r="AT22" s="42"/>
    </row>
    <row r="23" spans="1:46" ht="12.75" hidden="1" customHeight="1" x14ac:dyDescent="0.2">
      <c r="A23" s="357">
        <v>10</v>
      </c>
      <c r="B23" s="738"/>
      <c r="C23" s="739"/>
      <c r="D23" s="740"/>
      <c r="E23" s="731"/>
      <c r="F23" s="733"/>
      <c r="G23" s="88"/>
      <c r="H23" s="90"/>
      <c r="I23" s="90"/>
      <c r="J23" s="90"/>
      <c r="K23" s="90"/>
      <c r="L23" s="90"/>
      <c r="M23" s="218"/>
      <c r="N23" s="358"/>
      <c r="O23" s="355">
        <f t="shared" si="2"/>
        <v>0</v>
      </c>
      <c r="P23" s="356">
        <f t="shared" si="0"/>
        <v>0</v>
      </c>
      <c r="S23" s="257">
        <f t="shared" si="3"/>
        <v>0</v>
      </c>
      <c r="T23" s="257">
        <f t="shared" si="4"/>
        <v>0</v>
      </c>
      <c r="U23" s="257">
        <f t="shared" si="1"/>
        <v>0</v>
      </c>
      <c r="V23" s="257">
        <f t="shared" si="5"/>
        <v>0</v>
      </c>
      <c r="W23" s="258"/>
      <c r="X23" s="217"/>
      <c r="Y23" s="42"/>
      <c r="Z23" s="264"/>
      <c r="AA23" s="264"/>
      <c r="AB23" s="264"/>
      <c r="AC23" s="264"/>
      <c r="AD23" s="264"/>
      <c r="AE23" s="264"/>
      <c r="AF23" s="264"/>
      <c r="AG23" s="264"/>
      <c r="AH23" s="36"/>
      <c r="AI23" s="36"/>
      <c r="AJ23" s="36"/>
      <c r="AK23" s="36"/>
      <c r="AL23" s="36"/>
      <c r="AM23" s="42"/>
      <c r="AN23" s="42"/>
      <c r="AO23" s="42"/>
      <c r="AP23" s="42"/>
      <c r="AQ23" s="42"/>
      <c r="AR23" s="42"/>
      <c r="AS23" s="42"/>
      <c r="AT23" s="42"/>
    </row>
    <row r="24" spans="1:46" ht="12.75" hidden="1" customHeight="1" x14ac:dyDescent="0.2">
      <c r="A24" s="357">
        <v>11</v>
      </c>
      <c r="B24" s="738"/>
      <c r="C24" s="739"/>
      <c r="D24" s="740"/>
      <c r="E24" s="731"/>
      <c r="F24" s="733"/>
      <c r="G24" s="88"/>
      <c r="H24" s="90"/>
      <c r="I24" s="90"/>
      <c r="J24" s="90"/>
      <c r="K24" s="90"/>
      <c r="L24" s="90"/>
      <c r="M24" s="218"/>
      <c r="N24" s="358"/>
      <c r="O24" s="355">
        <f>IF(J24="",1,J24)*(I24*(1+N24)*(K24+IF(RIGHT(M$13,2)="%]",(K24*M24),M24)-L24)+H24*L24)*PUC</f>
        <v>0</v>
      </c>
      <c r="P24" s="356">
        <f t="shared" si="0"/>
        <v>0</v>
      </c>
      <c r="S24" s="257">
        <f>IF(J24="",1,J24)*(I24*(K24-L24)+(H24*L24))*PUC</f>
        <v>0</v>
      </c>
      <c r="T24" s="257">
        <f>IF(J24="",1,J24)*(K24+IF(RIGHT(M$13,2)="%]",(K24*M24),M24)-L24)*(I24*N24)*PUC</f>
        <v>0</v>
      </c>
      <c r="U24" s="257">
        <f t="shared" si="1"/>
        <v>0</v>
      </c>
      <c r="V24" s="257">
        <f>IF(J24="",1,J24)*(I24*(1+N24)*(K24+IF(RIGHT(M$13,2)="%]",(K24*M24),M24)-L24)+H24*L24)*PUC</f>
        <v>0</v>
      </c>
      <c r="W24" s="258"/>
      <c r="X24" s="217"/>
      <c r="Y24" s="42"/>
      <c r="Z24" s="264"/>
      <c r="AA24" s="264"/>
      <c r="AB24" s="264"/>
      <c r="AC24" s="264"/>
      <c r="AD24" s="264"/>
      <c r="AE24" s="264"/>
      <c r="AF24" s="264"/>
      <c r="AG24" s="264"/>
      <c r="AH24" s="36"/>
      <c r="AI24" s="36"/>
      <c r="AJ24" s="36"/>
      <c r="AK24" s="36"/>
      <c r="AL24" s="36"/>
      <c r="AM24" s="42"/>
      <c r="AN24" s="42"/>
      <c r="AO24" s="42"/>
      <c r="AP24" s="42"/>
      <c r="AQ24" s="42"/>
      <c r="AR24" s="42"/>
      <c r="AS24" s="42"/>
      <c r="AT24" s="42"/>
    </row>
    <row r="25" spans="1:46" ht="12.75" hidden="1" customHeight="1" x14ac:dyDescent="0.2">
      <c r="A25" s="357">
        <v>12</v>
      </c>
      <c r="B25" s="738"/>
      <c r="C25" s="739"/>
      <c r="D25" s="740"/>
      <c r="E25" s="731"/>
      <c r="F25" s="733"/>
      <c r="G25" s="88"/>
      <c r="H25" s="90"/>
      <c r="I25" s="90"/>
      <c r="J25" s="90"/>
      <c r="K25" s="90"/>
      <c r="L25" s="90"/>
      <c r="M25" s="218"/>
      <c r="N25" s="358"/>
      <c r="O25" s="355">
        <f>IF(J25="",1,J25)*(I25*(1+N25)*(K25+IF(RIGHT(M$13,2)="%]",(K25*M25),M25)-L25)+H25*L25)*PUC</f>
        <v>0</v>
      </c>
      <c r="P25" s="356">
        <f t="shared" si="0"/>
        <v>0</v>
      </c>
      <c r="S25" s="257">
        <f>IF(J25="",1,J25)*(I25*(K25-L25)+(H25*L25))*PUC</f>
        <v>0</v>
      </c>
      <c r="T25" s="257">
        <f>IF(J25="",1,J25)*(K25+IF(RIGHT(M$13,2)="%]",(K25*M25),M25)-L25)*(I25*N25)*PUC</f>
        <v>0</v>
      </c>
      <c r="U25" s="257">
        <f t="shared" si="1"/>
        <v>0</v>
      </c>
      <c r="V25" s="257">
        <f>IF(J25="",1,J25)*(I25*(1+N25)*(K25+IF(RIGHT(M$13,2)="%]",(K25*M25),M25)-L25)+H25*L25)*PUC</f>
        <v>0</v>
      </c>
      <c r="W25" s="258"/>
      <c r="X25" s="217"/>
      <c r="Y25" s="42"/>
      <c r="Z25" s="264"/>
      <c r="AA25" s="264"/>
      <c r="AB25" s="264"/>
      <c r="AC25" s="264"/>
      <c r="AD25" s="264"/>
      <c r="AE25" s="264"/>
      <c r="AF25" s="264"/>
      <c r="AG25" s="264"/>
      <c r="AH25" s="36"/>
      <c r="AI25" s="36"/>
      <c r="AJ25" s="36"/>
      <c r="AK25" s="36"/>
      <c r="AL25" s="36"/>
      <c r="AM25" s="42"/>
      <c r="AN25" s="42"/>
      <c r="AO25" s="42"/>
      <c r="AP25" s="42"/>
      <c r="AQ25" s="42"/>
      <c r="AR25" s="42"/>
      <c r="AS25" s="42"/>
      <c r="AT25" s="42"/>
    </row>
    <row r="26" spans="1:46" ht="12.75" hidden="1" customHeight="1" x14ac:dyDescent="0.2">
      <c r="A26" s="357">
        <v>13</v>
      </c>
      <c r="B26" s="738"/>
      <c r="C26" s="739"/>
      <c r="D26" s="740"/>
      <c r="E26" s="731"/>
      <c r="F26" s="733"/>
      <c r="G26" s="88"/>
      <c r="H26" s="90"/>
      <c r="I26" s="90"/>
      <c r="J26" s="90"/>
      <c r="K26" s="90"/>
      <c r="L26" s="90"/>
      <c r="M26" s="218"/>
      <c r="N26" s="358"/>
      <c r="O26" s="355">
        <f>IF(J26="",1,J26)*(I26*(1+N26)*(K26+IF(RIGHT(M$13,2)="%]",(K26*M26),M26)-L26)+H26*L26)*PUC</f>
        <v>0</v>
      </c>
      <c r="P26" s="356">
        <f t="shared" si="0"/>
        <v>0</v>
      </c>
      <c r="S26" s="257">
        <f>IF(J26="",1,J26)*(I26*(K26-L26)+(H26*L26))*PUC</f>
        <v>0</v>
      </c>
      <c r="T26" s="257">
        <f>IF(J26="",1,J26)*(K26+IF(RIGHT(M$13,2)="%]",(K26*M26),M26)-L26)*(I26*N26)*PUC</f>
        <v>0</v>
      </c>
      <c r="U26" s="257">
        <f t="shared" si="1"/>
        <v>0</v>
      </c>
      <c r="V26" s="257">
        <f>IF(J26="",1,J26)*(I26*(1+N26)*(K26+IF(RIGHT(M$13,2)="%]",(K26*M26),M26)-L26)+H26*L26)*PUC</f>
        <v>0</v>
      </c>
      <c r="W26" s="258"/>
      <c r="X26" s="217"/>
      <c r="Y26" s="42"/>
      <c r="Z26" s="264"/>
      <c r="AA26" s="264"/>
      <c r="AB26" s="264"/>
      <c r="AC26" s="264"/>
      <c r="AD26" s="264"/>
      <c r="AE26" s="264"/>
      <c r="AF26" s="264"/>
      <c r="AG26" s="264"/>
      <c r="AH26" s="36"/>
      <c r="AI26" s="36"/>
      <c r="AJ26" s="36"/>
      <c r="AK26" s="36"/>
      <c r="AL26" s="36"/>
      <c r="AM26" s="42"/>
      <c r="AN26" s="42"/>
      <c r="AO26" s="42"/>
      <c r="AP26" s="42"/>
      <c r="AQ26" s="42"/>
      <c r="AR26" s="42"/>
      <c r="AS26" s="42"/>
      <c r="AT26" s="42"/>
    </row>
    <row r="27" spans="1:46" ht="12.75" hidden="1" customHeight="1" x14ac:dyDescent="0.2">
      <c r="A27" s="357">
        <v>14</v>
      </c>
      <c r="B27" s="738"/>
      <c r="C27" s="739"/>
      <c r="D27" s="740"/>
      <c r="E27" s="731"/>
      <c r="F27" s="733"/>
      <c r="G27" s="88"/>
      <c r="H27" s="90"/>
      <c r="I27" s="90"/>
      <c r="J27" s="90"/>
      <c r="K27" s="90"/>
      <c r="L27" s="90"/>
      <c r="M27" s="218"/>
      <c r="N27" s="358"/>
      <c r="O27" s="355">
        <f>IF(J27="",1,J27)*(I27*(1+N27)*(K27+IF(RIGHT(M$13,2)="%]",(K27*M27),M27)-L27)+H27*L27)*PUC</f>
        <v>0</v>
      </c>
      <c r="P27" s="356">
        <f t="shared" si="0"/>
        <v>0</v>
      </c>
      <c r="S27" s="257">
        <f>IF(J27="",1,J27)*(I27*(K27-L27)+(H27*L27))*PUC</f>
        <v>0</v>
      </c>
      <c r="T27" s="257">
        <f>IF(J27="",1,J27)*(K27+IF(RIGHT(M$13,2)="%]",(K27*M27),M27)-L27)*(I27*N27)*PUC</f>
        <v>0</v>
      </c>
      <c r="U27" s="257">
        <f t="shared" si="1"/>
        <v>0</v>
      </c>
      <c r="V27" s="257">
        <f>IF(J27="",1,J27)*(I27*(1+N27)*(K27+IF(RIGHT(M$13,2)="%]",(K27*M27),M27)-L27)+H27*L27)*PUC</f>
        <v>0</v>
      </c>
      <c r="W27" s="258"/>
      <c r="X27" s="217"/>
      <c r="Y27" s="42"/>
      <c r="Z27" s="264"/>
      <c r="AA27" s="264"/>
      <c r="AB27" s="264"/>
      <c r="AC27" s="264"/>
      <c r="AD27" s="264"/>
      <c r="AE27" s="264"/>
      <c r="AF27" s="264"/>
      <c r="AG27" s="264"/>
      <c r="AH27" s="36"/>
      <c r="AI27" s="36"/>
      <c r="AJ27" s="36"/>
      <c r="AK27" s="36"/>
      <c r="AL27" s="36"/>
      <c r="AM27" s="42"/>
      <c r="AN27" s="42"/>
      <c r="AO27" s="42"/>
      <c r="AP27" s="42"/>
      <c r="AQ27" s="42"/>
      <c r="AR27" s="42"/>
      <c r="AS27" s="42"/>
      <c r="AT27" s="42"/>
    </row>
    <row r="28" spans="1:46" ht="12.75" hidden="1" customHeight="1" x14ac:dyDescent="0.2">
      <c r="A28" s="357">
        <v>15</v>
      </c>
      <c r="B28" s="738"/>
      <c r="C28" s="739"/>
      <c r="D28" s="740"/>
      <c r="E28" s="731"/>
      <c r="F28" s="733"/>
      <c r="G28" s="88"/>
      <c r="H28" s="90"/>
      <c r="I28" s="90"/>
      <c r="J28" s="90"/>
      <c r="K28" s="90"/>
      <c r="L28" s="90"/>
      <c r="M28" s="218"/>
      <c r="N28" s="358"/>
      <c r="O28" s="355">
        <f>IF(J28="",1,J28)*(I28*(1+N28)*(K28+IF(RIGHT(M$13,2)="%]",(K28*M28),M28)-L28)+H28*L28)*PUC</f>
        <v>0</v>
      </c>
      <c r="P28" s="356">
        <f t="shared" si="0"/>
        <v>0</v>
      </c>
      <c r="S28" s="257">
        <f>IF(J28="",1,J28)*(I28*(K28-L28)+(H28*L28))*PUC</f>
        <v>0</v>
      </c>
      <c r="T28" s="257">
        <f>IF(J28="",1,J28)*(K28+IF(RIGHT(M$13,2)="%]",(K28*M28),M28)-L28)*(I28*N28)*PUC</f>
        <v>0</v>
      </c>
      <c r="U28" s="257">
        <f t="shared" si="1"/>
        <v>0</v>
      </c>
      <c r="V28" s="257">
        <f>IF(J28="",1,J28)*(I28*(1+N28)*(K28+IF(RIGHT(M$13,2)="%]",(K28*M28),M28)-L28)+H28*L28)*PUC</f>
        <v>0</v>
      </c>
      <c r="W28" s="258"/>
      <c r="X28" s="217"/>
      <c r="Y28" s="42"/>
      <c r="Z28" s="264"/>
      <c r="AA28" s="264"/>
      <c r="AB28" s="264"/>
      <c r="AC28" s="264"/>
      <c r="AD28" s="264"/>
      <c r="AE28" s="264"/>
      <c r="AF28" s="264"/>
      <c r="AG28" s="264"/>
      <c r="AH28" s="36"/>
      <c r="AI28" s="36"/>
      <c r="AJ28" s="36"/>
      <c r="AK28" s="36"/>
      <c r="AL28" s="36"/>
      <c r="AM28" s="42"/>
      <c r="AN28" s="42"/>
      <c r="AO28" s="42"/>
      <c r="AP28" s="42"/>
      <c r="AQ28" s="42"/>
      <c r="AR28" s="42"/>
      <c r="AS28" s="42"/>
      <c r="AT28" s="42"/>
    </row>
    <row r="29" spans="1:46" ht="12.75" hidden="1" customHeight="1" x14ac:dyDescent="0.2">
      <c r="A29" s="357">
        <v>16</v>
      </c>
      <c r="B29" s="738"/>
      <c r="C29" s="739"/>
      <c r="D29" s="740"/>
      <c r="E29" s="731"/>
      <c r="F29" s="733"/>
      <c r="G29" s="88"/>
      <c r="H29" s="90"/>
      <c r="I29" s="90"/>
      <c r="J29" s="90"/>
      <c r="K29" s="90"/>
      <c r="L29" s="90"/>
      <c r="M29" s="218"/>
      <c r="N29" s="358"/>
      <c r="O29" s="355">
        <f t="shared" si="2"/>
        <v>0</v>
      </c>
      <c r="P29" s="356">
        <f t="shared" si="0"/>
        <v>0</v>
      </c>
      <c r="S29" s="257">
        <f t="shared" si="3"/>
        <v>0</v>
      </c>
      <c r="T29" s="257">
        <f t="shared" si="4"/>
        <v>0</v>
      </c>
      <c r="U29" s="257">
        <f t="shared" si="1"/>
        <v>0</v>
      </c>
      <c r="V29" s="257">
        <f t="shared" si="5"/>
        <v>0</v>
      </c>
      <c r="W29" s="258"/>
      <c r="X29" s="217"/>
      <c r="Y29" s="42"/>
      <c r="Z29" s="264"/>
      <c r="AA29" s="264"/>
      <c r="AB29" s="264"/>
      <c r="AC29" s="264"/>
      <c r="AD29" s="264"/>
      <c r="AE29" s="264"/>
      <c r="AF29" s="264"/>
      <c r="AG29" s="264"/>
      <c r="AH29" s="36"/>
      <c r="AI29" s="36"/>
      <c r="AJ29" s="36"/>
      <c r="AK29" s="36"/>
      <c r="AL29" s="36"/>
      <c r="AM29" s="42"/>
      <c r="AN29" s="42"/>
      <c r="AO29" s="42"/>
      <c r="AP29" s="42"/>
      <c r="AQ29" s="42"/>
      <c r="AR29" s="42"/>
      <c r="AS29" s="42"/>
      <c r="AT29" s="42"/>
    </row>
    <row r="30" spans="1:46" ht="12.75" hidden="1" customHeight="1" x14ac:dyDescent="0.2">
      <c r="A30" s="357">
        <v>17</v>
      </c>
      <c r="B30" s="738"/>
      <c r="C30" s="739"/>
      <c r="D30" s="740"/>
      <c r="E30" s="731"/>
      <c r="F30" s="733"/>
      <c r="G30" s="88"/>
      <c r="H30" s="90"/>
      <c r="I30" s="90"/>
      <c r="J30" s="90"/>
      <c r="K30" s="90"/>
      <c r="L30" s="90"/>
      <c r="M30" s="218"/>
      <c r="N30" s="358"/>
      <c r="O30" s="355">
        <f t="shared" si="2"/>
        <v>0</v>
      </c>
      <c r="P30" s="356">
        <f t="shared" si="0"/>
        <v>0</v>
      </c>
      <c r="S30" s="257">
        <f t="shared" si="3"/>
        <v>0</v>
      </c>
      <c r="T30" s="257">
        <f t="shared" si="4"/>
        <v>0</v>
      </c>
      <c r="U30" s="257">
        <f t="shared" si="1"/>
        <v>0</v>
      </c>
      <c r="V30" s="257">
        <f t="shared" si="5"/>
        <v>0</v>
      </c>
      <c r="W30" s="258"/>
      <c r="X30" s="217"/>
      <c r="Y30" s="42"/>
      <c r="Z30" s="264"/>
      <c r="AA30" s="264"/>
      <c r="AB30" s="264"/>
      <c r="AC30" s="264"/>
      <c r="AD30" s="264"/>
      <c r="AE30" s="264"/>
      <c r="AF30" s="264"/>
      <c r="AG30" s="264"/>
      <c r="AH30" s="36"/>
      <c r="AI30" s="36"/>
      <c r="AJ30" s="36"/>
      <c r="AK30" s="36"/>
      <c r="AL30" s="36"/>
      <c r="AM30" s="42"/>
      <c r="AN30" s="42"/>
      <c r="AO30" s="42"/>
      <c r="AP30" s="42"/>
      <c r="AQ30" s="42"/>
      <c r="AR30" s="42"/>
      <c r="AS30" s="42"/>
      <c r="AT30" s="42"/>
    </row>
    <row r="31" spans="1:46" ht="12.75" hidden="1" customHeight="1" x14ac:dyDescent="0.2">
      <c r="A31" s="357">
        <v>18</v>
      </c>
      <c r="B31" s="738"/>
      <c r="C31" s="739"/>
      <c r="D31" s="740"/>
      <c r="E31" s="731"/>
      <c r="F31" s="733"/>
      <c r="G31" s="88"/>
      <c r="H31" s="90"/>
      <c r="I31" s="90"/>
      <c r="J31" s="90"/>
      <c r="K31" s="90"/>
      <c r="L31" s="90"/>
      <c r="M31" s="218"/>
      <c r="N31" s="358"/>
      <c r="O31" s="355">
        <f>IF(J31="",1,J31)*(I31*(1+N31)*(K31+IF(RIGHT(M$13,2)="%]",(K31*M31),M31)-L31)+H31*L31)*PUC</f>
        <v>0</v>
      </c>
      <c r="P31" s="356">
        <f t="shared" si="0"/>
        <v>0</v>
      </c>
      <c r="S31" s="257">
        <f>IF(J31="",1,J31)*(I31*(K31-L31)+(H31*L31))*PUC</f>
        <v>0</v>
      </c>
      <c r="T31" s="257">
        <f>IF(J31="",1,J31)*(K31+IF(RIGHT(M$13,2)="%]",(K31*M31),M31)-L31)*(I31*N31)*PUC</f>
        <v>0</v>
      </c>
      <c r="U31" s="257">
        <f t="shared" si="1"/>
        <v>0</v>
      </c>
      <c r="V31" s="257">
        <f>IF(J31="",1,J31)*(I31*(1+N31)*(K31+IF(RIGHT(M$13,2)="%]",(K31*M31),M31)-L31)+H31*L31)*PUC</f>
        <v>0</v>
      </c>
      <c r="W31" s="258"/>
      <c r="X31" s="217"/>
      <c r="Y31" s="42"/>
      <c r="Z31" s="264"/>
      <c r="AA31" s="264"/>
      <c r="AB31" s="264"/>
      <c r="AC31" s="264"/>
      <c r="AD31" s="264"/>
      <c r="AE31" s="264"/>
      <c r="AF31" s="264"/>
      <c r="AG31" s="264"/>
      <c r="AH31" s="36"/>
      <c r="AI31" s="36"/>
      <c r="AJ31" s="36"/>
      <c r="AK31" s="36"/>
      <c r="AL31" s="36"/>
      <c r="AM31" s="42"/>
      <c r="AN31" s="42"/>
      <c r="AO31" s="42"/>
      <c r="AP31" s="42"/>
      <c r="AQ31" s="42"/>
      <c r="AR31" s="42"/>
      <c r="AS31" s="42"/>
      <c r="AT31" s="42"/>
    </row>
    <row r="32" spans="1:46" ht="12.75" hidden="1" customHeight="1" x14ac:dyDescent="0.2">
      <c r="A32" s="357">
        <v>19</v>
      </c>
      <c r="B32" s="738"/>
      <c r="C32" s="739"/>
      <c r="D32" s="740"/>
      <c r="E32" s="731"/>
      <c r="F32" s="733"/>
      <c r="G32" s="88"/>
      <c r="H32" s="90"/>
      <c r="I32" s="90"/>
      <c r="J32" s="90"/>
      <c r="K32" s="90"/>
      <c r="L32" s="90"/>
      <c r="M32" s="218"/>
      <c r="N32" s="358"/>
      <c r="O32" s="355">
        <f>IF(J32="",1,J32)*(I32*(1+N32)*(K32+IF(RIGHT(M$13,2)="%]",(K32*M32),M32)-L32)+H32*L32)*PUC</f>
        <v>0</v>
      </c>
      <c r="P32" s="356">
        <f t="shared" si="0"/>
        <v>0</v>
      </c>
      <c r="S32" s="257">
        <f>IF(J32="",1,J32)*(I32*(K32-L32)+(H32*L32))*PUC</f>
        <v>0</v>
      </c>
      <c r="T32" s="257">
        <f>IF(J32="",1,J32)*(K32+IF(RIGHT(M$13,2)="%]",(K32*M32),M32)-L32)*(I32*N32)*PUC</f>
        <v>0</v>
      </c>
      <c r="U32" s="257">
        <f t="shared" si="1"/>
        <v>0</v>
      </c>
      <c r="V32" s="257">
        <f>IF(J32="",1,J32)*(I32*(1+N32)*(K32+IF(RIGHT(M$13,2)="%]",(K32*M32),M32)-L32)+H32*L32)*PUC</f>
        <v>0</v>
      </c>
      <c r="W32" s="258"/>
      <c r="X32" s="217"/>
      <c r="Y32" s="42"/>
      <c r="Z32" s="264"/>
      <c r="AA32" s="264"/>
      <c r="AB32" s="264"/>
      <c r="AC32" s="264"/>
      <c r="AD32" s="264"/>
      <c r="AE32" s="264"/>
      <c r="AF32" s="264"/>
      <c r="AG32" s="264"/>
      <c r="AH32" s="36"/>
      <c r="AI32" s="36"/>
      <c r="AJ32" s="36"/>
      <c r="AK32" s="36"/>
      <c r="AL32" s="36"/>
      <c r="AM32" s="42"/>
      <c r="AN32" s="42"/>
      <c r="AO32" s="42"/>
      <c r="AP32" s="42"/>
      <c r="AQ32" s="42"/>
      <c r="AR32" s="42"/>
      <c r="AS32" s="42"/>
      <c r="AT32" s="42"/>
    </row>
    <row r="33" spans="1:46" ht="12.75" hidden="1" customHeight="1" x14ac:dyDescent="0.2">
      <c r="A33" s="357">
        <v>20</v>
      </c>
      <c r="B33" s="741"/>
      <c r="C33" s="742"/>
      <c r="D33" s="743"/>
      <c r="E33" s="731"/>
      <c r="F33" s="733"/>
      <c r="G33" s="88"/>
      <c r="H33" s="90"/>
      <c r="I33" s="90"/>
      <c r="J33" s="90"/>
      <c r="K33" s="90"/>
      <c r="L33" s="90"/>
      <c r="M33" s="218"/>
      <c r="N33" s="358"/>
      <c r="O33" s="355">
        <f>IF(J33="",1,J33)*(I33*(1+N33)*(K33+IF(RIGHT(M$13,2)="%]",(K33*M33),M33)-L33)+H33*L33)*PUC</f>
        <v>0</v>
      </c>
      <c r="P33" s="356">
        <f t="shared" si="0"/>
        <v>0</v>
      </c>
      <c r="S33" s="257">
        <f>IF(J33="",1,J33)*(I33*(K33-L33)+(H33*L33))*PUC</f>
        <v>0</v>
      </c>
      <c r="T33" s="257">
        <f>IF(J33="",1,J33)*(K33+IF(RIGHT(M$13,2)="%]",(K33*M33),M33)-L33)*(I33*N33)*PUC</f>
        <v>0</v>
      </c>
      <c r="U33" s="257">
        <f t="shared" si="1"/>
        <v>0</v>
      </c>
      <c r="V33" s="257">
        <f>IF(J33="",1,J33)*(I33*(1+N33)*(K33+IF(RIGHT(M$13,2)="%]",(K33*M33),M33)-L33)+H33*L33)*PUC</f>
        <v>0</v>
      </c>
      <c r="W33" s="258"/>
      <c r="X33" s="217"/>
      <c r="Y33" s="42"/>
      <c r="Z33" s="264"/>
      <c r="AA33" s="264"/>
      <c r="AB33" s="264"/>
      <c r="AC33" s="264"/>
      <c r="AD33" s="264"/>
      <c r="AE33" s="264"/>
      <c r="AF33" s="264"/>
      <c r="AG33" s="264"/>
      <c r="AH33" s="36"/>
      <c r="AI33" s="36"/>
      <c r="AJ33" s="36"/>
      <c r="AK33" s="36"/>
      <c r="AL33" s="36"/>
      <c r="AM33" s="42"/>
      <c r="AN33" s="42"/>
      <c r="AO33" s="42"/>
      <c r="AP33" s="42"/>
      <c r="AQ33" s="42"/>
      <c r="AR33" s="42"/>
      <c r="AS33" s="42"/>
      <c r="AT33" s="42"/>
    </row>
    <row r="34" spans="1:46" ht="3.75" customHeight="1" x14ac:dyDescent="0.2">
      <c r="A34" s="10"/>
      <c r="B34" s="8"/>
      <c r="C34" s="8"/>
      <c r="D34" s="8"/>
      <c r="E34" s="8"/>
      <c r="F34" s="8"/>
      <c r="G34" s="8"/>
      <c r="H34" s="8"/>
      <c r="I34" s="8"/>
      <c r="J34" s="8"/>
      <c r="K34" s="8"/>
      <c r="L34" s="9"/>
      <c r="M34" s="9"/>
      <c r="N34" s="9"/>
      <c r="O34" s="48"/>
      <c r="P34" s="12"/>
      <c r="S34" s="237"/>
      <c r="T34" s="237"/>
      <c r="U34" s="253" t="str">
        <f>IF(RIGHT(M$36,2)="%]","P","A")</f>
        <v>P</v>
      </c>
      <c r="V34" s="237"/>
      <c r="W34" s="259"/>
      <c r="X34" s="217"/>
      <c r="Y34" s="42"/>
      <c r="Z34" s="264"/>
      <c r="AA34" s="264"/>
      <c r="AB34" s="264"/>
      <c r="AC34" s="264"/>
      <c r="AD34" s="264"/>
      <c r="AE34" s="264"/>
      <c r="AF34" s="264"/>
      <c r="AG34" s="264"/>
      <c r="AH34" s="36"/>
      <c r="AI34" s="36"/>
      <c r="AJ34" s="36"/>
      <c r="AK34" s="36"/>
      <c r="AL34" s="36"/>
      <c r="AM34" s="42"/>
      <c r="AN34" s="42"/>
      <c r="AO34" s="42"/>
      <c r="AP34" s="42"/>
      <c r="AQ34" s="42"/>
      <c r="AR34" s="42"/>
      <c r="AS34" s="42"/>
      <c r="AT34" s="42"/>
    </row>
    <row r="35" spans="1:46" ht="13.6" x14ac:dyDescent="0.25">
      <c r="A35" s="309"/>
      <c r="B35" s="359" t="str">
        <f>VLOOKUP("sec2.2",translation,VLOOKUP(J2,languages,2,FALSE),FALSE)</f>
        <v>Section 2.2</v>
      </c>
      <c r="C35" s="359"/>
      <c r="D35" s="360" t="str">
        <f>VLOOKUP("purch_comp",translation,VLOOKUP(J2,languages,2,FALSE),FALSE)</f>
        <v>Purchased Components (&amp; Outsourced Processes)</v>
      </c>
      <c r="E35" s="361"/>
      <c r="F35" s="361"/>
      <c r="G35" s="361"/>
      <c r="H35" s="361"/>
      <c r="I35" s="361"/>
      <c r="J35" s="361"/>
      <c r="K35" s="361"/>
      <c r="L35" s="362"/>
      <c r="M35" s="345">
        <f>U35</f>
        <v>0</v>
      </c>
      <c r="N35" s="345">
        <f>T35</f>
        <v>0</v>
      </c>
      <c r="O35" s="630">
        <f>SUBTOTAL(109,O37:O60)</f>
        <v>0</v>
      </c>
      <c r="P35" s="363">
        <f>IF($O$104=0,0,O35/$O$104)</f>
        <v>0</v>
      </c>
      <c r="S35" s="254">
        <f>SUBTOTAL(109,S37:S60)</f>
        <v>0</v>
      </c>
      <c r="T35" s="254">
        <f>SUBTOTAL(109,T37:T60)</f>
        <v>0</v>
      </c>
      <c r="U35" s="254">
        <f>SUBTOTAL(109,U37:U60)</f>
        <v>0</v>
      </c>
      <c r="V35" s="254">
        <f>SUBTOTAL(109,V37:V60)</f>
        <v>0</v>
      </c>
      <c r="W35" s="254">
        <v>4</v>
      </c>
      <c r="X35" s="217"/>
      <c r="Y35" s="42"/>
      <c r="Z35" s="264"/>
      <c r="AA35" s="264"/>
      <c r="AB35" s="264"/>
      <c r="AC35" s="264"/>
      <c r="AD35" s="264"/>
      <c r="AE35" s="264"/>
      <c r="AF35" s="264"/>
      <c r="AG35" s="264"/>
      <c r="AH35" s="36"/>
      <c r="AI35" s="36"/>
      <c r="AJ35" s="36"/>
      <c r="AK35" s="36"/>
      <c r="AL35" s="36"/>
      <c r="AM35" s="42"/>
      <c r="AN35" s="42"/>
      <c r="AO35" s="42"/>
      <c r="AP35" s="42"/>
      <c r="AQ35" s="42"/>
      <c r="AR35" s="42"/>
      <c r="AS35" s="42"/>
      <c r="AT35" s="42"/>
    </row>
    <row r="36" spans="1:46" ht="27" customHeight="1" x14ac:dyDescent="0.2">
      <c r="A36" s="347"/>
      <c r="B36" s="728" t="str">
        <f>VLOOKUP("descr2",translation,VLOOKUP(J2,languages,2,FALSE),FALSE)</f>
        <v>Description</v>
      </c>
      <c r="C36" s="728"/>
      <c r="D36" s="659"/>
      <c r="E36" s="728" t="str">
        <f>VLOOKUP("part_numb",translation,VLOOKUP(J2,languages,2,FALSE),FALSE)</f>
        <v>Part Number</v>
      </c>
      <c r="F36" s="734"/>
      <c r="G36" s="364" t="str">
        <f>VLOOKUP("uom",translation,VLOOKUP(J2,languages,2,FALSE),FALSE)</f>
        <v>UoM</v>
      </c>
      <c r="H36" s="735" t="str">
        <f>VLOOKUP("sub_supplier",translation,VLOOKUP(J2,languages,2,FALSE),FALSE)</f>
        <v>Sub-Supplier Name</v>
      </c>
      <c r="I36" s="734"/>
      <c r="J36" s="660" t="str">
        <f>VLOOKUP("qty2",translation,VLOOKUP(J2,languages,2,FALSE),FALSE)</f>
        <v>Qty</v>
      </c>
      <c r="K36" s="660" t="str">
        <f>VLOOKUP("ucost",translation,VLOOKUP(J2,languages,2,FALSE),FALSE)&amp;" ["&amp;LEFT($D$7,3)&amp;"]"</f>
        <v>Unit Cost [EUR]</v>
      </c>
      <c r="L36" s="660"/>
      <c r="M36" s="351" t="s">
        <v>193</v>
      </c>
      <c r="N36" s="660" t="str">
        <f>VLOOKUP("scrap",translation,VLOOKUP(J2,languages,2,FALSE),FALSE)</f>
        <v>Scrap [%]</v>
      </c>
      <c r="O36" s="365" t="str">
        <f>VLOOKUP("total",translation,VLOOKUP(J2,languages,2,FALSE),FALSE)&amp;" ["&amp;LEFT($D$7,3)&amp;$F$7&amp;"]"</f>
        <v>Total [EUR/pc]</v>
      </c>
      <c r="P36" s="352"/>
      <c r="S36" s="255" t="s">
        <v>13</v>
      </c>
      <c r="T36" s="255" t="s">
        <v>14</v>
      </c>
      <c r="U36" s="255" t="s">
        <v>15</v>
      </c>
      <c r="V36" s="255" t="s">
        <v>16</v>
      </c>
      <c r="W36" s="256">
        <v>39</v>
      </c>
      <c r="X36" s="217"/>
      <c r="Y36" s="42"/>
      <c r="Z36" s="264"/>
      <c r="AA36" s="264"/>
      <c r="AB36" s="264"/>
      <c r="AC36" s="264"/>
      <c r="AD36" s="264"/>
      <c r="AE36" s="264"/>
      <c r="AF36" s="264"/>
      <c r="AG36" s="264"/>
      <c r="AH36" s="36"/>
      <c r="AI36" s="36"/>
      <c r="AJ36" s="36"/>
      <c r="AK36" s="36"/>
      <c r="AL36" s="36"/>
      <c r="AM36" s="42"/>
      <c r="AN36" s="42"/>
      <c r="AO36" s="42"/>
      <c r="AP36" s="42"/>
      <c r="AQ36" s="42"/>
      <c r="AR36" s="42"/>
      <c r="AS36" s="42"/>
      <c r="AT36" s="42"/>
    </row>
    <row r="37" spans="1:46" x14ac:dyDescent="0.2">
      <c r="A37" s="353">
        <v>1</v>
      </c>
      <c r="B37" s="661"/>
      <c r="C37" s="91"/>
      <c r="D37" s="92"/>
      <c r="E37" s="736"/>
      <c r="F37" s="737"/>
      <c r="G37" s="93"/>
      <c r="H37" s="658"/>
      <c r="I37" s="664"/>
      <c r="J37" s="88"/>
      <c r="K37" s="90"/>
      <c r="L37" s="366"/>
      <c r="M37" s="367"/>
      <c r="N37" s="368"/>
      <c r="O37" s="369">
        <f>J37*(K37+IF(RIGHT(M$36,2)="%]",(K37*M37),M37))*(1+N37)*PUC</f>
        <v>0</v>
      </c>
      <c r="P37" s="356">
        <f t="shared" ref="P37:P60" si="6">IF($O$104=0,0,O37/$O$104)</f>
        <v>0</v>
      </c>
      <c r="S37" s="257">
        <f t="shared" ref="S37:S60" si="7">J37*K37*PUC</f>
        <v>0</v>
      </c>
      <c r="T37" s="257">
        <f t="shared" ref="T37:T60" si="8">J37*K37*(1+M37)*N37*PUC</f>
        <v>0</v>
      </c>
      <c r="U37" s="257">
        <f t="shared" ref="U37:U60" si="9">V37-S37-T37</f>
        <v>0</v>
      </c>
      <c r="V37" s="257">
        <f t="shared" ref="V37:V60" si="10">J37*(K37+IF(RIGHT(M$36,2)="%]",(K37*M37),M37))*(1+N37)*PUC</f>
        <v>0</v>
      </c>
      <c r="W37" s="258"/>
      <c r="X37" s="217"/>
      <c r="Y37" s="40"/>
      <c r="Z37" s="264"/>
      <c r="AA37" s="264"/>
      <c r="AB37" s="264"/>
      <c r="AC37" s="264"/>
      <c r="AD37" s="264"/>
      <c r="AE37" s="264"/>
      <c r="AF37" s="264"/>
      <c r="AG37" s="264"/>
      <c r="AH37" s="36"/>
      <c r="AI37" s="36"/>
      <c r="AJ37" s="36"/>
      <c r="AK37" s="36"/>
      <c r="AL37" s="36"/>
      <c r="AM37" s="41"/>
      <c r="AN37" s="41"/>
      <c r="AO37" s="41"/>
      <c r="AP37" s="41"/>
      <c r="AQ37" s="41"/>
      <c r="AR37" s="41"/>
      <c r="AS37" s="41"/>
      <c r="AT37" s="41"/>
    </row>
    <row r="38" spans="1:46" x14ac:dyDescent="0.2">
      <c r="A38" s="357">
        <v>2</v>
      </c>
      <c r="B38" s="661"/>
      <c r="C38" s="91"/>
      <c r="D38" s="92"/>
      <c r="E38" s="736"/>
      <c r="F38" s="737"/>
      <c r="G38" s="93"/>
      <c r="H38" s="658"/>
      <c r="I38" s="664"/>
      <c r="J38" s="88"/>
      <c r="K38" s="90"/>
      <c r="L38" s="366"/>
      <c r="M38" s="367"/>
      <c r="N38" s="368"/>
      <c r="O38" s="369">
        <f t="shared" ref="O38:O60" si="11">J38*(K38+IF(RIGHT(M$36,2)="%]",(K38*M38),M38))*(1+N38)*PUC</f>
        <v>0</v>
      </c>
      <c r="P38" s="356">
        <f t="shared" si="6"/>
        <v>0</v>
      </c>
      <c r="S38" s="257">
        <f t="shared" si="7"/>
        <v>0</v>
      </c>
      <c r="T38" s="257">
        <f t="shared" si="8"/>
        <v>0</v>
      </c>
      <c r="U38" s="257">
        <f t="shared" si="9"/>
        <v>0</v>
      </c>
      <c r="V38" s="257">
        <f t="shared" si="10"/>
        <v>0</v>
      </c>
      <c r="W38" s="258"/>
      <c r="X38" s="217"/>
      <c r="Y38" s="40"/>
      <c r="Z38" s="264"/>
      <c r="AA38" s="264"/>
      <c r="AB38" s="264"/>
      <c r="AC38" s="264"/>
      <c r="AD38" s="264"/>
      <c r="AE38" s="264"/>
      <c r="AF38" s="264"/>
      <c r="AG38" s="264"/>
      <c r="AH38" s="36"/>
      <c r="AI38" s="36"/>
      <c r="AJ38" s="36"/>
      <c r="AK38" s="36"/>
      <c r="AL38" s="36"/>
      <c r="AM38" s="41"/>
      <c r="AN38" s="41"/>
      <c r="AO38" s="41"/>
      <c r="AP38" s="41"/>
      <c r="AQ38" s="41"/>
      <c r="AR38" s="41"/>
      <c r="AS38" s="41"/>
      <c r="AT38" s="41"/>
    </row>
    <row r="39" spans="1:46" x14ac:dyDescent="0.2">
      <c r="A39" s="357">
        <v>3</v>
      </c>
      <c r="B39" s="661"/>
      <c r="C39" s="91"/>
      <c r="D39" s="92"/>
      <c r="E39" s="736"/>
      <c r="F39" s="737"/>
      <c r="G39" s="93"/>
      <c r="H39" s="658"/>
      <c r="I39" s="664"/>
      <c r="J39" s="88"/>
      <c r="K39" s="90"/>
      <c r="L39" s="366"/>
      <c r="M39" s="367"/>
      <c r="N39" s="368"/>
      <c r="O39" s="369">
        <f t="shared" si="11"/>
        <v>0</v>
      </c>
      <c r="P39" s="356">
        <f t="shared" si="6"/>
        <v>0</v>
      </c>
      <c r="S39" s="257">
        <f t="shared" si="7"/>
        <v>0</v>
      </c>
      <c r="T39" s="257">
        <f t="shared" si="8"/>
        <v>0</v>
      </c>
      <c r="U39" s="257">
        <f t="shared" si="9"/>
        <v>0</v>
      </c>
      <c r="V39" s="257">
        <f t="shared" si="10"/>
        <v>0</v>
      </c>
      <c r="W39" s="258"/>
      <c r="X39" s="217"/>
      <c r="Y39" s="40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41"/>
      <c r="AN39" s="41"/>
      <c r="AO39" s="41"/>
      <c r="AP39" s="41"/>
      <c r="AQ39" s="41"/>
      <c r="AR39" s="41"/>
      <c r="AS39" s="41"/>
      <c r="AT39" s="41"/>
    </row>
    <row r="40" spans="1:46" ht="12.75" hidden="1" customHeight="1" x14ac:dyDescent="0.2">
      <c r="A40" s="357">
        <v>4</v>
      </c>
      <c r="B40" s="661"/>
      <c r="C40" s="91"/>
      <c r="D40" s="92"/>
      <c r="E40" s="736"/>
      <c r="F40" s="737"/>
      <c r="G40" s="93"/>
      <c r="H40" s="658"/>
      <c r="I40" s="664"/>
      <c r="J40" s="88"/>
      <c r="K40" s="90"/>
      <c r="L40" s="366"/>
      <c r="M40" s="367"/>
      <c r="N40" s="368"/>
      <c r="O40" s="369">
        <f t="shared" si="11"/>
        <v>0</v>
      </c>
      <c r="P40" s="356">
        <f t="shared" si="6"/>
        <v>0</v>
      </c>
      <c r="S40" s="257">
        <f t="shared" si="7"/>
        <v>0</v>
      </c>
      <c r="T40" s="257">
        <f t="shared" si="8"/>
        <v>0</v>
      </c>
      <c r="U40" s="257">
        <f t="shared" si="9"/>
        <v>0</v>
      </c>
      <c r="V40" s="257">
        <f t="shared" si="10"/>
        <v>0</v>
      </c>
      <c r="W40" s="258"/>
      <c r="X40" s="217"/>
      <c r="Y40" s="40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</row>
    <row r="41" spans="1:46" ht="12.75" hidden="1" customHeight="1" x14ac:dyDescent="0.2">
      <c r="A41" s="357">
        <v>5</v>
      </c>
      <c r="B41" s="661"/>
      <c r="C41" s="91"/>
      <c r="D41" s="92"/>
      <c r="E41" s="736"/>
      <c r="F41" s="737"/>
      <c r="G41" s="93"/>
      <c r="H41" s="658"/>
      <c r="I41" s="664"/>
      <c r="J41" s="88"/>
      <c r="K41" s="90"/>
      <c r="L41" s="366"/>
      <c r="M41" s="367"/>
      <c r="N41" s="368"/>
      <c r="O41" s="369">
        <f t="shared" si="11"/>
        <v>0</v>
      </c>
      <c r="P41" s="356">
        <f t="shared" si="6"/>
        <v>0</v>
      </c>
      <c r="S41" s="257">
        <f t="shared" si="7"/>
        <v>0</v>
      </c>
      <c r="T41" s="257">
        <f t="shared" si="8"/>
        <v>0</v>
      </c>
      <c r="U41" s="257">
        <f t="shared" si="9"/>
        <v>0</v>
      </c>
      <c r="V41" s="257">
        <f t="shared" si="10"/>
        <v>0</v>
      </c>
      <c r="W41" s="258"/>
      <c r="X41" s="217"/>
      <c r="Y41" s="40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</row>
    <row r="42" spans="1:46" ht="12.75" hidden="1" customHeight="1" x14ac:dyDescent="0.2">
      <c r="A42" s="357">
        <v>6</v>
      </c>
      <c r="B42" s="661"/>
      <c r="C42" s="91"/>
      <c r="D42" s="92"/>
      <c r="E42" s="736"/>
      <c r="F42" s="737"/>
      <c r="G42" s="93"/>
      <c r="H42" s="658"/>
      <c r="I42" s="664"/>
      <c r="J42" s="88"/>
      <c r="K42" s="90"/>
      <c r="L42" s="366"/>
      <c r="M42" s="367"/>
      <c r="N42" s="368"/>
      <c r="O42" s="369">
        <f t="shared" si="11"/>
        <v>0</v>
      </c>
      <c r="P42" s="356">
        <f t="shared" si="6"/>
        <v>0</v>
      </c>
      <c r="S42" s="257">
        <f t="shared" si="7"/>
        <v>0</v>
      </c>
      <c r="T42" s="257">
        <f t="shared" si="8"/>
        <v>0</v>
      </c>
      <c r="U42" s="257">
        <f t="shared" si="9"/>
        <v>0</v>
      </c>
      <c r="V42" s="257">
        <f t="shared" si="10"/>
        <v>0</v>
      </c>
      <c r="W42" s="258"/>
      <c r="X42" s="217"/>
      <c r="Y42" s="4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</row>
    <row r="43" spans="1:46" ht="12.75" hidden="1" customHeight="1" x14ac:dyDescent="0.2">
      <c r="A43" s="357">
        <v>7</v>
      </c>
      <c r="B43" s="661"/>
      <c r="C43" s="91"/>
      <c r="D43" s="92"/>
      <c r="E43" s="736"/>
      <c r="F43" s="737"/>
      <c r="G43" s="93"/>
      <c r="H43" s="658"/>
      <c r="I43" s="664"/>
      <c r="J43" s="88"/>
      <c r="K43" s="90"/>
      <c r="L43" s="366"/>
      <c r="M43" s="367"/>
      <c r="N43" s="368"/>
      <c r="O43" s="369">
        <f t="shared" si="11"/>
        <v>0</v>
      </c>
      <c r="P43" s="356">
        <f t="shared" si="6"/>
        <v>0</v>
      </c>
      <c r="S43" s="257">
        <f t="shared" si="7"/>
        <v>0</v>
      </c>
      <c r="T43" s="257">
        <f t="shared" si="8"/>
        <v>0</v>
      </c>
      <c r="U43" s="257">
        <f t="shared" si="9"/>
        <v>0</v>
      </c>
      <c r="V43" s="257">
        <f t="shared" si="10"/>
        <v>0</v>
      </c>
      <c r="W43" s="258"/>
      <c r="X43" s="217"/>
      <c r="Y43" s="40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</row>
    <row r="44" spans="1:46" ht="12.75" hidden="1" customHeight="1" x14ac:dyDescent="0.2">
      <c r="A44" s="357">
        <v>8</v>
      </c>
      <c r="B44" s="661"/>
      <c r="C44" s="91"/>
      <c r="D44" s="92"/>
      <c r="E44" s="736"/>
      <c r="F44" s="737"/>
      <c r="G44" s="93"/>
      <c r="H44" s="658"/>
      <c r="I44" s="664"/>
      <c r="J44" s="88"/>
      <c r="K44" s="90"/>
      <c r="L44" s="366"/>
      <c r="M44" s="367"/>
      <c r="N44" s="368"/>
      <c r="O44" s="369">
        <f t="shared" si="11"/>
        <v>0</v>
      </c>
      <c r="P44" s="356">
        <f t="shared" si="6"/>
        <v>0</v>
      </c>
      <c r="S44" s="257">
        <f t="shared" si="7"/>
        <v>0</v>
      </c>
      <c r="T44" s="257">
        <f t="shared" si="8"/>
        <v>0</v>
      </c>
      <c r="U44" s="257">
        <f t="shared" si="9"/>
        <v>0</v>
      </c>
      <c r="V44" s="257">
        <f t="shared" si="10"/>
        <v>0</v>
      </c>
      <c r="W44" s="258"/>
      <c r="X44" s="217"/>
      <c r="Y44" s="40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</row>
    <row r="45" spans="1:46" ht="12.75" hidden="1" customHeight="1" x14ac:dyDescent="0.2">
      <c r="A45" s="357">
        <v>9</v>
      </c>
      <c r="B45" s="661"/>
      <c r="C45" s="91"/>
      <c r="D45" s="92"/>
      <c r="E45" s="736"/>
      <c r="F45" s="737"/>
      <c r="G45" s="93"/>
      <c r="H45" s="658"/>
      <c r="I45" s="664"/>
      <c r="J45" s="88"/>
      <c r="K45" s="90"/>
      <c r="L45" s="366"/>
      <c r="M45" s="367"/>
      <c r="N45" s="368"/>
      <c r="O45" s="369">
        <f t="shared" si="11"/>
        <v>0</v>
      </c>
      <c r="P45" s="356">
        <f t="shared" si="6"/>
        <v>0</v>
      </c>
      <c r="S45" s="257">
        <f t="shared" si="7"/>
        <v>0</v>
      </c>
      <c r="T45" s="257">
        <f t="shared" si="8"/>
        <v>0</v>
      </c>
      <c r="U45" s="257">
        <f t="shared" si="9"/>
        <v>0</v>
      </c>
      <c r="V45" s="257">
        <f t="shared" si="10"/>
        <v>0</v>
      </c>
      <c r="W45" s="258"/>
      <c r="X45" s="217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</row>
    <row r="46" spans="1:46" ht="12.75" hidden="1" customHeight="1" x14ac:dyDescent="0.2">
      <c r="A46" s="357">
        <v>10</v>
      </c>
      <c r="B46" s="661"/>
      <c r="C46" s="91"/>
      <c r="D46" s="92"/>
      <c r="E46" s="736"/>
      <c r="F46" s="737"/>
      <c r="G46" s="93"/>
      <c r="H46" s="658"/>
      <c r="I46" s="664"/>
      <c r="J46" s="88"/>
      <c r="K46" s="90"/>
      <c r="L46" s="366"/>
      <c r="M46" s="367"/>
      <c r="N46" s="368"/>
      <c r="O46" s="369">
        <f t="shared" ref="O46:O51" si="12">J46*(K46+IF(RIGHT(M$36,2)="%]",(K46*M46),M46))*(1+N46)*PUC</f>
        <v>0</v>
      </c>
      <c r="P46" s="356">
        <f t="shared" si="6"/>
        <v>0</v>
      </c>
      <c r="S46" s="257">
        <f t="shared" ref="S46:S51" si="13">J46*K46*PUC</f>
        <v>0</v>
      </c>
      <c r="T46" s="257">
        <f t="shared" ref="T46:T51" si="14">J46*K46*(1+M46)*N46*PUC</f>
        <v>0</v>
      </c>
      <c r="U46" s="257">
        <f t="shared" si="9"/>
        <v>0</v>
      </c>
      <c r="V46" s="257">
        <f t="shared" ref="V46:V51" si="15">J46*(K46+IF(RIGHT(M$36,2)="%]",(K46*M46),M46))*(1+N46)*PUC</f>
        <v>0</v>
      </c>
      <c r="W46" s="258"/>
      <c r="X46" s="217"/>
      <c r="Y46" s="40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</row>
    <row r="47" spans="1:46" ht="12.75" hidden="1" customHeight="1" x14ac:dyDescent="0.2">
      <c r="A47" s="357">
        <v>11</v>
      </c>
      <c r="B47" s="661"/>
      <c r="C47" s="91"/>
      <c r="D47" s="92"/>
      <c r="E47" s="736"/>
      <c r="F47" s="737"/>
      <c r="G47" s="93"/>
      <c r="H47" s="658"/>
      <c r="I47" s="664"/>
      <c r="J47" s="88"/>
      <c r="K47" s="90"/>
      <c r="L47" s="366"/>
      <c r="M47" s="367"/>
      <c r="N47" s="368"/>
      <c r="O47" s="369">
        <f t="shared" si="12"/>
        <v>0</v>
      </c>
      <c r="P47" s="356">
        <f t="shared" si="6"/>
        <v>0</v>
      </c>
      <c r="S47" s="257">
        <f t="shared" si="13"/>
        <v>0</v>
      </c>
      <c r="T47" s="257">
        <f t="shared" si="14"/>
        <v>0</v>
      </c>
      <c r="U47" s="257">
        <f t="shared" si="9"/>
        <v>0</v>
      </c>
      <c r="V47" s="257">
        <f t="shared" si="15"/>
        <v>0</v>
      </c>
      <c r="W47" s="258"/>
      <c r="X47" s="217"/>
      <c r="Y47" s="40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</row>
    <row r="48" spans="1:46" ht="12.75" hidden="1" customHeight="1" x14ac:dyDescent="0.2">
      <c r="A48" s="357">
        <v>12</v>
      </c>
      <c r="B48" s="661"/>
      <c r="C48" s="91"/>
      <c r="D48" s="92"/>
      <c r="E48" s="736"/>
      <c r="F48" s="737"/>
      <c r="G48" s="93"/>
      <c r="H48" s="658"/>
      <c r="I48" s="664"/>
      <c r="J48" s="88"/>
      <c r="K48" s="90"/>
      <c r="L48" s="366"/>
      <c r="M48" s="367"/>
      <c r="N48" s="368"/>
      <c r="O48" s="369">
        <f t="shared" si="12"/>
        <v>0</v>
      </c>
      <c r="P48" s="356">
        <f t="shared" si="6"/>
        <v>0</v>
      </c>
      <c r="S48" s="257">
        <f t="shared" si="13"/>
        <v>0</v>
      </c>
      <c r="T48" s="257">
        <f t="shared" si="14"/>
        <v>0</v>
      </c>
      <c r="U48" s="257">
        <f t="shared" si="9"/>
        <v>0</v>
      </c>
      <c r="V48" s="257">
        <f t="shared" si="15"/>
        <v>0</v>
      </c>
      <c r="W48" s="258"/>
      <c r="X48" s="217"/>
      <c r="Y48" s="40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</row>
    <row r="49" spans="1:46" ht="12.75" hidden="1" customHeight="1" x14ac:dyDescent="0.2">
      <c r="A49" s="357">
        <v>13</v>
      </c>
      <c r="B49" s="661"/>
      <c r="C49" s="91"/>
      <c r="D49" s="92"/>
      <c r="E49" s="736"/>
      <c r="F49" s="737"/>
      <c r="G49" s="93"/>
      <c r="H49" s="658"/>
      <c r="I49" s="664"/>
      <c r="J49" s="88"/>
      <c r="K49" s="90"/>
      <c r="L49" s="366"/>
      <c r="M49" s="367"/>
      <c r="N49" s="368"/>
      <c r="O49" s="369">
        <f t="shared" si="12"/>
        <v>0</v>
      </c>
      <c r="P49" s="356">
        <f t="shared" si="6"/>
        <v>0</v>
      </c>
      <c r="S49" s="257">
        <f t="shared" si="13"/>
        <v>0</v>
      </c>
      <c r="T49" s="257">
        <f t="shared" si="14"/>
        <v>0</v>
      </c>
      <c r="U49" s="257">
        <f t="shared" si="9"/>
        <v>0</v>
      </c>
      <c r="V49" s="257">
        <f t="shared" si="15"/>
        <v>0</v>
      </c>
      <c r="W49" s="258"/>
      <c r="X49" s="217"/>
      <c r="Y49" s="40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</row>
    <row r="50" spans="1:46" ht="12.75" hidden="1" customHeight="1" x14ac:dyDescent="0.2">
      <c r="A50" s="357">
        <v>14</v>
      </c>
      <c r="B50" s="661"/>
      <c r="C50" s="91"/>
      <c r="D50" s="92"/>
      <c r="E50" s="736"/>
      <c r="F50" s="737"/>
      <c r="G50" s="93"/>
      <c r="H50" s="658"/>
      <c r="I50" s="664"/>
      <c r="J50" s="88"/>
      <c r="K50" s="90"/>
      <c r="L50" s="366"/>
      <c r="M50" s="367"/>
      <c r="N50" s="368"/>
      <c r="O50" s="369">
        <f t="shared" si="12"/>
        <v>0</v>
      </c>
      <c r="P50" s="356">
        <f t="shared" si="6"/>
        <v>0</v>
      </c>
      <c r="S50" s="257">
        <f t="shared" si="13"/>
        <v>0</v>
      </c>
      <c r="T50" s="257">
        <f t="shared" si="14"/>
        <v>0</v>
      </c>
      <c r="U50" s="257">
        <f t="shared" si="9"/>
        <v>0</v>
      </c>
      <c r="V50" s="257">
        <f t="shared" si="15"/>
        <v>0</v>
      </c>
      <c r="W50" s="258"/>
      <c r="X50" s="217"/>
      <c r="Y50" s="40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</row>
    <row r="51" spans="1:46" ht="12.75" hidden="1" customHeight="1" x14ac:dyDescent="0.2">
      <c r="A51" s="357">
        <v>15</v>
      </c>
      <c r="B51" s="661"/>
      <c r="C51" s="91"/>
      <c r="D51" s="92"/>
      <c r="E51" s="736"/>
      <c r="F51" s="737"/>
      <c r="G51" s="93"/>
      <c r="H51" s="658"/>
      <c r="I51" s="664"/>
      <c r="J51" s="88"/>
      <c r="K51" s="90"/>
      <c r="L51" s="366"/>
      <c r="M51" s="367"/>
      <c r="N51" s="368"/>
      <c r="O51" s="369">
        <f t="shared" si="12"/>
        <v>0</v>
      </c>
      <c r="P51" s="356">
        <f t="shared" si="6"/>
        <v>0</v>
      </c>
      <c r="S51" s="257">
        <f t="shared" si="13"/>
        <v>0</v>
      </c>
      <c r="T51" s="257">
        <f t="shared" si="14"/>
        <v>0</v>
      </c>
      <c r="U51" s="257">
        <f t="shared" si="9"/>
        <v>0</v>
      </c>
      <c r="V51" s="257">
        <f t="shared" si="15"/>
        <v>0</v>
      </c>
      <c r="W51" s="258"/>
      <c r="X51" s="217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</row>
    <row r="52" spans="1:46" ht="12.75" hidden="1" customHeight="1" x14ac:dyDescent="0.2">
      <c r="A52" s="357">
        <v>16</v>
      </c>
      <c r="B52" s="661"/>
      <c r="C52" s="91"/>
      <c r="D52" s="92"/>
      <c r="E52" s="736"/>
      <c r="F52" s="737"/>
      <c r="G52" s="93"/>
      <c r="H52" s="658"/>
      <c r="I52" s="664"/>
      <c r="J52" s="88"/>
      <c r="K52" s="90"/>
      <c r="L52" s="366"/>
      <c r="M52" s="367"/>
      <c r="N52" s="368"/>
      <c r="O52" s="369">
        <f t="shared" si="11"/>
        <v>0</v>
      </c>
      <c r="P52" s="356">
        <f t="shared" si="6"/>
        <v>0</v>
      </c>
      <c r="S52" s="257">
        <f t="shared" si="7"/>
        <v>0</v>
      </c>
      <c r="T52" s="257">
        <f t="shared" si="8"/>
        <v>0</v>
      </c>
      <c r="U52" s="257">
        <f t="shared" si="9"/>
        <v>0</v>
      </c>
      <c r="V52" s="257">
        <f t="shared" si="10"/>
        <v>0</v>
      </c>
      <c r="W52" s="258"/>
      <c r="X52" s="217"/>
      <c r="Y52" s="40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</row>
    <row r="53" spans="1:46" ht="12.75" hidden="1" customHeight="1" x14ac:dyDescent="0.2">
      <c r="A53" s="357">
        <v>17</v>
      </c>
      <c r="B53" s="661"/>
      <c r="C53" s="91"/>
      <c r="D53" s="92"/>
      <c r="E53" s="736"/>
      <c r="F53" s="737"/>
      <c r="G53" s="93"/>
      <c r="H53" s="658"/>
      <c r="I53" s="664"/>
      <c r="J53" s="88"/>
      <c r="K53" s="90"/>
      <c r="L53" s="366"/>
      <c r="M53" s="367"/>
      <c r="N53" s="368"/>
      <c r="O53" s="369">
        <f t="shared" si="11"/>
        <v>0</v>
      </c>
      <c r="P53" s="356">
        <f t="shared" si="6"/>
        <v>0</v>
      </c>
      <c r="S53" s="257">
        <f t="shared" si="7"/>
        <v>0</v>
      </c>
      <c r="T53" s="257">
        <f t="shared" si="8"/>
        <v>0</v>
      </c>
      <c r="U53" s="257">
        <f t="shared" si="9"/>
        <v>0</v>
      </c>
      <c r="V53" s="257">
        <f t="shared" si="10"/>
        <v>0</v>
      </c>
      <c r="W53" s="258"/>
      <c r="X53" s="217"/>
      <c r="Y53" s="40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</row>
    <row r="54" spans="1:46" ht="12.75" hidden="1" customHeight="1" x14ac:dyDescent="0.2">
      <c r="A54" s="357">
        <v>18</v>
      </c>
      <c r="B54" s="661"/>
      <c r="C54" s="91"/>
      <c r="D54" s="92"/>
      <c r="E54" s="736"/>
      <c r="F54" s="737"/>
      <c r="G54" s="93"/>
      <c r="H54" s="658"/>
      <c r="I54" s="664"/>
      <c r="J54" s="88"/>
      <c r="K54" s="90"/>
      <c r="L54" s="366"/>
      <c r="M54" s="367"/>
      <c r="N54" s="368"/>
      <c r="O54" s="369">
        <f t="shared" si="11"/>
        <v>0</v>
      </c>
      <c r="P54" s="356">
        <f t="shared" si="6"/>
        <v>0</v>
      </c>
      <c r="S54" s="257">
        <f t="shared" si="7"/>
        <v>0</v>
      </c>
      <c r="T54" s="257">
        <f t="shared" si="8"/>
        <v>0</v>
      </c>
      <c r="U54" s="257">
        <f t="shared" si="9"/>
        <v>0</v>
      </c>
      <c r="V54" s="257">
        <f t="shared" si="10"/>
        <v>0</v>
      </c>
      <c r="W54" s="258"/>
      <c r="X54" s="217"/>
      <c r="Y54" s="40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</row>
    <row r="55" spans="1:46" ht="12.75" hidden="1" customHeight="1" x14ac:dyDescent="0.2">
      <c r="A55" s="357">
        <v>19</v>
      </c>
      <c r="B55" s="661"/>
      <c r="C55" s="91"/>
      <c r="D55" s="92"/>
      <c r="E55" s="736"/>
      <c r="F55" s="737"/>
      <c r="G55" s="93"/>
      <c r="H55" s="658"/>
      <c r="I55" s="664"/>
      <c r="J55" s="88"/>
      <c r="K55" s="90"/>
      <c r="L55" s="366"/>
      <c r="M55" s="367"/>
      <c r="N55" s="368"/>
      <c r="O55" s="369">
        <f t="shared" si="11"/>
        <v>0</v>
      </c>
      <c r="P55" s="356">
        <f t="shared" si="6"/>
        <v>0</v>
      </c>
      <c r="S55" s="257">
        <f t="shared" si="7"/>
        <v>0</v>
      </c>
      <c r="T55" s="257">
        <f t="shared" si="8"/>
        <v>0</v>
      </c>
      <c r="U55" s="257">
        <f t="shared" si="9"/>
        <v>0</v>
      </c>
      <c r="V55" s="257">
        <f t="shared" si="10"/>
        <v>0</v>
      </c>
      <c r="W55" s="258"/>
      <c r="X55" s="217"/>
      <c r="Y55" s="40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</row>
    <row r="56" spans="1:46" ht="12.75" hidden="1" customHeight="1" x14ac:dyDescent="0.2">
      <c r="A56" s="357">
        <v>20</v>
      </c>
      <c r="B56" s="661"/>
      <c r="C56" s="91"/>
      <c r="D56" s="92"/>
      <c r="E56" s="736"/>
      <c r="F56" s="737"/>
      <c r="G56" s="93"/>
      <c r="H56" s="658"/>
      <c r="I56" s="664"/>
      <c r="J56" s="88"/>
      <c r="K56" s="90"/>
      <c r="L56" s="366"/>
      <c r="M56" s="367"/>
      <c r="N56" s="368"/>
      <c r="O56" s="369">
        <f t="shared" si="11"/>
        <v>0</v>
      </c>
      <c r="P56" s="356">
        <f t="shared" si="6"/>
        <v>0</v>
      </c>
      <c r="S56" s="257">
        <f t="shared" si="7"/>
        <v>0</v>
      </c>
      <c r="T56" s="257">
        <f t="shared" si="8"/>
        <v>0</v>
      </c>
      <c r="U56" s="257">
        <f t="shared" si="9"/>
        <v>0</v>
      </c>
      <c r="V56" s="257">
        <f t="shared" si="10"/>
        <v>0</v>
      </c>
      <c r="W56" s="258"/>
      <c r="X56" s="217"/>
      <c r="Y56" s="40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</row>
    <row r="57" spans="1:46" ht="12.75" hidden="1" customHeight="1" x14ac:dyDescent="0.2">
      <c r="A57" s="357">
        <v>21</v>
      </c>
      <c r="B57" s="661"/>
      <c r="C57" s="91"/>
      <c r="D57" s="92"/>
      <c r="E57" s="736"/>
      <c r="F57" s="737"/>
      <c r="G57" s="93"/>
      <c r="H57" s="658"/>
      <c r="I57" s="664"/>
      <c r="J57" s="88"/>
      <c r="K57" s="90"/>
      <c r="L57" s="366"/>
      <c r="M57" s="367"/>
      <c r="N57" s="368"/>
      <c r="O57" s="369">
        <f t="shared" si="11"/>
        <v>0</v>
      </c>
      <c r="P57" s="356">
        <f t="shared" si="6"/>
        <v>0</v>
      </c>
      <c r="S57" s="257">
        <f t="shared" si="7"/>
        <v>0</v>
      </c>
      <c r="T57" s="257">
        <f t="shared" si="8"/>
        <v>0</v>
      </c>
      <c r="U57" s="257">
        <f t="shared" si="9"/>
        <v>0</v>
      </c>
      <c r="V57" s="257">
        <f t="shared" si="10"/>
        <v>0</v>
      </c>
      <c r="W57" s="258"/>
      <c r="X57" s="217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</row>
    <row r="58" spans="1:46" ht="12.75" hidden="1" customHeight="1" x14ac:dyDescent="0.2">
      <c r="A58" s="357">
        <v>22</v>
      </c>
      <c r="B58" s="661"/>
      <c r="C58" s="91"/>
      <c r="D58" s="92"/>
      <c r="E58" s="736"/>
      <c r="F58" s="737"/>
      <c r="G58" s="93"/>
      <c r="H58" s="658"/>
      <c r="I58" s="664"/>
      <c r="J58" s="88"/>
      <c r="K58" s="90"/>
      <c r="L58" s="366"/>
      <c r="M58" s="367"/>
      <c r="N58" s="368"/>
      <c r="O58" s="369">
        <f t="shared" si="11"/>
        <v>0</v>
      </c>
      <c r="P58" s="356">
        <f t="shared" si="6"/>
        <v>0</v>
      </c>
      <c r="S58" s="257">
        <f t="shared" si="7"/>
        <v>0</v>
      </c>
      <c r="T58" s="257">
        <f t="shared" si="8"/>
        <v>0</v>
      </c>
      <c r="U58" s="257">
        <f t="shared" si="9"/>
        <v>0</v>
      </c>
      <c r="V58" s="257">
        <f t="shared" si="10"/>
        <v>0</v>
      </c>
      <c r="W58" s="258"/>
      <c r="X58" s="217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</row>
    <row r="59" spans="1:46" ht="12.75" hidden="1" customHeight="1" x14ac:dyDescent="0.2">
      <c r="A59" s="357">
        <v>23</v>
      </c>
      <c r="B59" s="661"/>
      <c r="C59" s="91"/>
      <c r="D59" s="92"/>
      <c r="E59" s="736"/>
      <c r="F59" s="737"/>
      <c r="G59" s="93"/>
      <c r="H59" s="658"/>
      <c r="I59" s="664"/>
      <c r="J59" s="88"/>
      <c r="K59" s="90"/>
      <c r="L59" s="366"/>
      <c r="M59" s="367"/>
      <c r="N59" s="368"/>
      <c r="O59" s="369">
        <f t="shared" si="11"/>
        <v>0</v>
      </c>
      <c r="P59" s="356">
        <f t="shared" si="6"/>
        <v>0</v>
      </c>
      <c r="S59" s="257">
        <f t="shared" si="7"/>
        <v>0</v>
      </c>
      <c r="T59" s="257">
        <f t="shared" si="8"/>
        <v>0</v>
      </c>
      <c r="U59" s="257">
        <f t="shared" si="9"/>
        <v>0</v>
      </c>
      <c r="V59" s="257">
        <f t="shared" si="10"/>
        <v>0</v>
      </c>
      <c r="W59" s="258"/>
      <c r="X59" s="217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133"/>
    </row>
    <row r="60" spans="1:46" ht="12.75" hidden="1" customHeight="1" x14ac:dyDescent="0.2">
      <c r="A60" s="357">
        <v>24</v>
      </c>
      <c r="B60" s="661"/>
      <c r="C60" s="91"/>
      <c r="D60" s="92"/>
      <c r="E60" s="736"/>
      <c r="F60" s="737"/>
      <c r="G60" s="93"/>
      <c r="H60" s="658"/>
      <c r="I60" s="664"/>
      <c r="J60" s="88"/>
      <c r="K60" s="90"/>
      <c r="L60" s="366"/>
      <c r="M60" s="367"/>
      <c r="N60" s="368"/>
      <c r="O60" s="369">
        <f t="shared" si="11"/>
        <v>0</v>
      </c>
      <c r="P60" s="356">
        <f t="shared" si="6"/>
        <v>0</v>
      </c>
      <c r="S60" s="257">
        <f t="shared" si="7"/>
        <v>0</v>
      </c>
      <c r="T60" s="257">
        <f t="shared" si="8"/>
        <v>0</v>
      </c>
      <c r="U60" s="257">
        <f t="shared" si="9"/>
        <v>0</v>
      </c>
      <c r="V60" s="257">
        <f t="shared" si="10"/>
        <v>0</v>
      </c>
      <c r="W60" s="258"/>
      <c r="X60" s="217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133"/>
    </row>
    <row r="61" spans="1:46" ht="4.5999999999999996" customHeight="1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49"/>
      <c r="P61" s="12"/>
      <c r="S61" s="237"/>
      <c r="T61" s="237"/>
      <c r="U61" s="237"/>
      <c r="V61" s="237"/>
      <c r="W61" s="237"/>
      <c r="X61" s="217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</row>
    <row r="62" spans="1:46" ht="13.6" x14ac:dyDescent="0.25">
      <c r="A62" s="370"/>
      <c r="B62" s="371" t="str">
        <f>VLOOKUP("sec2.3",translation,VLOOKUP(J2,languages,2,FALSE),FALSE)</f>
        <v>Section 2.3</v>
      </c>
      <c r="C62" s="371"/>
      <c r="D62" s="372" t="str">
        <f>VLOOKUP("moh",translation,VLOOKUP(J2,languages,2,FALSE),FALSE)</f>
        <v>Material &amp; Purchased Components Overhead</v>
      </c>
      <c r="E62" s="373"/>
      <c r="F62" s="373"/>
      <c r="G62" s="373"/>
      <c r="H62" s="373"/>
      <c r="I62" s="373"/>
      <c r="J62" s="373"/>
      <c r="K62" s="374"/>
      <c r="L62" s="374" t="str">
        <f>VLOOKUP("sec2_%",translation,VLOOKUP(J2,languages,2,FALSE),FALSE)</f>
        <v>% of Section 2.1, 2.2</v>
      </c>
      <c r="M62" s="302">
        <v>4.38</v>
      </c>
      <c r="N62" s="301" t="s">
        <v>820</v>
      </c>
      <c r="O62" s="631">
        <f>M62/100*(O12+O35)</f>
        <v>0.21205910160000002</v>
      </c>
      <c r="P62" s="375">
        <f>IF($O$104=0,0,O62/$O$104)</f>
        <v>2.0153894948919615E-2</v>
      </c>
      <c r="S62" s="260"/>
      <c r="T62" s="744"/>
      <c r="U62" s="745"/>
      <c r="V62" s="237"/>
      <c r="W62" s="237"/>
      <c r="X62" s="217"/>
      <c r="Y62" s="51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</row>
    <row r="63" spans="1:46" ht="4.5999999999999996" customHeight="1" x14ac:dyDescent="0.2">
      <c r="A63" s="376"/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8"/>
      <c r="N63" s="378"/>
      <c r="O63" s="379"/>
      <c r="P63" s="380"/>
      <c r="S63" s="237"/>
      <c r="T63" s="237"/>
      <c r="U63" s="237"/>
      <c r="V63" s="237"/>
      <c r="W63" s="237"/>
      <c r="X63" s="217"/>
    </row>
    <row r="64" spans="1:46" ht="13.6" x14ac:dyDescent="0.25">
      <c r="A64" s="370"/>
      <c r="B64" s="371" t="str">
        <f>VLOOKUP("sec2.4",translation,VLOOKUP(J2,languages,2,FALSE),FALSE)</f>
        <v>Section 2.4</v>
      </c>
      <c r="C64" s="371"/>
      <c r="D64" s="372" t="str">
        <f>VLOOKUP("prod",translation,VLOOKUP(J2,languages,2,FALSE),FALSE)</f>
        <v>Production</v>
      </c>
      <c r="E64" s="373"/>
      <c r="F64" s="381"/>
      <c r="G64" s="382" t="s">
        <v>128</v>
      </c>
      <c r="H64" s="383">
        <f>MC</f>
        <v>1.4198010000000001</v>
      </c>
      <c r="I64" s="384" t="s">
        <v>129</v>
      </c>
      <c r="J64" s="385">
        <f>DL</f>
        <v>2.0059110000000002</v>
      </c>
      <c r="K64" s="386" t="s">
        <v>130</v>
      </c>
      <c r="L64" s="383">
        <f>Setup</f>
        <v>0.35836899999999999</v>
      </c>
      <c r="M64" s="387">
        <f>ROUND(TM,3)</f>
        <v>0</v>
      </c>
      <c r="N64" s="345">
        <f>ROUND(W64,3)</f>
        <v>0.01</v>
      </c>
      <c r="O64" s="632">
        <f>SUBTOTAL(109,O66:O89)</f>
        <v>3.793764035897436</v>
      </c>
      <c r="P64" s="388">
        <f>IF($O$104=0,0,O64/$O$104)</f>
        <v>0.36055571896502947</v>
      </c>
      <c r="S64" s="254">
        <f>ROUND(SUBTOTAL(109,S66:S89),6)</f>
        <v>1.4198010000000001</v>
      </c>
      <c r="T64" s="254">
        <f>ROUND(SUBTOTAL(109,T66:T89),6)</f>
        <v>2.0059110000000002</v>
      </c>
      <c r="U64" s="254">
        <f>ROUND(SUBTOTAL(109,U66:U89),6)</f>
        <v>0.35836899999999999</v>
      </c>
      <c r="V64" s="254">
        <f>ROUND(SUBTOTAL(109,V66:V89),6)</f>
        <v>0</v>
      </c>
      <c r="W64" s="254">
        <f>ROUND(SUBTOTAL(109,W66:W89),6)</f>
        <v>9.6830000000000006E-3</v>
      </c>
      <c r="X64" s="217"/>
      <c r="Y64" s="13" t="str">
        <f>VLOOKUP("std_cap",translation,VLOOKUP(Germany!J2,languages,2,FALSE),FALSE)</f>
        <v>Std Capacity Calculation (for Contract review)</v>
      </c>
      <c r="AJ64" s="13" t="str">
        <f>VLOOKUP("m_cap",translation,VLOOKUP(J2,languages,2,FALSE),FALSE)</f>
        <v>Max Capacity</v>
      </c>
      <c r="AP64" s="72" t="str">
        <f>VLOOKUP("ct_conv",translation,VLOOKUP(J2,languages,2,FALSE),FALSE)</f>
        <v>Cycle time conversions</v>
      </c>
    </row>
    <row r="65" spans="1:46" ht="48.1" customHeight="1" x14ac:dyDescent="0.2">
      <c r="A65" s="347"/>
      <c r="B65" s="735" t="str">
        <f>VLOOKUP("process",translation,VLOOKUP(J2,languages,2,FALSE),FALSE)</f>
        <v>Process Desciption</v>
      </c>
      <c r="C65" s="735"/>
      <c r="D65" s="660" t="str">
        <f>VLOOKUP("mach_type",translation,VLOOKUP(J2,languages,2,FALSE),FALSE)</f>
        <v>Maschine Type</v>
      </c>
      <c r="E65" s="660" t="str">
        <f>VLOOKUP("ct",translation,VLOOKUP(J2,languages,2,FALSE),FALSE)</f>
        <v>Cycle Time [min]</v>
      </c>
      <c r="F65" s="735" t="str">
        <f>VLOOKUP("cav",translation,VLOOKUP(J2,languages,2,FALSE),FALSE)</f>
        <v>Pcs/cycle (cavities)</v>
      </c>
      <c r="G65" s="746"/>
      <c r="H65" s="660" t="str">
        <f>VLOOKUP("mach_hr",translation,VLOOKUP(J2,languages,2,FALSE),FALSE)&amp;" ["&amp;LEFT($D$7,3)&amp;VLOOKUP("/hr",translation,VLOOKUP(J2,languages,2,FALSE),FALSE)&amp;"]"</f>
        <v>Machine [EUR/hr]</v>
      </c>
      <c r="I65" s="660" t="str">
        <f>VLOOKUP("op_hr",translation,VLOOKUP(J2,languages,2,FALSE),FALSE)&amp;" ["&amp;LEFT($D$7,3)&amp;VLOOKUP("/hr",translation,VLOOKUP(J2,languages,2,FALSE),FALSE)&amp;"]"</f>
        <v>Operator [EUR/hr]</v>
      </c>
      <c r="J65" s="660" t="str">
        <f>VLOOKUP("#op",translation,VLOOKUP(J2,languages,2,FALSE),FALSE)</f>
        <v>No. Of Operators</v>
      </c>
      <c r="K65" s="389" t="str">
        <f>VLOOKUP("setup_cost",translation,VLOOKUP(J2,languages,2,FALSE),FALSE)&amp;" ["&amp;LEFT($D$7,3)&amp;VLOOKUP("/batch",translation,VLOOKUP(J2,languages,2,FALSE),FALSE)&amp;"]"</f>
        <v>Setup Cost [EUR/batch]</v>
      </c>
      <c r="L65" s="660" t="str">
        <f>VLOOKUP("batch",translation,VLOOKUP(J2,languages,2,FALSE),FALSE)</f>
        <v>Production Batch Size</v>
      </c>
      <c r="M65" s="660" t="str">
        <f>VLOOKUP("tool_maint",translation,VLOOKUP(J2,languages,2,FALSE),FALSE)&amp;" ["&amp;LEFT($D$7,3)&amp;VLOOKUP("/part",translation,VLOOKUP(J2,languages,2,FALSE),FALSE)&amp;"]"</f>
        <v>Tool Maint. [EUR/part]</v>
      </c>
      <c r="N65" s="660" t="str">
        <f>VLOOKUP("scrap",translation,VLOOKUP(J2,languages,2,FALSE),FALSE)</f>
        <v>Scrap [%]</v>
      </c>
      <c r="O65" s="390" t="str">
        <f>VLOOKUP("total",translation,VLOOKUP(J2,languages,2,FALSE),FALSE)&amp;" ["&amp;LEFT($D$7,3)&amp;$F$7&amp;"]"</f>
        <v>Total [EUR/pc]</v>
      </c>
      <c r="P65" s="391"/>
      <c r="R65" s="14"/>
      <c r="S65" s="255" t="s">
        <v>21</v>
      </c>
      <c r="T65" s="255" t="s">
        <v>22</v>
      </c>
      <c r="U65" s="255" t="s">
        <v>23</v>
      </c>
      <c r="V65" s="255" t="s">
        <v>24</v>
      </c>
      <c r="W65" s="256">
        <v>70</v>
      </c>
      <c r="X65" s="217"/>
      <c r="Y65" s="389" t="str">
        <f>VLOOKUP("h/s",translation,VLOOKUP(J2,languages,2,FALSE),FALSE)</f>
        <v>Hrs/shift</v>
      </c>
      <c r="Z65" s="660" t="str">
        <f>VLOOKUP("s/w",translation,VLOOKUP(J2,languages,2,FALSE),FALSE)</f>
        <v>Shifts/week</v>
      </c>
      <c r="AA65" s="603" t="str">
        <f>VLOOKUP("oper_eff",translation,VLOOKUP(J2,languages,2,FALSE),FALSE)</f>
        <v>Utilization ratio</v>
      </c>
      <c r="AB65" s="389" t="str">
        <f>VLOOKUP("setup_time",translation,VLOOKUP(J2,languages,2,FALSE),FALSE)</f>
        <v>Setup [hrs]</v>
      </c>
      <c r="AC65" s="591" t="str">
        <f>VLOOKUP("setup_loss",translation,VLOOKUP(J2,languages,2,FALSE),FALSE)</f>
        <v>Setup Loss</v>
      </c>
      <c r="AD65" s="389" t="str">
        <f>VLOOKUP("week_cap",translation,VLOOKUP(J2,languages,2,FALSE),FALSE)</f>
        <v>Weekly Capacity (pc)</v>
      </c>
      <c r="AE65" s="660" t="str">
        <f>VLOOKUP("w/y",translation,VLOOKUP(J2,languages,2,FALSE),FALSE)</f>
        <v>Weeks/year</v>
      </c>
      <c r="AF65" s="591" t="str">
        <f>VLOOKUP("an_cap",translation,VLOOKUP(J2,languages,2,FALSE),FALSE)</f>
        <v>Annual Capacity (pc)</v>
      </c>
      <c r="AG65" s="389" t="str">
        <f>VLOOKUP("oee",translation,VLOOKUP(J2,languages,2,FALSE),FALSE)</f>
        <v>Calc O.E.E.</v>
      </c>
      <c r="AH65" s="591" t="str">
        <f>VLOOKUP("cap_margin",translation,VLOOKUP(J2,languages,2,FALSE),FALSE)</f>
        <v>Necessary Capacity (%)</v>
      </c>
      <c r="AI65" s="278"/>
      <c r="AJ65" s="389" t="str">
        <f>VLOOKUP("h/s",translation,VLOOKUP(J2,languages,2,FALSE),FALSE)</f>
        <v>Hrs/shift</v>
      </c>
      <c r="AK65" s="660" t="str">
        <f>VLOOKUP("s/w",translation,VLOOKUP(J2,languages,2,FALSE),FALSE)</f>
        <v>Shifts/week</v>
      </c>
      <c r="AL65" s="604" t="str">
        <f>VLOOKUP("week_cap",translation,VLOOKUP(J2,languages,2,FALSE),FALSE)</f>
        <v>Weekly Capacity (pc)</v>
      </c>
      <c r="AM65" s="605" t="s">
        <v>25</v>
      </c>
      <c r="AN65" s="606" t="s">
        <v>62</v>
      </c>
      <c r="AO65" s="607"/>
      <c r="AP65" s="608" t="s">
        <v>26</v>
      </c>
      <c r="AQ65" s="665" t="s">
        <v>27</v>
      </c>
      <c r="AR65" s="660" t="str">
        <f>VLOOKUP("pcs/min",translation,VLOOKUP(J2,languages,2,FALSE),FALSE)</f>
        <v>Pcs/min</v>
      </c>
      <c r="AS65" s="660" t="str">
        <f>VLOOKUP("pcs/hr",translation,VLOOKUP(J2,languages,2,FALSE),FALSE)</f>
        <v>Pcs/hr</v>
      </c>
      <c r="AT65" s="590" t="str">
        <f>VLOOKUP("pcs/hr_eff",translation,VLOOKUP(J2,languages,2,FALSE),FALSE)</f>
        <v>Pcs/hr (incl Eff.)</v>
      </c>
    </row>
    <row r="66" spans="1:46" x14ac:dyDescent="0.2">
      <c r="A66" s="626">
        <v>1</v>
      </c>
      <c r="B66" s="747" t="s">
        <v>868</v>
      </c>
      <c r="C66" s="748"/>
      <c r="D66" s="366">
        <v>2600</v>
      </c>
      <c r="E66" s="88">
        <v>0.93</v>
      </c>
      <c r="F66" s="736">
        <v>1</v>
      </c>
      <c r="G66" s="737"/>
      <c r="H66" s="89">
        <v>42.29</v>
      </c>
      <c r="I66" s="89">
        <v>40.36</v>
      </c>
      <c r="J66" s="663">
        <v>0.5</v>
      </c>
      <c r="K66" s="627">
        <f>IF(AND(ISNUMBER($H$66),ISNUMBER($I$66)),($H$66+$I$66)*$AB$66,0)</f>
        <v>165.3</v>
      </c>
      <c r="L66" s="392">
        <v>800</v>
      </c>
      <c r="M66" s="88"/>
      <c r="N66" s="354">
        <v>0.01</v>
      </c>
      <c r="O66" s="393">
        <f>(IF(F66=0,0,(E66*60/3600*J66*I66+E66*60/3600*H66)/F66*(1+N66))+IF(L66=0,0,K66/L66)+M66)*PUC</f>
        <v>1.18459285</v>
      </c>
      <c r="P66" s="395">
        <f>IF($O$104=0,0,O66/$O$104)</f>
        <v>0.11258257568766995</v>
      </c>
      <c r="R66" s="16"/>
      <c r="S66" s="257">
        <f t="shared" ref="S66:S89" si="16">IF(F66=0,0,(E66*60/3600*H66)/F66)*PUC</f>
        <v>0.65549500000000005</v>
      </c>
      <c r="T66" s="257">
        <f t="shared" ref="T66:T89" si="17">IF(F66=0,0,(E66*60/3600*J66*I66)/F66)*PUC</f>
        <v>0.31279000000000001</v>
      </c>
      <c r="U66" s="257">
        <f t="shared" ref="U66:U89" si="18">IF(L66=0,0,K66/L66)*PUC</f>
        <v>0.206625</v>
      </c>
      <c r="V66" s="257">
        <f t="shared" ref="V66:V89" si="19">M66*PUC</f>
        <v>0</v>
      </c>
      <c r="W66" s="257">
        <f>N66*(S66+T66)</f>
        <v>9.6828500000000015E-3</v>
      </c>
      <c r="X66" s="217"/>
      <c r="Y66" s="609">
        <v>7.5</v>
      </c>
      <c r="Z66" s="88">
        <v>10</v>
      </c>
      <c r="AA66" s="367">
        <v>0.85</v>
      </c>
      <c r="AB66" s="396">
        <v>2</v>
      </c>
      <c r="AC66" s="611">
        <f>IF(L66*F66*AA66=0,0,AB66/(L66*E66*60/AA66/F66/3600+AB66))</f>
        <v>0.12056737588652482</v>
      </c>
      <c r="AD66" s="612">
        <f>IF(E66=0,0,Z66*Y66*3600/E66/60*F66*AA66)*(1-AC66)*(1-N66)</f>
        <v>3580.8510638297867</v>
      </c>
      <c r="AE66" s="88">
        <v>48</v>
      </c>
      <c r="AF66" s="612">
        <f>AD66*AE66</f>
        <v>171880.85106382976</v>
      </c>
      <c r="AG66" s="613">
        <f>AA66*(1-N66)*(1-AC66)</f>
        <v>0.74004255319148937</v>
      </c>
      <c r="AH66" s="614">
        <f>IF($J$4*AD66=0,0,100/AF66*($J$4-1))</f>
        <v>4.6538052089522681</v>
      </c>
      <c r="AI66" s="462"/>
      <c r="AJ66" s="609"/>
      <c r="AK66" s="88"/>
      <c r="AL66" s="612">
        <f>IF(E66=0,0,AK66*AJ66*3600/E66/60*F66*AA66)*(1-AC66)*(1-N66)</f>
        <v>0</v>
      </c>
      <c r="AM66" s="88"/>
      <c r="AN66" s="615">
        <f>AL66*AM66</f>
        <v>0</v>
      </c>
      <c r="AO66" s="610"/>
      <c r="AP66" s="616">
        <f>IF(F66=0,0,+E66/F66)</f>
        <v>0.93</v>
      </c>
      <c r="AQ66" s="617">
        <f>IF(E66=0,0,1/E66)</f>
        <v>1.075268817204301</v>
      </c>
      <c r="AR66" s="617">
        <f>AQ66*F66</f>
        <v>1.075268817204301</v>
      </c>
      <c r="AS66" s="618">
        <f>IF(E66=0,0,3600/E66/60*F66)</f>
        <v>64.516129032258064</v>
      </c>
      <c r="AT66" s="619">
        <f>AS66*AA66</f>
        <v>54.838709677419352</v>
      </c>
    </row>
    <row r="67" spans="1:46" x14ac:dyDescent="0.2">
      <c r="A67" s="626">
        <v>2</v>
      </c>
      <c r="B67" s="747" t="s">
        <v>869</v>
      </c>
      <c r="C67" s="748"/>
      <c r="D67" s="366"/>
      <c r="E67" s="88">
        <v>0.66</v>
      </c>
      <c r="F67" s="736">
        <v>1</v>
      </c>
      <c r="G67" s="737"/>
      <c r="H67" s="89">
        <v>0</v>
      </c>
      <c r="I67" s="89">
        <v>34.520000000000003</v>
      </c>
      <c r="J67" s="663">
        <v>1</v>
      </c>
      <c r="K67" s="627">
        <f>IF(AND(ISNUMBER($H$67),ISNUMBER($I$67)),($H$67+$I$67)*$AB$67,0)</f>
        <v>0</v>
      </c>
      <c r="L67" s="392"/>
      <c r="M67" s="88"/>
      <c r="N67" s="354"/>
      <c r="O67" s="393">
        <f t="shared" ref="O67:O89" si="20">(IF(F67=0,0,(E67*60/3600*J67*I67+E67*60/3600*H67)/F67*(1+N67))+IF(L67=0,0,K67/L67)+M67)*PUC</f>
        <v>0.37972000000000006</v>
      </c>
      <c r="P67" s="395">
        <f>IF($O$104=0,0,O67/$O$104)</f>
        <v>3.6088226971927137E-2</v>
      </c>
      <c r="R67" s="16"/>
      <c r="S67" s="257">
        <f t="shared" si="16"/>
        <v>0</v>
      </c>
      <c r="T67" s="257">
        <f t="shared" si="17"/>
        <v>0.37972000000000006</v>
      </c>
      <c r="U67" s="257">
        <f t="shared" si="18"/>
        <v>0</v>
      </c>
      <c r="V67" s="257">
        <f t="shared" si="19"/>
        <v>0</v>
      </c>
      <c r="W67" s="257">
        <f t="shared" ref="W67:W89" si="21">N67*(S67+T67)</f>
        <v>0</v>
      </c>
      <c r="X67" s="217"/>
      <c r="Y67" s="609"/>
      <c r="Z67" s="88"/>
      <c r="AA67" s="367"/>
      <c r="AB67" s="396">
        <v>0</v>
      </c>
      <c r="AC67" s="611">
        <f>IF(L67*F67*AA67=0,0,AB67/(L67*E67*60/AA67/F67/3600+AB67))</f>
        <v>0</v>
      </c>
      <c r="AD67" s="612">
        <f>IF(E67=0,0,Z67*Y67*3600/E67/60*F67*AA67)*(1-AC67)*(1-N67)</f>
        <v>0</v>
      </c>
      <c r="AE67" s="88"/>
      <c r="AF67" s="612">
        <f>AD67*AE67</f>
        <v>0</v>
      </c>
      <c r="AG67" s="613">
        <f>AA67*(1-N67)*(1-AC67)</f>
        <v>0</v>
      </c>
      <c r="AH67" s="614">
        <f t="shared" ref="AH67:AH89" si="22">IF($J$4*AD67=0,0,100/AF67*($J$4-1))</f>
        <v>0</v>
      </c>
      <c r="AI67" s="462"/>
      <c r="AJ67" s="609"/>
      <c r="AK67" s="88"/>
      <c r="AL67" s="612">
        <f>IF(E67=0,0,AK67*AJ67*3600/E67/60*F67*AA67)*(1-AC67)*(1-N67)</f>
        <v>0</v>
      </c>
      <c r="AM67" s="88"/>
      <c r="AN67" s="615">
        <f>AL67*AM67</f>
        <v>0</v>
      </c>
      <c r="AO67" s="610"/>
      <c r="AP67" s="616">
        <f>IF(F67=0,0,+E67/F67)</f>
        <v>0.66</v>
      </c>
      <c r="AQ67" s="617">
        <f>IF(E67=0,0,1/E67)</f>
        <v>1.5151515151515151</v>
      </c>
      <c r="AR67" s="617">
        <f>AQ67*F67</f>
        <v>1.5151515151515151</v>
      </c>
      <c r="AS67" s="618">
        <f>IF(E67=0,0,3600/E67/60*F67)</f>
        <v>90.909090909090907</v>
      </c>
      <c r="AT67" s="619">
        <f>AS67*AA67</f>
        <v>0</v>
      </c>
    </row>
    <row r="68" spans="1:46" x14ac:dyDescent="0.2">
      <c r="A68" s="626">
        <v>3</v>
      </c>
      <c r="B68" s="661" t="s">
        <v>870</v>
      </c>
      <c r="C68" s="664"/>
      <c r="D68" s="366"/>
      <c r="E68" s="88">
        <v>1.1000000000000001</v>
      </c>
      <c r="F68" s="736">
        <v>13</v>
      </c>
      <c r="G68" s="737"/>
      <c r="H68" s="89">
        <v>29.29</v>
      </c>
      <c r="I68" s="89">
        <v>40.61</v>
      </c>
      <c r="J68" s="663">
        <v>2</v>
      </c>
      <c r="K68" s="627">
        <f>IF(AND(ISNUMBER($H$68),ISNUMBER($I$68)),($H$68+$I$68)*$AB$68,0)</f>
        <v>17.475000000000001</v>
      </c>
      <c r="L68" s="392">
        <v>800</v>
      </c>
      <c r="M68" s="88"/>
      <c r="N68" s="358"/>
      <c r="O68" s="393">
        <f t="shared" si="20"/>
        <v>0.17769118589743593</v>
      </c>
      <c r="P68" s="395">
        <f>IF($O$104=0,0,O68/$O$104)</f>
        <v>1.6887600989090819E-2</v>
      </c>
      <c r="R68" s="17"/>
      <c r="S68" s="257">
        <f t="shared" si="16"/>
        <v>4.1306410256410256E-2</v>
      </c>
      <c r="T68" s="257">
        <f t="shared" si="17"/>
        <v>0.11454102564102565</v>
      </c>
      <c r="U68" s="257">
        <f t="shared" si="18"/>
        <v>2.1843750000000002E-2</v>
      </c>
      <c r="V68" s="257">
        <f t="shared" si="19"/>
        <v>0</v>
      </c>
      <c r="W68" s="257">
        <f t="shared" si="21"/>
        <v>0</v>
      </c>
      <c r="X68" s="217"/>
      <c r="Y68" s="609"/>
      <c r="Z68" s="88"/>
      <c r="AA68" s="367"/>
      <c r="AB68" s="620">
        <v>0.25</v>
      </c>
      <c r="AC68" s="611">
        <f>IF(L68*F68*AA68=0,0,AB68/(L68*E68*60/AA68/F68/3600+AB68))</f>
        <v>0</v>
      </c>
      <c r="AD68" s="612">
        <f>IF(E68=0,0,Z68*Y68*3600/E68/60*F68*AA68)*(1-AC68)*(1-N68)</f>
        <v>0</v>
      </c>
      <c r="AE68" s="88"/>
      <c r="AF68" s="612">
        <f t="shared" ref="AF68:AF89" si="23">AD68*AE68</f>
        <v>0</v>
      </c>
      <c r="AG68" s="613">
        <f t="shared" ref="AG68:AG89" si="24">AA68*(1-N68)*(1-AC68)</f>
        <v>0</v>
      </c>
      <c r="AH68" s="611">
        <f t="shared" si="22"/>
        <v>0</v>
      </c>
      <c r="AI68" s="462"/>
      <c r="AJ68" s="609"/>
      <c r="AK68" s="88"/>
      <c r="AL68" s="612">
        <f>IF(E68=0,0,AK68*AJ68*3600/E68/60*F68*AA68)*(1-AC68)*(1-N68)</f>
        <v>0</v>
      </c>
      <c r="AM68" s="88"/>
      <c r="AN68" s="615">
        <f>AL68*AM68</f>
        <v>0</v>
      </c>
      <c r="AO68" s="610"/>
      <c r="AP68" s="616">
        <f>IF(F68=0,0,+E68/F68)</f>
        <v>8.461538461538462E-2</v>
      </c>
      <c r="AQ68" s="617">
        <f>IF(E68=0,0,1/E68)</f>
        <v>0.90909090909090906</v>
      </c>
      <c r="AR68" s="617">
        <f t="shared" ref="AR68:AR89" si="25">AQ68*F68</f>
        <v>11.818181818181818</v>
      </c>
      <c r="AS68" s="618">
        <f>IF(E68=0,0,3600/E68/60*F68)</f>
        <v>709.09090909090901</v>
      </c>
      <c r="AT68" s="619">
        <f t="shared" ref="AT68:AT89" si="26">AS68*AA68</f>
        <v>0</v>
      </c>
    </row>
    <row r="69" spans="1:46" x14ac:dyDescent="0.2">
      <c r="A69" s="626">
        <v>4</v>
      </c>
      <c r="B69" s="661" t="s">
        <v>871</v>
      </c>
      <c r="C69" s="664"/>
      <c r="D69" s="366"/>
      <c r="E69" s="88">
        <v>1.5</v>
      </c>
      <c r="F69" s="736">
        <v>1</v>
      </c>
      <c r="G69" s="737"/>
      <c r="H69" s="89">
        <v>28.92</v>
      </c>
      <c r="I69" s="89">
        <v>40.36</v>
      </c>
      <c r="J69" s="663">
        <v>1</v>
      </c>
      <c r="K69" s="627">
        <f>IF(AND(ISNUMBER($H$69),ISNUMBER($I$69)),($H$69+$I$69)*$AB$69,0)</f>
        <v>103.92</v>
      </c>
      <c r="L69" s="392">
        <v>800</v>
      </c>
      <c r="M69" s="88"/>
      <c r="N69" s="358"/>
      <c r="O69" s="393">
        <f t="shared" si="20"/>
        <v>1.8619000000000003</v>
      </c>
      <c r="P69" s="395">
        <f t="shared" ref="P69:P89" si="27">IF($O$104=0,0,O69/$O$104)</f>
        <v>0.17695320183037802</v>
      </c>
      <c r="R69" s="17"/>
      <c r="S69" s="257">
        <f t="shared" si="16"/>
        <v>0.72300000000000009</v>
      </c>
      <c r="T69" s="257">
        <f t="shared" si="17"/>
        <v>1.0090000000000001</v>
      </c>
      <c r="U69" s="257">
        <f t="shared" si="18"/>
        <v>0.12990000000000002</v>
      </c>
      <c r="V69" s="257">
        <f t="shared" si="19"/>
        <v>0</v>
      </c>
      <c r="W69" s="257">
        <f t="shared" si="21"/>
        <v>0</v>
      </c>
      <c r="X69" s="217"/>
      <c r="Y69" s="609"/>
      <c r="Z69" s="88"/>
      <c r="AA69" s="367"/>
      <c r="AB69" s="620">
        <v>1.5</v>
      </c>
      <c r="AC69" s="611">
        <f>IF(L69*F69*AA69=0,0,AB69/(L69*E69*60/AA69/F69/3600+AB69))</f>
        <v>0</v>
      </c>
      <c r="AD69" s="612">
        <f>IF(E69=0,0,Z69*Y69*3600/E69/60*F69*AA69)*(1-AC69)*(1-N69)</f>
        <v>0</v>
      </c>
      <c r="AE69" s="88"/>
      <c r="AF69" s="612">
        <f t="shared" si="23"/>
        <v>0</v>
      </c>
      <c r="AG69" s="613">
        <f t="shared" si="24"/>
        <v>0</v>
      </c>
      <c r="AH69" s="611">
        <f t="shared" si="22"/>
        <v>0</v>
      </c>
      <c r="AI69" s="462"/>
      <c r="AJ69" s="609"/>
      <c r="AK69" s="88"/>
      <c r="AL69" s="612">
        <f>IF(E69=0,0,AK69*AJ69*3600/E69/60*F69*AA69)*(1-AC69)*(1-N69)</f>
        <v>0</v>
      </c>
      <c r="AM69" s="88"/>
      <c r="AN69" s="615"/>
      <c r="AO69" s="610"/>
      <c r="AP69" s="616">
        <f>IF(F69=0,0,+E69/F69)</f>
        <v>1.5</v>
      </c>
      <c r="AQ69" s="617">
        <f>IF(E69=0,0,1/E69)</f>
        <v>0.66666666666666663</v>
      </c>
      <c r="AR69" s="617">
        <f t="shared" si="25"/>
        <v>0.66666666666666663</v>
      </c>
      <c r="AS69" s="618">
        <f>IF(E69=0,0,3600/E69/60*F69)</f>
        <v>40</v>
      </c>
      <c r="AT69" s="621">
        <f t="shared" si="26"/>
        <v>0</v>
      </c>
    </row>
    <row r="70" spans="1:46" x14ac:dyDescent="0.2">
      <c r="A70" s="626">
        <v>5</v>
      </c>
      <c r="B70" s="661" t="s">
        <v>872</v>
      </c>
      <c r="C70" s="664"/>
      <c r="D70" s="366"/>
      <c r="E70" s="88">
        <v>0.33</v>
      </c>
      <c r="F70" s="736">
        <v>1</v>
      </c>
      <c r="G70" s="737"/>
      <c r="H70" s="89">
        <v>0</v>
      </c>
      <c r="I70" s="89">
        <v>34.520000000000003</v>
      </c>
      <c r="J70" s="663">
        <v>1</v>
      </c>
      <c r="K70" s="627">
        <f>IF(AND(ISNUMBER($H$70),ISNUMBER($I$70)),($H$70+$I$70)*$AB$70,0)</f>
        <v>0</v>
      </c>
      <c r="L70" s="392"/>
      <c r="M70" s="88"/>
      <c r="N70" s="358"/>
      <c r="O70" s="393">
        <f t="shared" si="20"/>
        <v>0.18986000000000003</v>
      </c>
      <c r="P70" s="395">
        <f t="shared" si="27"/>
        <v>1.8044113485963569E-2</v>
      </c>
      <c r="R70" s="17"/>
      <c r="S70" s="257">
        <f t="shared" si="16"/>
        <v>0</v>
      </c>
      <c r="T70" s="257">
        <f t="shared" si="17"/>
        <v>0.18986000000000003</v>
      </c>
      <c r="U70" s="257">
        <f t="shared" si="18"/>
        <v>0</v>
      </c>
      <c r="V70" s="257">
        <f t="shared" si="19"/>
        <v>0</v>
      </c>
      <c r="W70" s="257">
        <f t="shared" si="21"/>
        <v>0</v>
      </c>
      <c r="X70" s="217"/>
      <c r="Y70" s="609"/>
      <c r="Z70" s="88"/>
      <c r="AA70" s="367"/>
      <c r="AB70" s="620"/>
      <c r="AC70" s="611">
        <f t="shared" ref="AC70:AC89" si="28">IF(L70*F70*AA70=0,0,AB70/(L70*E70*60/AA70/F70/3600+AB70))</f>
        <v>0</v>
      </c>
      <c r="AD70" s="612">
        <f t="shared" ref="AD70:AD89" si="29">IF(E70=0,0,Z70*Y70*3600/E70/60*F70*AA70)*(1-AC70)*(1-N70)</f>
        <v>0</v>
      </c>
      <c r="AE70" s="88"/>
      <c r="AF70" s="612">
        <f t="shared" si="23"/>
        <v>0</v>
      </c>
      <c r="AG70" s="613">
        <f t="shared" si="24"/>
        <v>0</v>
      </c>
      <c r="AH70" s="611">
        <f t="shared" si="22"/>
        <v>0</v>
      </c>
      <c r="AI70" s="462"/>
      <c r="AJ70" s="609"/>
      <c r="AK70" s="88"/>
      <c r="AL70" s="612">
        <f t="shared" ref="AL70:AL89" si="30">IF(E70=0,0,AK70*AJ70*3600/E70/60*F70*AA70)*(1-AC70)*(1-N70)</f>
        <v>0</v>
      </c>
      <c r="AM70" s="88"/>
      <c r="AN70" s="615"/>
      <c r="AO70" s="610"/>
      <c r="AP70" s="616">
        <f t="shared" ref="AP70:AP89" si="31">IF(F70=0,0,+E70/F70)</f>
        <v>0.33</v>
      </c>
      <c r="AQ70" s="617">
        <f t="shared" ref="AQ70:AQ89" si="32">IF(E70=0,0,1/E70)</f>
        <v>3.0303030303030303</v>
      </c>
      <c r="AR70" s="617">
        <f t="shared" si="25"/>
        <v>3.0303030303030303</v>
      </c>
      <c r="AS70" s="618">
        <f t="shared" ref="AS70:AS89" si="33">IF(E70=0,0,3600/E70/60*F70)</f>
        <v>181.81818181818181</v>
      </c>
      <c r="AT70" s="621">
        <f t="shared" si="26"/>
        <v>0</v>
      </c>
    </row>
    <row r="71" spans="1:46" hidden="1" x14ac:dyDescent="0.2">
      <c r="A71" s="626">
        <v>6</v>
      </c>
      <c r="B71" s="661"/>
      <c r="C71" s="664"/>
      <c r="D71" s="366"/>
      <c r="E71" s="88"/>
      <c r="F71" s="736"/>
      <c r="G71" s="737"/>
      <c r="H71" s="89">
        <v>0</v>
      </c>
      <c r="I71" s="89">
        <v>0</v>
      </c>
      <c r="J71" s="663"/>
      <c r="K71" s="627">
        <f>IF(AND(ISNUMBER($H$71),ISNUMBER($I$71)),($H$71+$I$71)*$AB$71,0)</f>
        <v>0</v>
      </c>
      <c r="L71" s="392"/>
      <c r="M71" s="88"/>
      <c r="N71" s="358"/>
      <c r="O71" s="393">
        <f t="shared" si="20"/>
        <v>0</v>
      </c>
      <c r="P71" s="395">
        <f t="shared" si="27"/>
        <v>0</v>
      </c>
      <c r="R71" s="17"/>
      <c r="S71" s="257">
        <f t="shared" si="16"/>
        <v>0</v>
      </c>
      <c r="T71" s="257">
        <f t="shared" si="17"/>
        <v>0</v>
      </c>
      <c r="U71" s="257">
        <f t="shared" si="18"/>
        <v>0</v>
      </c>
      <c r="V71" s="257">
        <f t="shared" si="19"/>
        <v>0</v>
      </c>
      <c r="W71" s="257">
        <f t="shared" si="21"/>
        <v>0</v>
      </c>
      <c r="X71" s="217"/>
      <c r="Y71" s="609"/>
      <c r="Z71" s="88"/>
      <c r="AA71" s="367"/>
      <c r="AB71" s="620"/>
      <c r="AC71" s="611">
        <f t="shared" si="28"/>
        <v>0</v>
      </c>
      <c r="AD71" s="612">
        <f t="shared" si="29"/>
        <v>0</v>
      </c>
      <c r="AE71" s="88"/>
      <c r="AF71" s="612">
        <f t="shared" si="23"/>
        <v>0</v>
      </c>
      <c r="AG71" s="613">
        <f t="shared" si="24"/>
        <v>0</v>
      </c>
      <c r="AH71" s="611">
        <f t="shared" si="22"/>
        <v>0</v>
      </c>
      <c r="AI71" s="462"/>
      <c r="AJ71" s="609"/>
      <c r="AK71" s="88"/>
      <c r="AL71" s="612">
        <f t="shared" si="30"/>
        <v>0</v>
      </c>
      <c r="AM71" s="88"/>
      <c r="AN71" s="615"/>
      <c r="AO71" s="610"/>
      <c r="AP71" s="616">
        <f t="shared" si="31"/>
        <v>0</v>
      </c>
      <c r="AQ71" s="617">
        <f t="shared" si="32"/>
        <v>0</v>
      </c>
      <c r="AR71" s="617">
        <f t="shared" si="25"/>
        <v>0</v>
      </c>
      <c r="AS71" s="618">
        <f t="shared" si="33"/>
        <v>0</v>
      </c>
      <c r="AT71" s="621">
        <f t="shared" si="26"/>
        <v>0</v>
      </c>
    </row>
    <row r="72" spans="1:46" hidden="1" x14ac:dyDescent="0.2">
      <c r="A72" s="626">
        <v>7</v>
      </c>
      <c r="B72" s="661"/>
      <c r="C72" s="664"/>
      <c r="D72" s="366"/>
      <c r="E72" s="88"/>
      <c r="F72" s="736"/>
      <c r="G72" s="737"/>
      <c r="H72" s="89">
        <v>0</v>
      </c>
      <c r="I72" s="89">
        <v>0</v>
      </c>
      <c r="J72" s="663"/>
      <c r="K72" s="627">
        <f>IF(AND(ISNUMBER($H$72),ISNUMBER($I$72)),($H$72+$I$72)*$AB$72,0)</f>
        <v>0</v>
      </c>
      <c r="L72" s="392"/>
      <c r="M72" s="88"/>
      <c r="N72" s="358"/>
      <c r="O72" s="393">
        <f t="shared" si="20"/>
        <v>0</v>
      </c>
      <c r="P72" s="395">
        <f t="shared" si="27"/>
        <v>0</v>
      </c>
      <c r="R72" s="17"/>
      <c r="S72" s="257">
        <f t="shared" si="16"/>
        <v>0</v>
      </c>
      <c r="T72" s="257">
        <f t="shared" si="17"/>
        <v>0</v>
      </c>
      <c r="U72" s="257">
        <f t="shared" si="18"/>
        <v>0</v>
      </c>
      <c r="V72" s="257">
        <f t="shared" si="19"/>
        <v>0</v>
      </c>
      <c r="W72" s="257">
        <f t="shared" si="21"/>
        <v>0</v>
      </c>
      <c r="X72" s="217"/>
      <c r="Y72" s="609"/>
      <c r="Z72" s="88"/>
      <c r="AA72" s="367"/>
      <c r="AB72" s="620"/>
      <c r="AC72" s="611">
        <f t="shared" si="28"/>
        <v>0</v>
      </c>
      <c r="AD72" s="612">
        <f t="shared" si="29"/>
        <v>0</v>
      </c>
      <c r="AE72" s="88"/>
      <c r="AF72" s="612">
        <f t="shared" si="23"/>
        <v>0</v>
      </c>
      <c r="AG72" s="613">
        <f t="shared" si="24"/>
        <v>0</v>
      </c>
      <c r="AH72" s="611">
        <f t="shared" si="22"/>
        <v>0</v>
      </c>
      <c r="AI72" s="462"/>
      <c r="AJ72" s="609"/>
      <c r="AK72" s="88"/>
      <c r="AL72" s="612">
        <f t="shared" si="30"/>
        <v>0</v>
      </c>
      <c r="AM72" s="88"/>
      <c r="AN72" s="615"/>
      <c r="AO72" s="610"/>
      <c r="AP72" s="616">
        <f t="shared" si="31"/>
        <v>0</v>
      </c>
      <c r="AQ72" s="617">
        <f t="shared" si="32"/>
        <v>0</v>
      </c>
      <c r="AR72" s="617">
        <f t="shared" si="25"/>
        <v>0</v>
      </c>
      <c r="AS72" s="618">
        <f t="shared" si="33"/>
        <v>0</v>
      </c>
      <c r="AT72" s="621">
        <f t="shared" si="26"/>
        <v>0</v>
      </c>
    </row>
    <row r="73" spans="1:46" hidden="1" x14ac:dyDescent="0.2">
      <c r="A73" s="626">
        <v>8</v>
      </c>
      <c r="B73" s="661"/>
      <c r="C73" s="664"/>
      <c r="D73" s="366"/>
      <c r="E73" s="88"/>
      <c r="F73" s="736"/>
      <c r="G73" s="737"/>
      <c r="H73" s="89">
        <v>0</v>
      </c>
      <c r="I73" s="89">
        <v>0</v>
      </c>
      <c r="J73" s="663"/>
      <c r="K73" s="627">
        <f>IF(AND(ISNUMBER($H$73),ISNUMBER($I$73)),($H$73+$I$73)*$AB$73,0)</f>
        <v>0</v>
      </c>
      <c r="L73" s="392"/>
      <c r="M73" s="88"/>
      <c r="N73" s="358"/>
      <c r="O73" s="393">
        <f t="shared" si="20"/>
        <v>0</v>
      </c>
      <c r="P73" s="395">
        <f t="shared" si="27"/>
        <v>0</v>
      </c>
      <c r="R73" s="17"/>
      <c r="S73" s="257">
        <f t="shared" si="16"/>
        <v>0</v>
      </c>
      <c r="T73" s="257">
        <f t="shared" si="17"/>
        <v>0</v>
      </c>
      <c r="U73" s="257">
        <f t="shared" si="18"/>
        <v>0</v>
      </c>
      <c r="V73" s="257">
        <f t="shared" si="19"/>
        <v>0</v>
      </c>
      <c r="W73" s="257">
        <f t="shared" si="21"/>
        <v>0</v>
      </c>
      <c r="X73" s="217"/>
      <c r="Y73" s="609"/>
      <c r="Z73" s="88"/>
      <c r="AA73" s="367"/>
      <c r="AB73" s="620"/>
      <c r="AC73" s="611">
        <f t="shared" si="28"/>
        <v>0</v>
      </c>
      <c r="AD73" s="612">
        <f t="shared" si="29"/>
        <v>0</v>
      </c>
      <c r="AE73" s="88"/>
      <c r="AF73" s="612">
        <f t="shared" si="23"/>
        <v>0</v>
      </c>
      <c r="AG73" s="613">
        <f t="shared" si="24"/>
        <v>0</v>
      </c>
      <c r="AH73" s="611">
        <f t="shared" si="22"/>
        <v>0</v>
      </c>
      <c r="AI73" s="462"/>
      <c r="AJ73" s="609"/>
      <c r="AK73" s="88"/>
      <c r="AL73" s="612">
        <f t="shared" si="30"/>
        <v>0</v>
      </c>
      <c r="AM73" s="88"/>
      <c r="AN73" s="615"/>
      <c r="AO73" s="610"/>
      <c r="AP73" s="616">
        <f t="shared" si="31"/>
        <v>0</v>
      </c>
      <c r="AQ73" s="617">
        <f t="shared" si="32"/>
        <v>0</v>
      </c>
      <c r="AR73" s="617">
        <f t="shared" si="25"/>
        <v>0</v>
      </c>
      <c r="AS73" s="618">
        <f t="shared" si="33"/>
        <v>0</v>
      </c>
      <c r="AT73" s="621">
        <f t="shared" si="26"/>
        <v>0</v>
      </c>
    </row>
    <row r="74" spans="1:46" hidden="1" x14ac:dyDescent="0.2">
      <c r="A74" s="626">
        <v>9</v>
      </c>
      <c r="B74" s="661"/>
      <c r="C74" s="664"/>
      <c r="D74" s="366"/>
      <c r="E74" s="88"/>
      <c r="F74" s="736"/>
      <c r="G74" s="737"/>
      <c r="H74" s="89">
        <v>0</v>
      </c>
      <c r="I74" s="89">
        <v>0</v>
      </c>
      <c r="J74" s="663"/>
      <c r="K74" s="627">
        <f>IF(AND(ISNUMBER($H$74),ISNUMBER($I$74)),($H$74+$I$74)*$AB$74,0)</f>
        <v>0</v>
      </c>
      <c r="L74" s="392"/>
      <c r="M74" s="88"/>
      <c r="N74" s="358"/>
      <c r="O74" s="393">
        <f t="shared" si="20"/>
        <v>0</v>
      </c>
      <c r="P74" s="395">
        <f t="shared" si="27"/>
        <v>0</v>
      </c>
      <c r="R74" s="17"/>
      <c r="S74" s="257">
        <f t="shared" si="16"/>
        <v>0</v>
      </c>
      <c r="T74" s="257">
        <f t="shared" si="17"/>
        <v>0</v>
      </c>
      <c r="U74" s="257">
        <f t="shared" si="18"/>
        <v>0</v>
      </c>
      <c r="V74" s="257">
        <f t="shared" si="19"/>
        <v>0</v>
      </c>
      <c r="W74" s="257">
        <f t="shared" si="21"/>
        <v>0</v>
      </c>
      <c r="X74" s="217"/>
      <c r="Y74" s="609"/>
      <c r="Z74" s="88"/>
      <c r="AA74" s="367"/>
      <c r="AB74" s="620"/>
      <c r="AC74" s="611">
        <f t="shared" si="28"/>
        <v>0</v>
      </c>
      <c r="AD74" s="612">
        <f t="shared" si="29"/>
        <v>0</v>
      </c>
      <c r="AE74" s="88"/>
      <c r="AF74" s="612">
        <f t="shared" si="23"/>
        <v>0</v>
      </c>
      <c r="AG74" s="613">
        <f t="shared" si="24"/>
        <v>0</v>
      </c>
      <c r="AH74" s="611">
        <f t="shared" si="22"/>
        <v>0</v>
      </c>
      <c r="AI74" s="462"/>
      <c r="AJ74" s="609"/>
      <c r="AK74" s="88"/>
      <c r="AL74" s="612">
        <f t="shared" si="30"/>
        <v>0</v>
      </c>
      <c r="AM74" s="88"/>
      <c r="AN74" s="615"/>
      <c r="AO74" s="610"/>
      <c r="AP74" s="616">
        <f t="shared" si="31"/>
        <v>0</v>
      </c>
      <c r="AQ74" s="617">
        <f t="shared" si="32"/>
        <v>0</v>
      </c>
      <c r="AR74" s="617">
        <f t="shared" si="25"/>
        <v>0</v>
      </c>
      <c r="AS74" s="618">
        <f t="shared" si="33"/>
        <v>0</v>
      </c>
      <c r="AT74" s="621">
        <f t="shared" si="26"/>
        <v>0</v>
      </c>
    </row>
    <row r="75" spans="1:46" hidden="1" x14ac:dyDescent="0.2">
      <c r="A75" s="626">
        <v>10</v>
      </c>
      <c r="B75" s="661"/>
      <c r="C75" s="664"/>
      <c r="D75" s="366"/>
      <c r="E75" s="88"/>
      <c r="F75" s="736"/>
      <c r="G75" s="737"/>
      <c r="H75" s="89">
        <v>0</v>
      </c>
      <c r="I75" s="89">
        <v>0</v>
      </c>
      <c r="J75" s="663"/>
      <c r="K75" s="627">
        <f>IF(AND(ISNUMBER($H$75),ISNUMBER($I$75)),($H$75+$I$75)*$AB$75,0)</f>
        <v>0</v>
      </c>
      <c r="L75" s="392"/>
      <c r="M75" s="88"/>
      <c r="N75" s="358"/>
      <c r="O75" s="393">
        <f t="shared" si="20"/>
        <v>0</v>
      </c>
      <c r="P75" s="395">
        <f t="shared" si="27"/>
        <v>0</v>
      </c>
      <c r="R75" s="17"/>
      <c r="S75" s="257">
        <f t="shared" si="16"/>
        <v>0</v>
      </c>
      <c r="T75" s="257">
        <f t="shared" si="17"/>
        <v>0</v>
      </c>
      <c r="U75" s="257">
        <f t="shared" si="18"/>
        <v>0</v>
      </c>
      <c r="V75" s="257">
        <f t="shared" si="19"/>
        <v>0</v>
      </c>
      <c r="W75" s="257">
        <f t="shared" si="21"/>
        <v>0</v>
      </c>
      <c r="X75" s="217"/>
      <c r="Y75" s="609"/>
      <c r="Z75" s="88"/>
      <c r="AA75" s="367"/>
      <c r="AB75" s="620"/>
      <c r="AC75" s="611">
        <f t="shared" si="28"/>
        <v>0</v>
      </c>
      <c r="AD75" s="612">
        <f t="shared" si="29"/>
        <v>0</v>
      </c>
      <c r="AE75" s="88"/>
      <c r="AF75" s="612">
        <f t="shared" si="23"/>
        <v>0</v>
      </c>
      <c r="AG75" s="613">
        <f t="shared" si="24"/>
        <v>0</v>
      </c>
      <c r="AH75" s="611">
        <f t="shared" si="22"/>
        <v>0</v>
      </c>
      <c r="AI75" s="462"/>
      <c r="AJ75" s="609"/>
      <c r="AK75" s="88"/>
      <c r="AL75" s="612">
        <f t="shared" si="30"/>
        <v>0</v>
      </c>
      <c r="AM75" s="88"/>
      <c r="AN75" s="615"/>
      <c r="AO75" s="610"/>
      <c r="AP75" s="616">
        <f t="shared" si="31"/>
        <v>0</v>
      </c>
      <c r="AQ75" s="617">
        <f t="shared" si="32"/>
        <v>0</v>
      </c>
      <c r="AR75" s="617">
        <f t="shared" si="25"/>
        <v>0</v>
      </c>
      <c r="AS75" s="618">
        <f t="shared" si="33"/>
        <v>0</v>
      </c>
      <c r="AT75" s="621">
        <f t="shared" si="26"/>
        <v>0</v>
      </c>
    </row>
    <row r="76" spans="1:46" hidden="1" x14ac:dyDescent="0.2">
      <c r="A76" s="626">
        <v>11</v>
      </c>
      <c r="B76" s="661"/>
      <c r="C76" s="664"/>
      <c r="D76" s="366"/>
      <c r="E76" s="88"/>
      <c r="F76" s="736"/>
      <c r="G76" s="737"/>
      <c r="H76" s="89">
        <v>0</v>
      </c>
      <c r="I76" s="89">
        <v>0</v>
      </c>
      <c r="J76" s="663"/>
      <c r="K76" s="627">
        <f>IF(AND(ISNUMBER($H$76),ISNUMBER($I$76)),($H$76+$I$76)*$AB$76,0)</f>
        <v>0</v>
      </c>
      <c r="L76" s="392"/>
      <c r="M76" s="88"/>
      <c r="N76" s="358"/>
      <c r="O76" s="393">
        <f t="shared" si="20"/>
        <v>0</v>
      </c>
      <c r="P76" s="395">
        <f t="shared" si="27"/>
        <v>0</v>
      </c>
      <c r="R76" s="17"/>
      <c r="S76" s="257">
        <f t="shared" si="16"/>
        <v>0</v>
      </c>
      <c r="T76" s="257">
        <f t="shared" si="17"/>
        <v>0</v>
      </c>
      <c r="U76" s="257">
        <f t="shared" si="18"/>
        <v>0</v>
      </c>
      <c r="V76" s="257">
        <f t="shared" si="19"/>
        <v>0</v>
      </c>
      <c r="W76" s="257">
        <f t="shared" si="21"/>
        <v>0</v>
      </c>
      <c r="X76" s="217"/>
      <c r="Y76" s="609"/>
      <c r="Z76" s="88"/>
      <c r="AA76" s="367"/>
      <c r="AB76" s="620"/>
      <c r="AC76" s="611">
        <f t="shared" si="28"/>
        <v>0</v>
      </c>
      <c r="AD76" s="612">
        <f t="shared" si="29"/>
        <v>0</v>
      </c>
      <c r="AE76" s="88"/>
      <c r="AF76" s="612">
        <f t="shared" si="23"/>
        <v>0</v>
      </c>
      <c r="AG76" s="613">
        <f t="shared" si="24"/>
        <v>0</v>
      </c>
      <c r="AH76" s="611">
        <f t="shared" si="22"/>
        <v>0</v>
      </c>
      <c r="AI76" s="462"/>
      <c r="AJ76" s="609"/>
      <c r="AK76" s="88"/>
      <c r="AL76" s="612">
        <f t="shared" si="30"/>
        <v>0</v>
      </c>
      <c r="AM76" s="88"/>
      <c r="AN76" s="615"/>
      <c r="AO76" s="610"/>
      <c r="AP76" s="616">
        <f t="shared" si="31"/>
        <v>0</v>
      </c>
      <c r="AQ76" s="617">
        <f t="shared" si="32"/>
        <v>0</v>
      </c>
      <c r="AR76" s="617">
        <f t="shared" si="25"/>
        <v>0</v>
      </c>
      <c r="AS76" s="618">
        <f t="shared" si="33"/>
        <v>0</v>
      </c>
      <c r="AT76" s="621">
        <f t="shared" si="26"/>
        <v>0</v>
      </c>
    </row>
    <row r="77" spans="1:46" hidden="1" x14ac:dyDescent="0.2">
      <c r="A77" s="626">
        <v>12</v>
      </c>
      <c r="B77" s="661"/>
      <c r="C77" s="664"/>
      <c r="D77" s="366"/>
      <c r="E77" s="88"/>
      <c r="F77" s="736"/>
      <c r="G77" s="737"/>
      <c r="H77" s="89">
        <v>0</v>
      </c>
      <c r="I77" s="89">
        <v>0</v>
      </c>
      <c r="J77" s="663"/>
      <c r="K77" s="627">
        <f>IF(AND(ISNUMBER($H$77),ISNUMBER($I$77)),($H$77+$I$77)*$AB$77,0)</f>
        <v>0</v>
      </c>
      <c r="L77" s="392"/>
      <c r="M77" s="88"/>
      <c r="N77" s="358"/>
      <c r="O77" s="393">
        <f t="shared" si="20"/>
        <v>0</v>
      </c>
      <c r="P77" s="395">
        <f t="shared" si="27"/>
        <v>0</v>
      </c>
      <c r="R77" s="17"/>
      <c r="S77" s="257">
        <f t="shared" si="16"/>
        <v>0</v>
      </c>
      <c r="T77" s="257">
        <f t="shared" si="17"/>
        <v>0</v>
      </c>
      <c r="U77" s="257">
        <f t="shared" si="18"/>
        <v>0</v>
      </c>
      <c r="V77" s="257">
        <f t="shared" si="19"/>
        <v>0</v>
      </c>
      <c r="W77" s="257">
        <f t="shared" si="21"/>
        <v>0</v>
      </c>
      <c r="X77" s="217"/>
      <c r="Y77" s="609"/>
      <c r="Z77" s="88"/>
      <c r="AA77" s="367"/>
      <c r="AB77" s="620"/>
      <c r="AC77" s="611">
        <f t="shared" si="28"/>
        <v>0</v>
      </c>
      <c r="AD77" s="612">
        <f t="shared" si="29"/>
        <v>0</v>
      </c>
      <c r="AE77" s="88"/>
      <c r="AF77" s="612">
        <f t="shared" si="23"/>
        <v>0</v>
      </c>
      <c r="AG77" s="613">
        <f t="shared" si="24"/>
        <v>0</v>
      </c>
      <c r="AH77" s="611">
        <f t="shared" si="22"/>
        <v>0</v>
      </c>
      <c r="AI77" s="462"/>
      <c r="AJ77" s="609"/>
      <c r="AK77" s="88"/>
      <c r="AL77" s="612">
        <f t="shared" si="30"/>
        <v>0</v>
      </c>
      <c r="AM77" s="88"/>
      <c r="AN77" s="615">
        <f>AL77*AM77</f>
        <v>0</v>
      </c>
      <c r="AO77" s="610"/>
      <c r="AP77" s="616">
        <f t="shared" si="31"/>
        <v>0</v>
      </c>
      <c r="AQ77" s="617">
        <f t="shared" si="32"/>
        <v>0</v>
      </c>
      <c r="AR77" s="617">
        <f t="shared" si="25"/>
        <v>0</v>
      </c>
      <c r="AS77" s="618">
        <f t="shared" si="33"/>
        <v>0</v>
      </c>
      <c r="AT77" s="621">
        <f t="shared" si="26"/>
        <v>0</v>
      </c>
    </row>
    <row r="78" spans="1:46" hidden="1" x14ac:dyDescent="0.2">
      <c r="A78" s="626">
        <v>13</v>
      </c>
      <c r="B78" s="661"/>
      <c r="C78" s="664"/>
      <c r="D78" s="366"/>
      <c r="E78" s="88"/>
      <c r="F78" s="736"/>
      <c r="G78" s="737"/>
      <c r="H78" s="89">
        <v>0</v>
      </c>
      <c r="I78" s="89">
        <v>0</v>
      </c>
      <c r="J78" s="663"/>
      <c r="K78" s="627">
        <f>IF(AND(ISNUMBER($H$78),ISNUMBER($I$78)),($H$78+$I$78)*$AB$78,0)</f>
        <v>0</v>
      </c>
      <c r="L78" s="392"/>
      <c r="M78" s="88"/>
      <c r="N78" s="358"/>
      <c r="O78" s="393">
        <f t="shared" si="20"/>
        <v>0</v>
      </c>
      <c r="P78" s="395">
        <f t="shared" si="27"/>
        <v>0</v>
      </c>
      <c r="R78" s="16"/>
      <c r="S78" s="257">
        <f t="shared" si="16"/>
        <v>0</v>
      </c>
      <c r="T78" s="257">
        <f t="shared" si="17"/>
        <v>0</v>
      </c>
      <c r="U78" s="257">
        <f t="shared" si="18"/>
        <v>0</v>
      </c>
      <c r="V78" s="257">
        <f t="shared" si="19"/>
        <v>0</v>
      </c>
      <c r="W78" s="257">
        <f t="shared" si="21"/>
        <v>0</v>
      </c>
      <c r="X78" s="217"/>
      <c r="Y78" s="609"/>
      <c r="Z78" s="88"/>
      <c r="AA78" s="367"/>
      <c r="AB78" s="620"/>
      <c r="AC78" s="611">
        <f t="shared" si="28"/>
        <v>0</v>
      </c>
      <c r="AD78" s="612">
        <f t="shared" si="29"/>
        <v>0</v>
      </c>
      <c r="AE78" s="88"/>
      <c r="AF78" s="612">
        <f t="shared" si="23"/>
        <v>0</v>
      </c>
      <c r="AG78" s="613">
        <f t="shared" si="24"/>
        <v>0</v>
      </c>
      <c r="AH78" s="611">
        <f t="shared" si="22"/>
        <v>0</v>
      </c>
      <c r="AI78" s="462"/>
      <c r="AJ78" s="609"/>
      <c r="AK78" s="88"/>
      <c r="AL78" s="612">
        <f t="shared" si="30"/>
        <v>0</v>
      </c>
      <c r="AM78" s="88"/>
      <c r="AN78" s="615">
        <f>AL78*AM78</f>
        <v>0</v>
      </c>
      <c r="AO78" s="610"/>
      <c r="AP78" s="616">
        <f t="shared" si="31"/>
        <v>0</v>
      </c>
      <c r="AQ78" s="617">
        <f t="shared" si="32"/>
        <v>0</v>
      </c>
      <c r="AR78" s="617">
        <f t="shared" si="25"/>
        <v>0</v>
      </c>
      <c r="AS78" s="618">
        <f t="shared" si="33"/>
        <v>0</v>
      </c>
      <c r="AT78" s="621">
        <f t="shared" si="26"/>
        <v>0</v>
      </c>
    </row>
    <row r="79" spans="1:46" hidden="1" x14ac:dyDescent="0.2">
      <c r="A79" s="626">
        <v>14</v>
      </c>
      <c r="B79" s="661"/>
      <c r="C79" s="664"/>
      <c r="D79" s="366"/>
      <c r="E79" s="88"/>
      <c r="F79" s="736"/>
      <c r="G79" s="737"/>
      <c r="H79" s="89">
        <v>0</v>
      </c>
      <c r="I79" s="89">
        <v>0</v>
      </c>
      <c r="J79" s="663"/>
      <c r="K79" s="627">
        <f>IF(AND(ISNUMBER($H$79),ISNUMBER($I$79)),($H$79+$I$79)*$AB$79,0)</f>
        <v>0</v>
      </c>
      <c r="L79" s="392"/>
      <c r="M79" s="88"/>
      <c r="N79" s="358"/>
      <c r="O79" s="393">
        <f t="shared" si="20"/>
        <v>0</v>
      </c>
      <c r="P79" s="395">
        <f t="shared" si="27"/>
        <v>0</v>
      </c>
      <c r="R79" s="16"/>
      <c r="S79" s="257">
        <f t="shared" si="16"/>
        <v>0</v>
      </c>
      <c r="T79" s="257">
        <f t="shared" si="17"/>
        <v>0</v>
      </c>
      <c r="U79" s="257">
        <f t="shared" si="18"/>
        <v>0</v>
      </c>
      <c r="V79" s="257">
        <f t="shared" si="19"/>
        <v>0</v>
      </c>
      <c r="W79" s="257">
        <f t="shared" si="21"/>
        <v>0</v>
      </c>
      <c r="X79" s="217"/>
      <c r="Y79" s="609"/>
      <c r="Z79" s="88"/>
      <c r="AA79" s="367"/>
      <c r="AB79" s="620"/>
      <c r="AC79" s="611">
        <f t="shared" si="28"/>
        <v>0</v>
      </c>
      <c r="AD79" s="612">
        <f t="shared" si="29"/>
        <v>0</v>
      </c>
      <c r="AE79" s="88"/>
      <c r="AF79" s="612">
        <f t="shared" si="23"/>
        <v>0</v>
      </c>
      <c r="AG79" s="613">
        <f t="shared" si="24"/>
        <v>0</v>
      </c>
      <c r="AH79" s="611">
        <f t="shared" si="22"/>
        <v>0</v>
      </c>
      <c r="AI79" s="462"/>
      <c r="AJ79" s="609"/>
      <c r="AK79" s="88"/>
      <c r="AL79" s="612">
        <f t="shared" si="30"/>
        <v>0</v>
      </c>
      <c r="AM79" s="88"/>
      <c r="AN79" s="615">
        <f>AL79*AM79</f>
        <v>0</v>
      </c>
      <c r="AO79" s="610"/>
      <c r="AP79" s="616">
        <f t="shared" si="31"/>
        <v>0</v>
      </c>
      <c r="AQ79" s="617">
        <f t="shared" si="32"/>
        <v>0</v>
      </c>
      <c r="AR79" s="617">
        <f t="shared" si="25"/>
        <v>0</v>
      </c>
      <c r="AS79" s="618">
        <f t="shared" si="33"/>
        <v>0</v>
      </c>
      <c r="AT79" s="621">
        <f t="shared" si="26"/>
        <v>0</v>
      </c>
    </row>
    <row r="80" spans="1:46" hidden="1" x14ac:dyDescent="0.2">
      <c r="A80" s="626">
        <v>15</v>
      </c>
      <c r="B80" s="661"/>
      <c r="C80" s="664"/>
      <c r="D80" s="366"/>
      <c r="E80" s="88"/>
      <c r="F80" s="736"/>
      <c r="G80" s="737"/>
      <c r="H80" s="89">
        <v>0</v>
      </c>
      <c r="I80" s="89">
        <v>0</v>
      </c>
      <c r="J80" s="663"/>
      <c r="K80" s="627">
        <f>IF(AND(ISNUMBER($H$80),ISNUMBER($I$80)),($H$80+$I$80)*$AB$80,0)</f>
        <v>0</v>
      </c>
      <c r="L80" s="392"/>
      <c r="M80" s="88"/>
      <c r="N80" s="358"/>
      <c r="O80" s="393">
        <f t="shared" si="20"/>
        <v>0</v>
      </c>
      <c r="P80" s="395">
        <f t="shared" si="27"/>
        <v>0</v>
      </c>
      <c r="R80" s="16"/>
      <c r="S80" s="257">
        <f t="shared" si="16"/>
        <v>0</v>
      </c>
      <c r="T80" s="257">
        <f t="shared" si="17"/>
        <v>0</v>
      </c>
      <c r="U80" s="257">
        <f t="shared" si="18"/>
        <v>0</v>
      </c>
      <c r="V80" s="257">
        <f t="shared" si="19"/>
        <v>0</v>
      </c>
      <c r="W80" s="257">
        <f t="shared" si="21"/>
        <v>0</v>
      </c>
      <c r="X80" s="217"/>
      <c r="Y80" s="609"/>
      <c r="Z80" s="88"/>
      <c r="AA80" s="367"/>
      <c r="AB80" s="620"/>
      <c r="AC80" s="611">
        <f t="shared" si="28"/>
        <v>0</v>
      </c>
      <c r="AD80" s="612">
        <f t="shared" si="29"/>
        <v>0</v>
      </c>
      <c r="AE80" s="88"/>
      <c r="AF80" s="612">
        <f t="shared" si="23"/>
        <v>0</v>
      </c>
      <c r="AG80" s="613">
        <f t="shared" si="24"/>
        <v>0</v>
      </c>
      <c r="AH80" s="611">
        <f t="shared" si="22"/>
        <v>0</v>
      </c>
      <c r="AI80" s="462"/>
      <c r="AJ80" s="609"/>
      <c r="AK80" s="88"/>
      <c r="AL80" s="612">
        <f t="shared" si="30"/>
        <v>0</v>
      </c>
      <c r="AM80" s="88"/>
      <c r="AN80" s="615"/>
      <c r="AO80" s="610"/>
      <c r="AP80" s="616">
        <f t="shared" si="31"/>
        <v>0</v>
      </c>
      <c r="AQ80" s="617">
        <f t="shared" si="32"/>
        <v>0</v>
      </c>
      <c r="AR80" s="617">
        <f t="shared" si="25"/>
        <v>0</v>
      </c>
      <c r="AS80" s="618">
        <f t="shared" si="33"/>
        <v>0</v>
      </c>
      <c r="AT80" s="621">
        <f t="shared" si="26"/>
        <v>0</v>
      </c>
    </row>
    <row r="81" spans="1:46" hidden="1" x14ac:dyDescent="0.2">
      <c r="A81" s="626">
        <v>16</v>
      </c>
      <c r="B81" s="661"/>
      <c r="C81" s="664"/>
      <c r="D81" s="366"/>
      <c r="E81" s="88"/>
      <c r="F81" s="736"/>
      <c r="G81" s="737"/>
      <c r="H81" s="89">
        <v>0</v>
      </c>
      <c r="I81" s="89">
        <v>0</v>
      </c>
      <c r="J81" s="663"/>
      <c r="K81" s="627">
        <f>IF(AND(ISNUMBER($H$81),ISNUMBER($I$81)),($H$81+$I$81)*$AB$81,0)</f>
        <v>0</v>
      </c>
      <c r="L81" s="392"/>
      <c r="M81" s="88"/>
      <c r="N81" s="358"/>
      <c r="O81" s="393">
        <f t="shared" si="20"/>
        <v>0</v>
      </c>
      <c r="P81" s="395">
        <f t="shared" si="27"/>
        <v>0</v>
      </c>
      <c r="R81" s="16"/>
      <c r="S81" s="257">
        <f t="shared" si="16"/>
        <v>0</v>
      </c>
      <c r="T81" s="257">
        <f t="shared" si="17"/>
        <v>0</v>
      </c>
      <c r="U81" s="257">
        <f t="shared" si="18"/>
        <v>0</v>
      </c>
      <c r="V81" s="257">
        <f t="shared" si="19"/>
        <v>0</v>
      </c>
      <c r="W81" s="257">
        <f t="shared" si="21"/>
        <v>0</v>
      </c>
      <c r="X81" s="217"/>
      <c r="Y81" s="609"/>
      <c r="Z81" s="88"/>
      <c r="AA81" s="367"/>
      <c r="AB81" s="620"/>
      <c r="AC81" s="611">
        <f t="shared" si="28"/>
        <v>0</v>
      </c>
      <c r="AD81" s="612">
        <f t="shared" si="29"/>
        <v>0</v>
      </c>
      <c r="AE81" s="88"/>
      <c r="AF81" s="612">
        <f t="shared" si="23"/>
        <v>0</v>
      </c>
      <c r="AG81" s="613">
        <f t="shared" si="24"/>
        <v>0</v>
      </c>
      <c r="AH81" s="611">
        <f t="shared" si="22"/>
        <v>0</v>
      </c>
      <c r="AI81" s="462"/>
      <c r="AJ81" s="609"/>
      <c r="AK81" s="88"/>
      <c r="AL81" s="612">
        <f t="shared" si="30"/>
        <v>0</v>
      </c>
      <c r="AM81" s="88"/>
      <c r="AN81" s="615"/>
      <c r="AO81" s="610"/>
      <c r="AP81" s="616">
        <f t="shared" si="31"/>
        <v>0</v>
      </c>
      <c r="AQ81" s="617">
        <f t="shared" si="32"/>
        <v>0</v>
      </c>
      <c r="AR81" s="617">
        <f t="shared" si="25"/>
        <v>0</v>
      </c>
      <c r="AS81" s="618">
        <f t="shared" si="33"/>
        <v>0</v>
      </c>
      <c r="AT81" s="621">
        <f t="shared" si="26"/>
        <v>0</v>
      </c>
    </row>
    <row r="82" spans="1:46" hidden="1" x14ac:dyDescent="0.2">
      <c r="A82" s="626">
        <v>17</v>
      </c>
      <c r="B82" s="661"/>
      <c r="C82" s="664"/>
      <c r="D82" s="366"/>
      <c r="E82" s="88"/>
      <c r="F82" s="736"/>
      <c r="G82" s="737"/>
      <c r="H82" s="89">
        <v>0</v>
      </c>
      <c r="I82" s="89">
        <v>0</v>
      </c>
      <c r="J82" s="663"/>
      <c r="K82" s="627">
        <f>IF(AND(ISNUMBER($H$82),ISNUMBER($I$82)),($H$82+$I$82)*$AB$82,0)</f>
        <v>0</v>
      </c>
      <c r="L82" s="392"/>
      <c r="M82" s="88"/>
      <c r="N82" s="358"/>
      <c r="O82" s="393">
        <f t="shared" si="20"/>
        <v>0</v>
      </c>
      <c r="P82" s="395">
        <f t="shared" si="27"/>
        <v>0</v>
      </c>
      <c r="R82" s="16"/>
      <c r="S82" s="257">
        <f t="shared" si="16"/>
        <v>0</v>
      </c>
      <c r="T82" s="257">
        <f t="shared" si="17"/>
        <v>0</v>
      </c>
      <c r="U82" s="257">
        <f t="shared" si="18"/>
        <v>0</v>
      </c>
      <c r="V82" s="257">
        <f t="shared" si="19"/>
        <v>0</v>
      </c>
      <c r="W82" s="257">
        <f t="shared" si="21"/>
        <v>0</v>
      </c>
      <c r="X82" s="217"/>
      <c r="Y82" s="609"/>
      <c r="Z82" s="88"/>
      <c r="AA82" s="367"/>
      <c r="AB82" s="620"/>
      <c r="AC82" s="611">
        <f t="shared" si="28"/>
        <v>0</v>
      </c>
      <c r="AD82" s="612">
        <f t="shared" si="29"/>
        <v>0</v>
      </c>
      <c r="AE82" s="88"/>
      <c r="AF82" s="612">
        <f t="shared" si="23"/>
        <v>0</v>
      </c>
      <c r="AG82" s="613">
        <f t="shared" si="24"/>
        <v>0</v>
      </c>
      <c r="AH82" s="611">
        <f t="shared" si="22"/>
        <v>0</v>
      </c>
      <c r="AI82" s="462"/>
      <c r="AJ82" s="609"/>
      <c r="AK82" s="88"/>
      <c r="AL82" s="612">
        <f t="shared" si="30"/>
        <v>0</v>
      </c>
      <c r="AM82" s="88"/>
      <c r="AN82" s="615"/>
      <c r="AO82" s="610"/>
      <c r="AP82" s="616">
        <f t="shared" si="31"/>
        <v>0</v>
      </c>
      <c r="AQ82" s="617">
        <f t="shared" si="32"/>
        <v>0</v>
      </c>
      <c r="AR82" s="617">
        <f t="shared" si="25"/>
        <v>0</v>
      </c>
      <c r="AS82" s="618">
        <f t="shared" si="33"/>
        <v>0</v>
      </c>
      <c r="AT82" s="621">
        <f t="shared" si="26"/>
        <v>0</v>
      </c>
    </row>
    <row r="83" spans="1:46" hidden="1" x14ac:dyDescent="0.2">
      <c r="A83" s="626">
        <v>18</v>
      </c>
      <c r="B83" s="661"/>
      <c r="C83" s="664"/>
      <c r="D83" s="366"/>
      <c r="E83" s="88"/>
      <c r="F83" s="736"/>
      <c r="G83" s="737"/>
      <c r="H83" s="89">
        <v>0</v>
      </c>
      <c r="I83" s="89">
        <v>0</v>
      </c>
      <c r="J83" s="663"/>
      <c r="K83" s="627">
        <f>IF(AND(ISNUMBER($H$83),ISNUMBER($I$83)),($H$83+$I$83)*$AB$83,0)</f>
        <v>0</v>
      </c>
      <c r="L83" s="392"/>
      <c r="M83" s="88"/>
      <c r="N83" s="358"/>
      <c r="O83" s="393">
        <f t="shared" si="20"/>
        <v>0</v>
      </c>
      <c r="P83" s="395">
        <f t="shared" si="27"/>
        <v>0</v>
      </c>
      <c r="R83" s="16"/>
      <c r="S83" s="257">
        <f t="shared" si="16"/>
        <v>0</v>
      </c>
      <c r="T83" s="257">
        <f t="shared" si="17"/>
        <v>0</v>
      </c>
      <c r="U83" s="257">
        <f t="shared" si="18"/>
        <v>0</v>
      </c>
      <c r="V83" s="257">
        <f t="shared" si="19"/>
        <v>0</v>
      </c>
      <c r="W83" s="257">
        <f t="shared" si="21"/>
        <v>0</v>
      </c>
      <c r="X83" s="217"/>
      <c r="Y83" s="609"/>
      <c r="Z83" s="88"/>
      <c r="AA83" s="367"/>
      <c r="AB83" s="620"/>
      <c r="AC83" s="611">
        <f t="shared" si="28"/>
        <v>0</v>
      </c>
      <c r="AD83" s="612">
        <f t="shared" si="29"/>
        <v>0</v>
      </c>
      <c r="AE83" s="88"/>
      <c r="AF83" s="612">
        <f t="shared" si="23"/>
        <v>0</v>
      </c>
      <c r="AG83" s="613">
        <f t="shared" si="24"/>
        <v>0</v>
      </c>
      <c r="AH83" s="611">
        <f t="shared" si="22"/>
        <v>0</v>
      </c>
      <c r="AI83" s="462"/>
      <c r="AJ83" s="609"/>
      <c r="AK83" s="88"/>
      <c r="AL83" s="612">
        <f t="shared" si="30"/>
        <v>0</v>
      </c>
      <c r="AM83" s="88"/>
      <c r="AN83" s="615"/>
      <c r="AO83" s="610"/>
      <c r="AP83" s="616">
        <f t="shared" si="31"/>
        <v>0</v>
      </c>
      <c r="AQ83" s="617">
        <f t="shared" si="32"/>
        <v>0</v>
      </c>
      <c r="AR83" s="617">
        <f t="shared" si="25"/>
        <v>0</v>
      </c>
      <c r="AS83" s="618">
        <f t="shared" si="33"/>
        <v>0</v>
      </c>
      <c r="AT83" s="621">
        <f t="shared" si="26"/>
        <v>0</v>
      </c>
    </row>
    <row r="84" spans="1:46" hidden="1" x14ac:dyDescent="0.2">
      <c r="A84" s="626">
        <v>19</v>
      </c>
      <c r="B84" s="661"/>
      <c r="C84" s="664"/>
      <c r="D84" s="366"/>
      <c r="E84" s="88"/>
      <c r="F84" s="736"/>
      <c r="G84" s="737"/>
      <c r="H84" s="89">
        <v>0</v>
      </c>
      <c r="I84" s="89">
        <v>0</v>
      </c>
      <c r="J84" s="663"/>
      <c r="K84" s="627">
        <f>IF(AND(ISNUMBER($H$84),ISNUMBER($I$84)),($H$84+$I$84)*$AB$84,0)</f>
        <v>0</v>
      </c>
      <c r="L84" s="392"/>
      <c r="M84" s="88"/>
      <c r="N84" s="358"/>
      <c r="O84" s="393">
        <f t="shared" si="20"/>
        <v>0</v>
      </c>
      <c r="P84" s="395">
        <f t="shared" si="27"/>
        <v>0</v>
      </c>
      <c r="R84" s="16"/>
      <c r="S84" s="257">
        <f t="shared" si="16"/>
        <v>0</v>
      </c>
      <c r="T84" s="257">
        <f t="shared" si="17"/>
        <v>0</v>
      </c>
      <c r="U84" s="257">
        <f t="shared" si="18"/>
        <v>0</v>
      </c>
      <c r="V84" s="257">
        <f t="shared" si="19"/>
        <v>0</v>
      </c>
      <c r="W84" s="257">
        <f t="shared" si="21"/>
        <v>0</v>
      </c>
      <c r="X84" s="217"/>
      <c r="Y84" s="609"/>
      <c r="Z84" s="88"/>
      <c r="AA84" s="367"/>
      <c r="AB84" s="620"/>
      <c r="AC84" s="611">
        <f t="shared" si="28"/>
        <v>0</v>
      </c>
      <c r="AD84" s="612">
        <f t="shared" si="29"/>
        <v>0</v>
      </c>
      <c r="AE84" s="88"/>
      <c r="AF84" s="612">
        <f t="shared" si="23"/>
        <v>0</v>
      </c>
      <c r="AG84" s="613">
        <f t="shared" si="24"/>
        <v>0</v>
      </c>
      <c r="AH84" s="611">
        <f t="shared" si="22"/>
        <v>0</v>
      </c>
      <c r="AI84" s="462"/>
      <c r="AJ84" s="609"/>
      <c r="AK84" s="88"/>
      <c r="AL84" s="612">
        <f t="shared" si="30"/>
        <v>0</v>
      </c>
      <c r="AM84" s="88"/>
      <c r="AN84" s="615">
        <f t="shared" ref="AN84:AN89" si="34">AL84*AM84</f>
        <v>0</v>
      </c>
      <c r="AO84" s="610"/>
      <c r="AP84" s="616">
        <f t="shared" si="31"/>
        <v>0</v>
      </c>
      <c r="AQ84" s="617">
        <f t="shared" si="32"/>
        <v>0</v>
      </c>
      <c r="AR84" s="617">
        <f t="shared" si="25"/>
        <v>0</v>
      </c>
      <c r="AS84" s="618">
        <f t="shared" si="33"/>
        <v>0</v>
      </c>
      <c r="AT84" s="621">
        <f t="shared" si="26"/>
        <v>0</v>
      </c>
    </row>
    <row r="85" spans="1:46" hidden="1" x14ac:dyDescent="0.2">
      <c r="A85" s="626">
        <v>20</v>
      </c>
      <c r="B85" s="661"/>
      <c r="C85" s="664"/>
      <c r="D85" s="366"/>
      <c r="E85" s="88"/>
      <c r="F85" s="736"/>
      <c r="G85" s="737"/>
      <c r="H85" s="89">
        <v>0</v>
      </c>
      <c r="I85" s="89">
        <v>0</v>
      </c>
      <c r="J85" s="663"/>
      <c r="K85" s="627">
        <f>IF(AND(ISNUMBER($H$85),ISNUMBER($I$85)),($H$85+$I$85)*$AB$85,0)</f>
        <v>0</v>
      </c>
      <c r="L85" s="392"/>
      <c r="M85" s="88"/>
      <c r="N85" s="358"/>
      <c r="O85" s="393">
        <f t="shared" si="20"/>
        <v>0</v>
      </c>
      <c r="P85" s="395">
        <f t="shared" si="27"/>
        <v>0</v>
      </c>
      <c r="R85" s="16"/>
      <c r="S85" s="257">
        <f t="shared" si="16"/>
        <v>0</v>
      </c>
      <c r="T85" s="257">
        <f t="shared" si="17"/>
        <v>0</v>
      </c>
      <c r="U85" s="257">
        <f t="shared" si="18"/>
        <v>0</v>
      </c>
      <c r="V85" s="257">
        <f t="shared" si="19"/>
        <v>0</v>
      </c>
      <c r="W85" s="257">
        <f t="shared" si="21"/>
        <v>0</v>
      </c>
      <c r="X85" s="217"/>
      <c r="Y85" s="609"/>
      <c r="Z85" s="88"/>
      <c r="AA85" s="367"/>
      <c r="AB85" s="620"/>
      <c r="AC85" s="611">
        <f t="shared" si="28"/>
        <v>0</v>
      </c>
      <c r="AD85" s="612">
        <f t="shared" si="29"/>
        <v>0</v>
      </c>
      <c r="AE85" s="88"/>
      <c r="AF85" s="612">
        <f t="shared" si="23"/>
        <v>0</v>
      </c>
      <c r="AG85" s="613">
        <f t="shared" si="24"/>
        <v>0</v>
      </c>
      <c r="AH85" s="611">
        <f t="shared" si="22"/>
        <v>0</v>
      </c>
      <c r="AI85" s="462"/>
      <c r="AJ85" s="609"/>
      <c r="AK85" s="88"/>
      <c r="AL85" s="612">
        <f t="shared" si="30"/>
        <v>0</v>
      </c>
      <c r="AM85" s="88"/>
      <c r="AN85" s="615">
        <f t="shared" si="34"/>
        <v>0</v>
      </c>
      <c r="AO85" s="610"/>
      <c r="AP85" s="616">
        <f t="shared" si="31"/>
        <v>0</v>
      </c>
      <c r="AQ85" s="617">
        <f t="shared" si="32"/>
        <v>0</v>
      </c>
      <c r="AR85" s="617">
        <f t="shared" si="25"/>
        <v>0</v>
      </c>
      <c r="AS85" s="618">
        <f t="shared" si="33"/>
        <v>0</v>
      </c>
      <c r="AT85" s="621">
        <f t="shared" si="26"/>
        <v>0</v>
      </c>
    </row>
    <row r="86" spans="1:46" hidden="1" x14ac:dyDescent="0.2">
      <c r="A86" s="626">
        <v>21</v>
      </c>
      <c r="B86" s="661"/>
      <c r="C86" s="664"/>
      <c r="D86" s="366"/>
      <c r="E86" s="88"/>
      <c r="F86" s="736"/>
      <c r="G86" s="737"/>
      <c r="H86" s="89">
        <v>0</v>
      </c>
      <c r="I86" s="89">
        <v>0</v>
      </c>
      <c r="J86" s="663"/>
      <c r="K86" s="627">
        <f>IF(AND(ISNUMBER($H$86),ISNUMBER($I$86)),($H$86+$I$86)*$AB$86,0)</f>
        <v>0</v>
      </c>
      <c r="L86" s="392"/>
      <c r="M86" s="88"/>
      <c r="N86" s="358"/>
      <c r="O86" s="393">
        <f t="shared" si="20"/>
        <v>0</v>
      </c>
      <c r="P86" s="395">
        <f t="shared" si="27"/>
        <v>0</v>
      </c>
      <c r="R86" s="16"/>
      <c r="S86" s="257">
        <f t="shared" si="16"/>
        <v>0</v>
      </c>
      <c r="T86" s="257">
        <f t="shared" si="17"/>
        <v>0</v>
      </c>
      <c r="U86" s="257">
        <f t="shared" si="18"/>
        <v>0</v>
      </c>
      <c r="V86" s="257">
        <f t="shared" si="19"/>
        <v>0</v>
      </c>
      <c r="W86" s="257">
        <f t="shared" si="21"/>
        <v>0</v>
      </c>
      <c r="X86" s="217"/>
      <c r="Y86" s="609"/>
      <c r="Z86" s="88"/>
      <c r="AA86" s="367"/>
      <c r="AB86" s="620"/>
      <c r="AC86" s="611">
        <f t="shared" si="28"/>
        <v>0</v>
      </c>
      <c r="AD86" s="612">
        <f t="shared" si="29"/>
        <v>0</v>
      </c>
      <c r="AE86" s="88"/>
      <c r="AF86" s="612">
        <f t="shared" si="23"/>
        <v>0</v>
      </c>
      <c r="AG86" s="613">
        <f t="shared" si="24"/>
        <v>0</v>
      </c>
      <c r="AH86" s="611">
        <f t="shared" si="22"/>
        <v>0</v>
      </c>
      <c r="AI86" s="462"/>
      <c r="AJ86" s="609"/>
      <c r="AK86" s="88"/>
      <c r="AL86" s="612">
        <f t="shared" si="30"/>
        <v>0</v>
      </c>
      <c r="AM86" s="88"/>
      <c r="AN86" s="615">
        <f t="shared" si="34"/>
        <v>0</v>
      </c>
      <c r="AO86" s="610"/>
      <c r="AP86" s="616">
        <f t="shared" si="31"/>
        <v>0</v>
      </c>
      <c r="AQ86" s="617">
        <f t="shared" si="32"/>
        <v>0</v>
      </c>
      <c r="AR86" s="617">
        <f t="shared" si="25"/>
        <v>0</v>
      </c>
      <c r="AS86" s="618">
        <f t="shared" si="33"/>
        <v>0</v>
      </c>
      <c r="AT86" s="621">
        <f t="shared" si="26"/>
        <v>0</v>
      </c>
    </row>
    <row r="87" spans="1:46" hidden="1" x14ac:dyDescent="0.2">
      <c r="A87" s="626">
        <v>22</v>
      </c>
      <c r="B87" s="661"/>
      <c r="C87" s="664"/>
      <c r="D87" s="366"/>
      <c r="E87" s="88"/>
      <c r="F87" s="736"/>
      <c r="G87" s="737"/>
      <c r="H87" s="89">
        <v>0</v>
      </c>
      <c r="I87" s="89">
        <v>0</v>
      </c>
      <c r="J87" s="663"/>
      <c r="K87" s="627">
        <f>IF(AND(ISNUMBER($H$87),ISNUMBER($I$87)),($H$87+$I$87)*$AB$87,0)</f>
        <v>0</v>
      </c>
      <c r="L87" s="392"/>
      <c r="M87" s="88"/>
      <c r="N87" s="358"/>
      <c r="O87" s="393">
        <f t="shared" si="20"/>
        <v>0</v>
      </c>
      <c r="P87" s="395">
        <f t="shared" si="27"/>
        <v>0</v>
      </c>
      <c r="R87" s="16"/>
      <c r="S87" s="257">
        <f t="shared" si="16"/>
        <v>0</v>
      </c>
      <c r="T87" s="257">
        <f t="shared" si="17"/>
        <v>0</v>
      </c>
      <c r="U87" s="257">
        <f t="shared" si="18"/>
        <v>0</v>
      </c>
      <c r="V87" s="257">
        <f t="shared" si="19"/>
        <v>0</v>
      </c>
      <c r="W87" s="257">
        <f t="shared" si="21"/>
        <v>0</v>
      </c>
      <c r="X87" s="217"/>
      <c r="Y87" s="609"/>
      <c r="Z87" s="88"/>
      <c r="AA87" s="367"/>
      <c r="AB87" s="620"/>
      <c r="AC87" s="611">
        <f t="shared" si="28"/>
        <v>0</v>
      </c>
      <c r="AD87" s="612">
        <f t="shared" si="29"/>
        <v>0</v>
      </c>
      <c r="AE87" s="88"/>
      <c r="AF87" s="612">
        <f t="shared" si="23"/>
        <v>0</v>
      </c>
      <c r="AG87" s="613">
        <f t="shared" si="24"/>
        <v>0</v>
      </c>
      <c r="AH87" s="611">
        <f t="shared" si="22"/>
        <v>0</v>
      </c>
      <c r="AI87" s="462"/>
      <c r="AJ87" s="609"/>
      <c r="AK87" s="88"/>
      <c r="AL87" s="612">
        <f t="shared" si="30"/>
        <v>0</v>
      </c>
      <c r="AM87" s="88"/>
      <c r="AN87" s="615">
        <f t="shared" si="34"/>
        <v>0</v>
      </c>
      <c r="AO87" s="610"/>
      <c r="AP87" s="616">
        <f t="shared" si="31"/>
        <v>0</v>
      </c>
      <c r="AQ87" s="617">
        <f t="shared" si="32"/>
        <v>0</v>
      </c>
      <c r="AR87" s="617">
        <f t="shared" si="25"/>
        <v>0</v>
      </c>
      <c r="AS87" s="618">
        <f t="shared" si="33"/>
        <v>0</v>
      </c>
      <c r="AT87" s="621">
        <f t="shared" si="26"/>
        <v>0</v>
      </c>
    </row>
    <row r="88" spans="1:46" hidden="1" x14ac:dyDescent="0.2">
      <c r="A88" s="626">
        <v>23</v>
      </c>
      <c r="B88" s="661"/>
      <c r="C88" s="664"/>
      <c r="D88" s="366"/>
      <c r="E88" s="88"/>
      <c r="F88" s="736"/>
      <c r="G88" s="737"/>
      <c r="H88" s="89">
        <v>0</v>
      </c>
      <c r="I88" s="89">
        <v>0</v>
      </c>
      <c r="J88" s="663"/>
      <c r="K88" s="627">
        <f>IF(AND(ISNUMBER($H$88),ISNUMBER($I$88)),($H$88+$I$88)*$AB$88,0)</f>
        <v>0</v>
      </c>
      <c r="L88" s="392"/>
      <c r="M88" s="88"/>
      <c r="N88" s="358"/>
      <c r="O88" s="393">
        <f t="shared" si="20"/>
        <v>0</v>
      </c>
      <c r="P88" s="395">
        <f t="shared" si="27"/>
        <v>0</v>
      </c>
      <c r="R88" s="16"/>
      <c r="S88" s="257">
        <f t="shared" si="16"/>
        <v>0</v>
      </c>
      <c r="T88" s="257">
        <f t="shared" si="17"/>
        <v>0</v>
      </c>
      <c r="U88" s="257">
        <f t="shared" si="18"/>
        <v>0</v>
      </c>
      <c r="V88" s="257">
        <f t="shared" si="19"/>
        <v>0</v>
      </c>
      <c r="W88" s="257">
        <f t="shared" si="21"/>
        <v>0</v>
      </c>
      <c r="X88" s="217"/>
      <c r="Y88" s="609"/>
      <c r="Z88" s="88"/>
      <c r="AA88" s="367"/>
      <c r="AB88" s="620"/>
      <c r="AC88" s="611">
        <f t="shared" si="28"/>
        <v>0</v>
      </c>
      <c r="AD88" s="612">
        <f t="shared" si="29"/>
        <v>0</v>
      </c>
      <c r="AE88" s="88"/>
      <c r="AF88" s="612">
        <f t="shared" si="23"/>
        <v>0</v>
      </c>
      <c r="AG88" s="613">
        <f t="shared" si="24"/>
        <v>0</v>
      </c>
      <c r="AH88" s="611">
        <f t="shared" si="22"/>
        <v>0</v>
      </c>
      <c r="AI88" s="462"/>
      <c r="AJ88" s="609"/>
      <c r="AK88" s="88"/>
      <c r="AL88" s="612">
        <f t="shared" si="30"/>
        <v>0</v>
      </c>
      <c r="AM88" s="88"/>
      <c r="AN88" s="615">
        <f t="shared" si="34"/>
        <v>0</v>
      </c>
      <c r="AO88" s="610"/>
      <c r="AP88" s="616">
        <f t="shared" si="31"/>
        <v>0</v>
      </c>
      <c r="AQ88" s="617">
        <f t="shared" si="32"/>
        <v>0</v>
      </c>
      <c r="AR88" s="617">
        <f t="shared" si="25"/>
        <v>0</v>
      </c>
      <c r="AS88" s="618">
        <f t="shared" si="33"/>
        <v>0</v>
      </c>
      <c r="AT88" s="621">
        <f t="shared" si="26"/>
        <v>0</v>
      </c>
    </row>
    <row r="89" spans="1:46" hidden="1" x14ac:dyDescent="0.2">
      <c r="A89" s="626">
        <v>24</v>
      </c>
      <c r="B89" s="661"/>
      <c r="C89" s="664"/>
      <c r="D89" s="366"/>
      <c r="E89" s="88"/>
      <c r="F89" s="736"/>
      <c r="G89" s="737"/>
      <c r="H89" s="89">
        <v>0</v>
      </c>
      <c r="I89" s="89">
        <v>0</v>
      </c>
      <c r="J89" s="663"/>
      <c r="K89" s="627">
        <f>IF(AND(ISNUMBER($H$89),ISNUMBER($I$89)),($H$89+$I$89)*$AB$89,0)</f>
        <v>0</v>
      </c>
      <c r="L89" s="392"/>
      <c r="M89" s="88"/>
      <c r="N89" s="358"/>
      <c r="O89" s="393">
        <f t="shared" si="20"/>
        <v>0</v>
      </c>
      <c r="P89" s="395">
        <f t="shared" si="27"/>
        <v>0</v>
      </c>
      <c r="R89" s="16"/>
      <c r="S89" s="257">
        <f t="shared" si="16"/>
        <v>0</v>
      </c>
      <c r="T89" s="257">
        <f t="shared" si="17"/>
        <v>0</v>
      </c>
      <c r="U89" s="257">
        <f t="shared" si="18"/>
        <v>0</v>
      </c>
      <c r="V89" s="257">
        <f t="shared" si="19"/>
        <v>0</v>
      </c>
      <c r="W89" s="257">
        <f t="shared" si="21"/>
        <v>0</v>
      </c>
      <c r="X89" s="217"/>
      <c r="Y89" s="609"/>
      <c r="Z89" s="88"/>
      <c r="AA89" s="367"/>
      <c r="AB89" s="620"/>
      <c r="AC89" s="611">
        <f t="shared" si="28"/>
        <v>0</v>
      </c>
      <c r="AD89" s="612">
        <f t="shared" si="29"/>
        <v>0</v>
      </c>
      <c r="AE89" s="88"/>
      <c r="AF89" s="612">
        <f t="shared" si="23"/>
        <v>0</v>
      </c>
      <c r="AG89" s="613">
        <f t="shared" si="24"/>
        <v>0</v>
      </c>
      <c r="AH89" s="611">
        <f t="shared" si="22"/>
        <v>0</v>
      </c>
      <c r="AI89" s="462"/>
      <c r="AJ89" s="609"/>
      <c r="AK89" s="88"/>
      <c r="AL89" s="612">
        <f t="shared" si="30"/>
        <v>0</v>
      </c>
      <c r="AM89" s="88"/>
      <c r="AN89" s="615">
        <f t="shared" si="34"/>
        <v>0</v>
      </c>
      <c r="AO89" s="610"/>
      <c r="AP89" s="616">
        <f t="shared" si="31"/>
        <v>0</v>
      </c>
      <c r="AQ89" s="617">
        <f t="shared" si="32"/>
        <v>0</v>
      </c>
      <c r="AR89" s="617">
        <f t="shared" si="25"/>
        <v>0</v>
      </c>
      <c r="AS89" s="618">
        <f t="shared" si="33"/>
        <v>0</v>
      </c>
      <c r="AT89" s="621">
        <f t="shared" si="26"/>
        <v>0</v>
      </c>
    </row>
    <row r="90" spans="1:46" ht="4.5999999999999996" customHeight="1" x14ac:dyDescent="0.2">
      <c r="A90" s="10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49"/>
      <c r="P90" s="12"/>
      <c r="S90" s="237"/>
      <c r="T90" s="237"/>
      <c r="U90" s="237"/>
      <c r="V90" s="237"/>
      <c r="W90" s="237"/>
      <c r="X90" s="217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J90" s="18"/>
      <c r="AK90" s="18"/>
      <c r="AL90" s="18"/>
      <c r="AM90" s="18"/>
      <c r="AN90" s="18"/>
      <c r="AP90" s="18"/>
      <c r="AQ90" s="18"/>
      <c r="AR90" s="18"/>
      <c r="AS90" s="18"/>
      <c r="AT90" s="18"/>
    </row>
    <row r="91" spans="1:46" ht="13.6" x14ac:dyDescent="0.25">
      <c r="A91" s="397"/>
      <c r="B91" s="398" t="str">
        <f>VLOOKUP("sec2.5",translation,VLOOKUP(J2,languages,2,FALSE),FALSE)</f>
        <v>Section 2.5</v>
      </c>
      <c r="C91" s="399"/>
      <c r="D91" s="372" t="str">
        <f>VLOOKUP("poh",translation,VLOOKUP(J2,languages,2,FALSE),FALSE)</f>
        <v>Production Overhead</v>
      </c>
      <c r="E91" s="400"/>
      <c r="F91" s="400"/>
      <c r="G91" s="400"/>
      <c r="H91" s="400"/>
      <c r="I91" s="401" t="s">
        <v>105</v>
      </c>
      <c r="J91" s="749" t="s">
        <v>28</v>
      </c>
      <c r="K91" s="750"/>
      <c r="L91" s="402" t="s">
        <v>220</v>
      </c>
      <c r="M91" s="403">
        <v>22.28</v>
      </c>
      <c r="N91" s="303" t="s">
        <v>820</v>
      </c>
      <c r="O91" s="631">
        <f>$M$91/100*DL</f>
        <v>0.44691697080000004</v>
      </c>
      <c r="P91" s="388">
        <f>IF($O$104=0,0,O91/$O$104)</f>
        <v>4.2474563046024788E-2</v>
      </c>
      <c r="S91" s="261"/>
      <c r="T91" s="751"/>
      <c r="U91" s="752"/>
      <c r="V91" s="262"/>
      <c r="W91" s="751"/>
      <c r="X91" s="753"/>
      <c r="Y91" s="51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</row>
    <row r="92" spans="1:46" ht="13.6" x14ac:dyDescent="0.25">
      <c r="A92" s="404"/>
      <c r="B92" s="405" t="str">
        <f>VLOOKUP("sec2.6",translation,VLOOKUP(J2,languages,2,FALSE),FALSE)</f>
        <v>Section 2.6</v>
      </c>
      <c r="C92" s="406"/>
      <c r="D92" s="407" t="str">
        <f>VLOOKUP("scrap2",translation,VLOOKUP(J2,languages,2,FALSE),FALSE)</f>
        <v>Scrap (Material &amp; Production)</v>
      </c>
      <c r="E92" s="408"/>
      <c r="F92" s="408"/>
      <c r="G92" s="408"/>
      <c r="H92" s="408"/>
      <c r="I92" s="409"/>
      <c r="J92" s="409" t="str">
        <f>VLOOKUP("info2",translation,VLOOKUP(J2,languages,2,FALSE),FALSE)</f>
        <v>Info only: already included in Material &amp; Production Totals</v>
      </c>
      <c r="K92" s="401"/>
      <c r="L92" s="401"/>
      <c r="M92" s="401"/>
      <c r="N92" s="410"/>
      <c r="O92" s="633">
        <f>T12+T35+W64</f>
        <v>0.10461500000000001</v>
      </c>
      <c r="P92" s="375">
        <f>IF($O$104=0,0,O92/$O$104)</f>
        <v>9.9425099143267606E-3</v>
      </c>
      <c r="Y92" s="51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</row>
    <row r="93" spans="1:46" ht="4.5999999999999996" customHeight="1" x14ac:dyDescent="0.2">
      <c r="A93" s="411"/>
      <c r="B93" s="412"/>
      <c r="C93" s="412"/>
      <c r="D93" s="412"/>
      <c r="E93" s="412"/>
      <c r="F93" s="412"/>
      <c r="G93" s="412"/>
      <c r="H93" s="412"/>
      <c r="I93" s="412"/>
      <c r="J93" s="412"/>
      <c r="K93" s="412"/>
      <c r="L93" s="412"/>
      <c r="M93" s="412"/>
      <c r="N93" s="412"/>
      <c r="O93" s="634"/>
      <c r="P93" s="413"/>
      <c r="R93" s="1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/>
      <c r="AK93" s="35"/>
      <c r="AL93" s="35"/>
      <c r="AM93" s="35"/>
      <c r="AN93" s="35"/>
      <c r="AO93" s="35"/>
      <c r="AP93" s="35"/>
      <c r="AQ93" s="35"/>
      <c r="AR93" s="35"/>
      <c r="AS93" s="35"/>
      <c r="AT93" s="35"/>
    </row>
    <row r="94" spans="1:46" ht="14.3" thickBot="1" x14ac:dyDescent="0.3">
      <c r="A94" s="414"/>
      <c r="B94" s="415" t="str">
        <f>VLOOKUP("total_mc",translation,VLOOKUP(J2,languages,2,FALSE),FALSE)</f>
        <v>Total Manufactured Cost (Sections 2.1 - 2.6)</v>
      </c>
      <c r="C94" s="415"/>
      <c r="D94" s="415"/>
      <c r="E94" s="416"/>
      <c r="F94" s="416"/>
      <c r="G94" s="416"/>
      <c r="H94" s="416"/>
      <c r="I94" s="417"/>
      <c r="J94" s="418"/>
      <c r="K94" s="418"/>
      <c r="L94" s="418"/>
      <c r="M94" s="419"/>
      <c r="N94" s="419"/>
      <c r="O94" s="635">
        <f>O12+O35+O62+O64+O91</f>
        <v>9.294272108297438</v>
      </c>
      <c r="P94" s="420">
        <f>IF($O$104=0,0,O94/$O$104)</f>
        <v>0.88331876483485106</v>
      </c>
      <c r="X94" s="19"/>
      <c r="Y94" s="35"/>
      <c r="Z94" s="35"/>
      <c r="AA94" s="35"/>
      <c r="AB94" s="43"/>
      <c r="AC94" s="43"/>
      <c r="AD94" s="44"/>
      <c r="AE94" s="45"/>
      <c r="AF94" s="35"/>
      <c r="AG94" s="35"/>
      <c r="AH94" s="35"/>
      <c r="AI94" s="35"/>
      <c r="AJ94"/>
      <c r="AK94" s="35"/>
      <c r="AL94" s="35"/>
      <c r="AM94" s="35"/>
      <c r="AN94" s="35"/>
      <c r="AO94" s="35"/>
      <c r="AP94" s="35"/>
      <c r="AQ94" s="35"/>
      <c r="AR94" s="35"/>
      <c r="AS94" s="35"/>
      <c r="AT94" s="35"/>
    </row>
    <row r="95" spans="1:46" s="17" customFormat="1" ht="4.5999999999999996" customHeight="1" thickBot="1" x14ac:dyDescent="0.25">
      <c r="A95" s="376"/>
      <c r="B95" s="378"/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636"/>
      <c r="P95" s="421"/>
      <c r="R95" s="15"/>
      <c r="S95" s="20"/>
      <c r="T95" s="20"/>
      <c r="U95" s="20"/>
      <c r="V95" s="20"/>
      <c r="W95" s="20"/>
      <c r="X95" s="19"/>
      <c r="Y95" s="35"/>
      <c r="Z95" s="36"/>
      <c r="AA95" s="36"/>
      <c r="AB95" s="36"/>
      <c r="AC95" s="36"/>
      <c r="AD95" s="36"/>
      <c r="AE95" s="46"/>
      <c r="AF95" s="36"/>
      <c r="AG95" s="36"/>
      <c r="AH95" s="35"/>
      <c r="AI95" s="35"/>
      <c r="AJ95"/>
      <c r="AK95" s="35"/>
      <c r="AL95" s="36"/>
      <c r="AM95" s="36"/>
      <c r="AN95" s="36"/>
      <c r="AO95" s="36"/>
      <c r="AP95" s="36"/>
      <c r="AQ95" s="36"/>
      <c r="AR95" s="36"/>
      <c r="AS95" s="36"/>
      <c r="AT95" s="36"/>
    </row>
    <row r="96" spans="1:46" ht="13.6" x14ac:dyDescent="0.25">
      <c r="A96" s="339"/>
      <c r="B96" s="341" t="str">
        <f>VLOOKUP("sec2.7",translation,VLOOKUP(J2,languages,2,FALSE),FALSE)</f>
        <v>Section 2.7</v>
      </c>
      <c r="C96" s="341"/>
      <c r="D96" s="342" t="str">
        <f>VLOOKUP("cost_other",translation,VLOOKUP(J2,languages,2,FALSE),FALSE)</f>
        <v>Other Costs / Overheads &amp; Profits</v>
      </c>
      <c r="E96" s="342"/>
      <c r="F96" s="343"/>
      <c r="G96" s="343"/>
      <c r="H96" s="343"/>
      <c r="I96" s="343"/>
      <c r="J96" s="343"/>
      <c r="K96" s="343"/>
      <c r="L96" s="343"/>
      <c r="M96" s="754"/>
      <c r="N96" s="755"/>
      <c r="O96" s="629">
        <f>SUM(O97:O103)</f>
        <v>1.2277189082017235</v>
      </c>
      <c r="P96" s="422">
        <f t="shared" ref="P96:P103" si="35">IF($O$104=0,0,O96/$O$104)</f>
        <v>0.11668123516514897</v>
      </c>
      <c r="R96" s="21"/>
      <c r="X96" s="19"/>
      <c r="Y96" s="35"/>
      <c r="Z96" s="35"/>
      <c r="AA96" s="35"/>
      <c r="AB96" s="43"/>
      <c r="AC96" s="43"/>
      <c r="AD96" s="44"/>
      <c r="AE96" s="45"/>
      <c r="AF96" s="35"/>
      <c r="AG96" s="35"/>
      <c r="AH96" s="35"/>
      <c r="AI96" s="35"/>
      <c r="AJ96"/>
      <c r="AK96" s="35"/>
      <c r="AL96" s="35"/>
      <c r="AM96" s="35"/>
      <c r="AN96" s="35"/>
      <c r="AO96" s="35"/>
      <c r="AP96" s="35"/>
      <c r="AQ96" s="35"/>
      <c r="AR96" s="35"/>
      <c r="AS96" s="35"/>
      <c r="AT96" s="35"/>
    </row>
    <row r="97" spans="1:46" x14ac:dyDescent="0.2">
      <c r="A97" s="423" t="str">
        <f>VLOOKUP("goh",translation,VLOOKUP(J2,languages,2,FALSE),FALSE)</f>
        <v>General Overhead / SG&amp;A</v>
      </c>
      <c r="B97" s="424"/>
      <c r="C97" s="424"/>
      <c r="D97" s="424"/>
      <c r="E97" s="424"/>
      <c r="F97" s="425"/>
      <c r="G97" s="425"/>
      <c r="H97" s="426"/>
      <c r="I97" s="424"/>
      <c r="J97" s="427" t="s">
        <v>105</v>
      </c>
      <c r="K97" s="767" t="s">
        <v>274</v>
      </c>
      <c r="L97" s="769"/>
      <c r="M97" s="622">
        <v>2.4</v>
      </c>
      <c r="N97" s="624">
        <v>11.59</v>
      </c>
      <c r="O97" s="428">
        <f>($M$97+$N$97)/100*(MC+DL+Setup+POH)</f>
        <v>0.59191661611492008</v>
      </c>
      <c r="P97" s="395">
        <f t="shared" si="35"/>
        <v>5.6255191169309743E-2</v>
      </c>
      <c r="R97" s="21"/>
      <c r="S97"/>
      <c r="T97"/>
      <c r="U97"/>
      <c r="V97"/>
      <c r="W97"/>
      <c r="X97" s="19"/>
      <c r="Y97" s="51"/>
      <c r="Z97" s="35"/>
      <c r="AA97" s="35"/>
      <c r="AB97" s="35"/>
      <c r="AC97" s="43"/>
      <c r="AD97" s="35"/>
      <c r="AE97" s="35"/>
      <c r="AF97" s="35"/>
      <c r="AG97" s="35"/>
      <c r="AH97" s="35"/>
      <c r="AI97" s="35"/>
      <c r="AJ97"/>
      <c r="AK97" s="35"/>
      <c r="AL97" s="35"/>
      <c r="AM97" s="35"/>
      <c r="AN97" s="35"/>
      <c r="AO97" s="35"/>
      <c r="AP97" s="35"/>
      <c r="AQ97" s="35"/>
      <c r="AR97" s="35"/>
      <c r="AS97" s="35"/>
      <c r="AT97" s="35"/>
    </row>
    <row r="98" spans="1:46" x14ac:dyDescent="0.2">
      <c r="A98" s="423" t="str">
        <f>VLOOKUP("d&amp;d",translation,VLOOKUP(J2,languages,2,FALSE),FALSE)</f>
        <v>Engineering / Design &amp; Developement</v>
      </c>
      <c r="B98" s="424"/>
      <c r="C98" s="424"/>
      <c r="D98" s="424"/>
      <c r="E98" s="424"/>
      <c r="F98" s="424"/>
      <c r="G98" s="424"/>
      <c r="H98" s="424"/>
      <c r="I98" s="424"/>
      <c r="J98" s="429" t="s">
        <v>105</v>
      </c>
      <c r="K98" s="738" t="s">
        <v>274</v>
      </c>
      <c r="L98" s="770"/>
      <c r="M98" s="623">
        <v>0</v>
      </c>
      <c r="N98" s="304" t="s">
        <v>820</v>
      </c>
      <c r="O98" s="430">
        <f>($M$98)/100*(MC+DL+Setup+POH)</f>
        <v>0</v>
      </c>
      <c r="P98" s="395">
        <f t="shared" si="35"/>
        <v>0</v>
      </c>
      <c r="R98" s="21"/>
      <c r="S98"/>
      <c r="T98"/>
      <c r="U98"/>
      <c r="V98"/>
      <c r="W98"/>
      <c r="X98" s="19"/>
      <c r="Y98" s="51"/>
      <c r="Z98" s="35"/>
      <c r="AA98" s="35"/>
      <c r="AB98" s="35"/>
      <c r="AC98" s="43"/>
      <c r="AD98" s="44"/>
      <c r="AE98" s="35"/>
      <c r="AF98" s="35"/>
      <c r="AG98" s="35"/>
      <c r="AH98" s="35"/>
      <c r="AI98" s="35"/>
      <c r="AJ98" s="217"/>
      <c r="AK98" s="35"/>
      <c r="AL98" s="35"/>
      <c r="AM98" s="35"/>
      <c r="AN98" s="35"/>
      <c r="AO98" s="35"/>
      <c r="AP98" s="35"/>
      <c r="AQ98" s="35"/>
      <c r="AR98" s="35"/>
      <c r="AS98" s="35"/>
      <c r="AT98" s="35"/>
    </row>
    <row r="99" spans="1:46" x14ac:dyDescent="0.2">
      <c r="A99" s="423"/>
      <c r="B99" s="424"/>
      <c r="C99" s="424"/>
      <c r="D99" s="424"/>
      <c r="E99" s="771"/>
      <c r="F99" s="772"/>
      <c r="G99" s="772"/>
      <c r="H99" s="773"/>
      <c r="I99" s="424"/>
      <c r="J99" s="431" t="str">
        <f>VLOOKUP("amount",translation,VLOOKUP(J2,languages,2,FALSE),FALSE)&amp;" ["&amp;LEFT($D$7,3)&amp;"]"</f>
        <v>Amount [EUR]</v>
      </c>
      <c r="K99" s="432"/>
      <c r="L99" s="433" t="str">
        <f>VLOOKUP("qty3",translation,VLOOKUP(J2,languages,2,FALSE),FALSE)</f>
        <v>Quantity</v>
      </c>
      <c r="M99" s="774"/>
      <c r="N99" s="775"/>
      <c r="O99" s="434">
        <f>IF(M99=0,0,K99/M99)*PUC</f>
        <v>0</v>
      </c>
      <c r="P99" s="435">
        <f t="shared" si="35"/>
        <v>0</v>
      </c>
      <c r="R99" s="21"/>
      <c r="X99" s="19"/>
      <c r="Y99" s="35"/>
      <c r="Z99" s="35"/>
      <c r="AA99" s="35"/>
      <c r="AB99" s="35"/>
      <c r="AC99" s="43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</row>
    <row r="100" spans="1:46" ht="16.5" customHeight="1" x14ac:dyDescent="0.2">
      <c r="A100" s="423"/>
      <c r="B100" s="424"/>
      <c r="C100" s="424"/>
      <c r="D100" s="424"/>
      <c r="E100" s="771"/>
      <c r="F100" s="772"/>
      <c r="G100" s="772"/>
      <c r="H100" s="773"/>
      <c r="I100" s="424"/>
      <c r="J100" s="431" t="str">
        <f>VLOOKUP("amount",translation,VLOOKUP(J2,languages,2,FALSE),FALSE)&amp;" ["&amp;LEFT($D$7,3)&amp;"]"</f>
        <v>Amount [EUR]</v>
      </c>
      <c r="K100" s="432"/>
      <c r="L100" s="433" t="str">
        <f>VLOOKUP("qty3",translation,VLOOKUP(J2,languages,2,FALSE),FALSE)</f>
        <v>Quantity</v>
      </c>
      <c r="M100" s="774"/>
      <c r="N100" s="775"/>
      <c r="O100" s="434">
        <f>IF(M100=0,0,K100/M100)*PUC</f>
        <v>0</v>
      </c>
      <c r="P100" s="435">
        <f t="shared" si="35"/>
        <v>0</v>
      </c>
      <c r="R100" s="21"/>
      <c r="X100" s="19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</row>
    <row r="101" spans="1:46" ht="16.5" customHeight="1" x14ac:dyDescent="0.2">
      <c r="A101" s="436" t="str">
        <f>VLOOKUP("profit",translation,VLOOKUP(J2,languages,2,FALSE),FALSE)</f>
        <v>Profit (on Material &amp; Components)</v>
      </c>
      <c r="B101" s="424"/>
      <c r="C101" s="424"/>
      <c r="D101" s="424"/>
      <c r="E101" s="424"/>
      <c r="F101" s="424"/>
      <c r="G101" s="424"/>
      <c r="H101" s="424"/>
      <c r="I101" s="424"/>
      <c r="J101" s="429"/>
      <c r="K101" s="429"/>
      <c r="L101" s="437" t="str">
        <f>VLOOKUP("material_%",translation,VLOOKUP(J2,languages,2,FALSE),FALSE)</f>
        <v>% of Material &amp; Purchased Components</v>
      </c>
      <c r="M101" s="756"/>
      <c r="N101" s="757"/>
      <c r="O101" s="434">
        <f>M101*(O12+O35-T12-T35)</f>
        <v>0</v>
      </c>
      <c r="P101" s="435">
        <f t="shared" si="35"/>
        <v>0</v>
      </c>
      <c r="R101" s="21"/>
      <c r="X101" s="19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</row>
    <row r="102" spans="1:46" ht="16.5" customHeight="1" x14ac:dyDescent="0.2">
      <c r="A102" s="436" t="str">
        <f>VLOOKUP("profit2",translation,VLOOKUP(J2,languages,2,FALSE),FALSE)</f>
        <v>Profit (on Manufacturing)</v>
      </c>
      <c r="B102" s="424"/>
      <c r="C102" s="424"/>
      <c r="D102" s="424"/>
      <c r="E102" s="424"/>
      <c r="F102" s="424"/>
      <c r="G102" s="424"/>
      <c r="H102" s="424"/>
      <c r="I102" s="424"/>
      <c r="J102" s="429"/>
      <c r="K102" s="429"/>
      <c r="L102" s="438" t="str">
        <f>VLOOKUP("va_%",translation,VLOOKUP(J2,languages,2,FALSE),FALSE)</f>
        <v>% of Value Added + Overheads</v>
      </c>
      <c r="M102" s="756"/>
      <c r="N102" s="757"/>
      <c r="O102" s="434">
        <f>M102*(O64+POH+O97+O98)</f>
        <v>0</v>
      </c>
      <c r="P102" s="435">
        <f t="shared" si="35"/>
        <v>0</v>
      </c>
      <c r="R102" s="21"/>
      <c r="X102" s="19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</row>
    <row r="103" spans="1:46" ht="16.5" customHeight="1" thickBot="1" x14ac:dyDescent="0.25">
      <c r="A103" s="439"/>
      <c r="B103" s="424"/>
      <c r="C103" s="424"/>
      <c r="D103" s="424"/>
      <c r="E103" s="424"/>
      <c r="F103" s="424"/>
      <c r="G103" s="424"/>
      <c r="H103" s="440"/>
      <c r="I103" s="441"/>
      <c r="J103" s="441"/>
      <c r="K103" s="441"/>
      <c r="L103" s="441" t="str">
        <f>VLOOKUP("mc_%",translation,VLOOKUP(J2,languages,2,FALSE),FALSE)</f>
        <v>% of Manufacturing Cost + Overheads</v>
      </c>
      <c r="M103" s="305">
        <v>6.5</v>
      </c>
      <c r="N103" s="306" t="s">
        <v>820</v>
      </c>
      <c r="O103" s="442">
        <f>M103/100*(O94+O97+O98-O92)</f>
        <v>0.63580229208680328</v>
      </c>
      <c r="P103" s="443">
        <f t="shared" si="35"/>
        <v>6.0426043995839215E-2</v>
      </c>
      <c r="R103" s="21"/>
      <c r="Y103" s="35">
        <v>0</v>
      </c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65"/>
      <c r="AQ103" s="35"/>
      <c r="AR103" s="35"/>
      <c r="AS103" s="35"/>
      <c r="AT103" s="35"/>
    </row>
    <row r="104" spans="1:46" ht="14.3" thickBot="1" x14ac:dyDescent="0.3">
      <c r="A104" s="444"/>
      <c r="B104" s="444"/>
      <c r="C104" s="444"/>
      <c r="D104" s="444"/>
      <c r="E104" s="445"/>
      <c r="F104" s="445"/>
      <c r="G104" s="445"/>
      <c r="H104" s="445"/>
      <c r="I104" s="446"/>
      <c r="J104" s="447" t="str">
        <f>VLOOKUP("price",translation,VLOOKUP(J2,languages,2,FALSE),FALSE)&amp;" ["&amp;LEFT($D$7,3)&amp;F7&amp;"]"</f>
        <v>Base Price [EUR/pc]</v>
      </c>
      <c r="K104" s="448"/>
      <c r="L104" s="448"/>
      <c r="M104" s="758"/>
      <c r="N104" s="759"/>
      <c r="O104" s="637">
        <f>O94+O96</f>
        <v>10.521991016499161</v>
      </c>
      <c r="P104" s="449">
        <v>1</v>
      </c>
      <c r="R104" s="21"/>
      <c r="S104" s="75"/>
      <c r="T104" s="76"/>
      <c r="Y104" s="51" t="str">
        <f>VLOOKUP("part_price1",translation,VLOOKUP(J2,languages,2,FALSE),FALSE)</f>
        <v>&lt;-- Part Price without packaging/logistics</v>
      </c>
      <c r="Z104" s="35"/>
      <c r="AA104" s="35"/>
      <c r="AB104" s="35"/>
      <c r="AC104" s="35"/>
      <c r="AD104" s="35"/>
      <c r="AE104" s="77"/>
      <c r="AF104" s="6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</row>
    <row r="105" spans="1:46" ht="4.5999999999999996" customHeight="1" thickBot="1" x14ac:dyDescent="0.25">
      <c r="A105" s="377"/>
      <c r="B105" s="378"/>
      <c r="C105" s="378"/>
      <c r="D105" s="378"/>
      <c r="E105" s="378"/>
      <c r="F105" s="377"/>
      <c r="G105" s="377"/>
      <c r="H105" s="377"/>
      <c r="I105" s="377"/>
      <c r="J105" s="377"/>
      <c r="K105" s="377"/>
      <c r="L105" s="377"/>
      <c r="M105" s="377"/>
      <c r="N105" s="377"/>
      <c r="O105" s="450"/>
      <c r="P105" s="377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</row>
    <row r="106" spans="1:46" ht="13.6" x14ac:dyDescent="0.25">
      <c r="A106" s="339"/>
      <c r="B106" s="341" t="str">
        <f>VLOOKUP("sec3",translation,VLOOKUP(J2,languages,2,FALSE),FALSE)</f>
        <v>Section 3</v>
      </c>
      <c r="C106" s="341"/>
      <c r="D106" s="342" t="str">
        <f>VLOOKUP("logistics",translation,VLOOKUP(J2,languages,2,FALSE),FALSE)</f>
        <v>Packaging &amp; Logistics</v>
      </c>
      <c r="E106" s="342"/>
      <c r="F106" s="343"/>
      <c r="G106" s="343"/>
      <c r="H106" s="343"/>
      <c r="I106" s="343"/>
      <c r="J106" s="343"/>
      <c r="K106" s="343"/>
      <c r="L106" s="343"/>
      <c r="M106" s="754"/>
      <c r="N106" s="760"/>
      <c r="O106" s="451"/>
      <c r="P106" s="452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</row>
    <row r="107" spans="1:46" ht="36" customHeight="1" x14ac:dyDescent="0.2">
      <c r="A107" s="453"/>
      <c r="B107" s="454"/>
      <c r="C107" s="454"/>
      <c r="D107" s="660" t="str">
        <f>VLOOKUP("length",translation,VLOOKUP(J2,languages,2,FALSE),FALSE)</f>
        <v>Length [mm]</v>
      </c>
      <c r="E107" s="660" t="str">
        <f>VLOOKUP("width",translation,VLOOKUP(J2,languages,2,FALSE),FALSE)</f>
        <v>Width [mm]</v>
      </c>
      <c r="F107" s="735" t="str">
        <f>VLOOKUP("height",translation,VLOOKUP(J2,languages,2,FALSE),FALSE)</f>
        <v>Height [mm]</v>
      </c>
      <c r="G107" s="746"/>
      <c r="H107" s="660" t="str">
        <f>VLOOKUP("pcs_box",translation,VLOOKUP(J2,languages,2,FALSE),FALSE)</f>
        <v>Pcs/box</v>
      </c>
      <c r="I107" s="660" t="str">
        <f>VLOOKUP("box_cost",translation,VLOOKUP(J2,languages,2,FALSE),FALSE)&amp;" ["&amp;LEFT($D$7,3)&amp;"]"</f>
        <v>Box Cost [EUR]</v>
      </c>
      <c r="J107" s="660" t="str">
        <f>VLOOKUP("box_cost_other",translation,VLOOKUP(J2,languages,2,FALSE),FALSE)&amp;" ["&amp;LEFT($D$7,3)&amp;"]"</f>
        <v>Other Box Cost [EUR]</v>
      </c>
      <c r="K107" s="660" t="str">
        <f>VLOOKUP("box_pallet",translation,VLOOKUP(J2,languages,2,FALSE),FALSE)</f>
        <v>Boxes /Pallet</v>
      </c>
      <c r="L107" s="660" t="str">
        <f>VLOOKUP("pallet_cost",translation,VLOOKUP(J2,languages,2,FALSE),FALSE)&amp;" ["&amp;LEFT($D$7,3)&amp;"]"</f>
        <v>Pallet Cost [EUR]</v>
      </c>
      <c r="M107" s="761"/>
      <c r="N107" s="762"/>
      <c r="O107" s="455" t="str">
        <f>VLOOKUP("total",translation,VLOOKUP(J2,languages,2,FALSE),FALSE)&amp;" ["&amp;LEFT($D$7,3)&amp;$F$7&amp;"]"</f>
        <v>Total [EUR/pc]</v>
      </c>
      <c r="P107" s="456"/>
      <c r="W107" s="3">
        <v>11</v>
      </c>
      <c r="Y107" s="590" t="str">
        <f>VLOOKUP("#loops",translation,VLOOKUP(J2,languages,2,FALSE),FALSE)</f>
        <v>No. of Loops</v>
      </c>
      <c r="Z107" s="590" t="str">
        <f>VLOOKUP("parts/pallet",translation,VLOOKUP(J2,languages,2,FALSE),FALSE)</f>
        <v>Parts/Pallet</v>
      </c>
      <c r="AA107" s="590" t="str">
        <f>VLOOKUP("part_wgt",translation,VLOOKUP(J2,languages,2,FALSE),FALSE)</f>
        <v>Part Wgt [g]</v>
      </c>
      <c r="AB107" s="590" t="str">
        <f>VLOOKUP("empty_box",translation,VLOOKUP(J2,languages,2,FALSE),FALSE)</f>
        <v>Empty Box [g]</v>
      </c>
      <c r="AC107" s="591" t="str">
        <f>VLOOKUP("full_box",translation,VLOOKUP(J2,languages,2,FALSE),FALSE)</f>
        <v>Full Box [kg]</v>
      </c>
      <c r="AD107" s="590" t="str">
        <f>VLOOKUP("pallet",translation,VLOOKUP(J2,languages,2,FALSE),FALSE)</f>
        <v>Pallet [kg]</v>
      </c>
      <c r="AE107" s="590" t="str">
        <f>VLOOKUP("pallet/w",translation,VLOOKUP(J2,languages,2,FALSE),FALSE)</f>
        <v>Pallet/week</v>
      </c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</row>
    <row r="108" spans="1:46" ht="13.6" x14ac:dyDescent="0.25">
      <c r="A108" s="457"/>
      <c r="B108" s="763" t="s">
        <v>160</v>
      </c>
      <c r="C108" s="764"/>
      <c r="D108" s="90"/>
      <c r="E108" s="90"/>
      <c r="F108" s="765"/>
      <c r="G108" s="766"/>
      <c r="H108" s="88"/>
      <c r="I108" s="88"/>
      <c r="J108" s="88"/>
      <c r="K108" s="88">
        <f>IF(D108*E108*F108=0,1,MAX(ROUNDDOWN(920/D108,0)*ROUNDDOWN(1200/E108,0),ROUNDDOWN(1200/D108,0)*ROUNDDOWN(920/E108,0))*ROUNDDOWN(840/F108,0))</f>
        <v>1</v>
      </c>
      <c r="L108" s="88"/>
      <c r="M108" s="767"/>
      <c r="N108" s="768"/>
      <c r="O108" s="638">
        <f>IF(H108=0,0,((I108+J108)/H108+L108/S108)*PUC)</f>
        <v>0</v>
      </c>
      <c r="P108" s="394">
        <f>IF($O$104=0,0,O108/$O$104)</f>
        <v>0</v>
      </c>
      <c r="R108" s="21"/>
      <c r="S108" s="3">
        <f>H108*K108</f>
        <v>0</v>
      </c>
      <c r="Y108" s="592"/>
      <c r="Z108" s="593">
        <f>H108*K108</f>
        <v>0</v>
      </c>
      <c r="AA108" s="776">
        <v>2500</v>
      </c>
      <c r="AB108" s="594"/>
      <c r="AC108" s="595">
        <f>(H108*$AA$108+AB108)/1000</f>
        <v>0</v>
      </c>
      <c r="AD108" s="596">
        <f>+AC108*K108+15</f>
        <v>15</v>
      </c>
      <c r="AE108" s="597">
        <f>IF(Z108=0,0,J4/Z108/48)</f>
        <v>0</v>
      </c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</row>
    <row r="109" spans="1:46" ht="14.3" thickBot="1" x14ac:dyDescent="0.3">
      <c r="A109" s="458"/>
      <c r="B109" s="778" t="s">
        <v>298</v>
      </c>
      <c r="C109" s="779"/>
      <c r="D109" s="90">
        <v>1200</v>
      </c>
      <c r="E109" s="90">
        <v>1000</v>
      </c>
      <c r="F109" s="765">
        <v>700</v>
      </c>
      <c r="G109" s="766"/>
      <c r="H109" s="88">
        <v>46</v>
      </c>
      <c r="I109" s="666">
        <v>145</v>
      </c>
      <c r="J109" s="666">
        <v>0</v>
      </c>
      <c r="K109" s="88">
        <v>1</v>
      </c>
      <c r="L109" s="666">
        <v>0</v>
      </c>
      <c r="M109" s="780"/>
      <c r="N109" s="781"/>
      <c r="O109" s="639">
        <f>IF(H109=0,0,(I109/H109/IF(Y109=0,50,Y109)+J109/H109+L109/S109)*PUC)</f>
        <v>6.3043478260869562E-2</v>
      </c>
      <c r="P109" s="460">
        <f>IF($O$104=0,0,O109/$O$104)</f>
        <v>5.991592100963907E-3</v>
      </c>
      <c r="S109" s="3">
        <f>H109*K109</f>
        <v>46</v>
      </c>
      <c r="Y109" s="598">
        <v>50</v>
      </c>
      <c r="Z109" s="599">
        <f>+H109*K109</f>
        <v>46</v>
      </c>
      <c r="AA109" s="777"/>
      <c r="AB109" s="600"/>
      <c r="AC109" s="601">
        <f>(H109*$AA$108+AB109)/1000</f>
        <v>115</v>
      </c>
      <c r="AD109" s="596">
        <f>+AC109*K109+15</f>
        <v>130</v>
      </c>
      <c r="AE109" s="602">
        <f>IF(Z109=0,0,J4/Z109/48)</f>
        <v>3.6231884057971016</v>
      </c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</row>
    <row r="110" spans="1:46" ht="14.3" thickBot="1" x14ac:dyDescent="0.3">
      <c r="A110" s="461"/>
      <c r="B110" s="462"/>
      <c r="C110" s="462"/>
      <c r="D110" s="463"/>
      <c r="E110" s="463"/>
      <c r="F110" s="463"/>
      <c r="G110" s="463"/>
      <c r="H110" s="463"/>
      <c r="I110" s="462"/>
      <c r="J110" s="447" t="str">
        <f>VLOOKUP("price",translation,VLOOKUP(J2,languages,2,FALSE),FALSE)&amp;" "&amp;IF(M110="none",VLOOKUP("without",translation,VLOOKUP(J2,languages,2,FALSE),FALSE),VLOOKUP("with",translation,VLOOKUP(J2,languages,2,FALSE),FALSE))&amp;" " &amp;VLOOKUP("pack2",translation,VLOOKUP(J2,languages,2,FALSE),FALSE)</f>
        <v>Base Price with packaging</v>
      </c>
      <c r="K110" s="448"/>
      <c r="L110" s="464"/>
      <c r="M110" s="782" t="s">
        <v>298</v>
      </c>
      <c r="N110" s="783"/>
      <c r="O110" s="637">
        <f>O104+IF(M110="none",0,VLOOKUP(M110,B$108:O$109,14,0))</f>
        <v>10.585034494760031</v>
      </c>
      <c r="P110" s="465"/>
      <c r="S110" s="3">
        <f>IF(K112="one-way",S108,IF(K112="returnable",S109,0))</f>
        <v>46</v>
      </c>
      <c r="T110" s="3">
        <f>IF($K112="one-way",H108,IF($K112="returnable",H109,0))</f>
        <v>46</v>
      </c>
      <c r="Y110" s="51" t="str">
        <f>VLOOKUP("part_price2",translation,VLOOKUP(J2,languages,2,FALSE),FALSE)</f>
        <v>&lt;-- Part Price with specified packaging</v>
      </c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35"/>
      <c r="AR110" s="35"/>
      <c r="AS110" s="35"/>
      <c r="AT110" s="35"/>
    </row>
    <row r="111" spans="1:46" s="2" customFormat="1" ht="29.25" customHeight="1" x14ac:dyDescent="0.2">
      <c r="A111" s="466"/>
      <c r="B111" s="467"/>
      <c r="C111" s="665" t="s">
        <v>749</v>
      </c>
      <c r="D111" s="469" t="str">
        <f>VLOOKUP("loc",translation,VLOOKUP(J2,languages,2,FALSE),FALSE)</f>
        <v>Location</v>
      </c>
      <c r="E111" s="470"/>
      <c r="F111" s="735" t="str">
        <f>"Transport ["&amp;LEFT($D$7,3)&amp;VLOOKUP("/pallet",translation,VLOOKUP(J2,languages,2,FALSE),FALSE)&amp;"]"</f>
        <v>Transport [EUR/pallet]</v>
      </c>
      <c r="G111" s="746"/>
      <c r="H111" s="660" t="str">
        <f>"Handling ["&amp;LEFT($D$7,3)&amp;VLOOKUP("/box",translation,VLOOKUP(J2,languages,2,FALSE),FALSE)&amp;"]"</f>
        <v>Handling [EUR/box]</v>
      </c>
      <c r="I111" s="660" t="str">
        <f>VLOOKUP("tax",translation,VLOOKUP(J2,languages,2,FALSE),FALSE)&amp;" ["&amp;LEFT($D$7,3)&amp;VLOOKUP("/pc",translation,VLOOKUP(J2,languages,2,FALSE),FALSE)&amp;"]"</f>
        <v>Taxes [EUR/pc]</v>
      </c>
      <c r="J111" s="660" t="str">
        <f>VLOOKUP("duties",translation,VLOOKUP(J2,languages,2,FALSE),FALSE)&amp;" ["&amp;LEFT($D$7,3)&amp;VLOOKUP("/pc",translation,VLOOKUP(J2,languages,2,FALSE),FALSE)&amp;"]"</f>
        <v>Duties [EUR/pc]</v>
      </c>
      <c r="K111" s="471" t="str">
        <f>VLOOKUP("pack_type",translation,VLOOKUP(J2,languages,2,FALSE),FALSE)</f>
        <v>Packaging Type</v>
      </c>
      <c r="L111" s="660" t="str">
        <f>VLOOKUP("stack",translation,VLOOKUP(J2,languages,2,FALSE),FALSE)</f>
        <v>Pallet Stackability</v>
      </c>
      <c r="M111" s="784" t="str">
        <f>VLOOKUP("frt_return",translation,VLOOKUP(J2,languages,2,FALSE),FALSE)</f>
        <v>Return Freight</v>
      </c>
      <c r="N111" s="785"/>
      <c r="O111" s="455" t="str">
        <f>VLOOKUP("total",translation,VLOOKUP(J2,languages,2,FALSE),FALSE)&amp;" ["&amp;LEFT($D$7,3)&amp;$F$7&amp;"]"</f>
        <v>Total [EUR/pc]</v>
      </c>
      <c r="P111" s="472"/>
      <c r="Q111" s="1"/>
      <c r="S111" s="23" t="s">
        <v>57</v>
      </c>
      <c r="T111" s="24" t="s">
        <v>58</v>
      </c>
      <c r="U111" s="24" t="s">
        <v>59</v>
      </c>
      <c r="V111" s="24" t="s">
        <v>60</v>
      </c>
      <c r="W111" s="4"/>
      <c r="Y111" s="35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</row>
    <row r="112" spans="1:46" ht="13.6" x14ac:dyDescent="0.25">
      <c r="A112" s="473">
        <v>1</v>
      </c>
      <c r="B112" s="474" t="str">
        <f>$D$6</f>
        <v>Munich</v>
      </c>
      <c r="C112" s="475" t="s">
        <v>873</v>
      </c>
      <c r="D112" s="786" t="s">
        <v>874</v>
      </c>
      <c r="E112" s="787"/>
      <c r="F112" s="788">
        <v>17.5</v>
      </c>
      <c r="G112" s="789"/>
      <c r="H112" s="476"/>
      <c r="I112" s="476"/>
      <c r="J112" s="476"/>
      <c r="K112" s="477" t="s">
        <v>298</v>
      </c>
      <c r="L112" s="475" t="s">
        <v>875</v>
      </c>
      <c r="M112" s="790"/>
      <c r="N112" s="789"/>
      <c r="O112" s="638">
        <f>IF(K112="none",0,IF(C112&lt;&gt;"FCA",F112/VLOOKUP(K112,$B$108:$S$109,18,0)+H112/VLOOKUP(K112,$B$108:$H$109,7,0)+I112+J112,0)*PUC)</f>
        <v>0.38043478260869568</v>
      </c>
      <c r="P112" s="356">
        <f>IF($O$104=0,0,O112/$O$104)</f>
        <v>3.6156159229954611E-2</v>
      </c>
      <c r="S112" s="69">
        <f>IF(K112="none",0,VLOOKUP(K112,B$108:O$109,14,0)*PUC)</f>
        <v>6.3043478260869562E-2</v>
      </c>
      <c r="T112" s="69">
        <f>IF(K112="none",0,F112/VLOOKUP(K112,$B$108:$S$109,18,0)*PUC)</f>
        <v>0.38043478260869568</v>
      </c>
      <c r="U112" s="69">
        <f>IF(K112="none",0,H112/VLOOKUP(K112,$B$108:$H$109,7,0)*PUC)</f>
        <v>0</v>
      </c>
      <c r="V112" s="69">
        <f>(I112+J112)*PUC</f>
        <v>0</v>
      </c>
      <c r="Y112" s="51" t="str">
        <f>VLOOKUP("quot_opt",translation,VLOOKUP(J2,languages,2,FALSE),FALSE)</f>
        <v>&lt;-- Primary option for quotations</v>
      </c>
      <c r="Z112" s="35"/>
      <c r="AA112" s="35"/>
      <c r="AB112" s="35"/>
      <c r="AC112" s="35"/>
      <c r="AD112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</row>
    <row r="113" spans="1:46" ht="13.6" x14ac:dyDescent="0.25">
      <c r="A113" s="478">
        <v>2</v>
      </c>
      <c r="B113" s="474">
        <f>$F$6</f>
        <v>0</v>
      </c>
      <c r="C113" s="479"/>
      <c r="D113" s="791"/>
      <c r="E113" s="792"/>
      <c r="F113" s="788"/>
      <c r="G113" s="789"/>
      <c r="H113" s="90"/>
      <c r="I113" s="90"/>
      <c r="J113" s="90"/>
      <c r="K113" s="477" t="s">
        <v>211</v>
      </c>
      <c r="L113" s="88"/>
      <c r="M113" s="738"/>
      <c r="N113" s="770"/>
      <c r="O113" s="638">
        <f>IF(K113="none",0,IF(C113&lt;&gt;"FCA",F113/VLOOKUP(K113,$B$108:$S$109,18,0)+H113/VLOOKUP(K113,$B$108:$H$109,7,0)+I113+J113,0)*PUC)</f>
        <v>0</v>
      </c>
      <c r="P113" s="395">
        <f>IF($O$104=0,0,O113/$O$104)</f>
        <v>0</v>
      </c>
      <c r="S113" s="69">
        <f>IF(K113="none",0,VLOOKUP(K113,B$108:O$109,14,0)*PUC)</f>
        <v>0</v>
      </c>
      <c r="T113" s="69">
        <f>IF(K113="none",0,F113/VLOOKUP(K113,$B$108:$S$109,18,0)*PUC)</f>
        <v>0</v>
      </c>
      <c r="U113" s="69">
        <f>IF(K113="none",0,H113/VLOOKUP(K113,$B$108:$H$109,7,0)*PUC)</f>
        <v>0</v>
      </c>
      <c r="V113" s="69">
        <f>(I113+J113)*PUC</f>
        <v>0</v>
      </c>
      <c r="Y113" s="35"/>
      <c r="Z113" s="6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</row>
    <row r="114" spans="1:46" ht="14.3" thickBot="1" x14ac:dyDescent="0.3">
      <c r="A114" s="480">
        <v>3</v>
      </c>
      <c r="B114" s="657">
        <f>$G$6</f>
        <v>0</v>
      </c>
      <c r="C114" s="481"/>
      <c r="D114" s="793"/>
      <c r="E114" s="794"/>
      <c r="F114" s="788"/>
      <c r="G114" s="789"/>
      <c r="H114" s="90"/>
      <c r="I114" s="90"/>
      <c r="J114" s="90"/>
      <c r="K114" s="477" t="s">
        <v>211</v>
      </c>
      <c r="L114" s="88"/>
      <c r="M114" s="738"/>
      <c r="N114" s="770"/>
      <c r="O114" s="638">
        <f>IF(K114="none",0,IF(C114&lt;&gt;"FCA",F114/VLOOKUP(K114,$B$108:$S$109,18,0)+H114/VLOOKUP(K114,$B$108:$H$109,7,0)+I114+J114,0)*PUC)</f>
        <v>0</v>
      </c>
      <c r="P114" s="482">
        <f>IF($O$104=0,0,O114/$O$104)</f>
        <v>0</v>
      </c>
      <c r="S114" s="69">
        <f>IF(K114="none",0,VLOOKUP(K114,B$108:O$109,14,0)*PUC)</f>
        <v>0</v>
      </c>
      <c r="T114" s="69">
        <f>IF(K114="none",0,F114/VLOOKUP(K114,$B$108:$S$109,18,0)*PUC)</f>
        <v>0</v>
      </c>
      <c r="U114" s="69">
        <f>IF(K114="none",0,H114/VLOOKUP(K114,$B$108:$H$109,7,0)*PUC)</f>
        <v>0</v>
      </c>
      <c r="V114" s="69">
        <f>(I114+J114)*PUC</f>
        <v>0</v>
      </c>
      <c r="Y114" s="35"/>
      <c r="Z114" s="6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</row>
    <row r="115" spans="1:46" ht="4.5999999999999996" customHeight="1" thickBot="1" x14ac:dyDescent="0.3">
      <c r="A115" s="25"/>
      <c r="B115" s="26"/>
      <c r="C115" s="26"/>
      <c r="D115" s="27"/>
      <c r="E115" s="22"/>
      <c r="F115" s="22"/>
      <c r="G115" s="22"/>
      <c r="H115" s="22"/>
      <c r="I115" s="22"/>
      <c r="J115" s="25"/>
      <c r="K115" s="25"/>
      <c r="L115" s="25"/>
      <c r="M115" s="25"/>
      <c r="N115" s="25"/>
      <c r="O115" s="50"/>
      <c r="P115" s="2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</row>
    <row r="116" spans="1:46" ht="13.6" x14ac:dyDescent="0.2">
      <c r="A116" s="436" t="str">
        <f>VLOOKUP("supplier_ref",translation,VLOOKUP(J2,languages,2,FALSE),FALSE)</f>
        <v>Supplier Reference</v>
      </c>
      <c r="B116" s="424"/>
      <c r="C116" s="424"/>
      <c r="D116" s="795"/>
      <c r="E116" s="795"/>
      <c r="F116" s="796" t="str">
        <f>VLOOKUP("date",translation,VLOOKUP(J2,languages,2,FALSE),FALSE)</f>
        <v>Date</v>
      </c>
      <c r="G116" s="797"/>
      <c r="H116" s="798"/>
      <c r="I116" s="799"/>
      <c r="J116" s="483" t="str">
        <f>VLOOKUP("cbd_pricesummary",translation,VLOOKUP(J2,languages,2,FALSE),FALSE)</f>
        <v>Cost Breakdown Pricing Summary</v>
      </c>
      <c r="K116" s="484"/>
      <c r="L116" s="485"/>
      <c r="M116" s="485"/>
      <c r="N116" s="485"/>
      <c r="O116" s="486" t="str">
        <f>LEFT($D$7,3)&amp;F7</f>
        <v>EUR/pc</v>
      </c>
      <c r="P116" s="487"/>
      <c r="Y116" s="51" t="str">
        <f>VLOOKUP("part_price3",translation,VLOOKUP(J2,languages,2,FALSE),FALSE)</f>
        <v>&lt;-- Part Price including packaging/logistics</v>
      </c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</row>
    <row r="117" spans="1:46" ht="13.6" x14ac:dyDescent="0.25">
      <c r="A117" s="488"/>
      <c r="B117" s="424"/>
      <c r="C117" s="424"/>
      <c r="D117" s="489"/>
      <c r="E117" s="800" t="str">
        <f>VLOOKUP("prep_by",translation,VLOOKUP(J2,languages,2,FALSE),FALSE)</f>
        <v>Prepared by</v>
      </c>
      <c r="F117" s="801"/>
      <c r="G117" s="802"/>
      <c r="H117" s="803"/>
      <c r="I117" s="804"/>
      <c r="J117" s="805" t="str">
        <f>IF(C112="","",C112&amp;" "&amp;D112&amp;", "&amp;IF(K112="none",VLOOKUP("without",translation,VLOOKUP(J2,languages,2,FALSE),FALSE),K112)&amp;" "&amp;VLOOKUP("pack2",translation,VLOOKUP(J2,languages,2,FALSE),FALSE))</f>
        <v>DDP Hamburg, returnable packaging</v>
      </c>
      <c r="K117" s="806"/>
      <c r="L117" s="806"/>
      <c r="M117" s="806"/>
      <c r="N117" s="807"/>
      <c r="O117" s="640">
        <f>IF(C112=0,0,SUM(O$104,O112,IF(K112="none",0,VLOOKUP(K112,B$108:O$109,14,0))))</f>
        <v>10.965469277368726</v>
      </c>
      <c r="P117" s="490"/>
      <c r="S117" s="75"/>
      <c r="T117" s="76"/>
      <c r="Y117" s="51" t="str">
        <f>VLOOKUP("quot_opt",translation,VLOOKUP(J2,languages,2,FALSE),FALSE)</f>
        <v>&lt;-- Primary option for quotations</v>
      </c>
      <c r="Z117" s="35"/>
      <c r="AA117" s="35"/>
      <c r="AB117" s="35"/>
      <c r="AC117" s="35"/>
      <c r="AD117" s="35"/>
      <c r="AE117" s="94"/>
      <c r="AF117" s="134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</row>
    <row r="118" spans="1:46" x14ac:dyDescent="0.2">
      <c r="A118" s="808"/>
      <c r="B118" s="809"/>
      <c r="C118" s="809"/>
      <c r="D118" s="809"/>
      <c r="E118" s="809"/>
      <c r="F118" s="809"/>
      <c r="G118" s="809"/>
      <c r="H118" s="809"/>
      <c r="I118" s="810"/>
      <c r="J118" s="814" t="str">
        <f>IF(C113="","",C113&amp;" "&amp;D113&amp;", "&amp;IF(K113="none",VLOOKUP("without",translation,VLOOKUP(J2,languages,2,FALSE),FALSE),K113)&amp;" "&amp;VLOOKUP("pack2",translation,VLOOKUP(J2,languages,2,FALSE),FALSE))</f>
        <v/>
      </c>
      <c r="K118" s="815"/>
      <c r="L118" s="815"/>
      <c r="M118" s="815"/>
      <c r="N118" s="816"/>
      <c r="O118" s="641">
        <f>IF(C113=0,0,SUM(O$104,O113,IF(K113="none",0,VLOOKUP(K113,B$108:O$109,14,0))))</f>
        <v>0</v>
      </c>
      <c r="P118" s="491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</row>
    <row r="119" spans="1:46" ht="13.6" thickBot="1" x14ac:dyDescent="0.25">
      <c r="A119" s="811"/>
      <c r="B119" s="812"/>
      <c r="C119" s="812"/>
      <c r="D119" s="812"/>
      <c r="E119" s="812"/>
      <c r="F119" s="812"/>
      <c r="G119" s="812"/>
      <c r="H119" s="812"/>
      <c r="I119" s="813"/>
      <c r="J119" s="817" t="str">
        <f>IF(C114="","",C114&amp;" "&amp;D114&amp;", "&amp;IF(K114="none",VLOOKUP("without",translation,VLOOKUP(J2,languages,2,FALSE),FALSE),K114)&amp;" "&amp;VLOOKUP("pack2",translation,VLOOKUP(J2,languages,2,FALSE),FALSE))</f>
        <v/>
      </c>
      <c r="K119" s="818"/>
      <c r="L119" s="818"/>
      <c r="M119" s="818"/>
      <c r="N119" s="819"/>
      <c r="O119" s="642">
        <f>IF(C114=0,0,SUM(O$104,O114,IF(K114="none",0,VLOOKUP(K114,B$108:O$109,14,0))))</f>
        <v>0</v>
      </c>
      <c r="P119" s="492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</row>
    <row r="120" spans="1:46" ht="4.5999999999999996" customHeight="1" thickBot="1" x14ac:dyDescent="0.25">
      <c r="A120" s="493"/>
      <c r="B120" s="493"/>
      <c r="C120" s="493"/>
      <c r="D120" s="493"/>
      <c r="E120" s="493"/>
      <c r="F120" s="493"/>
      <c r="G120" s="493"/>
      <c r="H120" s="493"/>
      <c r="I120" s="493"/>
      <c r="J120" s="494"/>
      <c r="K120" s="494"/>
      <c r="L120" s="494"/>
      <c r="M120" s="494"/>
      <c r="N120" s="494"/>
      <c r="O120" s="495"/>
      <c r="P120" s="493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</row>
    <row r="121" spans="1:46" ht="13.6" x14ac:dyDescent="0.25">
      <c r="A121" s="339"/>
      <c r="B121" s="341" t="str">
        <f>VLOOKUP("sec4",translation,VLOOKUP(J2,languages,2,FALSE),FALSE)</f>
        <v>Section 4</v>
      </c>
      <c r="C121" s="341"/>
      <c r="D121" s="342" t="str">
        <f>VLOOKUP("invest",translation,VLOOKUP(J2,languages,2,FALSE),FALSE)</f>
        <v>Investment / Tooling</v>
      </c>
      <c r="E121" s="343"/>
      <c r="F121" s="343"/>
      <c r="G121" s="343"/>
      <c r="H121" s="343"/>
      <c r="I121" s="343"/>
      <c r="J121" s="662"/>
      <c r="K121" s="662"/>
      <c r="L121" s="662"/>
      <c r="M121" s="497" t="str">
        <f>LEFT($D$7,3)</f>
        <v>EUR</v>
      </c>
      <c r="N121" s="497"/>
      <c r="O121" s="498">
        <f>SUBTOTAL(109,O123:O130)</f>
        <v>85000</v>
      </c>
      <c r="P121" s="452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</row>
    <row r="122" spans="1:46" ht="49.6" customHeight="1" x14ac:dyDescent="0.2">
      <c r="A122" s="499"/>
      <c r="B122" s="728" t="str">
        <f>VLOOKUP("descr2",translation,VLOOKUP(J2,languages,2,FALSE),FALSE)</f>
        <v>Description</v>
      </c>
      <c r="C122" s="728"/>
      <c r="D122" s="728"/>
      <c r="E122" s="820"/>
      <c r="F122" s="660" t="str">
        <f>VLOOKUP("qty2",translation,VLOOKUP(J2,languages,2,FALSE),FALSE)</f>
        <v>Qty</v>
      </c>
      <c r="G122" s="660" t="str">
        <f>VLOOKUP("cav",translation,VLOOKUP(J2,languages,2,FALSE),FALSE)</f>
        <v>Pcs/cycle (cavities)</v>
      </c>
      <c r="H122" s="660" t="str">
        <f>VLOOKUP("lt",translation,VLOOKUP(J2,languages,2,FALSE),FALSE)</f>
        <v>Lead Time [weeks]</v>
      </c>
      <c r="I122" s="660" t="str">
        <f>VLOOKUP("fot2",translation,VLOOKUP(J2,languages,2,FALSE),FALSE)</f>
        <v>FOT [weeks]</v>
      </c>
      <c r="J122" s="660" t="str">
        <f>VLOOKUP("warranty",translation,VLOOKUP(J2,languages,2,FALSE),FALSE)</f>
        <v>Warranty [parts]</v>
      </c>
      <c r="K122" s="660" t="str">
        <f>VLOOKUP("tool_cap",translation,VLOOKUP(J2,languages,2,FALSE),FALSE)</f>
        <v>Tool Cap.</v>
      </c>
      <c r="L122" s="660" t="str">
        <f>VLOOKUP("mach_cap",translation,VLOOKUP(J2,languages,2,FALSE),FALSE)</f>
        <v>Maschine Cap. [/week]</v>
      </c>
      <c r="M122" s="735" t="str">
        <f>VLOOKUP("max_cap",translation,VLOOKUP(J2,languages,2,FALSE),FALSE)</f>
        <v>Max. Capacity [p.A.]</v>
      </c>
      <c r="N122" s="746"/>
      <c r="O122" s="660" t="str">
        <f>VLOOKUP("tool_cost",translation,VLOOKUP(J2,languages,2,FALSE),FALSE)&amp;" ["&amp;LEFT($D$7,3)&amp;"]"</f>
        <v>Tool Cost [EUR]</v>
      </c>
      <c r="P122" s="352"/>
      <c r="W122">
        <v>125</v>
      </c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</row>
    <row r="123" spans="1:46" x14ac:dyDescent="0.2">
      <c r="A123" s="353">
        <v>1</v>
      </c>
      <c r="B123" s="747" t="s">
        <v>876</v>
      </c>
      <c r="C123" s="821"/>
      <c r="D123" s="821"/>
      <c r="E123" s="822"/>
      <c r="F123" s="500">
        <v>1</v>
      </c>
      <c r="G123" s="500"/>
      <c r="H123" s="88"/>
      <c r="I123" s="392">
        <v>20</v>
      </c>
      <c r="J123" s="501">
        <v>150000</v>
      </c>
      <c r="K123" s="501"/>
      <c r="L123" s="501"/>
      <c r="M123" s="823"/>
      <c r="N123" s="824"/>
      <c r="O123" s="501">
        <v>85000</v>
      </c>
      <c r="P123" s="502"/>
      <c r="S123" s="3">
        <f t="shared" ref="S123:S130" si="36">F123*O123</f>
        <v>85000</v>
      </c>
      <c r="Y123" s="35"/>
      <c r="Z123" s="41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</row>
    <row r="124" spans="1:46" x14ac:dyDescent="0.2">
      <c r="A124" s="357">
        <v>2</v>
      </c>
      <c r="B124" s="747"/>
      <c r="C124" s="821"/>
      <c r="D124" s="821"/>
      <c r="E124" s="822"/>
      <c r="F124" s="500"/>
      <c r="G124" s="500"/>
      <c r="H124" s="88"/>
      <c r="I124" s="503"/>
      <c r="J124" s="501"/>
      <c r="K124" s="501"/>
      <c r="L124" s="501"/>
      <c r="M124" s="823"/>
      <c r="N124" s="824"/>
      <c r="O124" s="501"/>
      <c r="P124" s="504"/>
      <c r="S124" s="3">
        <f t="shared" si="36"/>
        <v>0</v>
      </c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</row>
    <row r="125" spans="1:46" ht="13.6" thickBot="1" x14ac:dyDescent="0.25">
      <c r="A125" s="357">
        <v>3</v>
      </c>
      <c r="B125" s="747"/>
      <c r="C125" s="821"/>
      <c r="D125" s="821"/>
      <c r="E125" s="822"/>
      <c r="F125" s="500"/>
      <c r="G125" s="500"/>
      <c r="H125" s="88"/>
      <c r="I125" s="503"/>
      <c r="J125" s="501"/>
      <c r="K125" s="501"/>
      <c r="L125" s="501"/>
      <c r="M125" s="823"/>
      <c r="N125" s="824"/>
      <c r="O125" s="501"/>
      <c r="P125" s="504"/>
      <c r="S125" s="3">
        <f t="shared" si="36"/>
        <v>0</v>
      </c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</row>
    <row r="126" spans="1:46" ht="13.6" hidden="1" customHeight="1" thickBot="1" x14ac:dyDescent="0.25">
      <c r="A126" s="357">
        <v>4</v>
      </c>
      <c r="B126" s="747"/>
      <c r="C126" s="821"/>
      <c r="D126" s="821"/>
      <c r="E126" s="822"/>
      <c r="F126" s="500"/>
      <c r="G126" s="500"/>
      <c r="H126" s="88"/>
      <c r="I126" s="503"/>
      <c r="J126" s="501"/>
      <c r="K126" s="501"/>
      <c r="L126" s="501"/>
      <c r="M126" s="823"/>
      <c r="N126" s="824"/>
      <c r="O126" s="501"/>
      <c r="P126" s="504"/>
      <c r="S126" s="3">
        <f t="shared" si="36"/>
        <v>0</v>
      </c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</row>
    <row r="127" spans="1:46" ht="13.6" hidden="1" customHeight="1" thickBot="1" x14ac:dyDescent="0.25">
      <c r="A127" s="357">
        <v>5</v>
      </c>
      <c r="B127" s="747"/>
      <c r="C127" s="821"/>
      <c r="D127" s="821"/>
      <c r="E127" s="822"/>
      <c r="F127" s="500"/>
      <c r="G127" s="500"/>
      <c r="H127" s="88"/>
      <c r="I127" s="503"/>
      <c r="J127" s="501"/>
      <c r="K127" s="501"/>
      <c r="L127" s="501"/>
      <c r="M127" s="823"/>
      <c r="N127" s="824"/>
      <c r="O127" s="501"/>
      <c r="P127" s="504"/>
      <c r="S127" s="3">
        <f t="shared" si="36"/>
        <v>0</v>
      </c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</row>
    <row r="128" spans="1:46" ht="13.6" hidden="1" customHeight="1" thickBot="1" x14ac:dyDescent="0.25">
      <c r="A128" s="357">
        <v>6</v>
      </c>
      <c r="B128" s="747"/>
      <c r="C128" s="821"/>
      <c r="D128" s="821"/>
      <c r="E128" s="822"/>
      <c r="F128" s="500"/>
      <c r="G128" s="500"/>
      <c r="H128" s="88"/>
      <c r="I128" s="503"/>
      <c r="J128" s="501"/>
      <c r="K128" s="501"/>
      <c r="L128" s="501"/>
      <c r="M128" s="823"/>
      <c r="N128" s="824"/>
      <c r="O128" s="501"/>
      <c r="P128" s="504"/>
      <c r="S128" s="3">
        <f t="shared" si="36"/>
        <v>0</v>
      </c>
      <c r="Y128" s="35"/>
      <c r="Z128" s="35"/>
      <c r="AA128" s="35"/>
      <c r="AB128" s="35"/>
      <c r="AC128" s="6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</row>
    <row r="129" spans="1:46" ht="13.6" hidden="1" customHeight="1" thickBot="1" x14ac:dyDescent="0.25">
      <c r="A129" s="357">
        <v>7</v>
      </c>
      <c r="B129" s="747"/>
      <c r="C129" s="821"/>
      <c r="D129" s="821"/>
      <c r="E129" s="822"/>
      <c r="F129" s="500"/>
      <c r="G129" s="500"/>
      <c r="H129" s="88"/>
      <c r="I129" s="503"/>
      <c r="J129" s="501"/>
      <c r="K129" s="501"/>
      <c r="L129" s="501"/>
      <c r="M129" s="823"/>
      <c r="N129" s="824"/>
      <c r="O129" s="501"/>
      <c r="P129" s="504"/>
      <c r="S129" s="3">
        <f t="shared" si="36"/>
        <v>0</v>
      </c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</row>
    <row r="130" spans="1:46" ht="13.6" hidden="1" customHeight="1" thickBot="1" x14ac:dyDescent="0.25">
      <c r="A130" s="357">
        <v>8</v>
      </c>
      <c r="B130" s="747"/>
      <c r="C130" s="821"/>
      <c r="D130" s="821"/>
      <c r="E130" s="822"/>
      <c r="F130" s="500"/>
      <c r="G130" s="500"/>
      <c r="H130" s="88"/>
      <c r="I130" s="503"/>
      <c r="J130" s="501"/>
      <c r="K130" s="501"/>
      <c r="L130" s="501"/>
      <c r="M130" s="823"/>
      <c r="N130" s="824"/>
      <c r="O130" s="501"/>
      <c r="P130" s="504"/>
      <c r="S130" s="3">
        <f t="shared" si="36"/>
        <v>0</v>
      </c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</row>
    <row r="131" spans="1:46" ht="5.3" customHeight="1" thickBot="1" x14ac:dyDescent="0.25">
      <c r="A131" s="505"/>
      <c r="B131" s="505"/>
      <c r="C131" s="505"/>
      <c r="D131" s="505"/>
      <c r="E131" s="505"/>
      <c r="F131" s="505"/>
      <c r="G131" s="505"/>
      <c r="H131" s="505"/>
      <c r="I131" s="505"/>
      <c r="J131" s="505"/>
      <c r="K131" s="505"/>
      <c r="L131" s="505"/>
      <c r="M131" s="505"/>
      <c r="N131" s="505"/>
      <c r="O131" s="505"/>
      <c r="P131" s="50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</row>
    <row r="132" spans="1:46" ht="13.6" x14ac:dyDescent="0.25">
      <c r="A132" s="339"/>
      <c r="B132" s="341" t="str">
        <f>VLOOKUP("sec5",translation,VLOOKUP(J2,languages,2,FALSE),FALSE)</f>
        <v>Section 5</v>
      </c>
      <c r="C132" s="341"/>
      <c r="D132" s="342" t="str">
        <f>VLOOKUP("pc_terms",translation,VLOOKUP(J2,languages,2,FALSE),FALSE)</f>
        <v>Productivity &amp; Commercial Terms</v>
      </c>
      <c r="E132" s="343"/>
      <c r="F132" s="343"/>
      <c r="G132" s="343"/>
      <c r="H132" s="343"/>
      <c r="I132" s="343"/>
      <c r="J132" s="343"/>
      <c r="K132" s="343"/>
      <c r="L132" s="343"/>
      <c r="M132" s="343"/>
      <c r="N132" s="343"/>
      <c r="O132" s="506"/>
      <c r="P132" s="452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</row>
    <row r="133" spans="1:46" x14ac:dyDescent="0.2">
      <c r="A133" s="507"/>
      <c r="B133" s="508" t="str">
        <f>VLOOKUP("pay_terms",translation,VLOOKUP(J2,languages,2,FALSE),FALSE)</f>
        <v>Payment terms</v>
      </c>
      <c r="C133" s="508"/>
      <c r="D133" s="508"/>
      <c r="E133" s="509"/>
      <c r="F133" s="509"/>
      <c r="G133" s="825" t="s">
        <v>851</v>
      </c>
      <c r="H133" s="826"/>
      <c r="I133" s="826"/>
      <c r="J133" s="826"/>
      <c r="K133" s="827"/>
      <c r="L133" s="509"/>
      <c r="M133" s="509"/>
      <c r="N133" s="509"/>
      <c r="O133" s="510"/>
      <c r="P133" s="511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</row>
    <row r="134" spans="1:46" x14ac:dyDescent="0.2">
      <c r="A134" s="507"/>
      <c r="B134" s="508" t="str">
        <f>VLOOKUP("tool_terms",translation,VLOOKUP(J2,languages,2,FALSE),FALSE)</f>
        <v>Tool payment terms</v>
      </c>
      <c r="C134" s="508"/>
      <c r="D134" s="508"/>
      <c r="E134" s="509"/>
      <c r="F134" s="509"/>
      <c r="G134" s="828" t="s">
        <v>851</v>
      </c>
      <c r="H134" s="829"/>
      <c r="I134" s="830"/>
      <c r="J134" s="830"/>
      <c r="K134" s="831"/>
      <c r="L134" s="509"/>
      <c r="M134" s="509"/>
      <c r="N134" s="509"/>
      <c r="O134" s="510"/>
      <c r="P134" s="511"/>
      <c r="Y134" s="35"/>
      <c r="Z134" s="6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</row>
    <row r="135" spans="1:46" ht="12.75" customHeight="1" x14ac:dyDescent="0.2">
      <c r="A135" s="507"/>
      <c r="B135" s="508" t="str">
        <f>VLOOKUP("sparepart_price",translation,VLOOKUP(J2,languages,2,FALSE),FALSE)</f>
        <v>Spare part pricing at serial price after EoP</v>
      </c>
      <c r="C135" s="508"/>
      <c r="D135" s="508"/>
      <c r="E135" s="509"/>
      <c r="F135" s="509"/>
      <c r="G135" s="832">
        <v>5</v>
      </c>
      <c r="H135" s="833"/>
      <c r="I135" s="512" t="str">
        <f>VLOOKUP("yr",translation,VLOOKUP(J2,languages,2,FALSE),FALSE)</f>
        <v>years</v>
      </c>
      <c r="J135" s="509"/>
      <c r="K135" s="509"/>
      <c r="L135" s="834" t="str">
        <f>B112&amp;CHAR(10)&amp;C112</f>
        <v>Munich
DDP</v>
      </c>
      <c r="M135" s="836" t="str">
        <f>B113&amp;CHAR(10)&amp;C113</f>
        <v xml:space="preserve">0
</v>
      </c>
      <c r="N135" s="837"/>
      <c r="O135" s="840"/>
      <c r="P135" s="511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</row>
    <row r="136" spans="1:46" x14ac:dyDescent="0.2">
      <c r="A136" s="507"/>
      <c r="B136" s="508" t="str">
        <f>VLOOKUP("tot_cap",translation,VLOOKUP(J2,languages,2,FALSE),FALSE)</f>
        <v>Overall committed capacity</v>
      </c>
      <c r="C136" s="508"/>
      <c r="D136" s="508"/>
      <c r="E136" s="509" t="str">
        <f>VLOOKUP("w",translation,VLOOKUP(J2,languages,2,FALSE),FALSE)</f>
        <v>[/week]</v>
      </c>
      <c r="F136" s="509"/>
      <c r="G136" s="842"/>
      <c r="H136" s="843"/>
      <c r="I136" s="513"/>
      <c r="J136" s="509"/>
      <c r="K136" s="509"/>
      <c r="L136" s="835"/>
      <c r="M136" s="838"/>
      <c r="N136" s="839"/>
      <c r="O136" s="841"/>
      <c r="P136" s="511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</row>
    <row r="137" spans="1:46" x14ac:dyDescent="0.2">
      <c r="A137" s="507"/>
      <c r="B137" s="508"/>
      <c r="C137" s="508"/>
      <c r="D137" s="508"/>
      <c r="E137" s="509" t="str">
        <f>VLOOKUP("y",translation,VLOOKUP(J2,languages,2,FALSE),FALSE)</f>
        <v>[/year]</v>
      </c>
      <c r="F137" s="509"/>
      <c r="G137" s="844"/>
      <c r="H137" s="845"/>
      <c r="I137" s="509"/>
      <c r="J137" s="514" t="str">
        <f>VLOOKUP("price",translation,VLOOKUP(J2,languages,2,FALSE),FALSE)</f>
        <v>Base Price</v>
      </c>
      <c r="K137" s="515" t="str">
        <f>VLOOKUP("package",translation,VLOOKUP(J2,languages,2,FALSE),FALSE)</f>
        <v>w/ Packaging</v>
      </c>
      <c r="L137" s="516" t="str">
        <f>VLOOKUP("trans",translation,VLOOKUP(J2,languages,2,FALSE),FALSE)</f>
        <v>w/ Logistics</v>
      </c>
      <c r="M137" s="846" t="str">
        <f>VLOOKUP("trans",translation,VLOOKUP(J2,languages,2,FALSE),FALSE)</f>
        <v>w/ Logistics</v>
      </c>
      <c r="N137" s="847"/>
      <c r="O137" s="514" t="str">
        <f>VLOOKUP("trans",translation,VLOOKUP(J2,languages,2,FALSE),FALSE)</f>
        <v>w/ Logistics</v>
      </c>
      <c r="P137" s="511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</row>
    <row r="138" spans="1:46" ht="13.6" x14ac:dyDescent="0.25">
      <c r="A138" s="507"/>
      <c r="B138" s="508"/>
      <c r="C138" s="508"/>
      <c r="D138" s="508"/>
      <c r="E138" s="509"/>
      <c r="F138" s="509"/>
      <c r="G138" s="509"/>
      <c r="H138" s="517"/>
      <c r="I138" s="518"/>
      <c r="J138" s="519" t="str">
        <f>"["&amp;LEFT($D$7,3)&amp;$F$7&amp;"]"</f>
        <v>[EUR/pc]</v>
      </c>
      <c r="K138" s="520" t="str">
        <f>"["&amp;LEFT($D$7,3)&amp;$F$7&amp;"]"</f>
        <v>[EUR/pc]</v>
      </c>
      <c r="L138" s="521" t="str">
        <f>"["&amp;LEFT($D$7,3)&amp;$F$7&amp;"]"</f>
        <v>[EUR/pc]</v>
      </c>
      <c r="M138" s="848" t="str">
        <f>"["&amp;LEFT($D$7,3)&amp;$F$7&amp;"]"</f>
        <v>[EUR/pc]</v>
      </c>
      <c r="N138" s="849"/>
      <c r="O138" s="519" t="str">
        <f>"["&amp;LEFT($D$7,3)&amp;$F$7&amp;"]"</f>
        <v>[EUR/pc]</v>
      </c>
      <c r="P138" s="511"/>
      <c r="U138" s="29"/>
      <c r="V138" s="1"/>
      <c r="W138" s="1"/>
      <c r="Y138" s="177"/>
      <c r="Z138" s="177"/>
      <c r="AA138" s="177"/>
      <c r="AB138" s="177"/>
      <c r="AC138" s="177"/>
      <c r="AD138" s="177"/>
      <c r="AE138" s="177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</row>
    <row r="139" spans="1:46" ht="12.75" customHeight="1" x14ac:dyDescent="0.25">
      <c r="A139" s="507"/>
      <c r="B139" s="508"/>
      <c r="C139" s="508"/>
      <c r="D139" s="508"/>
      <c r="E139" s="509"/>
      <c r="F139" s="509"/>
      <c r="G139" s="850" t="str">
        <f>VLOOKUP("y1",translation,VLOOKUP(J2,languages,2,FALSE),FALSE)</f>
        <v>Year</v>
      </c>
      <c r="H139" s="851"/>
      <c r="I139" s="522" t="s">
        <v>93</v>
      </c>
      <c r="J139" s="643">
        <f>O104</f>
        <v>10.521991016499161</v>
      </c>
      <c r="K139" s="647">
        <f>O110</f>
        <v>10.585034494760031</v>
      </c>
      <c r="L139" s="656">
        <f>O117</f>
        <v>10.965469277368726</v>
      </c>
      <c r="M139" s="852">
        <f>O118</f>
        <v>0</v>
      </c>
      <c r="N139" s="853"/>
      <c r="O139" s="643">
        <f>O119</f>
        <v>0</v>
      </c>
      <c r="P139" s="511"/>
      <c r="U139" s="29"/>
      <c r="V139" s="1"/>
      <c r="W139" s="1"/>
      <c r="Y139" s="177"/>
      <c r="Z139" s="177"/>
      <c r="AA139" s="177"/>
      <c r="AB139" s="177"/>
      <c r="AC139" s="177"/>
      <c r="AD139" s="177"/>
      <c r="AE139" s="177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</row>
    <row r="140" spans="1:46" ht="13.6" x14ac:dyDescent="0.25">
      <c r="A140" s="507"/>
      <c r="B140" s="508" t="str">
        <f>VLOOKUP("price_cbd",translation,VLOOKUP(J2,languages,2,FALSE),FALSE)</f>
        <v>Pricing acc. to breakdown</v>
      </c>
      <c r="C140" s="523"/>
      <c r="D140" s="508"/>
      <c r="E140" s="854" t="s">
        <v>94</v>
      </c>
      <c r="F140" s="855"/>
      <c r="G140" s="856"/>
      <c r="H140" s="857"/>
      <c r="I140" s="524"/>
      <c r="J140" s="644">
        <f>O104</f>
        <v>10.521991016499161</v>
      </c>
      <c r="K140" s="648">
        <f>O110</f>
        <v>10.585034494760031</v>
      </c>
      <c r="L140" s="655">
        <f>O117</f>
        <v>10.965469277368726</v>
      </c>
      <c r="M140" s="858">
        <f>O118</f>
        <v>0</v>
      </c>
      <c r="N140" s="859"/>
      <c r="O140" s="644">
        <f>O119</f>
        <v>0</v>
      </c>
      <c r="P140" s="511"/>
      <c r="S140" s="236">
        <f>MIN($J$5,1)</f>
        <v>1</v>
      </c>
      <c r="U140" s="1"/>
      <c r="V140" s="7"/>
      <c r="W140" s="7"/>
      <c r="X140" s="7"/>
      <c r="Y140" s="231"/>
      <c r="Z140" s="231"/>
      <c r="AA140" s="231"/>
      <c r="AB140" s="232"/>
      <c r="AC140" s="234"/>
      <c r="AD140" s="233"/>
      <c r="AE140" s="231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</row>
    <row r="141" spans="1:46" ht="13.6" x14ac:dyDescent="0.25">
      <c r="A141" s="507"/>
      <c r="B141" s="508" t="str">
        <f>VLOOKUP("price_neg",translation,VLOOKUP(J2,languages,2,FALSE),FALSE)</f>
        <v>Negotiated offer pricing</v>
      </c>
      <c r="C141" s="525"/>
      <c r="D141" s="508"/>
      <c r="E141" s="860" t="str">
        <f>VLOOKUP("y2",translation,VLOOKUP(J2,languages,2,FALSE),FALSE)</f>
        <v>Year 2</v>
      </c>
      <c r="F141" s="861"/>
      <c r="G141" s="862">
        <v>43281</v>
      </c>
      <c r="H141" s="863"/>
      <c r="I141" s="526">
        <v>0.03</v>
      </c>
      <c r="J141" s="645">
        <f t="shared" ref="J141:M144" si="37">J140*(1-$I141)</f>
        <v>10.206331286004186</v>
      </c>
      <c r="K141" s="649">
        <f t="shared" si="37"/>
        <v>10.26748345991723</v>
      </c>
      <c r="L141" s="650">
        <f t="shared" si="37"/>
        <v>10.636505199047663</v>
      </c>
      <c r="M141" s="864">
        <f t="shared" si="37"/>
        <v>0</v>
      </c>
      <c r="N141" s="865"/>
      <c r="O141" s="651">
        <f>O140*(1-$I141)</f>
        <v>0</v>
      </c>
      <c r="P141" s="511"/>
      <c r="S141" s="236">
        <f>MIN(MAX($J$5-1,0),1)</f>
        <v>1</v>
      </c>
      <c r="U141" s="1"/>
      <c r="V141" s="30"/>
      <c r="W141" s="30"/>
      <c r="X141" s="30"/>
      <c r="Y141" s="177"/>
      <c r="Z141" s="177"/>
      <c r="AA141" s="177"/>
      <c r="AB141" s="177"/>
      <c r="AC141" s="177"/>
      <c r="AD141" s="177"/>
      <c r="AE141" s="177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</row>
    <row r="142" spans="1:46" ht="13.6" x14ac:dyDescent="0.25">
      <c r="A142" s="507"/>
      <c r="B142" s="508"/>
      <c r="C142" s="527"/>
      <c r="D142" s="527"/>
      <c r="E142" s="860" t="str">
        <f>VLOOKUP("y3",translation,VLOOKUP(J2,languages,2,FALSE),FALSE)</f>
        <v>Year 3</v>
      </c>
      <c r="F142" s="861"/>
      <c r="G142" s="866">
        <f>DATE(YEAR(G141)+1,MONTH(G141),DAY(G141))</f>
        <v>43646</v>
      </c>
      <c r="H142" s="867"/>
      <c r="I142" s="526">
        <v>0.01</v>
      </c>
      <c r="J142" s="646">
        <f t="shared" si="37"/>
        <v>10.104267973144145</v>
      </c>
      <c r="K142" s="652">
        <f t="shared" si="37"/>
        <v>10.164808625318058</v>
      </c>
      <c r="L142" s="653">
        <f t="shared" si="37"/>
        <v>10.530140147057187</v>
      </c>
      <c r="M142" s="864">
        <f t="shared" si="37"/>
        <v>0</v>
      </c>
      <c r="N142" s="865"/>
      <c r="O142" s="654">
        <f>O141*(1-$I142)</f>
        <v>0</v>
      </c>
      <c r="P142" s="511"/>
      <c r="S142" s="236">
        <f>MIN(MAX($J$5-2,0),1)</f>
        <v>1</v>
      </c>
      <c r="U142" s="1"/>
      <c r="V142" s="30"/>
      <c r="W142" s="30"/>
      <c r="X142" s="30"/>
      <c r="Y142" s="177"/>
      <c r="Z142" s="177"/>
      <c r="AA142" s="177"/>
      <c r="AB142" s="177"/>
      <c r="AC142" s="177"/>
      <c r="AD142" s="177"/>
      <c r="AE142" s="177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</row>
    <row r="143" spans="1:46" ht="13.6" x14ac:dyDescent="0.25">
      <c r="A143" s="507"/>
      <c r="B143" s="508"/>
      <c r="C143" s="527"/>
      <c r="D143" s="527"/>
      <c r="E143" s="860" t="str">
        <f>VLOOKUP("y4",translation,VLOOKUP(J2,languages,2,FALSE),FALSE)</f>
        <v>Year 4</v>
      </c>
      <c r="F143" s="861"/>
      <c r="G143" s="866">
        <f>DATE(YEAR(G142)+1,MONTH(G142),DAY(G142))</f>
        <v>44012</v>
      </c>
      <c r="H143" s="867"/>
      <c r="I143" s="526">
        <v>0.01</v>
      </c>
      <c r="J143" s="646">
        <f t="shared" si="37"/>
        <v>10.003225293412703</v>
      </c>
      <c r="K143" s="652">
        <f t="shared" si="37"/>
        <v>10.063160539064876</v>
      </c>
      <c r="L143" s="653">
        <f t="shared" si="37"/>
        <v>10.424838745586616</v>
      </c>
      <c r="M143" s="864">
        <f t="shared" si="37"/>
        <v>0</v>
      </c>
      <c r="N143" s="865"/>
      <c r="O143" s="654">
        <f>O142*(1-$I143)</f>
        <v>0</v>
      </c>
      <c r="P143" s="511"/>
      <c r="S143" s="236">
        <f>MIN(MAX($J$5-3,0),1)</f>
        <v>1</v>
      </c>
      <c r="U143" s="1"/>
      <c r="V143" s="30"/>
      <c r="W143" s="30"/>
      <c r="X143" s="30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</row>
    <row r="144" spans="1:46" ht="13.6" x14ac:dyDescent="0.25">
      <c r="A144" s="507"/>
      <c r="B144" s="508"/>
      <c r="C144" s="527"/>
      <c r="D144" s="527"/>
      <c r="E144" s="882" t="str">
        <f>VLOOKUP("y5",translation,VLOOKUP(J2,languages,2,FALSE),FALSE)</f>
        <v>Year 5</v>
      </c>
      <c r="F144" s="883"/>
      <c r="G144" s="884">
        <f>DATE(YEAR(G143)+1,MONTH(G143),DAY(G143))</f>
        <v>44377</v>
      </c>
      <c r="H144" s="885"/>
      <c r="I144" s="528"/>
      <c r="J144" s="646">
        <f t="shared" si="37"/>
        <v>10.003225293412703</v>
      </c>
      <c r="K144" s="652">
        <f t="shared" si="37"/>
        <v>10.063160539064876</v>
      </c>
      <c r="L144" s="653">
        <f t="shared" si="37"/>
        <v>10.424838745586616</v>
      </c>
      <c r="M144" s="864">
        <f t="shared" si="37"/>
        <v>0</v>
      </c>
      <c r="N144" s="865"/>
      <c r="O144" s="654">
        <f>O143*(1-$I144)</f>
        <v>0</v>
      </c>
      <c r="P144" s="511"/>
      <c r="S144" s="236">
        <f>MIN(MAX($J$5-4,0),1)</f>
        <v>1</v>
      </c>
      <c r="T144" s="2"/>
      <c r="U144" s="2"/>
      <c r="V144" s="2"/>
      <c r="W144" s="2"/>
      <c r="X144" s="2"/>
      <c r="Y144" s="47"/>
      <c r="Z144" s="47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</row>
    <row r="145" spans="1:46" ht="12.75" hidden="1" customHeight="1" x14ac:dyDescent="0.25">
      <c r="A145" s="507"/>
      <c r="B145" s="508"/>
      <c r="C145" s="527"/>
      <c r="D145" s="527"/>
      <c r="E145" s="529"/>
      <c r="F145" s="509"/>
      <c r="G145" s="509"/>
      <c r="H145" s="530" t="s">
        <v>136</v>
      </c>
      <c r="I145" s="531"/>
      <c r="J145" s="532"/>
      <c r="K145" s="533"/>
      <c r="L145" s="534"/>
      <c r="M145" s="886">
        <f>M144*(1-$I145)</f>
        <v>0</v>
      </c>
      <c r="N145" s="887"/>
      <c r="O145" s="535">
        <f>O144*(1-$I145)</f>
        <v>0</v>
      </c>
      <c r="P145" s="511"/>
      <c r="S145" s="32"/>
      <c r="T145" s="2"/>
      <c r="U145" s="2"/>
      <c r="V145" s="2"/>
      <c r="W145" s="2"/>
      <c r="X145" s="2"/>
      <c r="Y145" s="47"/>
      <c r="Z145" s="47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</row>
    <row r="146" spans="1:46" ht="3.75" customHeight="1" x14ac:dyDescent="0.2">
      <c r="A146" s="507"/>
      <c r="B146" s="508"/>
      <c r="C146" s="527"/>
      <c r="D146" s="527"/>
      <c r="E146" s="529"/>
      <c r="F146" s="509"/>
      <c r="G146" s="509"/>
      <c r="H146" s="536"/>
      <c r="I146" s="536"/>
      <c r="J146" s="536"/>
      <c r="K146" s="536"/>
      <c r="L146" s="537"/>
      <c r="M146" s="536"/>
      <c r="N146" s="538"/>
      <c r="O146" s="538"/>
      <c r="P146" s="511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</row>
    <row r="147" spans="1:46" x14ac:dyDescent="0.2">
      <c r="A147" s="507"/>
      <c r="B147" s="508" t="str">
        <f>VLOOKUP("tool_cbd",translation,VLOOKUP(J2,languages,2,FALSE),FALSE)</f>
        <v>Tooling acc. to breakdown (Section 4)</v>
      </c>
      <c r="C147" s="527"/>
      <c r="D147" s="527"/>
      <c r="E147" s="529"/>
      <c r="F147" s="509"/>
      <c r="G147" s="509"/>
      <c r="H147" s="509"/>
      <c r="I147" s="509" t="str">
        <f>LEFT($D$7,3)</f>
        <v>EUR</v>
      </c>
      <c r="J147" s="888">
        <f>O121</f>
        <v>85000</v>
      </c>
      <c r="K147" s="889"/>
      <c r="L147" s="889"/>
      <c r="M147" s="889"/>
      <c r="N147" s="889"/>
      <c r="O147" s="890"/>
      <c r="P147" s="511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</row>
    <row r="148" spans="1:46" ht="13.6" x14ac:dyDescent="0.25">
      <c r="A148" s="507"/>
      <c r="B148" s="508" t="str">
        <f>VLOOKUP("tool_neg",translation,VLOOKUP(J2,languages,2,FALSE),FALSE)</f>
        <v>Negotiated tooling amount</v>
      </c>
      <c r="C148" s="508"/>
      <c r="D148" s="508"/>
      <c r="E148" s="509"/>
      <c r="F148" s="509"/>
      <c r="G148" s="509"/>
      <c r="H148" s="509"/>
      <c r="I148" s="509" t="str">
        <f>LEFT($D$7,3)</f>
        <v>EUR</v>
      </c>
      <c r="J148" s="868">
        <f>$O$121</f>
        <v>85000</v>
      </c>
      <c r="K148" s="869"/>
      <c r="L148" s="869"/>
      <c r="M148" s="869"/>
      <c r="N148" s="869"/>
      <c r="O148" s="870"/>
      <c r="P148" s="511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</row>
    <row r="149" spans="1:46" ht="13.6" x14ac:dyDescent="0.25">
      <c r="A149" s="507"/>
      <c r="B149" s="508" t="str">
        <f>VLOOKUP("pay_add",translation,VLOOKUP(J2,languages,2,FALSE),FALSE)</f>
        <v>Additional (one time payment)</v>
      </c>
      <c r="C149" s="508"/>
      <c r="D149" s="508"/>
      <c r="E149" s="509"/>
      <c r="F149" s="509"/>
      <c r="G149" s="509"/>
      <c r="H149" s="509"/>
      <c r="I149" s="509" t="str">
        <f>LEFT($D$7,3)</f>
        <v>EUR</v>
      </c>
      <c r="J149" s="868"/>
      <c r="K149" s="869"/>
      <c r="L149" s="869"/>
      <c r="M149" s="869"/>
      <c r="N149" s="869"/>
      <c r="O149" s="870"/>
      <c r="P149" s="511"/>
      <c r="Y149" s="51" t="str">
        <f>VLOOKUP("pos_numb",translation,VLOOKUP(J2,languages,2,FALSE),FALSE)</f>
        <v>&lt;-- Enter as positive number</v>
      </c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</row>
    <row r="150" spans="1:46" ht="4.5999999999999996" customHeight="1" x14ac:dyDescent="0.2">
      <c r="A150" s="507"/>
      <c r="B150" s="508"/>
      <c r="C150" s="508"/>
      <c r="D150" s="508"/>
      <c r="E150" s="509"/>
      <c r="F150" s="509"/>
      <c r="G150" s="509"/>
      <c r="H150" s="509"/>
      <c r="I150" s="509"/>
      <c r="J150" s="509"/>
      <c r="K150" s="509"/>
      <c r="L150" s="509"/>
      <c r="M150" s="509"/>
      <c r="N150" s="509"/>
      <c r="O150" s="509"/>
      <c r="P150" s="511"/>
      <c r="Y150" s="51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</row>
    <row r="151" spans="1:46" ht="13.6" x14ac:dyDescent="0.25">
      <c r="A151" s="507"/>
      <c r="B151" s="539" t="str">
        <f>VLOOKUP("total",translation,VLOOKUP(J2,languages,2,FALSE),FALSE)&amp;" ["&amp;LEFT($D$7,3)&amp;"]"</f>
        <v>Total [EUR]</v>
      </c>
      <c r="C151" s="508"/>
      <c r="D151" s="508"/>
      <c r="E151" s="509"/>
      <c r="F151" s="509"/>
      <c r="G151" s="540" t="str">
        <f>VLOOKUP("lifetime2",translation,VLOOKUP(J2,languages,2,FALSE),FALSE)&amp;" "&amp;MIN(J5,5)&amp;" yrs"</f>
        <v>Lifetime 5 yrs</v>
      </c>
      <c r="H151" s="509"/>
      <c r="I151" s="509" t="str">
        <f>LEFT($D$7,3)</f>
        <v>EUR</v>
      </c>
      <c r="J151" s="541">
        <f>IF(J140=0,0,$J$4*SUMPRODUCT($S140:$S144,J140:J144)/PUC+$J$148-$J$149)</f>
        <v>491712.32689978322</v>
      </c>
      <c r="K151" s="541">
        <f>IF(K140=0,0,$J$4*SUMPRODUCT($S140:$S144,K140:K144)/PUC+$J$148-$J$149)</f>
        <v>494149.18126500054</v>
      </c>
      <c r="L151" s="541">
        <f>IF(L140=0,0,$J$4*SUMPRODUCT($S140:$S144,L140:L144)/PUC+$J$148-$J$149)</f>
        <v>508854.33691717446</v>
      </c>
      <c r="M151" s="871">
        <f>IF(M140=0,0,$J$4*SUMPRODUCT($S140:$S144,M140:M144)+$J$148-$J$149)/PUC</f>
        <v>0</v>
      </c>
      <c r="N151" s="872"/>
      <c r="O151" s="541">
        <f>IF(O140=0,0,$J$4*SUMPRODUCT($S140:$S144,O140:O144)+$J$148-$J$149)/PUC</f>
        <v>0</v>
      </c>
      <c r="P151" s="511"/>
      <c r="Y151" s="51" t="str">
        <f>VLOOKUP("max_lft",translation,VLOOKUP(J2,languages,2,FALSE),FALSE)</f>
        <v>&lt;-- Max lifetime limited to 5 years</v>
      </c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</row>
    <row r="152" spans="1:46" ht="12.75" customHeight="1" x14ac:dyDescent="0.2">
      <c r="A152" s="507"/>
      <c r="B152" s="508" t="str">
        <f>VLOOKUP("comments",translation,VLOOKUP(J2,languages,2,FALSE),FALSE)</f>
        <v>Additional comments/benefits if sourced</v>
      </c>
      <c r="C152" s="508"/>
      <c r="D152" s="508"/>
      <c r="E152" s="509"/>
      <c r="F152" s="509"/>
      <c r="G152" s="873"/>
      <c r="H152" s="874"/>
      <c r="I152" s="874"/>
      <c r="J152" s="874"/>
      <c r="K152" s="874"/>
      <c r="L152" s="874"/>
      <c r="M152" s="874"/>
      <c r="N152" s="874"/>
      <c r="O152" s="875"/>
      <c r="P152" s="511"/>
      <c r="R152"/>
      <c r="S152"/>
      <c r="T152"/>
      <c r="U152"/>
      <c r="V152"/>
      <c r="W152"/>
      <c r="X152"/>
      <c r="Y152" s="131"/>
      <c r="Z152" s="131"/>
      <c r="AA152" s="131"/>
      <c r="AB152" s="131"/>
      <c r="AC152" s="131"/>
      <c r="AD152" s="131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</row>
    <row r="153" spans="1:46" x14ac:dyDescent="0.2">
      <c r="A153" s="507"/>
      <c r="B153" s="508"/>
      <c r="C153" s="508"/>
      <c r="D153" s="508"/>
      <c r="E153" s="508"/>
      <c r="F153" s="508"/>
      <c r="G153" s="876"/>
      <c r="H153" s="877"/>
      <c r="I153" s="877"/>
      <c r="J153" s="877"/>
      <c r="K153" s="877"/>
      <c r="L153" s="877"/>
      <c r="M153" s="877"/>
      <c r="N153" s="877"/>
      <c r="O153" s="878"/>
      <c r="P153" s="511"/>
      <c r="R153"/>
      <c r="S153"/>
      <c r="T153"/>
      <c r="U153"/>
      <c r="V153"/>
      <c r="W153"/>
      <c r="X153"/>
      <c r="Y153" s="131"/>
      <c r="Z153" s="131"/>
      <c r="AA153" s="131"/>
      <c r="AB153" s="131"/>
      <c r="AC153" s="131"/>
      <c r="AD153" s="131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</row>
    <row r="154" spans="1:46" ht="3.75" customHeight="1" thickBot="1" x14ac:dyDescent="0.25">
      <c r="A154" s="542"/>
      <c r="B154" s="543"/>
      <c r="C154" s="543"/>
      <c r="D154" s="543"/>
      <c r="E154" s="543"/>
      <c r="F154" s="543"/>
      <c r="G154" s="543"/>
      <c r="H154" s="543"/>
      <c r="I154" s="543"/>
      <c r="J154" s="543"/>
      <c r="K154" s="543"/>
      <c r="L154" s="543"/>
      <c r="M154" s="543"/>
      <c r="N154" s="543"/>
      <c r="O154" s="543"/>
      <c r="P154" s="544"/>
      <c r="R154"/>
      <c r="S154"/>
      <c r="T154"/>
      <c r="U154"/>
      <c r="V154"/>
      <c r="W154"/>
      <c r="X154"/>
      <c r="Y154" s="131"/>
      <c r="Z154" s="131"/>
      <c r="AA154" s="131"/>
      <c r="AB154" s="131"/>
      <c r="AC154" s="131"/>
      <c r="AD154" s="131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</row>
    <row r="155" spans="1:46" ht="3.75" customHeight="1" thickBot="1" x14ac:dyDescent="0.25">
      <c r="A155" s="377"/>
      <c r="B155" s="377"/>
      <c r="C155" s="377"/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R155"/>
      <c r="S155"/>
      <c r="T155"/>
      <c r="U155"/>
      <c r="V155"/>
      <c r="W155"/>
      <c r="X155"/>
      <c r="Y155" s="131"/>
      <c r="Z155" s="131"/>
      <c r="AA155" s="131"/>
      <c r="AB155" s="131"/>
      <c r="AC155" s="131"/>
      <c r="AD155" s="131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</row>
    <row r="156" spans="1:46" ht="13.6" x14ac:dyDescent="0.25">
      <c r="A156" s="545"/>
      <c r="B156" s="546"/>
      <c r="C156" s="546"/>
      <c r="D156" s="546"/>
      <c r="E156" s="546"/>
      <c r="F156" s="547" t="str">
        <f>VLOOKUP("price_view",translation,VLOOKUP(J2,languages,2,FALSE),FALSE)&amp;": "&amp; N7&amp;" ("&amp;N8&amp;")"</f>
        <v>Pricing Overview: Housing ()</v>
      </c>
      <c r="G156" s="547"/>
      <c r="H156" s="548"/>
      <c r="I156" s="548"/>
      <c r="J156" s="548"/>
      <c r="K156" s="548"/>
      <c r="L156" s="549" t="str">
        <f>LEFT($D$7,3)</f>
        <v>EUR</v>
      </c>
      <c r="M156" s="548"/>
      <c r="N156" s="548"/>
      <c r="O156" s="548"/>
      <c r="P156" s="550"/>
      <c r="R156"/>
      <c r="S156"/>
      <c r="T156"/>
      <c r="U156"/>
      <c r="V156"/>
      <c r="W156"/>
      <c r="X156"/>
      <c r="Y156" s="131"/>
      <c r="Z156" s="131"/>
      <c r="AA156" s="131"/>
      <c r="AB156" s="131"/>
      <c r="AC156" s="131"/>
      <c r="AD156" s="131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</row>
    <row r="157" spans="1:46" ht="13.6" x14ac:dyDescent="0.25">
      <c r="A157" s="551"/>
      <c r="B157" s="552"/>
      <c r="C157" s="552"/>
      <c r="D157" s="552"/>
      <c r="E157" s="552"/>
      <c r="F157" s="182" t="str">
        <f>VLOOKUP("dmat",translation,VLOOKUP(J2,languages,2,FALSE),FALSE)</f>
        <v>Direct Material</v>
      </c>
      <c r="G157" s="182"/>
      <c r="H157" s="183"/>
      <c r="I157" s="183"/>
      <c r="J157" s="183"/>
      <c r="K157" s="183"/>
      <c r="L157" s="138">
        <f>SUM(L158:L160)</f>
        <v>4.9586591016000012</v>
      </c>
      <c r="M157" s="139">
        <f t="shared" ref="M157:M171" si="38">IF(AND(ISNUMBER($L$171),$L$171&gt;0),L157/$L$171,0)</f>
        <v>0.47126623761052006</v>
      </c>
      <c r="N157" s="553"/>
      <c r="O157" s="553"/>
      <c r="P157" s="554"/>
      <c r="R157"/>
      <c r="S157"/>
      <c r="T157"/>
      <c r="U157"/>
      <c r="V157"/>
      <c r="W157"/>
      <c r="X157"/>
      <c r="Y157" s="131"/>
      <c r="Z157" s="131"/>
      <c r="AA157" s="131"/>
      <c r="AB157" s="131"/>
      <c r="AC157" s="131"/>
      <c r="AD157" s="131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</row>
    <row r="158" spans="1:46" x14ac:dyDescent="0.2">
      <c r="A158" s="551"/>
      <c r="B158" s="552"/>
      <c r="C158" s="552"/>
      <c r="D158" s="552"/>
      <c r="E158" s="552"/>
      <c r="F158" s="555" t="str">
        <f>VLOOKUP("mat",translation,VLOOKUP(J2,languages,2,FALSE),FALSE)</f>
        <v>Material</v>
      </c>
      <c r="G158" s="555"/>
      <c r="H158" s="556"/>
      <c r="I158" s="556"/>
      <c r="J158" s="556"/>
      <c r="K158" s="556"/>
      <c r="L158" s="557">
        <f>(S12+U12)/PUC</f>
        <v>4.7466000000000008</v>
      </c>
      <c r="M158" s="558">
        <f t="shared" si="38"/>
        <v>0.45111234259284216</v>
      </c>
      <c r="N158" s="553"/>
      <c r="O158" s="553"/>
      <c r="P158" s="554"/>
      <c r="R158"/>
      <c r="S158"/>
      <c r="T158"/>
      <c r="U158"/>
      <c r="V158"/>
      <c r="W158"/>
      <c r="X158"/>
      <c r="Y158" s="131"/>
      <c r="Z158" s="131"/>
      <c r="AA158" s="131"/>
      <c r="AB158" s="131"/>
      <c r="AC158" s="131"/>
      <c r="AD158" s="131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</row>
    <row r="159" spans="1:46" x14ac:dyDescent="0.2">
      <c r="A159" s="551"/>
      <c r="B159" s="552"/>
      <c r="C159" s="552"/>
      <c r="D159" s="552"/>
      <c r="E159" s="552"/>
      <c r="F159" s="559" t="str">
        <f>VLOOKUP("purch_parts",translation,VLOOKUP(J2,languages,2,FALSE),FALSE)</f>
        <v>Purchased Parts</v>
      </c>
      <c r="G159" s="559"/>
      <c r="H159" s="560"/>
      <c r="I159" s="560"/>
      <c r="J159" s="560"/>
      <c r="K159" s="560"/>
      <c r="L159" s="561">
        <f>(S35+U35)/PUC</f>
        <v>0</v>
      </c>
      <c r="M159" s="562">
        <f t="shared" si="38"/>
        <v>0</v>
      </c>
      <c r="N159" s="553"/>
      <c r="O159" s="553"/>
      <c r="P159" s="554"/>
      <c r="R159"/>
      <c r="S159"/>
      <c r="T159"/>
      <c r="U159"/>
      <c r="V159"/>
      <c r="W159"/>
      <c r="X159"/>
      <c r="Y159" s="131"/>
      <c r="Z159" s="131"/>
      <c r="AA159" s="131"/>
      <c r="AB159" s="131"/>
      <c r="AC159" s="131"/>
      <c r="AD159" s="131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</row>
    <row r="160" spans="1:46" x14ac:dyDescent="0.2">
      <c r="A160" s="551"/>
      <c r="B160" s="552"/>
      <c r="C160" s="552"/>
      <c r="D160" s="552"/>
      <c r="E160" s="552"/>
      <c r="F160" s="559" t="str">
        <f>VLOOKUP("moh2",translation,VLOOKUP(J2,languages,2,FALSE),FALSE)</f>
        <v>Material OH</v>
      </c>
      <c r="G160" s="559"/>
      <c r="H160" s="560"/>
      <c r="I160" s="560"/>
      <c r="J160" s="560"/>
      <c r="K160" s="560"/>
      <c r="L160" s="561">
        <f>O62/PUC</f>
        <v>0.21205910160000002</v>
      </c>
      <c r="M160" s="562">
        <f t="shared" si="38"/>
        <v>2.0153895017677816E-2</v>
      </c>
      <c r="N160" s="553"/>
      <c r="O160" s="553"/>
      <c r="P160" s="554"/>
      <c r="R160"/>
      <c r="S160"/>
      <c r="T160"/>
      <c r="U160"/>
      <c r="V160"/>
      <c r="W160"/>
      <c r="X160"/>
      <c r="Y160" s="131"/>
      <c r="Z160" s="131"/>
      <c r="AA160" s="131"/>
      <c r="AB160" s="131"/>
      <c r="AC160" s="131"/>
      <c r="AD160" s="131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</row>
    <row r="161" spans="1:70" ht="13.6" x14ac:dyDescent="0.25">
      <c r="A161" s="551"/>
      <c r="B161" s="552"/>
      <c r="C161" s="552"/>
      <c r="D161" s="552"/>
      <c r="E161" s="552"/>
      <c r="F161" s="184" t="str">
        <f>VLOOKUP("mc2",translation,VLOOKUP(J2,languages,2,FALSE),FALSE)</f>
        <v>Production Cost</v>
      </c>
      <c r="G161" s="185"/>
      <c r="H161" s="186"/>
      <c r="I161" s="186"/>
      <c r="J161" s="186"/>
      <c r="K161" s="186"/>
      <c r="L161" s="107">
        <f>SUM(L162:L166)</f>
        <v>4.2309979707999998</v>
      </c>
      <c r="M161" s="126">
        <f t="shared" si="38"/>
        <v>0.40211001687800729</v>
      </c>
      <c r="N161" s="553"/>
      <c r="O161" s="553"/>
      <c r="P161" s="554"/>
      <c r="R161"/>
      <c r="S161"/>
      <c r="T161"/>
      <c r="U161"/>
      <c r="V161"/>
      <c r="W161"/>
      <c r="X161"/>
      <c r="Y161" s="131"/>
      <c r="Z161" s="131"/>
      <c r="AA161" s="131"/>
      <c r="AB161" s="131"/>
      <c r="AC161" s="131"/>
      <c r="AD161" s="131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</row>
    <row r="162" spans="1:70" x14ac:dyDescent="0.2">
      <c r="A162" s="551"/>
      <c r="B162" s="552"/>
      <c r="C162" s="552"/>
      <c r="D162" s="552"/>
      <c r="E162" s="552"/>
      <c r="F162" s="563" t="str">
        <f>VLOOKUP("mach_cost2",translation,VLOOKUP(J2,languages,2,FALSE),FALSE)</f>
        <v>Machine Cost</v>
      </c>
      <c r="G162" s="563"/>
      <c r="H162" s="564"/>
      <c r="I162" s="564"/>
      <c r="J162" s="564"/>
      <c r="K162" s="564"/>
      <c r="L162" s="565">
        <f>S64/PUC</f>
        <v>1.4198010000000001</v>
      </c>
      <c r="M162" s="566">
        <f t="shared" si="38"/>
        <v>0.13493653459858843</v>
      </c>
      <c r="N162" s="553"/>
      <c r="O162" s="553"/>
      <c r="P162" s="554"/>
      <c r="R162"/>
      <c r="S162"/>
      <c r="T162"/>
      <c r="U162"/>
      <c r="V162"/>
      <c r="W162"/>
      <c r="X162"/>
      <c r="Y162" s="131"/>
      <c r="Z162" s="131"/>
      <c r="AA162" s="131"/>
      <c r="AB162" s="131"/>
      <c r="AC162" s="131"/>
      <c r="AD162" s="131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</row>
    <row r="163" spans="1:70" x14ac:dyDescent="0.2">
      <c r="A163" s="551"/>
      <c r="B163" s="552"/>
      <c r="C163" s="552"/>
      <c r="D163" s="552"/>
      <c r="E163" s="552"/>
      <c r="F163" s="567" t="str">
        <f>VLOOKUP("dl",translation,VLOOKUP(J2,languages,2,FALSE),FALSE)</f>
        <v>Direct Labour</v>
      </c>
      <c r="G163" s="567"/>
      <c r="H163" s="568"/>
      <c r="I163" s="568"/>
      <c r="J163" s="568"/>
      <c r="K163" s="568"/>
      <c r="L163" s="569">
        <f>T64/PUC</f>
        <v>2.0059110000000002</v>
      </c>
      <c r="M163" s="570">
        <f t="shared" si="38"/>
        <v>0.19063987069539262</v>
      </c>
      <c r="N163" s="553"/>
      <c r="O163" s="553"/>
      <c r="P163" s="554"/>
      <c r="R163"/>
      <c r="S163"/>
      <c r="T163"/>
      <c r="U163"/>
      <c r="V163"/>
      <c r="W163"/>
      <c r="X163"/>
      <c r="Y163" s="131"/>
      <c r="Z163" s="131"/>
      <c r="AA163" s="131"/>
      <c r="AB163" s="131"/>
      <c r="AC163" s="131"/>
      <c r="AD163" s="131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</row>
    <row r="164" spans="1:70" x14ac:dyDescent="0.2">
      <c r="A164" s="551"/>
      <c r="B164" s="552"/>
      <c r="C164" s="552"/>
      <c r="D164" s="552"/>
      <c r="E164" s="552"/>
      <c r="F164" s="567" t="str">
        <f>VLOOKUP("poh2",translation,VLOOKUP(J2,languages,2,FALSE),FALSE)</f>
        <v>Production OH</v>
      </c>
      <c r="G164" s="567"/>
      <c r="H164" s="568"/>
      <c r="I164" s="568"/>
      <c r="J164" s="568"/>
      <c r="K164" s="568"/>
      <c r="L164" s="569">
        <f>O91/PUC</f>
        <v>0.44691697080000004</v>
      </c>
      <c r="M164" s="570">
        <f t="shared" si="38"/>
        <v>4.2474563190933477E-2</v>
      </c>
      <c r="N164" s="553"/>
      <c r="O164" s="553"/>
      <c r="P164" s="554"/>
      <c r="R164"/>
      <c r="S164"/>
      <c r="T164"/>
      <c r="U164"/>
      <c r="V164"/>
      <c r="W164"/>
      <c r="X164"/>
      <c r="Y164" s="131"/>
      <c r="Z164" s="131"/>
      <c r="AA164" s="131"/>
      <c r="AB164" s="131"/>
      <c r="AC164" s="131"/>
      <c r="AD164" s="131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</row>
    <row r="165" spans="1:70" x14ac:dyDescent="0.2">
      <c r="A165" s="551"/>
      <c r="B165" s="552"/>
      <c r="C165" s="552"/>
      <c r="D165" s="552"/>
      <c r="E165" s="552"/>
      <c r="F165" s="567" t="str">
        <f>VLOOKUP("setup_cost2",translation,VLOOKUP(J2,languages,2,FALSE),FALSE)</f>
        <v>Setup Costs</v>
      </c>
      <c r="G165" s="567"/>
      <c r="H165" s="568"/>
      <c r="I165" s="568"/>
      <c r="J165" s="568"/>
      <c r="K165" s="568"/>
      <c r="L165" s="569">
        <f>U64/PUC</f>
        <v>0.35836899999999999</v>
      </c>
      <c r="M165" s="570">
        <f t="shared" si="38"/>
        <v>3.4059048393092789E-2</v>
      </c>
      <c r="N165" s="553"/>
      <c r="O165" s="553"/>
      <c r="P165" s="554"/>
      <c r="R165"/>
      <c r="S165"/>
      <c r="T165"/>
      <c r="U165"/>
      <c r="V165"/>
      <c r="W165"/>
      <c r="X165"/>
      <c r="Y165" s="131"/>
      <c r="Z165" s="131"/>
      <c r="AA165" s="131"/>
      <c r="AB165" s="131"/>
      <c r="AC165" s="131"/>
      <c r="AD165" s="131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</row>
    <row r="166" spans="1:70" x14ac:dyDescent="0.2">
      <c r="A166" s="551"/>
      <c r="B166" s="552"/>
      <c r="C166" s="552"/>
      <c r="D166" s="552"/>
      <c r="E166" s="552"/>
      <c r="F166" s="567" t="str">
        <f>VLOOKUP("tool_cost2",translation,VLOOKUP(J2,languages,2,FALSE),FALSE)</f>
        <v>Tooling Costs</v>
      </c>
      <c r="G166" s="567"/>
      <c r="H166" s="568"/>
      <c r="I166" s="568"/>
      <c r="J166" s="568"/>
      <c r="K166" s="568"/>
      <c r="L166" s="569">
        <f>V64/PUC</f>
        <v>0</v>
      </c>
      <c r="M166" s="570">
        <f t="shared" si="38"/>
        <v>0</v>
      </c>
      <c r="N166" s="553"/>
      <c r="O166" s="553"/>
      <c r="P166" s="554"/>
      <c r="R166"/>
      <c r="S166"/>
      <c r="T166"/>
      <c r="U166"/>
      <c r="V166"/>
      <c r="W166"/>
      <c r="X166"/>
      <c r="Y166" s="131"/>
      <c r="Z166" s="131"/>
      <c r="AA166" s="131"/>
      <c r="AB166" s="131"/>
      <c r="AC166" s="131"/>
      <c r="AD166" s="131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</row>
    <row r="167" spans="1:70" ht="13.6" x14ac:dyDescent="0.25">
      <c r="A167" s="551"/>
      <c r="B167" s="552"/>
      <c r="C167" s="552"/>
      <c r="D167" s="552"/>
      <c r="E167" s="552"/>
      <c r="F167" s="187" t="str">
        <f>VLOOKUP("scrap_cost2",translation,VLOOKUP(J2,languages,2,FALSE),FALSE)</f>
        <v>Scrap Costs</v>
      </c>
      <c r="G167" s="187"/>
      <c r="H167" s="188"/>
      <c r="I167" s="188"/>
      <c r="J167" s="188"/>
      <c r="K167" s="188"/>
      <c r="L167" s="142">
        <f>(O92)/PUC</f>
        <v>0.10461500000000001</v>
      </c>
      <c r="M167" s="143">
        <f t="shared" si="38"/>
        <v>9.9425099482472051E-3</v>
      </c>
      <c r="N167" s="553"/>
      <c r="O167" s="553"/>
      <c r="P167" s="554"/>
      <c r="R167"/>
      <c r="S167"/>
      <c r="T167"/>
      <c r="U167"/>
      <c r="V167"/>
      <c r="W167"/>
      <c r="X167" s="128"/>
      <c r="Y167" s="35"/>
      <c r="Z167" s="35"/>
      <c r="AA167" s="131"/>
      <c r="AB167" s="131"/>
      <c r="AC167" s="131"/>
      <c r="AD167" s="131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</row>
    <row r="168" spans="1:70" ht="13.6" x14ac:dyDescent="0.25">
      <c r="A168" s="551"/>
      <c r="B168" s="552"/>
      <c r="C168" s="552"/>
      <c r="D168" s="552"/>
      <c r="E168" s="552"/>
      <c r="F168" s="189" t="str">
        <f>VLOOKUP("ohs",translation,VLOOKUP(J2,languages,2,FALSE),FALSE)</f>
        <v>Overheads (SG&amp;A;Eng)</v>
      </c>
      <c r="G168" s="189"/>
      <c r="H168" s="190"/>
      <c r="I168" s="190"/>
      <c r="J168" s="190"/>
      <c r="K168" s="190"/>
      <c r="L168" s="74">
        <f>(O97+O98)/PUC</f>
        <v>0.59191661611492008</v>
      </c>
      <c r="M168" s="127">
        <f t="shared" si="38"/>
        <v>5.6255191361233227E-2</v>
      </c>
      <c r="N168" s="553"/>
      <c r="O168" s="553"/>
      <c r="P168" s="554"/>
      <c r="R168"/>
      <c r="S168"/>
      <c r="T168"/>
      <c r="U168"/>
      <c r="V168"/>
      <c r="W168"/>
      <c r="X168" s="128"/>
      <c r="Y168" s="129" t="str">
        <f>"&lt;- "&amp;TEXT(IF($L$171&gt;0,SUM(L160,L162,L164:L166,L168:L170)/$L$171,0),"0%")&amp; " " &amp; VLOOKUP("contr",translation,VLOOKUP(J2,languages,2,FALSE),FALSE)</f>
        <v>&lt;- 35% Contribution Margin</v>
      </c>
      <c r="Z168" s="130"/>
      <c r="AA168" s="129"/>
      <c r="AB168"/>
      <c r="AC168"/>
      <c r="AD168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</row>
    <row r="169" spans="1:70" ht="13.6" x14ac:dyDescent="0.25">
      <c r="A169" s="551"/>
      <c r="B169" s="552"/>
      <c r="C169" s="552"/>
      <c r="D169" s="552"/>
      <c r="E169" s="552"/>
      <c r="F169" s="571" t="str">
        <f>VLOOKUP("special_cost",translation,VLOOKUP(J2,languages,2,FALSE),FALSE)</f>
        <v>Special Costs</v>
      </c>
      <c r="G169" s="571"/>
      <c r="H169" s="572"/>
      <c r="I169" s="572"/>
      <c r="J169" s="572"/>
      <c r="K169" s="572"/>
      <c r="L169" s="573">
        <f>(O99+O100)/PUC</f>
        <v>0</v>
      </c>
      <c r="M169" s="574">
        <f t="shared" si="38"/>
        <v>0</v>
      </c>
      <c r="N169" s="553"/>
      <c r="O169" s="553"/>
      <c r="P169" s="554"/>
      <c r="R169"/>
      <c r="S169"/>
      <c r="T169"/>
      <c r="U169"/>
      <c r="V169"/>
      <c r="W169"/>
      <c r="X169"/>
      <c r="Y169" s="129" t="str">
        <f>"&lt;- "&amp;TEXT(IF($L$171&gt;0,SUM(L168:L170)/$L$171,0),"0%")&amp;" "&amp; VLOOKUP("gross_margin",translation,VLOOKUP(J2,languages,2,FALSE),FALSE)</f>
        <v>&lt;- 12% Gross Margin</v>
      </c>
      <c r="Z169" s="130"/>
      <c r="AA169" s="129"/>
      <c r="AB169"/>
      <c r="AC169"/>
      <c r="AD169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</row>
    <row r="170" spans="1:70" ht="13.6" x14ac:dyDescent="0.25">
      <c r="A170" s="551"/>
      <c r="B170" s="552"/>
      <c r="C170" s="552"/>
      <c r="D170" s="552"/>
      <c r="E170" s="552"/>
      <c r="F170" s="191" t="str">
        <f>VLOOKUP("profit3",translation,VLOOKUP(J2,languages,2,FALSE),FALSE)</f>
        <v>Profit</v>
      </c>
      <c r="G170" s="191"/>
      <c r="H170" s="192"/>
      <c r="I170" s="192"/>
      <c r="J170" s="192"/>
      <c r="K170" s="192"/>
      <c r="L170" s="140">
        <f>(O101+O102+O103)/PUC</f>
        <v>0.63580229208680328</v>
      </c>
      <c r="M170" s="141">
        <f t="shared" si="38"/>
        <v>6.042604420199222E-2</v>
      </c>
      <c r="N170" s="553"/>
      <c r="O170" s="553"/>
      <c r="P170" s="554"/>
      <c r="R170"/>
      <c r="S170"/>
      <c r="T170"/>
      <c r="U170"/>
      <c r="V170"/>
      <c r="W170"/>
      <c r="X170"/>
      <c r="Y170" s="131"/>
      <c r="Z170" s="131"/>
      <c r="AA170" s="131"/>
      <c r="AB170" s="131"/>
      <c r="AC170" s="131"/>
      <c r="AD170" s="131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</row>
    <row r="171" spans="1:70" ht="13.6" x14ac:dyDescent="0.25">
      <c r="A171" s="575"/>
      <c r="B171" s="552"/>
      <c r="C171" s="552"/>
      <c r="D171" s="552"/>
      <c r="E171" s="552"/>
      <c r="F171" s="193" t="str">
        <f>VLOOKUP("price2",translation,VLOOKUP(J2,languages,2,FALSE),FALSE)</f>
        <v>Pricing acc. to breakdown</v>
      </c>
      <c r="G171" s="193"/>
      <c r="H171" s="194"/>
      <c r="I171" s="194"/>
      <c r="J171" s="194"/>
      <c r="K171" s="194"/>
      <c r="L171" s="136">
        <f>SUM(L157,L161,L167,L168,L169,L170)</f>
        <v>10.521990980601725</v>
      </c>
      <c r="M171" s="137">
        <f t="shared" si="38"/>
        <v>1</v>
      </c>
      <c r="N171" s="576"/>
      <c r="O171" s="577"/>
      <c r="P171" s="554"/>
      <c r="R171"/>
      <c r="S171"/>
      <c r="T171"/>
      <c r="U171"/>
      <c r="V171"/>
      <c r="W171"/>
      <c r="X171"/>
      <c r="Y171" s="35"/>
      <c r="Z171" s="35"/>
      <c r="AA171" s="131"/>
      <c r="AB171" s="131"/>
      <c r="AC171" s="131"/>
      <c r="AD171" s="131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</row>
    <row r="172" spans="1:70" x14ac:dyDescent="0.2">
      <c r="A172" s="551"/>
      <c r="B172" s="552"/>
      <c r="C172" s="552"/>
      <c r="D172" s="552"/>
      <c r="E172" s="552"/>
      <c r="F172" s="578" t="str">
        <f>VLOOKUP("pack",translation,VLOOKUP(J2,languages,2,FALSE),FALSE)&amp;" ("&amp;$K$112&amp;")"</f>
        <v>Packaging (returnable)</v>
      </c>
      <c r="G172" s="578"/>
      <c r="H172" s="579"/>
      <c r="I172" s="579"/>
      <c r="J172" s="579"/>
      <c r="K172" s="579"/>
      <c r="L172" s="580">
        <f>IF(K112="none",0,VLOOKUP(K112,B$108:O$109,14,0)/PUC)</f>
        <v>6.3043478260869562E-2</v>
      </c>
      <c r="M172" s="581"/>
      <c r="N172" s="553"/>
      <c r="O172" s="553"/>
      <c r="P172" s="554"/>
      <c r="R172"/>
      <c r="S172"/>
      <c r="T172"/>
      <c r="U172"/>
      <c r="V172"/>
      <c r="W172"/>
      <c r="X172"/>
      <c r="Y172" s="131"/>
      <c r="Z172" s="131"/>
      <c r="AA172" s="131"/>
      <c r="AB172" s="131"/>
      <c r="AC172" s="131"/>
      <c r="AD172" s="131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</row>
    <row r="173" spans="1:70" x14ac:dyDescent="0.2">
      <c r="A173" s="551"/>
      <c r="B173" s="552"/>
      <c r="C173" s="552"/>
      <c r="D173" s="552"/>
      <c r="E173" s="552"/>
      <c r="F173" s="578" t="str">
        <f>VLOOKUP("logi",translation,VLOOKUP(J2,languages,2,FALSE),FALSE)&amp;" ("&amp;$C$112&amp;" "&amp;$D$112&amp;")"</f>
        <v>Logistics (DDP Hamburg)</v>
      </c>
      <c r="G173" s="578"/>
      <c r="H173" s="579"/>
      <c r="I173" s="579"/>
      <c r="J173" s="579"/>
      <c r="K173" s="579"/>
      <c r="L173" s="582">
        <f>O112/PUC</f>
        <v>0.38043478260869568</v>
      </c>
      <c r="M173" s="581"/>
      <c r="N173" s="553"/>
      <c r="O173" s="553"/>
      <c r="P173" s="554"/>
      <c r="R173"/>
      <c r="S173"/>
      <c r="T173"/>
      <c r="U173"/>
      <c r="V173"/>
      <c r="W173"/>
      <c r="X173"/>
      <c r="Y173" s="131"/>
      <c r="Z173" s="131"/>
      <c r="AA173" s="131"/>
      <c r="AB173" s="131"/>
      <c r="AC173" s="131"/>
      <c r="AD173" s="131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</row>
    <row r="174" spans="1:70" ht="13.6" x14ac:dyDescent="0.25">
      <c r="A174" s="575"/>
      <c r="B174" s="552"/>
      <c r="C174" s="552"/>
      <c r="D174" s="552"/>
      <c r="E174" s="552"/>
      <c r="F174" s="879" t="str">
        <f>VLOOKUP("final",translation,VLOOKUP(J2,languages,2,FALSE),FALSE)&amp;" ("&amp;J117&amp;")"</f>
        <v>Final Price (DDP Hamburg, returnable packaging)</v>
      </c>
      <c r="G174" s="880"/>
      <c r="H174" s="880"/>
      <c r="I174" s="880"/>
      <c r="J174" s="880"/>
      <c r="K174" s="881"/>
      <c r="L174" s="583">
        <f>SUM(L171:L173)</f>
        <v>10.96546924147129</v>
      </c>
      <c r="M174" s="581"/>
      <c r="N174" s="553"/>
      <c r="O174" s="584"/>
      <c r="P174" s="585"/>
      <c r="R174"/>
      <c r="S174"/>
      <c r="T174"/>
      <c r="U174"/>
      <c r="V174"/>
      <c r="W174"/>
      <c r="X174"/>
      <c r="Y174" s="131"/>
      <c r="Z174" s="131"/>
      <c r="AA174" s="131"/>
      <c r="AB174" s="131"/>
      <c r="AC174" s="131"/>
      <c r="AD174" s="131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</row>
    <row r="175" spans="1:70" ht="5.95" customHeight="1" thickBot="1" x14ac:dyDescent="0.25">
      <c r="A175" s="542"/>
      <c r="B175" s="543"/>
      <c r="C175" s="543"/>
      <c r="D175" s="543"/>
      <c r="E175" s="543"/>
      <c r="F175" s="586"/>
      <c r="G175" s="586"/>
      <c r="H175" s="586"/>
      <c r="I175" s="587"/>
      <c r="J175" s="586"/>
      <c r="K175" s="586"/>
      <c r="L175" s="586"/>
      <c r="M175" s="586"/>
      <c r="N175" s="586"/>
      <c r="O175" s="588"/>
      <c r="P175" s="589"/>
      <c r="R175"/>
      <c r="S175"/>
      <c r="T175"/>
      <c r="U175"/>
      <c r="V175"/>
      <c r="W175"/>
      <c r="X175"/>
      <c r="Y175" s="131"/>
      <c r="Z175" s="131"/>
      <c r="AA175" s="131"/>
      <c r="AB175" s="131"/>
      <c r="AC175" s="131"/>
      <c r="AD175" s="131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</row>
    <row r="176" spans="1:70" ht="14.3" thickBot="1" x14ac:dyDescent="0.3">
      <c r="O176" s="28"/>
      <c r="S176" s="291" t="s">
        <v>791</v>
      </c>
      <c r="T176" s="1"/>
      <c r="V176" s="79"/>
      <c r="W176" s="7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</row>
    <row r="177" spans="5:70" x14ac:dyDescent="0.2">
      <c r="O177" s="28"/>
      <c r="R177" s="1"/>
      <c r="S177" s="292" t="s">
        <v>81</v>
      </c>
      <c r="T177" s="1"/>
      <c r="U177" s="1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</row>
    <row r="178" spans="5:70" x14ac:dyDescent="0.2">
      <c r="O178" s="28"/>
      <c r="S178" s="293" t="s">
        <v>82</v>
      </c>
      <c r="T178" s="1"/>
      <c r="V178" s="79"/>
      <c r="W178" s="7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</row>
    <row r="179" spans="5:70" x14ac:dyDescent="0.2">
      <c r="S179" s="293" t="s">
        <v>83</v>
      </c>
      <c r="T179" s="1"/>
      <c r="V179" s="79"/>
      <c r="W179" s="7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</row>
    <row r="180" spans="5:70" x14ac:dyDescent="0.2">
      <c r="S180" s="293" t="s">
        <v>84</v>
      </c>
      <c r="T180" s="1"/>
      <c r="V180" s="79"/>
      <c r="W180" s="7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</row>
    <row r="181" spans="5:70" ht="13.6" x14ac:dyDescent="0.25">
      <c r="E181" s="29"/>
      <c r="S181" s="293" t="s">
        <v>85</v>
      </c>
      <c r="T181" s="1"/>
      <c r="V181" s="79"/>
      <c r="W181" s="7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</row>
    <row r="182" spans="5:70" x14ac:dyDescent="0.2">
      <c r="F182" s="7"/>
      <c r="G182" s="7"/>
      <c r="S182" s="293" t="s">
        <v>86</v>
      </c>
      <c r="T182" s="1"/>
      <c r="V182" s="79"/>
      <c r="W182" s="7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</row>
    <row r="183" spans="5:70" x14ac:dyDescent="0.2">
      <c r="F183" s="30"/>
      <c r="G183" s="30"/>
      <c r="H183" s="7"/>
      <c r="I183" s="7"/>
      <c r="S183" s="293" t="s">
        <v>87</v>
      </c>
      <c r="T183" s="1"/>
      <c r="V183" s="79"/>
      <c r="W183" s="7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</row>
    <row r="184" spans="5:70" x14ac:dyDescent="0.2">
      <c r="F184" s="30"/>
      <c r="G184" s="30"/>
      <c r="H184" s="30"/>
      <c r="I184" s="30"/>
      <c r="S184" s="293" t="s">
        <v>88</v>
      </c>
      <c r="T184" s="1"/>
      <c r="V184" s="79"/>
      <c r="W184" s="7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</row>
    <row r="185" spans="5:70" x14ac:dyDescent="0.2">
      <c r="F185" s="30"/>
      <c r="G185" s="30"/>
      <c r="H185" s="30"/>
      <c r="I185" s="30"/>
      <c r="S185" s="293" t="s">
        <v>89</v>
      </c>
      <c r="V185" s="79"/>
      <c r="W185" s="7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</row>
    <row r="186" spans="5:70" x14ac:dyDescent="0.2">
      <c r="H186" s="30"/>
      <c r="I186" s="30"/>
      <c r="S186" s="293" t="s">
        <v>90</v>
      </c>
      <c r="V186" s="79"/>
      <c r="W186" s="7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</row>
    <row r="187" spans="5:70" x14ac:dyDescent="0.2">
      <c r="S187" s="293" t="s">
        <v>99</v>
      </c>
      <c r="V187" s="79"/>
      <c r="W187" s="7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</row>
    <row r="188" spans="5:70" ht="13.6" thickBot="1" x14ac:dyDescent="0.25">
      <c r="S188" s="294" t="s">
        <v>91</v>
      </c>
      <c r="V188" s="79"/>
      <c r="W188" s="7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</row>
    <row r="189" spans="5:70" ht="14.3" thickBot="1" x14ac:dyDescent="0.3">
      <c r="S189" s="295" t="s">
        <v>792</v>
      </c>
      <c r="V189" s="79"/>
      <c r="W189" s="7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</row>
    <row r="190" spans="5:70" x14ac:dyDescent="0.2">
      <c r="S190" s="296" t="s">
        <v>793</v>
      </c>
      <c r="V190" s="79"/>
      <c r="W190" s="7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</row>
    <row r="191" spans="5:70" x14ac:dyDescent="0.2">
      <c r="S191" s="297" t="s">
        <v>794</v>
      </c>
      <c r="V191" s="79"/>
      <c r="W191" s="7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</row>
    <row r="192" spans="5:70" x14ac:dyDescent="0.2">
      <c r="S192" s="297" t="s">
        <v>795</v>
      </c>
      <c r="V192" s="79"/>
      <c r="W192" s="7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</row>
    <row r="193" spans="19:70" x14ac:dyDescent="0.2">
      <c r="S193" s="297" t="s">
        <v>796</v>
      </c>
      <c r="V193" s="79"/>
      <c r="W193" s="7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</row>
    <row r="194" spans="19:70" x14ac:dyDescent="0.2">
      <c r="S194" s="297" t="s">
        <v>797</v>
      </c>
      <c r="V194" s="79"/>
      <c r="W194" s="7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</row>
    <row r="195" spans="19:70" x14ac:dyDescent="0.2">
      <c r="S195" s="298" t="s">
        <v>798</v>
      </c>
      <c r="V195" s="79"/>
      <c r="W195" s="7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</row>
    <row r="196" spans="19:70" x14ac:dyDescent="0.2">
      <c r="S196" s="298" t="s">
        <v>799</v>
      </c>
      <c r="V196" s="79"/>
      <c r="W196" s="7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</row>
    <row r="197" spans="19:70" x14ac:dyDescent="0.2">
      <c r="S197" s="298" t="s">
        <v>800</v>
      </c>
      <c r="V197" s="79"/>
      <c r="W197" s="7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</row>
    <row r="198" spans="19:70" x14ac:dyDescent="0.2">
      <c r="S198" s="298" t="s">
        <v>801</v>
      </c>
      <c r="V198" s="79"/>
      <c r="W198" s="7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</row>
    <row r="199" spans="19:70" ht="13.6" thickBot="1" x14ac:dyDescent="0.25">
      <c r="S199" s="299" t="s">
        <v>802</v>
      </c>
      <c r="V199" s="79"/>
      <c r="W199" s="7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</row>
    <row r="200" spans="19:70" x14ac:dyDescent="0.2">
      <c r="V200" s="79"/>
      <c r="W200" s="7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</row>
    <row r="201" spans="19:70" x14ac:dyDescent="0.2">
      <c r="V201" s="79"/>
      <c r="W201" s="7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</row>
    <row r="202" spans="19:70" x14ac:dyDescent="0.2">
      <c r="V202" s="79"/>
      <c r="W202" s="7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</row>
    <row r="203" spans="19:70" x14ac:dyDescent="0.2">
      <c r="V203" s="79"/>
      <c r="W203" s="7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</row>
    <row r="204" spans="19:70" x14ac:dyDescent="0.2">
      <c r="V204" s="79"/>
      <c r="W204" s="7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</row>
    <row r="205" spans="19:70" x14ac:dyDescent="0.2">
      <c r="V205" s="79"/>
      <c r="W205" s="7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</row>
    <row r="206" spans="19:70" x14ac:dyDescent="0.2">
      <c r="V206" s="79"/>
      <c r="W206" s="7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</row>
    <row r="207" spans="19:70" x14ac:dyDescent="0.2">
      <c r="V207" s="79"/>
      <c r="W207" s="7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</row>
    <row r="208" spans="19:70" x14ac:dyDescent="0.2">
      <c r="V208" s="79"/>
      <c r="W208" s="7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</row>
    <row r="209" spans="22:70" x14ac:dyDescent="0.2">
      <c r="V209" s="79"/>
      <c r="W209" s="7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</row>
    <row r="210" spans="22:70" x14ac:dyDescent="0.2">
      <c r="V210" s="79"/>
      <c r="W210" s="7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</row>
    <row r="211" spans="22:70" x14ac:dyDescent="0.2">
      <c r="V211" s="79"/>
      <c r="W211" s="7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</row>
    <row r="212" spans="22:70" x14ac:dyDescent="0.2">
      <c r="V212" s="79"/>
      <c r="W212" s="7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</row>
    <row r="213" spans="22:70" x14ac:dyDescent="0.2">
      <c r="V213" s="79"/>
      <c r="W213" s="7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</row>
    <row r="214" spans="22:70" x14ac:dyDescent="0.2">
      <c r="V214" s="79"/>
      <c r="W214" s="7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</row>
    <row r="215" spans="22:70" x14ac:dyDescent="0.2">
      <c r="V215" s="79"/>
      <c r="W215" s="7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</row>
    <row r="216" spans="22:70" x14ac:dyDescent="0.2">
      <c r="V216" s="79"/>
      <c r="W216" s="7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</row>
    <row r="217" spans="22:70" x14ac:dyDescent="0.2">
      <c r="V217" s="79"/>
      <c r="W217" s="7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</row>
    <row r="218" spans="22:70" x14ac:dyDescent="0.2">
      <c r="V218" s="79"/>
      <c r="W218" s="7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</row>
    <row r="219" spans="22:70" x14ac:dyDescent="0.2">
      <c r="V219" s="79"/>
      <c r="W219" s="7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</row>
    <row r="220" spans="22:70" x14ac:dyDescent="0.2">
      <c r="V220" s="79"/>
      <c r="W220" s="7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</row>
    <row r="221" spans="22:70" x14ac:dyDescent="0.2">
      <c r="V221" s="79"/>
      <c r="W221" s="7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</row>
    <row r="222" spans="22:70" x14ac:dyDescent="0.2">
      <c r="V222" s="79"/>
      <c r="W222" s="7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</row>
    <row r="223" spans="22:70" x14ac:dyDescent="0.2">
      <c r="V223" s="79"/>
      <c r="W223" s="7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</row>
    <row r="224" spans="22:70" x14ac:dyDescent="0.2">
      <c r="V224" s="79"/>
      <c r="W224" s="7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</row>
    <row r="225" spans="22:70" x14ac:dyDescent="0.2">
      <c r="V225" s="79"/>
      <c r="W225" s="7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</row>
    <row r="226" spans="22:70" x14ac:dyDescent="0.2">
      <c r="V226" s="79"/>
      <c r="W226" s="7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</row>
    <row r="227" spans="22:70" x14ac:dyDescent="0.2">
      <c r="V227" s="79"/>
      <c r="W227" s="7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</row>
    <row r="228" spans="22:70" x14ac:dyDescent="0.2">
      <c r="V228" s="79"/>
      <c r="W228" s="7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</row>
    <row r="229" spans="22:70" x14ac:dyDescent="0.2">
      <c r="V229" s="79"/>
      <c r="W229" s="7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</row>
    <row r="230" spans="22:70" x14ac:dyDescent="0.2">
      <c r="V230" s="79"/>
      <c r="W230" s="7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</row>
    <row r="231" spans="22:70" x14ac:dyDescent="0.2">
      <c r="V231" s="79"/>
      <c r="W231" s="7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</row>
    <row r="232" spans="22:70" x14ac:dyDescent="0.2">
      <c r="V232" s="79"/>
      <c r="W232" s="7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</row>
    <row r="233" spans="22:70" x14ac:dyDescent="0.2">
      <c r="V233" s="79"/>
      <c r="W233" s="7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</row>
    <row r="234" spans="22:70" x14ac:dyDescent="0.2">
      <c r="V234" s="79"/>
      <c r="W234" s="7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</row>
    <row r="235" spans="22:70" x14ac:dyDescent="0.2">
      <c r="V235" s="79"/>
      <c r="W235" s="7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</row>
    <row r="236" spans="22:70" x14ac:dyDescent="0.2">
      <c r="V236" s="79"/>
      <c r="W236" s="7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</row>
    <row r="237" spans="22:70" x14ac:dyDescent="0.2">
      <c r="V237" s="79"/>
      <c r="W237" s="7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</row>
    <row r="238" spans="22:70" x14ac:dyDescent="0.2">
      <c r="V238" s="79"/>
      <c r="W238" s="7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</row>
    <row r="239" spans="22:70" x14ac:dyDescent="0.2">
      <c r="V239" s="79"/>
      <c r="W239" s="7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</row>
    <row r="240" spans="22:70" x14ac:dyDescent="0.2">
      <c r="V240" s="79"/>
      <c r="W240" s="7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</row>
    <row r="241" spans="22:70" x14ac:dyDescent="0.2">
      <c r="V241" s="79"/>
      <c r="W241" s="7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</row>
    <row r="242" spans="22:70" x14ac:dyDescent="0.2">
      <c r="V242" s="79"/>
      <c r="W242" s="7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</row>
    <row r="243" spans="22:70" x14ac:dyDescent="0.2">
      <c r="V243" s="79"/>
      <c r="W243" s="7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</row>
    <row r="244" spans="22:70" x14ac:dyDescent="0.2">
      <c r="V244" s="79"/>
      <c r="W244" s="7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</row>
    <row r="245" spans="22:70" x14ac:dyDescent="0.2">
      <c r="V245" s="79"/>
      <c r="W245" s="7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</row>
    <row r="246" spans="22:70" x14ac:dyDescent="0.2">
      <c r="V246" s="79"/>
      <c r="W246" s="7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</row>
    <row r="247" spans="22:70" x14ac:dyDescent="0.2">
      <c r="V247" s="79"/>
      <c r="W247" s="7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</row>
    <row r="248" spans="22:70" x14ac:dyDescent="0.2">
      <c r="V248" s="79"/>
      <c r="W248" s="7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</row>
    <row r="249" spans="22:70" x14ac:dyDescent="0.2">
      <c r="V249" s="79"/>
      <c r="W249" s="7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</row>
    <row r="250" spans="22:70" x14ac:dyDescent="0.2">
      <c r="V250" s="79"/>
      <c r="W250" s="7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</row>
    <row r="251" spans="22:70" x14ac:dyDescent="0.2">
      <c r="V251" s="79"/>
      <c r="W251" s="7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</row>
    <row r="252" spans="22:70" x14ac:dyDescent="0.2">
      <c r="V252" s="79"/>
      <c r="W252" s="7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</row>
    <row r="253" spans="22:70" x14ac:dyDescent="0.2">
      <c r="V253" s="79"/>
      <c r="W253" s="7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</row>
    <row r="254" spans="22:70" x14ac:dyDescent="0.2">
      <c r="V254" s="79"/>
      <c r="W254" s="7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</row>
    <row r="255" spans="22:70" x14ac:dyDescent="0.2">
      <c r="V255" s="79"/>
      <c r="W255" s="7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</row>
    <row r="256" spans="22:70" x14ac:dyDescent="0.2">
      <c r="V256" s="79"/>
      <c r="W256" s="7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</row>
    <row r="257" spans="22:70" x14ac:dyDescent="0.2">
      <c r="V257" s="79"/>
      <c r="W257" s="7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</row>
    <row r="258" spans="22:70" x14ac:dyDescent="0.2">
      <c r="V258" s="79"/>
      <c r="W258" s="7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</row>
    <row r="259" spans="22:70" x14ac:dyDescent="0.2">
      <c r="V259" s="79"/>
      <c r="W259" s="7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</row>
    <row r="260" spans="22:70" x14ac:dyDescent="0.2">
      <c r="V260" s="79"/>
      <c r="W260" s="7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</row>
    <row r="261" spans="22:70" x14ac:dyDescent="0.2">
      <c r="V261" s="79"/>
      <c r="W261" s="7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</row>
    <row r="262" spans="22:70" x14ac:dyDescent="0.2">
      <c r="V262" s="79"/>
      <c r="W262" s="7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</row>
    <row r="263" spans="22:70" x14ac:dyDescent="0.2">
      <c r="V263" s="79"/>
      <c r="W263" s="7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</row>
    <row r="264" spans="22:70" x14ac:dyDescent="0.2">
      <c r="V264" s="79"/>
      <c r="W264" s="7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</row>
    <row r="265" spans="22:70" x14ac:dyDescent="0.2">
      <c r="V265" s="79"/>
      <c r="W265" s="7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</row>
    <row r="266" spans="22:70" x14ac:dyDescent="0.2">
      <c r="V266" s="79"/>
      <c r="W266" s="7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</row>
    <row r="267" spans="22:70" x14ac:dyDescent="0.2">
      <c r="V267" s="79"/>
      <c r="W267" s="7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</row>
    <row r="268" spans="22:70" x14ac:dyDescent="0.2">
      <c r="V268" s="79"/>
      <c r="W268" s="7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</row>
    <row r="269" spans="22:70" x14ac:dyDescent="0.2">
      <c r="V269" s="79"/>
      <c r="W269" s="7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</row>
    <row r="270" spans="22:70" x14ac:dyDescent="0.2">
      <c r="V270" s="79"/>
      <c r="W270" s="7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</row>
    <row r="271" spans="22:70" x14ac:dyDescent="0.2">
      <c r="V271" s="79"/>
      <c r="W271" s="7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</row>
    <row r="272" spans="22:70" x14ac:dyDescent="0.2">
      <c r="V272" s="79"/>
      <c r="W272" s="7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</row>
    <row r="273" spans="22:70" x14ac:dyDescent="0.2">
      <c r="V273" s="79"/>
      <c r="W273" s="7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</row>
    <row r="274" spans="22:70" x14ac:dyDescent="0.2">
      <c r="V274" s="79"/>
      <c r="W274" s="7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</row>
    <row r="275" spans="22:70" x14ac:dyDescent="0.2">
      <c r="V275" s="79"/>
      <c r="W275" s="7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</row>
    <row r="276" spans="22:70" x14ac:dyDescent="0.2">
      <c r="V276" s="79"/>
      <c r="W276" s="7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</row>
    <row r="277" spans="22:70" x14ac:dyDescent="0.2">
      <c r="V277" s="79"/>
      <c r="W277" s="7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</row>
    <row r="278" spans="22:70" x14ac:dyDescent="0.2">
      <c r="V278" s="79"/>
      <c r="W278" s="7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</row>
    <row r="279" spans="22:70" x14ac:dyDescent="0.2">
      <c r="V279" s="79"/>
      <c r="W279" s="7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</row>
    <row r="280" spans="22:70" x14ac:dyDescent="0.2">
      <c r="V280" s="79"/>
      <c r="W280" s="7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</row>
    <row r="281" spans="22:70" x14ac:dyDescent="0.2">
      <c r="V281" s="79"/>
      <c r="W281" s="7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</row>
    <row r="282" spans="22:70" x14ac:dyDescent="0.2">
      <c r="V282" s="79"/>
      <c r="W282" s="7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</row>
    <row r="283" spans="22:70" x14ac:dyDescent="0.2">
      <c r="V283" s="79"/>
      <c r="W283" s="7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</row>
    <row r="284" spans="22:70" x14ac:dyDescent="0.2">
      <c r="V284" s="79"/>
      <c r="W284" s="7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</row>
    <row r="285" spans="22:70" x14ac:dyDescent="0.2">
      <c r="V285" s="79"/>
      <c r="W285" s="7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</row>
    <row r="286" spans="22:70" x14ac:dyDescent="0.2">
      <c r="V286" s="79"/>
      <c r="W286" s="7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</row>
    <row r="287" spans="22:70" x14ac:dyDescent="0.2">
      <c r="V287" s="79"/>
      <c r="W287" s="7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</row>
    <row r="288" spans="22:70" x14ac:dyDescent="0.2">
      <c r="V288" s="79"/>
      <c r="W288" s="7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</row>
    <row r="289" spans="22:70" x14ac:dyDescent="0.2">
      <c r="V289" s="79"/>
      <c r="W289" s="7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</row>
    <row r="290" spans="22:70" x14ac:dyDescent="0.2">
      <c r="V290" s="79"/>
      <c r="W290" s="7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</row>
    <row r="291" spans="22:70" x14ac:dyDescent="0.2">
      <c r="V291" s="79"/>
      <c r="W291" s="7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</row>
    <row r="292" spans="22:70" x14ac:dyDescent="0.2">
      <c r="V292" s="79"/>
      <c r="W292" s="7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</row>
    <row r="293" spans="22:70" x14ac:dyDescent="0.2">
      <c r="V293" s="79"/>
      <c r="W293" s="7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</row>
    <row r="294" spans="22:70" x14ac:dyDescent="0.2">
      <c r="V294" s="79"/>
      <c r="W294" s="7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</row>
    <row r="295" spans="22:70" x14ac:dyDescent="0.2">
      <c r="V295" s="79"/>
      <c r="W295" s="7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</row>
    <row r="296" spans="22:70" x14ac:dyDescent="0.2">
      <c r="V296" s="79"/>
      <c r="W296" s="7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</row>
    <row r="297" spans="22:70" x14ac:dyDescent="0.2">
      <c r="V297" s="79"/>
      <c r="W297" s="7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</row>
    <row r="298" spans="22:70" x14ac:dyDescent="0.2">
      <c r="V298" s="79"/>
      <c r="W298" s="7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</row>
    <row r="299" spans="22:70" x14ac:dyDescent="0.2">
      <c r="V299" s="79"/>
      <c r="W299" s="7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</row>
    <row r="300" spans="22:70" x14ac:dyDescent="0.2">
      <c r="V300" s="79"/>
      <c r="W300" s="7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</row>
    <row r="301" spans="22:70" x14ac:dyDescent="0.2">
      <c r="V301" s="79"/>
      <c r="W301" s="7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</row>
    <row r="302" spans="22:70" x14ac:dyDescent="0.2">
      <c r="V302" s="79"/>
      <c r="W302" s="7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</row>
    <row r="303" spans="22:70" x14ac:dyDescent="0.2">
      <c r="V303" s="79"/>
      <c r="W303" s="7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</row>
    <row r="304" spans="22:70" x14ac:dyDescent="0.2">
      <c r="V304" s="79"/>
      <c r="W304" s="7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</row>
    <row r="305" spans="22:70" x14ac:dyDescent="0.2">
      <c r="V305" s="79"/>
      <c r="W305" s="7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</row>
    <row r="306" spans="22:70" x14ac:dyDescent="0.2">
      <c r="V306" s="79"/>
      <c r="W306" s="7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</row>
    <row r="307" spans="22:70" x14ac:dyDescent="0.2">
      <c r="V307" s="79"/>
      <c r="W307" s="7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</row>
    <row r="308" spans="22:70" x14ac:dyDescent="0.2">
      <c r="V308" s="79"/>
      <c r="W308" s="7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</row>
    <row r="309" spans="22:70" x14ac:dyDescent="0.2">
      <c r="V309" s="79"/>
      <c r="W309" s="7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</row>
    <row r="310" spans="22:70" x14ac:dyDescent="0.2">
      <c r="V310" s="79"/>
      <c r="W310" s="7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</row>
    <row r="311" spans="22:70" x14ac:dyDescent="0.2">
      <c r="V311" s="79"/>
      <c r="W311" s="7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</row>
    <row r="312" spans="22:70" x14ac:dyDescent="0.2">
      <c r="V312" s="79"/>
      <c r="W312" s="7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</row>
    <row r="313" spans="22:70" x14ac:dyDescent="0.2">
      <c r="V313" s="79"/>
      <c r="W313" s="7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</row>
    <row r="314" spans="22:70" x14ac:dyDescent="0.2">
      <c r="V314" s="79"/>
      <c r="W314" s="7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</row>
    <row r="315" spans="22:70" x14ac:dyDescent="0.2">
      <c r="V315" s="79"/>
      <c r="W315" s="7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</row>
    <row r="316" spans="22:70" x14ac:dyDescent="0.2">
      <c r="V316" s="79"/>
      <c r="W316" s="7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</row>
    <row r="317" spans="22:70" x14ac:dyDescent="0.2">
      <c r="V317" s="79"/>
      <c r="W317" s="7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</row>
    <row r="318" spans="22:70" x14ac:dyDescent="0.2">
      <c r="V318" s="79"/>
      <c r="W318" s="7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</row>
    <row r="319" spans="22:70" x14ac:dyDescent="0.2">
      <c r="V319" s="79"/>
      <c r="W319" s="7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</row>
    <row r="320" spans="22:70" x14ac:dyDescent="0.2">
      <c r="V320" s="79"/>
      <c r="W320" s="7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</row>
    <row r="321" spans="22:70" x14ac:dyDescent="0.2">
      <c r="V321" s="79"/>
      <c r="W321" s="7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</row>
    <row r="322" spans="22:70" x14ac:dyDescent="0.2">
      <c r="V322" s="79"/>
      <c r="W322" s="7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</row>
    <row r="323" spans="22:70" x14ac:dyDescent="0.2">
      <c r="V323" s="79"/>
      <c r="W323" s="7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</row>
    <row r="324" spans="22:70" x14ac:dyDescent="0.2">
      <c r="V324" s="79"/>
      <c r="W324" s="7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</row>
    <row r="325" spans="22:70" x14ac:dyDescent="0.2">
      <c r="V325" s="79"/>
      <c r="W325" s="7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</row>
    <row r="326" spans="22:70" x14ac:dyDescent="0.2">
      <c r="V326" s="79"/>
      <c r="W326" s="7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</row>
    <row r="327" spans="22:70" x14ac:dyDescent="0.2">
      <c r="V327" s="79"/>
      <c r="W327" s="7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</row>
    <row r="328" spans="22:70" x14ac:dyDescent="0.2">
      <c r="V328" s="79"/>
      <c r="W328" s="7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</row>
    <row r="329" spans="22:70" x14ac:dyDescent="0.2">
      <c r="V329" s="79"/>
      <c r="W329" s="7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</row>
    <row r="330" spans="22:70" x14ac:dyDescent="0.2">
      <c r="V330" s="79"/>
      <c r="W330" s="7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</row>
    <row r="331" spans="22:70" x14ac:dyDescent="0.2">
      <c r="V331" s="79"/>
      <c r="W331" s="7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</row>
    <row r="332" spans="22:70" x14ac:dyDescent="0.2">
      <c r="V332" s="79"/>
      <c r="W332" s="7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</row>
  </sheetData>
  <sheetProtection formatCells="0"/>
  <protectedRanges>
    <protectedRange sqref="J2" name="Sprache"/>
  </protectedRanges>
  <dataConsolidate/>
  <mergeCells count="214">
    <mergeCell ref="F174:K174"/>
    <mergeCell ref="M145:N145"/>
    <mergeCell ref="J147:O147"/>
    <mergeCell ref="J148:O148"/>
    <mergeCell ref="J149:O149"/>
    <mergeCell ref="M151:N151"/>
    <mergeCell ref="G152:O153"/>
    <mergeCell ref="E143:F143"/>
    <mergeCell ref="G143:H143"/>
    <mergeCell ref="M143:N143"/>
    <mergeCell ref="E144:F144"/>
    <mergeCell ref="G144:H144"/>
    <mergeCell ref="M144:N144"/>
    <mergeCell ref="E141:F141"/>
    <mergeCell ref="G141:H141"/>
    <mergeCell ref="M141:N141"/>
    <mergeCell ref="E142:F142"/>
    <mergeCell ref="G142:H142"/>
    <mergeCell ref="M142:N142"/>
    <mergeCell ref="G137:H137"/>
    <mergeCell ref="M137:N137"/>
    <mergeCell ref="M138:N138"/>
    <mergeCell ref="G139:H139"/>
    <mergeCell ref="M139:N139"/>
    <mergeCell ref="E140:F140"/>
    <mergeCell ref="G140:H140"/>
    <mergeCell ref="M140:N140"/>
    <mergeCell ref="G133:K133"/>
    <mergeCell ref="G134:K134"/>
    <mergeCell ref="G135:H135"/>
    <mergeCell ref="L135:L136"/>
    <mergeCell ref="M135:N136"/>
    <mergeCell ref="O135:O136"/>
    <mergeCell ref="G136:H136"/>
    <mergeCell ref="B128:E128"/>
    <mergeCell ref="M128:N128"/>
    <mergeCell ref="B129:E129"/>
    <mergeCell ref="M129:N129"/>
    <mergeCell ref="B130:E130"/>
    <mergeCell ref="M130:N130"/>
    <mergeCell ref="B125:E125"/>
    <mergeCell ref="M125:N125"/>
    <mergeCell ref="B126:E126"/>
    <mergeCell ref="M126:N126"/>
    <mergeCell ref="B127:E127"/>
    <mergeCell ref="M127:N127"/>
    <mergeCell ref="B122:E122"/>
    <mergeCell ref="M122:N122"/>
    <mergeCell ref="B123:E123"/>
    <mergeCell ref="M123:N123"/>
    <mergeCell ref="B124:E124"/>
    <mergeCell ref="M124:N124"/>
    <mergeCell ref="E117:G117"/>
    <mergeCell ref="H117:I117"/>
    <mergeCell ref="J117:N117"/>
    <mergeCell ref="A118:I119"/>
    <mergeCell ref="J118:N118"/>
    <mergeCell ref="J119:N119"/>
    <mergeCell ref="D114:E114"/>
    <mergeCell ref="F114:G114"/>
    <mergeCell ref="M114:N114"/>
    <mergeCell ref="D116:E116"/>
    <mergeCell ref="F116:G116"/>
    <mergeCell ref="H116:I116"/>
    <mergeCell ref="D112:E112"/>
    <mergeCell ref="F112:G112"/>
    <mergeCell ref="M112:N112"/>
    <mergeCell ref="D113:E113"/>
    <mergeCell ref="F113:G113"/>
    <mergeCell ref="M113:N113"/>
    <mergeCell ref="AA108:AA109"/>
    <mergeCell ref="B109:C109"/>
    <mergeCell ref="F109:G109"/>
    <mergeCell ref="M109:N109"/>
    <mergeCell ref="M110:N110"/>
    <mergeCell ref="F111:G111"/>
    <mergeCell ref="M111:N111"/>
    <mergeCell ref="M104:N104"/>
    <mergeCell ref="M106:N106"/>
    <mergeCell ref="F107:G107"/>
    <mergeCell ref="M107:N107"/>
    <mergeCell ref="B108:C108"/>
    <mergeCell ref="F108:G108"/>
    <mergeCell ref="M108:N108"/>
    <mergeCell ref="E99:H99"/>
    <mergeCell ref="M99:N99"/>
    <mergeCell ref="E100:H100"/>
    <mergeCell ref="M100:N100"/>
    <mergeCell ref="M101:N101"/>
    <mergeCell ref="M102:N102"/>
    <mergeCell ref="J91:K91"/>
    <mergeCell ref="T91:U91"/>
    <mergeCell ref="W91:X91"/>
    <mergeCell ref="M96:N96"/>
    <mergeCell ref="K97:L97"/>
    <mergeCell ref="K98:L98"/>
    <mergeCell ref="F84:G84"/>
    <mergeCell ref="F85:G85"/>
    <mergeCell ref="F86:G86"/>
    <mergeCell ref="F87:G87"/>
    <mergeCell ref="F88:G88"/>
    <mergeCell ref="F89:G89"/>
    <mergeCell ref="F78:G78"/>
    <mergeCell ref="F79:G79"/>
    <mergeCell ref="F80:G80"/>
    <mergeCell ref="F81:G81"/>
    <mergeCell ref="F82:G82"/>
    <mergeCell ref="F83:G83"/>
    <mergeCell ref="F72:G72"/>
    <mergeCell ref="F73:G73"/>
    <mergeCell ref="F74:G74"/>
    <mergeCell ref="F75:G75"/>
    <mergeCell ref="F76:G76"/>
    <mergeCell ref="F77:G77"/>
    <mergeCell ref="B67:C67"/>
    <mergeCell ref="F67:G67"/>
    <mergeCell ref="F68:G68"/>
    <mergeCell ref="F69:G69"/>
    <mergeCell ref="F70:G70"/>
    <mergeCell ref="F71:G71"/>
    <mergeCell ref="E60:F60"/>
    <mergeCell ref="T62:U62"/>
    <mergeCell ref="B65:C65"/>
    <mergeCell ref="F65:G65"/>
    <mergeCell ref="B66:C66"/>
    <mergeCell ref="F66:G66"/>
    <mergeCell ref="E54:F54"/>
    <mergeCell ref="E55:F55"/>
    <mergeCell ref="E56:F56"/>
    <mergeCell ref="E57:F57"/>
    <mergeCell ref="E58:F58"/>
    <mergeCell ref="E59:F59"/>
    <mergeCell ref="E48:F48"/>
    <mergeCell ref="E49:F49"/>
    <mergeCell ref="E50:F50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H36:I36"/>
    <mergeCell ref="E37:F37"/>
    <mergeCell ref="E38:F38"/>
    <mergeCell ref="E39:F39"/>
    <mergeCell ref="E40:F40"/>
    <mergeCell ref="E41:F41"/>
    <mergeCell ref="B32:D32"/>
    <mergeCell ref="E32:F32"/>
    <mergeCell ref="B33:D33"/>
    <mergeCell ref="E33:F33"/>
    <mergeCell ref="B36:C36"/>
    <mergeCell ref="E36:F36"/>
    <mergeCell ref="B29:D29"/>
    <mergeCell ref="E29:F29"/>
    <mergeCell ref="B30:D30"/>
    <mergeCell ref="E30:F30"/>
    <mergeCell ref="B31:D31"/>
    <mergeCell ref="E31:F31"/>
    <mergeCell ref="B26:D26"/>
    <mergeCell ref="E26:F26"/>
    <mergeCell ref="B27:D27"/>
    <mergeCell ref="E27:F27"/>
    <mergeCell ref="B28:D28"/>
    <mergeCell ref="E28:F28"/>
    <mergeCell ref="B23:D23"/>
    <mergeCell ref="E23:F23"/>
    <mergeCell ref="B24:D24"/>
    <mergeCell ref="E24:F24"/>
    <mergeCell ref="B25:D25"/>
    <mergeCell ref="E25:F25"/>
    <mergeCell ref="B20:D20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B19:D19"/>
    <mergeCell ref="E19:F19"/>
    <mergeCell ref="B14:D14"/>
    <mergeCell ref="E14:F14"/>
    <mergeCell ref="B15:D15"/>
    <mergeCell ref="E15:F15"/>
    <mergeCell ref="B16:D16"/>
    <mergeCell ref="E16:F16"/>
    <mergeCell ref="D9:K10"/>
    <mergeCell ref="L9:M9"/>
    <mergeCell ref="N9:P9"/>
    <mergeCell ref="L10:M10"/>
    <mergeCell ref="N10:P10"/>
    <mergeCell ref="B13:C13"/>
    <mergeCell ref="E13:F13"/>
    <mergeCell ref="D7:E7"/>
    <mergeCell ref="F7:G7"/>
    <mergeCell ref="J7:K7"/>
    <mergeCell ref="N7:P7"/>
    <mergeCell ref="U7:V7"/>
    <mergeCell ref="J8:K8"/>
    <mergeCell ref="N8:P8"/>
    <mergeCell ref="A1:D1"/>
    <mergeCell ref="E1:K1"/>
    <mergeCell ref="L1:P5"/>
    <mergeCell ref="D4:G4"/>
    <mergeCell ref="D5:G5"/>
    <mergeCell ref="D6:E6"/>
    <mergeCell ref="J6:K6"/>
    <mergeCell ref="N6:P6"/>
  </mergeCells>
  <conditionalFormatting sqref="M110:N110">
    <cfRule type="expression" dxfId="64" priority="14" stopIfTrue="1">
      <formula>$M$110="none"</formula>
    </cfRule>
  </conditionalFormatting>
  <conditionalFormatting sqref="K112:K113">
    <cfRule type="expression" dxfId="63" priority="13" stopIfTrue="1">
      <formula>$K112="none"</formula>
    </cfRule>
  </conditionalFormatting>
  <conditionalFormatting sqref="F112:J114 M112:N114">
    <cfRule type="expression" dxfId="62" priority="12">
      <formula>$C112="FCA"</formula>
    </cfRule>
  </conditionalFormatting>
  <conditionalFormatting sqref="K114">
    <cfRule type="expression" dxfId="61" priority="11" stopIfTrue="1">
      <formula>$K114="none"</formula>
    </cfRule>
  </conditionalFormatting>
  <conditionalFormatting sqref="J141:O145">
    <cfRule type="expression" dxfId="60" priority="10">
      <formula>$S141=0</formula>
    </cfRule>
  </conditionalFormatting>
  <conditionalFormatting sqref="AH67:AH69">
    <cfRule type="cellIs" dxfId="59" priority="8" stopIfTrue="1" operator="lessThan">
      <formula>0.1</formula>
    </cfRule>
    <cfRule type="cellIs" dxfId="58" priority="9" stopIfTrue="1" operator="lessThan">
      <formula>0.2</formula>
    </cfRule>
  </conditionalFormatting>
  <conditionalFormatting sqref="AH70:AH89">
    <cfRule type="cellIs" dxfId="57" priority="6" stopIfTrue="1" operator="lessThan">
      <formula>0.1</formula>
    </cfRule>
    <cfRule type="cellIs" dxfId="56" priority="7" stopIfTrue="1" operator="lessThan">
      <formula>0.2</formula>
    </cfRule>
  </conditionalFormatting>
  <conditionalFormatting sqref="AH66">
    <cfRule type="cellIs" dxfId="55" priority="4" stopIfTrue="1" operator="lessThan">
      <formula>0.1</formula>
    </cfRule>
    <cfRule type="cellIs" dxfId="54" priority="5" stopIfTrue="1" operator="lessThan">
      <formula>0.2</formula>
    </cfRule>
  </conditionalFormatting>
  <conditionalFormatting sqref="M91">
    <cfRule type="expression" dxfId="53" priority="3">
      <formula>$J$91="Value Added"</formula>
    </cfRule>
  </conditionalFormatting>
  <conditionalFormatting sqref="M97:N97">
    <cfRule type="expression" dxfId="52" priority="2">
      <formula>$K$97="Manufactured Cost"</formula>
    </cfRule>
  </conditionalFormatting>
  <conditionalFormatting sqref="M98">
    <cfRule type="expression" dxfId="51" priority="1">
      <formula>$K$98="Manufactured Cost"</formula>
    </cfRule>
  </conditionalFormatting>
  <dataValidations count="21">
    <dataValidation type="decimal" errorStyle="warning" operator="greaterThanOrEqual" allowBlank="1" showInputMessage="1" showErrorMessage="1" errorTitle="Gross&lt;Net" error="EN: The 'Gross Amount' is smaller than the 'Net Amount'!_x000a_DE: Das Brutto-Gewicht ist kleinre als das Netto-Gewicht!" sqref="I14:I33" xr:uid="{38836318-075F-4A5D-8085-E7A487546BA0}">
      <formula1>H14</formula1>
    </dataValidation>
    <dataValidation type="list" operator="notBetween" showInputMessage="1" showErrorMessage="1" sqref="K114" xr:uid="{319412CF-F1AF-4D1D-9299-C0A138D16931}">
      <formula1>"none,one-way,returnable"</formula1>
    </dataValidation>
    <dataValidation type="list" allowBlank="1" showInputMessage="1" showErrorMessage="1" sqref="M110:N110" xr:uid="{1FCDCD9D-1CB7-482A-A729-C8AB24B211E4}">
      <formula1>"one-way, returnable,none"</formula1>
    </dataValidation>
    <dataValidation type="list" allowBlank="1" showInputMessage="1" showErrorMessage="1" sqref="U7:V7" xr:uid="{9BCC95EB-F5A2-49F4-9947-A2E5333542CD}">
      <formula1>$S$176:$S$187</formula1>
    </dataValidation>
    <dataValidation type="list" showInputMessage="1" showErrorMessage="1" sqref="E7" xr:uid="{7609220E-E4F3-4F2B-BF1F-9FAEBB217AF9}">
      <formula1>$S$190:$S$199</formula1>
    </dataValidation>
    <dataValidation type="list" allowBlank="1" showInputMessage="1" showErrorMessage="1" sqref="M13 M36" xr:uid="{FDF5A0DC-36FA-4AF6-A250-3B90C2B15C2F}">
      <formula1>$U$3:$U$4</formula1>
    </dataValidation>
    <dataValidation type="list" allowBlank="1" showInputMessage="1" showErrorMessage="1" sqref="K97:L98" xr:uid="{3009D782-039C-4EDD-9F13-C9EBFD915E33}">
      <formula1>"Manufactured Cost, Value Added"</formula1>
    </dataValidation>
    <dataValidation type="list" allowBlank="1" showInputMessage="1" showErrorMessage="1" sqref="J91:K91" xr:uid="{C959D973-93AD-4C8B-BF0A-0B0D3C626F37}">
      <formula1>"Direct Labour, Value Added"</formula1>
    </dataValidation>
    <dataValidation type="decimal" operator="notBetween" showInputMessage="1" showErrorMessage="1" sqref="F112:J114" xr:uid="{265CFF5C-8835-4AFF-BA1C-9B20B045BD94}">
      <formula1>0</formula1>
      <formula2>0</formula2>
    </dataValidation>
    <dataValidation type="decimal" allowBlank="1" showInputMessage="1" showErrorMessage="1" sqref="I141:I145" xr:uid="{B63F6F3D-A455-4567-B4BB-52B6A6593142}">
      <formula1>0</formula1>
      <formula2>1</formula2>
    </dataValidation>
    <dataValidation type="decimal" operator="greaterThanOrEqual" allowBlank="1" showInputMessage="1" showErrorMessage="1" sqref="J5 J148:O149 J140:O140 G135:H137 H140:H141 G140:G144" xr:uid="{1A472BC2-999D-4521-B3A1-0613AEC37860}">
      <formula1>0</formula1>
    </dataValidation>
    <dataValidation type="list" allowBlank="1" showInputMessage="1" showErrorMessage="1" sqref="F7:G7" xr:uid="{BE08B930-BEFF-4C43-B199-3ED5EFBB5DEA}">
      <formula1>"/pc,/10,/100,/1000"</formula1>
    </dataValidation>
    <dataValidation allowBlank="1" showInputMessage="1" showErrorMessage="1" promptTitle="Fixed Value" prompt="Enter" sqref="V62" xr:uid="{616E08FA-78E9-401E-906B-40EEBA278B01}"/>
    <dataValidation type="whole" operator="greaterThan" allowBlank="1" showInputMessage="1" showErrorMessage="1" sqref="J4:K4" xr:uid="{C94CF05B-092A-417D-9048-4622861F5478}">
      <formula1>0</formula1>
    </dataValidation>
    <dataValidation type="date" allowBlank="1" showInputMessage="1" showErrorMessage="1" sqref="J6:K8" xr:uid="{530BAA59-75E1-45A2-B796-D0C3289B952C}">
      <formula1>36526</formula1>
      <formula2>73050</formula2>
    </dataValidation>
    <dataValidation type="list" allowBlank="1" showInputMessage="1" showErrorMessage="1" sqref="C112:C114" xr:uid="{45AFE6F2-3FE6-4B81-9672-F0C5FDBC8C01}">
      <formula1>"FCA,DAP,DDP,DDU"</formula1>
    </dataValidation>
    <dataValidation type="list" allowBlank="1" showInputMessage="1" showErrorMessage="1" sqref="L112:L114" xr:uid="{93DDC074-2650-4201-9B31-9A0A308A0862}">
      <formula1>"None, 2-high, 3-high"</formula1>
    </dataValidation>
    <dataValidation type="list" allowBlank="1" showInputMessage="1" showErrorMessage="1" sqref="M112:M114" xr:uid="{4B607C77-55A9-48EF-A864-2CC6D4CD85D4}">
      <formula1>"included, excluded, n/a"</formula1>
    </dataValidation>
    <dataValidation type="list" allowBlank="1" showInputMessage="1" showErrorMessage="1" sqref="K112:K113" xr:uid="{15B73E3A-F192-43F6-A06C-3F34003A2779}">
      <formula1>"none,one-way,returnable"</formula1>
    </dataValidation>
    <dataValidation type="list" allowBlank="1" showInputMessage="1" showErrorMessage="1" sqref="Z153" xr:uid="{6BB860D0-7DD6-4E49-AE31-8E6C5FF1C304}">
      <formula1>"High, Medium, Low"</formula1>
    </dataValidation>
    <dataValidation type="list" allowBlank="1" showInputMessage="1" showErrorMessage="1" sqref="W6" xr:uid="{F974C957-BDE1-4D80-A2F8-0B712926A1AC}">
      <formula1>"Yes, No"</formula1>
    </dataValidation>
  </dataValidations>
  <printOptions horizontalCentered="1"/>
  <pageMargins left="0.59055118110236227" right="0.39370078740157483" top="0.59055118110236227" bottom="0.47244094488188981" header="0.39370078740157483" footer="0.31496062992125984"/>
  <pageSetup paperSize="9" fitToHeight="0" orientation="portrait" r:id="rId1"/>
  <headerFooter>
    <oddFooter xml:space="preserve">&amp;LVersion 1.01&amp;CCALC4XL GmbH&amp;RPrinted: &amp;D </oddFooter>
  </headerFooter>
  <rowBreaks count="1" manualBreakCount="1">
    <brk id="9" max="16383" man="1"/>
  </rowBreaks>
  <drawing r:id="rId2"/>
  <legacyDrawing r:id="rId3"/>
  <controls>
    <mc:AlternateContent xmlns:mc="http://schemas.openxmlformats.org/markup-compatibility/2006">
      <mc:Choice Requires="x14">
        <control shapeId="5514248" r:id="rId4" name="orderSection24">
          <controlPr defaultSize="0" autoLine="0" r:id="rId5">
            <anchor moveWithCells="1">
              <from>
                <xdr:col>0</xdr:col>
                <xdr:colOff>0</xdr:colOff>
                <xdr:row>64</xdr:row>
                <xdr:rowOff>388189</xdr:rowOff>
              </from>
              <to>
                <xdr:col>1</xdr:col>
                <xdr:colOff>77638</xdr:colOff>
                <xdr:row>65</xdr:row>
                <xdr:rowOff>8626</xdr:rowOff>
              </to>
            </anchor>
          </controlPr>
        </control>
      </mc:Choice>
      <mc:Fallback>
        <control shapeId="5514248" r:id="rId4" name="orderSection24"/>
      </mc:Fallback>
    </mc:AlternateContent>
    <mc:AlternateContent xmlns:mc="http://schemas.openxmlformats.org/markup-compatibility/2006">
      <mc:Choice Requires="x14">
        <control shapeId="5514247" r:id="rId6" name="cmdPartPicture">
          <controlPr defaultSize="0" autoLine="0" r:id="rId7">
            <anchor moveWithCells="1">
              <from>
                <xdr:col>12</xdr:col>
                <xdr:colOff>112143</xdr:colOff>
                <xdr:row>0</xdr:row>
                <xdr:rowOff>215660</xdr:rowOff>
              </from>
              <to>
                <xdr:col>13</xdr:col>
                <xdr:colOff>388189</xdr:colOff>
                <xdr:row>3</xdr:row>
                <xdr:rowOff>60385</xdr:rowOff>
              </to>
            </anchor>
          </controlPr>
        </control>
      </mc:Choice>
      <mc:Fallback>
        <control shapeId="5514247" r:id="rId6" name="cmdPartPicture"/>
      </mc:Fallback>
    </mc:AlternateContent>
    <mc:AlternateContent xmlns:mc="http://schemas.openxmlformats.org/markup-compatibility/2006">
      <mc:Choice Requires="x14">
        <control shapeId="5514246" r:id="rId8" name="CmdClearSheet">
          <controlPr defaultSize="0" autoLine="0" autoPict="0" r:id="rId9">
            <anchor moveWithCells="1">
              <from>
                <xdr:col>24</xdr:col>
                <xdr:colOff>0</xdr:colOff>
                <xdr:row>1</xdr:row>
                <xdr:rowOff>60385</xdr:rowOff>
              </from>
              <to>
                <xdr:col>25</xdr:col>
                <xdr:colOff>60385</xdr:colOff>
                <xdr:row>3</xdr:row>
                <xdr:rowOff>112143</xdr:rowOff>
              </to>
            </anchor>
          </controlPr>
        </control>
      </mc:Choice>
      <mc:Fallback>
        <control shapeId="5514246" r:id="rId8" name="CmdClearSheet"/>
      </mc:Fallback>
    </mc:AlternateContent>
    <mc:AlternateContent xmlns:mc="http://schemas.openxmlformats.org/markup-compatibility/2006">
      <mc:Choice Requires="x14">
        <control shapeId="5514245" r:id="rId10" name="SpinButton4">
          <controlPr defaultSize="0" autoLine="0" r:id="rId11">
            <anchor moveWithCells="1">
              <from>
                <xdr:col>17</xdr:col>
                <xdr:colOff>181155</xdr:colOff>
                <xdr:row>122</xdr:row>
                <xdr:rowOff>17253</xdr:rowOff>
              </from>
              <to>
                <xdr:col>17</xdr:col>
                <xdr:colOff>422694</xdr:colOff>
                <xdr:row>130</xdr:row>
                <xdr:rowOff>17253</xdr:rowOff>
              </to>
            </anchor>
          </controlPr>
        </control>
      </mc:Choice>
      <mc:Fallback>
        <control shapeId="5514245" r:id="rId10" name="SpinButton4"/>
      </mc:Fallback>
    </mc:AlternateContent>
    <mc:AlternateContent xmlns:mc="http://schemas.openxmlformats.org/markup-compatibility/2006">
      <mc:Choice Requires="x14">
        <control shapeId="5514244" r:id="rId12" name="SpinButton3">
          <controlPr defaultSize="0" autoLine="0" r:id="rId13">
            <anchor moveWithCells="1">
              <from>
                <xdr:col>17</xdr:col>
                <xdr:colOff>129396</xdr:colOff>
                <xdr:row>64</xdr:row>
                <xdr:rowOff>207034</xdr:rowOff>
              </from>
              <to>
                <xdr:col>17</xdr:col>
                <xdr:colOff>379562</xdr:colOff>
                <xdr:row>65</xdr:row>
                <xdr:rowOff>86264</xdr:rowOff>
              </to>
            </anchor>
          </controlPr>
        </control>
      </mc:Choice>
      <mc:Fallback>
        <control shapeId="5514244" r:id="rId12" name="SpinButton3"/>
      </mc:Fallback>
    </mc:AlternateContent>
    <mc:AlternateContent xmlns:mc="http://schemas.openxmlformats.org/markup-compatibility/2006">
      <mc:Choice Requires="x14">
        <control shapeId="5514243" r:id="rId14" name="SpinButton2">
          <controlPr defaultSize="0" autoLine="0" r:id="rId15">
            <anchor moveWithCells="1">
              <from>
                <xdr:col>17</xdr:col>
                <xdr:colOff>112143</xdr:colOff>
                <xdr:row>35</xdr:row>
                <xdr:rowOff>163902</xdr:rowOff>
              </from>
              <to>
                <xdr:col>17</xdr:col>
                <xdr:colOff>370936</xdr:colOff>
                <xdr:row>37</xdr:row>
                <xdr:rowOff>155275</xdr:rowOff>
              </to>
            </anchor>
          </controlPr>
        </control>
      </mc:Choice>
      <mc:Fallback>
        <control shapeId="5514243" r:id="rId14" name="SpinButton2"/>
      </mc:Fallback>
    </mc:AlternateContent>
    <mc:AlternateContent xmlns:mc="http://schemas.openxmlformats.org/markup-compatibility/2006">
      <mc:Choice Requires="x14">
        <control shapeId="5514242" r:id="rId16" name="SpinButton1">
          <controlPr defaultSize="0" autoLine="0" r:id="rId17">
            <anchor moveWithCells="1">
              <from>
                <xdr:col>17</xdr:col>
                <xdr:colOff>129396</xdr:colOff>
                <xdr:row>12</xdr:row>
                <xdr:rowOff>129396</xdr:rowOff>
              </from>
              <to>
                <xdr:col>17</xdr:col>
                <xdr:colOff>379562</xdr:colOff>
                <xdr:row>14</xdr:row>
                <xdr:rowOff>51758</xdr:rowOff>
              </to>
            </anchor>
          </controlPr>
        </control>
      </mc:Choice>
      <mc:Fallback>
        <control shapeId="5514242" r:id="rId16" name="SpinButton1"/>
      </mc:Fallback>
    </mc:AlternateContent>
    <mc:AlternateContent xmlns:mc="http://schemas.openxmlformats.org/markup-compatibility/2006">
      <mc:Choice Requires="x14">
        <control shapeId="5514241" r:id="rId18" name="cmdCopySheet">
          <controlPr defaultSize="0" autoLine="0" autoPict="0" r:id="rId19">
            <anchor moveWithCells="1">
              <from>
                <xdr:col>24</xdr:col>
                <xdr:colOff>25879</xdr:colOff>
                <xdr:row>0</xdr:row>
                <xdr:rowOff>94891</xdr:rowOff>
              </from>
              <to>
                <xdr:col>25</xdr:col>
                <xdr:colOff>86264</xdr:colOff>
                <xdr:row>0</xdr:row>
                <xdr:rowOff>448574</xdr:rowOff>
              </to>
            </anchor>
          </controlPr>
        </control>
      </mc:Choice>
      <mc:Fallback>
        <control shapeId="5514241" r:id="rId18" name="cmdCopySheet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7">
    <tabColor theme="5" tint="-0.499984740745262"/>
    <outlinePr summaryBelow="0"/>
    <pageSetUpPr fitToPage="1"/>
  </sheetPr>
  <dimension ref="B1:X69"/>
  <sheetViews>
    <sheetView showGridLines="0" showZeros="0" zoomScale="90" zoomScaleNormal="90" workbookViewId="0">
      <selection activeCell="W27" sqref="W27"/>
    </sheetView>
  </sheetViews>
  <sheetFormatPr defaultColWidth="9.125" defaultRowHeight="12.9" x14ac:dyDescent="0.2"/>
  <cols>
    <col min="1" max="1" width="9.125" style="55"/>
    <col min="2" max="2" width="27.375" style="55" customWidth="1"/>
    <col min="3" max="3" width="9.75" style="55" customWidth="1"/>
    <col min="4" max="4" width="6.75" style="55" customWidth="1"/>
    <col min="5" max="5" width="2.75" style="55" customWidth="1"/>
    <col min="6" max="6" width="11.75" style="55" customWidth="1"/>
    <col min="7" max="7" width="8.75" style="55" customWidth="1"/>
    <col min="8" max="8" width="11.75" style="55" customWidth="1"/>
    <col min="9" max="9" width="8.75" style="55" customWidth="1"/>
    <col min="10" max="10" width="11.75" style="55" customWidth="1"/>
    <col min="11" max="11" width="8.75" style="55" customWidth="1"/>
    <col min="12" max="12" width="11.75" style="55" customWidth="1"/>
    <col min="13" max="13" width="8.75" style="55" customWidth="1"/>
    <col min="14" max="14" width="11.75" style="55" customWidth="1"/>
    <col min="15" max="15" width="8.75" style="55" customWidth="1"/>
    <col min="16" max="16" width="11.75" style="55" customWidth="1"/>
    <col min="17" max="17" width="8.75" style="55" customWidth="1"/>
    <col min="18" max="16384" width="9.125" style="55"/>
  </cols>
  <sheetData>
    <row r="1" spans="2:17" ht="34" customHeight="1" x14ac:dyDescent="0.2"/>
    <row r="2" spans="2:17" ht="15.65" x14ac:dyDescent="0.25">
      <c r="B2" s="56" t="str">
        <f ca="1">VLOOKUP("sum_sheet",translation,VLOOKUP(INDIRECT("'"&amp;F$2&amp;"'!J2"),languages,2,FALSE),FALSE)</f>
        <v>Summary Sheet</v>
      </c>
      <c r="C2" s="203" t="s">
        <v>178</v>
      </c>
      <c r="D2" s="220">
        <f>IF(C2="/pc",1,IF(C2="/10",10,IF(C2="/100",100,IF(C2="/1000",1000))))</f>
        <v>1</v>
      </c>
      <c r="F2" s="902" t="s">
        <v>878</v>
      </c>
      <c r="G2" s="903"/>
      <c r="H2" s="902" t="s">
        <v>879</v>
      </c>
      <c r="I2" s="903"/>
      <c r="J2" s="902" t="s">
        <v>880</v>
      </c>
      <c r="K2" s="903"/>
      <c r="L2" s="902"/>
      <c r="M2" s="903"/>
      <c r="N2" s="902"/>
      <c r="O2" s="903"/>
      <c r="P2" s="902"/>
      <c r="Q2" s="903"/>
    </row>
    <row r="3" spans="2:17" ht="13.6" x14ac:dyDescent="0.25">
      <c r="B3" s="73" t="str">
        <f ca="1">CELL("Filename",B3)</f>
        <v>https://d.docs.live.net/4c7d4790709b1d71/WEBSITE PICS/[Diecasting Example_forUserWithoutCALC4XL.xlsx]Summary</v>
      </c>
      <c r="F3" s="906">
        <v>1</v>
      </c>
      <c r="G3" s="907"/>
      <c r="H3" s="904">
        <v>1</v>
      </c>
      <c r="I3" s="905"/>
      <c r="J3" s="904">
        <v>1</v>
      </c>
      <c r="K3" s="905"/>
      <c r="L3" s="906"/>
      <c r="M3" s="907"/>
      <c r="N3" s="906"/>
      <c r="O3" s="907"/>
      <c r="P3" s="906"/>
      <c r="Q3" s="907"/>
    </row>
    <row r="4" spans="2:17" x14ac:dyDescent="0.2">
      <c r="B4" s="108" t="str">
        <f ca="1">VLOOKUP("part_numb",translation,VLOOKUP(INDIRECT("'"&amp;F$2&amp;"'!J2"),languages,2,FALSE),FALSE)</f>
        <v>Part Number</v>
      </c>
      <c r="C4" s="108"/>
      <c r="D4" s="108"/>
      <c r="E4" s="108"/>
      <c r="F4" s="900">
        <f ca="1">IF(F$2=0,"",INDIRECT("'"&amp;F$2&amp;"'!N8"))</f>
        <v>0</v>
      </c>
      <c r="G4" s="901"/>
      <c r="H4" s="900">
        <f ca="1">IF(H$2=0,"",INDIRECT("'"&amp;H$2&amp;"'!N8"))</f>
        <v>0</v>
      </c>
      <c r="I4" s="901"/>
      <c r="J4" s="900">
        <f ca="1">IF(J$2=0,"",INDIRECT("'"&amp;J$2&amp;"'!N8"))</f>
        <v>0</v>
      </c>
      <c r="K4" s="901"/>
      <c r="L4" s="900" t="str">
        <f ca="1">IF(L$2=0,"",INDIRECT("'"&amp;L$2&amp;"'!N8"))</f>
        <v/>
      </c>
      <c r="M4" s="901"/>
      <c r="N4" s="900" t="str">
        <f ca="1">IF(N$2=0,"",INDIRECT("'"&amp;N$2&amp;"'!N8"))</f>
        <v/>
      </c>
      <c r="O4" s="901"/>
      <c r="P4" s="900" t="str">
        <f ca="1">IF(P$2=0,"",INDIRECT("'"&amp;P$2&amp;"'!N8"))</f>
        <v/>
      </c>
      <c r="Q4" s="901"/>
    </row>
    <row r="5" spans="2:17" s="105" customFormat="1" ht="13.6" x14ac:dyDescent="0.25">
      <c r="B5" s="109" t="str">
        <f ca="1">VLOOKUP("descr",translation,VLOOKUP(INDIRECT("'"&amp;F$2&amp;"'!J2"),languages,2,FALSE),FALSE)</f>
        <v>Description</v>
      </c>
      <c r="C5" s="110"/>
      <c r="D5" s="110"/>
      <c r="E5" s="110"/>
      <c r="F5" s="898" t="str">
        <f ca="1">IF(F$2=0,"",INDIRECT("'"&amp;F$2&amp;"'!N7"))</f>
        <v>Housing</v>
      </c>
      <c r="G5" s="899"/>
      <c r="H5" s="898" t="str">
        <f ca="1">IF(H$2=0,"",INDIRECT("'"&amp;H$2&amp;"'!N7"))</f>
        <v>Housing</v>
      </c>
      <c r="I5" s="899"/>
      <c r="J5" s="898" t="str">
        <f ca="1">IF(J$2=0,"",INDIRECT("'"&amp;J$2&amp;"'!N7"))</f>
        <v>Housing</v>
      </c>
      <c r="K5" s="899"/>
      <c r="L5" s="898" t="str">
        <f ca="1">IF(L$2=0,"",INDIRECT("'"&amp;L$2&amp;"'!N7"))</f>
        <v/>
      </c>
      <c r="M5" s="899"/>
      <c r="N5" s="898" t="str">
        <f ca="1">IF(N$2=0,"",INDIRECT("'"&amp;N$2&amp;"'!N7"))</f>
        <v/>
      </c>
      <c r="O5" s="899"/>
      <c r="P5" s="898" t="str">
        <f ca="1">IF(P$2=0,"",INDIRECT("'"&amp;P$2&amp;"'!N7"))</f>
        <v/>
      </c>
      <c r="Q5" s="899"/>
    </row>
    <row r="6" spans="2:17" ht="13.6" x14ac:dyDescent="0.25">
      <c r="B6" s="108" t="str">
        <f ca="1">VLOOKUP("avg_qty",translation,VLOOKUP(INDIRECT("'"&amp;F$2&amp;"'!J2"),languages,2,FALSE),FALSE)</f>
        <v>Annual Quantity (avg)</v>
      </c>
      <c r="C6" s="894">
        <f ca="1">SUMPRODUCT(F$6:Q$6,$F$3:$Q$3)</f>
        <v>24000</v>
      </c>
      <c r="D6" s="895"/>
      <c r="E6" s="111"/>
      <c r="F6" s="896">
        <f ca="1">IF(F$2=0,0,INDIRECT("'"&amp;F$2&amp;"'!J4"))</f>
        <v>8000</v>
      </c>
      <c r="G6" s="897"/>
      <c r="H6" s="896">
        <f ca="1">IF(H$2=0,0,INDIRECT("'"&amp;H$2&amp;"'!J4"))</f>
        <v>8000</v>
      </c>
      <c r="I6" s="897"/>
      <c r="J6" s="896">
        <f ca="1">IF(J$2=0,0,INDIRECT("'"&amp;J$2&amp;"'!J4"))</f>
        <v>8000</v>
      </c>
      <c r="K6" s="897"/>
      <c r="L6" s="896">
        <f ca="1">IF(L$2=0,0,INDIRECT("'"&amp;L$2&amp;"'!J4"))</f>
        <v>0</v>
      </c>
      <c r="M6" s="897"/>
      <c r="N6" s="896">
        <f ca="1">IF(N$2=0,0,INDIRECT("'"&amp;N$2&amp;"'!J4"))</f>
        <v>0</v>
      </c>
      <c r="O6" s="897"/>
      <c r="P6" s="896">
        <f ca="1">IF(P$2=0,0,INDIRECT("'"&amp;P$2&amp;"'!J4"))</f>
        <v>0</v>
      </c>
      <c r="Q6" s="897"/>
    </row>
    <row r="7" spans="2:17" ht="12.75" customHeight="1" x14ac:dyDescent="0.2">
      <c r="B7" s="108" t="str">
        <f ca="1">VLOOKUP("peak_qty",translation,VLOOKUP(INDIRECT("'"&amp;F$2&amp;"'!J2"),languages,2,FALSE),FALSE)</f>
        <v>Annual Quantity (peak)</v>
      </c>
      <c r="C7" s="108"/>
      <c r="D7" s="108"/>
      <c r="E7" s="108"/>
      <c r="F7" s="896">
        <f ca="1">IF(F$2=0,"",INDIRECT("'"&amp;F$2&amp;"'!K4"))</f>
        <v>0</v>
      </c>
      <c r="G7" s="897"/>
      <c r="H7" s="896">
        <f ca="1">IF(H$2=0,"",INDIRECT("'"&amp;H$2&amp;"'!K4"))</f>
        <v>0</v>
      </c>
      <c r="I7" s="897"/>
      <c r="J7" s="896">
        <f ca="1">IF(J$2=0,"",INDIRECT("'"&amp;J$2&amp;"'!K4"))</f>
        <v>0</v>
      </c>
      <c r="K7" s="897"/>
      <c r="L7" s="896" t="str">
        <f ca="1">IF(L$2=0,"",INDIRECT("'"&amp;L$2&amp;"'!K4"))</f>
        <v/>
      </c>
      <c r="M7" s="897"/>
      <c r="N7" s="896" t="str">
        <f ca="1">IF(N$2=0,"",INDIRECT("'"&amp;N$2&amp;"'!K4"))</f>
        <v/>
      </c>
      <c r="O7" s="897"/>
      <c r="P7" s="896" t="str">
        <f ca="1">IF(P$2=0,"",INDIRECT("'"&amp;P$2&amp;"'!K4"))</f>
        <v/>
      </c>
      <c r="Q7" s="897"/>
    </row>
    <row r="8" spans="2:17" ht="12.75" customHeight="1" x14ac:dyDescent="0.2">
      <c r="B8" s="108" t="str">
        <f ca="1">VLOOKUP("est_lft",translation,VLOOKUP(INDIRECT("'"&amp;F$2&amp;"'!J2"),languages,2,FALSE),FALSE)</f>
        <v>Estimated Lifetime (years)</v>
      </c>
      <c r="C8" s="108"/>
      <c r="D8" s="108"/>
      <c r="E8" s="108"/>
      <c r="F8" s="112">
        <f ca="1">IF(F$2=0,"",INDIRECT("'"&amp;F$2&amp;"'!J5"))</f>
        <v>7</v>
      </c>
      <c r="G8" s="197"/>
      <c r="H8" s="112">
        <f ca="1">IF(H$2=0,"",INDIRECT("'"&amp;H$2&amp;"'!J5"))</f>
        <v>7</v>
      </c>
      <c r="I8" s="197"/>
      <c r="J8" s="112">
        <f ca="1">IF(J$2=0,"",INDIRECT("'"&amp;J$2&amp;"'!J5"))</f>
        <v>7</v>
      </c>
      <c r="K8" s="197"/>
      <c r="L8" s="112" t="str">
        <f ca="1">IF(L$2=0,"",INDIRECT("'"&amp;L$2&amp;"'!J5"))</f>
        <v/>
      </c>
      <c r="M8" s="197"/>
      <c r="N8" s="112" t="str">
        <f ca="1">IF(N$2=0,"",INDIRECT("'"&amp;N$2&amp;"'!J5"))</f>
        <v/>
      </c>
      <c r="O8" s="197"/>
      <c r="P8" s="112" t="str">
        <f ca="1">IF(P$2=0,"",INDIRECT("'"&amp;P$2&amp;"'!J5"))</f>
        <v/>
      </c>
      <c r="Q8" s="197"/>
    </row>
    <row r="9" spans="2:17" ht="6.8" customHeight="1" x14ac:dyDescent="0.25">
      <c r="B9" s="108"/>
      <c r="C9" s="200"/>
      <c r="D9" s="201"/>
      <c r="E9" s="111"/>
      <c r="F9" s="198"/>
      <c r="G9" s="197"/>
      <c r="H9" s="198"/>
      <c r="I9" s="197"/>
      <c r="J9" s="198"/>
      <c r="K9" s="197"/>
      <c r="L9" s="198"/>
      <c r="M9" s="197"/>
      <c r="N9" s="198"/>
      <c r="O9" s="197"/>
      <c r="P9" s="198"/>
      <c r="Q9" s="197"/>
    </row>
    <row r="10" spans="2:17" ht="13.6" x14ac:dyDescent="0.25">
      <c r="B10" s="113" t="s">
        <v>170</v>
      </c>
      <c r="C10" s="114" t="s">
        <v>131</v>
      </c>
      <c r="D10" s="115"/>
      <c r="E10" s="108"/>
      <c r="F10" s="116" t="str">
        <f ca="1">IF(F$2=0,"",LEFT(INDIRECT("'"&amp;F$2&amp;"'!D7"),3))</f>
        <v>EUR</v>
      </c>
      <c r="G10" s="172" t="str">
        <f>IF(F$2=0,"",$C$2)</f>
        <v>/pc</v>
      </c>
      <c r="H10" s="116" t="str">
        <f ca="1">IF(H$2=0,"",LEFT(INDIRECT("'"&amp;H$2&amp;"'!D7"),3))</f>
        <v>EUR</v>
      </c>
      <c r="I10" s="172" t="str">
        <f>IF(H$2=0,"",$C$2)</f>
        <v>/pc</v>
      </c>
      <c r="J10" s="116" t="str">
        <f ca="1">IF(J$2=0,"",LEFT(INDIRECT("'"&amp;J$2&amp;"'!D7"),3))</f>
        <v>EUR</v>
      </c>
      <c r="K10" s="172" t="str">
        <f>IF(J$2=0,"",$C$2)</f>
        <v>/pc</v>
      </c>
      <c r="L10" s="116" t="str">
        <f ca="1">IF(L$2=0,"",LEFT(INDIRECT("'"&amp;L$2&amp;"'!D7"),3))</f>
        <v/>
      </c>
      <c r="M10" s="172" t="str">
        <f>IF(L$2=0,"",$C$2)</f>
        <v/>
      </c>
      <c r="N10" s="116" t="str">
        <f ca="1">IF(N$2=0,"",LEFT(INDIRECT("'"&amp;N$2&amp;"'!D7"),3))</f>
        <v/>
      </c>
      <c r="O10" s="172" t="str">
        <f>IF(N$2=0,"",$C$2)</f>
        <v/>
      </c>
      <c r="P10" s="116" t="str">
        <f ca="1">IF(P$2=0,"",LEFT(INDIRECT("'"&amp;P$2&amp;"'!D7"),3))</f>
        <v/>
      </c>
      <c r="Q10" s="172" t="str">
        <f>IF(P$2=0,"",$C$2)</f>
        <v/>
      </c>
    </row>
    <row r="11" spans="2:17" ht="14.95" hidden="1" customHeight="1" x14ac:dyDescent="0.2">
      <c r="B11" s="111" t="s">
        <v>113</v>
      </c>
      <c r="C11" s="111"/>
      <c r="D11" s="111"/>
      <c r="E11" s="111"/>
      <c r="F11" s="117">
        <f ca="1">IF(F$2=0,0,1/INDIRECT("'"&amp;F$2&amp;"'!S3"))</f>
        <v>1</v>
      </c>
      <c r="G11" s="118"/>
      <c r="H11" s="117">
        <f ca="1">IF(H$2=0,0,1/INDIRECT("'"&amp;H$2&amp;"'!S3"))</f>
        <v>1</v>
      </c>
      <c r="I11" s="118"/>
      <c r="J11" s="117">
        <f ca="1">IF(J$2=0,0,1/INDIRECT("'"&amp;J$2&amp;"'!S3"))</f>
        <v>1</v>
      </c>
      <c r="K11" s="118"/>
      <c r="L11" s="117">
        <f ca="1">IF(L$2=0,0,1/INDIRECT("'"&amp;L$2&amp;"'!S3"))</f>
        <v>0</v>
      </c>
      <c r="M11" s="118"/>
      <c r="N11" s="117">
        <f ca="1">IF(N$2=0,0,1/INDIRECT("'"&amp;N$2&amp;"'!S3"))</f>
        <v>0</v>
      </c>
      <c r="O11" s="118"/>
      <c r="P11" s="117">
        <f ca="1">IF(P$2=0,0,1/INDIRECT("'"&amp;P$2&amp;"'!S3"))</f>
        <v>0</v>
      </c>
      <c r="Q11" s="118"/>
    </row>
    <row r="12" spans="2:17" ht="13.6" x14ac:dyDescent="0.25">
      <c r="B12" s="113" t="str">
        <f ca="1">VLOOKUP("alt_cur",translation,VLOOKUP(INDIRECT("'"&amp;F$2&amp;"'!J2"),languages,2,FALSE),FALSE)</f>
        <v>Alternate Currency</v>
      </c>
      <c r="C12" s="114"/>
      <c r="D12" s="115"/>
      <c r="E12" s="108"/>
      <c r="F12" s="263"/>
      <c r="G12" s="172"/>
      <c r="H12" s="263"/>
      <c r="I12" s="172"/>
      <c r="J12" s="263"/>
      <c r="K12" s="172"/>
      <c r="L12" s="263"/>
      <c r="M12" s="172"/>
      <c r="N12" s="263"/>
      <c r="O12" s="172"/>
      <c r="P12" s="263"/>
      <c r="Q12" s="172"/>
    </row>
    <row r="13" spans="2:17" ht="13.6" x14ac:dyDescent="0.25">
      <c r="B13" s="113" t="str">
        <f ca="1">VLOOKUP("cur_conv",translation,VLOOKUP(INDIRECT("'"&amp;F$2&amp;"'!J2"),languages,2,FALSE),FALSE)</f>
        <v>Currency Conversion Rate</v>
      </c>
      <c r="C13" s="114"/>
      <c r="D13" s="115"/>
      <c r="E13" s="108"/>
      <c r="F13" s="263"/>
      <c r="G13" s="172" t="str">
        <f ca="1">IF(F$2=0,"","/"&amp;F10)</f>
        <v>/EUR</v>
      </c>
      <c r="H13" s="263"/>
      <c r="I13" s="172" t="str">
        <f ca="1">IF(H$2=0,"","/"&amp;H10)</f>
        <v>/EUR</v>
      </c>
      <c r="J13" s="263"/>
      <c r="K13" s="172" t="str">
        <f ca="1">IF(J$2=0,"","/"&amp;J10)</f>
        <v>/EUR</v>
      </c>
      <c r="L13" s="263"/>
      <c r="M13" s="172" t="str">
        <f>IF(L$2=0,"","/"&amp;L10)</f>
        <v/>
      </c>
      <c r="N13" s="263"/>
      <c r="O13" s="172" t="str">
        <f>IF(N$2=0,"","/"&amp;N10)</f>
        <v/>
      </c>
      <c r="P13" s="263"/>
      <c r="Q13" s="172" t="str">
        <f>IF(P$2=0,"","/"&amp;P10)</f>
        <v/>
      </c>
    </row>
    <row r="14" spans="2:17" ht="5.95" customHeight="1" x14ac:dyDescent="0.25">
      <c r="B14" s="113"/>
      <c r="C14" s="114"/>
      <c r="D14" s="115"/>
      <c r="E14" s="108"/>
      <c r="F14" s="116"/>
      <c r="G14" s="172"/>
      <c r="H14" s="116"/>
      <c r="I14" s="172"/>
      <c r="J14" s="116"/>
      <c r="K14" s="172"/>
      <c r="L14" s="116"/>
      <c r="M14" s="172"/>
      <c r="N14" s="116"/>
      <c r="O14" s="172"/>
      <c r="P14" s="116"/>
      <c r="Q14" s="172"/>
    </row>
    <row r="15" spans="2:17" ht="13.6" x14ac:dyDescent="0.25">
      <c r="B15" s="147" t="s">
        <v>13</v>
      </c>
      <c r="C15" s="221">
        <f ca="1">SUMPRODUCT(F15:Q15,F$6:Q$6,$F$3:$Q$3)/D2</f>
        <v>113468.73353280002</v>
      </c>
      <c r="D15" s="148">
        <f t="shared" ref="D15:D32" ca="1" si="0">IF($C$32=0,0,+C15/$C$32)</f>
        <v>0.56061903751640763</v>
      </c>
      <c r="E15" s="179"/>
      <c r="F15" s="149">
        <f ca="1">SUM(F16:F18)</f>
        <v>4.9586591016000012</v>
      </c>
      <c r="G15" s="165">
        <f t="shared" ref="G15:G31" ca="1" si="1">IF(F$32=0,0,F15/F$32)</f>
        <v>0.47126623761052006</v>
      </c>
      <c r="H15" s="149">
        <f ca="1">SUM(H16:H18)</f>
        <v>4.5427011300000002</v>
      </c>
      <c r="I15" s="165">
        <f t="shared" ref="I15:I31" ca="1" si="2">IF(H$32=0,0,H15/H$32)</f>
        <v>0.62597316877818066</v>
      </c>
      <c r="J15" s="149">
        <f ca="1">SUM(J16:J18)</f>
        <v>4.6822314600000006</v>
      </c>
      <c r="K15" s="165">
        <f t="shared" ref="K15:K31" ca="1" si="3">IF(J$32=0,0,J15/J$32)</f>
        <v>0.6225657892992178</v>
      </c>
      <c r="L15" s="149">
        <f ca="1">SUM(L16:L18)</f>
        <v>0</v>
      </c>
      <c r="M15" s="165">
        <f t="shared" ref="M15:M31" ca="1" si="4">IF(L$32=0,0,L15/L$32)</f>
        <v>0</v>
      </c>
      <c r="N15" s="149">
        <f ca="1">SUM(N16:N18)</f>
        <v>0</v>
      </c>
      <c r="O15" s="165">
        <f t="shared" ref="O15:O31" ca="1" si="5">IF(N$32=0,0,N15/N$32)</f>
        <v>0</v>
      </c>
      <c r="P15" s="149">
        <f ca="1">SUM(P16:P18)</f>
        <v>0</v>
      </c>
      <c r="Q15" s="165">
        <f t="shared" ref="Q15:Q31" ca="1" si="6">IF(P$32=0,0,P15/P$32)</f>
        <v>0</v>
      </c>
    </row>
    <row r="16" spans="2:17" ht="12.75" customHeight="1" x14ac:dyDescent="0.25">
      <c r="B16" s="204" t="str">
        <f ca="1">VLOOKUP("material",translation,VLOOKUP(INDIRECT("'"&amp;F$2&amp;"'!J2"),languages,2,FALSE),FALSE)</f>
        <v>Raw Material</v>
      </c>
      <c r="C16" s="222">
        <f ca="1">SUMPRODUCT(F16:Q16,F$6:Q$6,$F$3:$Q$3)/D2</f>
        <v>110332.80000000002</v>
      </c>
      <c r="D16" s="119">
        <f t="shared" ca="1" si="0"/>
        <v>0.5451252183458114</v>
      </c>
      <c r="E16" s="205"/>
      <c r="F16" s="144">
        <f ca="1">IF(F$2=0,0,(INDIRECT("'"&amp;F$2&amp;"'!S12")+INDIRECT("'"&amp;F$2&amp;"'!U12"))*F11*$D$2*IF(F$13=0,1,F$13))</f>
        <v>4.7466000000000008</v>
      </c>
      <c r="G16" s="166">
        <f t="shared" ca="1" si="1"/>
        <v>0.45111234259284216</v>
      </c>
      <c r="H16" s="144">
        <f ca="1">IF(H$2=0,0,(INDIRECT("'"&amp;H$2&amp;"'!S12")+INDIRECT("'"&amp;H$2&amp;"'!U12"))*H11*$D$2*IF(H$13=0,1,H$13))</f>
        <v>4.4550000000000001</v>
      </c>
      <c r="I16" s="166">
        <f t="shared" ca="1" si="2"/>
        <v>0.61388816633569609</v>
      </c>
      <c r="J16" s="144">
        <f ca="1">IF(J$2=0,0,(INDIRECT("'"&amp;J$2&amp;"'!S12")+INDIRECT("'"&amp;J$2&amp;"'!U12"))*J11*$D$2*IF(J$13=0,1,J$13))</f>
        <v>4.5900000000000007</v>
      </c>
      <c r="K16" s="166">
        <f t="shared" ca="1" si="3"/>
        <v>0.61030237340795823</v>
      </c>
      <c r="L16" s="144">
        <f ca="1">IF(L$2=0,0,(INDIRECT("'"&amp;L$2&amp;"'!S12")+INDIRECT("'"&amp;L$2&amp;"'!U12"))*L11*$D$2*IF(L$13=0,1,L$13))</f>
        <v>0</v>
      </c>
      <c r="M16" s="166">
        <f t="shared" ca="1" si="4"/>
        <v>0</v>
      </c>
      <c r="N16" s="144">
        <f ca="1">IF(N$2=0,0,(INDIRECT("'"&amp;N$2&amp;"'!S12")+INDIRECT("'"&amp;N$2&amp;"'!U12"))*N11*$D$2*IF(N$13=0,1,N$13))</f>
        <v>0</v>
      </c>
      <c r="O16" s="166">
        <f t="shared" ca="1" si="5"/>
        <v>0</v>
      </c>
      <c r="P16" s="144">
        <f ca="1">IF(P$2=0,0,(INDIRECT("'"&amp;P$2&amp;"'!S12")+INDIRECT("'"&amp;P$2&amp;"'!U12"))*P11*$D$2*IF(P$13=0,1,P$13))</f>
        <v>0</v>
      </c>
      <c r="Q16" s="166">
        <f t="shared" ca="1" si="6"/>
        <v>0</v>
      </c>
    </row>
    <row r="17" spans="2:17" ht="12.75" customHeight="1" x14ac:dyDescent="0.25">
      <c r="B17" s="204" t="str">
        <f ca="1">VLOOKUP("purch_comp2",translation,VLOOKUP(INDIRECT("'"&amp;F$2&amp;"'!J2"),languages,2,FALSE),FALSE)</f>
        <v>Purchased Components</v>
      </c>
      <c r="C17" s="222">
        <f ca="1">SUMPRODUCT(F17:Q17,F$6:Q$6,$F$3:$Q$3)/D2</f>
        <v>0</v>
      </c>
      <c r="D17" s="119">
        <f t="shared" ca="1" si="0"/>
        <v>0</v>
      </c>
      <c r="E17" s="205"/>
      <c r="F17" s="144">
        <f ca="1">IF(F$2=0,0,(INDIRECT("'"&amp;F$2&amp;"'!S35")+INDIRECT("'"&amp;F$2&amp;"'!U35"))*F11*$D$2*IF(F$13=0,1,F$13))</f>
        <v>0</v>
      </c>
      <c r="G17" s="166">
        <f t="shared" ca="1" si="1"/>
        <v>0</v>
      </c>
      <c r="H17" s="144">
        <f ca="1">IF(H$2=0,0,(INDIRECT("'"&amp;H$2&amp;"'!S35")+INDIRECT("'"&amp;H$2&amp;"'!U35"))*H11*$D$2*IF(H$13=0,1,H$13))</f>
        <v>0</v>
      </c>
      <c r="I17" s="166">
        <f t="shared" ca="1" si="2"/>
        <v>0</v>
      </c>
      <c r="J17" s="144">
        <f ca="1">IF(J$2=0,0,(INDIRECT("'"&amp;J$2&amp;"'!S35")+INDIRECT("'"&amp;J$2&amp;"'!U35"))*J11*$D$2*IF(J$13=0,1,J$13))</f>
        <v>0</v>
      </c>
      <c r="K17" s="166">
        <f t="shared" ca="1" si="3"/>
        <v>0</v>
      </c>
      <c r="L17" s="144">
        <f ca="1">IF(L$2=0,0,(INDIRECT("'"&amp;L$2&amp;"'!S35")+INDIRECT("'"&amp;L$2&amp;"'!U35"))*L11*$D$2*IF(L$13=0,1,L$13))</f>
        <v>0</v>
      </c>
      <c r="M17" s="166">
        <f t="shared" ca="1" si="4"/>
        <v>0</v>
      </c>
      <c r="N17" s="144">
        <f ca="1">IF(N$2=0,0,(INDIRECT("'"&amp;N$2&amp;"'!S35")+INDIRECT("'"&amp;N$2&amp;"'!U35"))*N11*$D$2*IF(N$13=0,1,N$13))</f>
        <v>0</v>
      </c>
      <c r="O17" s="166">
        <f t="shared" ca="1" si="5"/>
        <v>0</v>
      </c>
      <c r="P17" s="144">
        <f ca="1">IF(P$2=0,0,(INDIRECT("'"&amp;P$2&amp;"'!S35")+INDIRECT("'"&amp;P$2&amp;"'!U35"))*P11*$D$2*IF(P$13=0,1,P$13))</f>
        <v>0</v>
      </c>
      <c r="Q17" s="166">
        <f t="shared" ca="1" si="6"/>
        <v>0</v>
      </c>
    </row>
    <row r="18" spans="2:17" ht="12.75" customHeight="1" x14ac:dyDescent="0.25">
      <c r="B18" s="204" t="str">
        <f ca="1">VLOOKUP("moh3",translation,VLOOKUP(INDIRECT("'"&amp;F$2&amp;"'!J2"),languages,2,FALSE),FALSE)</f>
        <v>Material Overhead</v>
      </c>
      <c r="C18" s="223">
        <f ca="1">SUMPRODUCT(F18:Q18,F$6:Q$6,$F$3:$Q$3)/D2</f>
        <v>3135.9335328000002</v>
      </c>
      <c r="D18" s="164">
        <f t="shared" ca="1" si="0"/>
        <v>1.5493819170596156E-2</v>
      </c>
      <c r="E18" s="205"/>
      <c r="F18" s="150">
        <f ca="1">IF(F$2=0,0,INDIRECT("'"&amp;F$2&amp;"'!O62")*F11*$D$2*IF(F$13=0,1,F$13))</f>
        <v>0.21205910160000002</v>
      </c>
      <c r="G18" s="166">
        <f t="shared" ca="1" si="1"/>
        <v>2.0153895017677816E-2</v>
      </c>
      <c r="H18" s="150">
        <f ca="1">IF(H$2=0,0,INDIRECT("'"&amp;H$2&amp;"'!O62")*H11*$D$2*IF(H$13=0,1,H$13))</f>
        <v>8.7701129999999988E-2</v>
      </c>
      <c r="I18" s="166">
        <f t="shared" ca="1" si="2"/>
        <v>1.2085002442484512E-2</v>
      </c>
      <c r="J18" s="150">
        <f ca="1">IF(J$2=0,0,INDIRECT("'"&amp;J$2&amp;"'!O62")*J11*$D$2*IF(J$13=0,1,J$13))</f>
        <v>9.2231460000000015E-2</v>
      </c>
      <c r="K18" s="166">
        <f t="shared" ca="1" si="3"/>
        <v>1.2263415891259514E-2</v>
      </c>
      <c r="L18" s="150">
        <f ca="1">IF(L$2=0,0,INDIRECT("'"&amp;L$2&amp;"'!O62")*L11*$D$2*IF(L$13=0,1,L$13))</f>
        <v>0</v>
      </c>
      <c r="M18" s="166">
        <f t="shared" ca="1" si="4"/>
        <v>0</v>
      </c>
      <c r="N18" s="150">
        <f ca="1">IF(N$2=0,0,INDIRECT("'"&amp;N$2&amp;"'!O62")*N11*$D$2*IF(N$13=0,1,N$13))</f>
        <v>0</v>
      </c>
      <c r="O18" s="166">
        <f t="shared" ca="1" si="5"/>
        <v>0</v>
      </c>
      <c r="P18" s="150">
        <f ca="1">IF(P$2=0,0,INDIRECT("'"&amp;P$2&amp;"'!O62")*P11*$D$2*IF(P$13=0,1,P$13))</f>
        <v>0</v>
      </c>
      <c r="Q18" s="166">
        <f t="shared" ca="1" si="6"/>
        <v>0</v>
      </c>
    </row>
    <row r="19" spans="2:17" ht="13.6" x14ac:dyDescent="0.25">
      <c r="B19" s="151" t="str">
        <f ca="1">VLOOKUP("prod",translation,VLOOKUP(INDIRECT("'"&amp;F$2&amp;"'!J2"),languages,2,FALSE),FALSE)</f>
        <v>Production</v>
      </c>
      <c r="C19" s="221">
        <f ca="1">SUMPRODUCT(F19:Q19,F$6:Q$6,$F$3:$Q$3)/D2</f>
        <v>66510.990042399993</v>
      </c>
      <c r="D19" s="148">
        <f t="shared" ca="1" si="0"/>
        <v>0.32861323168866718</v>
      </c>
      <c r="E19" s="179"/>
      <c r="F19" s="152">
        <f ca="1">SUM(F20:F24)</f>
        <v>4.2309979707999998</v>
      </c>
      <c r="G19" s="165">
        <f t="shared" ca="1" si="1"/>
        <v>0.40211001687800729</v>
      </c>
      <c r="H19" s="152">
        <f ca="1">SUM(H20:H24)</f>
        <v>1.9772509635</v>
      </c>
      <c r="I19" s="165">
        <f t="shared" ca="1" si="2"/>
        <v>0.2724603744934912</v>
      </c>
      <c r="J19" s="152">
        <f ca="1">SUM(J20:J24)</f>
        <v>2.1056248210000001</v>
      </c>
      <c r="K19" s="165">
        <f t="shared" ca="1" si="3"/>
        <v>0.27997120386993618</v>
      </c>
      <c r="L19" s="152">
        <f ca="1">SUM(L20:L24)</f>
        <v>0</v>
      </c>
      <c r="M19" s="165">
        <f t="shared" ca="1" si="4"/>
        <v>0</v>
      </c>
      <c r="N19" s="152">
        <f ca="1">SUM(N20:N24)</f>
        <v>0</v>
      </c>
      <c r="O19" s="165">
        <f t="shared" ca="1" si="5"/>
        <v>0</v>
      </c>
      <c r="P19" s="152">
        <f ca="1">SUM(P20:P24)</f>
        <v>0</v>
      </c>
      <c r="Q19" s="165">
        <f t="shared" ca="1" si="6"/>
        <v>0</v>
      </c>
    </row>
    <row r="20" spans="2:17" ht="12.75" customHeight="1" x14ac:dyDescent="0.25">
      <c r="B20" s="206" t="str">
        <f ca="1">VLOOKUP("mach_cost2",translation,VLOOKUP(INDIRECT("'"&amp;F$2&amp;"'!J2"),languages,2,FALSE),FALSE)</f>
        <v>Machine Cost</v>
      </c>
      <c r="C20" s="222">
        <f ca="1">SUMPRODUCT(F20:Q20,F$6:Q$6,$F$3:$Q$3)/D2</f>
        <v>34178.024000000005</v>
      </c>
      <c r="D20" s="119">
        <f t="shared" ca="1" si="0"/>
        <v>0.16886458782545519</v>
      </c>
      <c r="E20" s="205"/>
      <c r="F20" s="116">
        <f ca="1">IF(F$2=0,0,INDIRECT("'"&amp;F$2&amp;"'!S64")*F11*$D$2*IF(F$13=0,1,F$13))</f>
        <v>1.4198010000000001</v>
      </c>
      <c r="G20" s="166">
        <f t="shared" ca="1" si="1"/>
        <v>0.13493653459858843</v>
      </c>
      <c r="H20" s="116">
        <f ca="1">IF(H$2=0,0,INDIRECT("'"&amp;H$2&amp;"'!S64")*H11*$D$2*IF(H$13=0,1,H$13))</f>
        <v>1.4434910000000001</v>
      </c>
      <c r="I20" s="166">
        <f t="shared" ca="1" si="2"/>
        <v>0.19890954952010781</v>
      </c>
      <c r="J20" s="116">
        <f ca="1">IF(J$2=0,0,INDIRECT("'"&amp;J$2&amp;"'!S64")*J11*$D$2*IF(J$13=0,1,J$13))</f>
        <v>1.4089609999999999</v>
      </c>
      <c r="K20" s="166">
        <f t="shared" ca="1" si="3"/>
        <v>0.18734035780811548</v>
      </c>
      <c r="L20" s="116">
        <f ca="1">IF(L$2=0,0,INDIRECT("'"&amp;L$2&amp;"'!S64")*L11*$D$2*IF(L$13=0,1,L$13))</f>
        <v>0</v>
      </c>
      <c r="M20" s="166">
        <f t="shared" ca="1" si="4"/>
        <v>0</v>
      </c>
      <c r="N20" s="116">
        <f ca="1">IF(N$2=0,0,INDIRECT("'"&amp;N$2&amp;"'!S64")*N11*$D$2*IF(N$13=0,1,N$13))</f>
        <v>0</v>
      </c>
      <c r="O20" s="166">
        <f t="shared" ca="1" si="5"/>
        <v>0</v>
      </c>
      <c r="P20" s="116">
        <f ca="1">IF(P$2=0,0,INDIRECT("'"&amp;P$2&amp;"'!S64")*P11*$D$2*IF(P$13=0,1,P$13))</f>
        <v>0</v>
      </c>
      <c r="Q20" s="166">
        <f t="shared" ca="1" si="6"/>
        <v>0</v>
      </c>
    </row>
    <row r="21" spans="2:17" ht="12.75" customHeight="1" x14ac:dyDescent="0.25">
      <c r="B21" s="206" t="str">
        <f ca="1">VLOOKUP("dl",translation,VLOOKUP(INDIRECT("'"&amp;F$2&amp;"'!J2"),languages,2,FALSE),FALSE)</f>
        <v>Direct Labour</v>
      </c>
      <c r="C21" s="222">
        <f ca="1">SUMPRODUCT(F21:Q21,F$6:Q$6,$F$3:$Q$3)/D2</f>
        <v>21523.312000000002</v>
      </c>
      <c r="D21" s="119">
        <f t="shared" ca="1" si="0"/>
        <v>0.10634099881019082</v>
      </c>
      <c r="E21" s="205"/>
      <c r="F21" s="116">
        <f ca="1">IF(F$2=0,0,INDIRECT("'"&amp;F$2&amp;"'!T64")*F11*$D$2*IF(F$13=0,1,F$13))</f>
        <v>2.0059110000000002</v>
      </c>
      <c r="G21" s="166">
        <f t="shared" ca="1" si="1"/>
        <v>0.19063987069539262</v>
      </c>
      <c r="H21" s="116">
        <f ca="1">IF(H$2=0,0,INDIRECT("'"&amp;H$2&amp;"'!T64")*H11*$D$2*IF(H$13=0,1,H$13))</f>
        <v>0.27793299999999999</v>
      </c>
      <c r="I21" s="166">
        <f t="shared" ca="1" si="2"/>
        <v>3.8298491522823573E-2</v>
      </c>
      <c r="J21" s="116">
        <f ca="1">IF(J$2=0,0,INDIRECT("'"&amp;J$2&amp;"'!T64")*J11*$D$2*IF(J$13=0,1,J$13))</f>
        <v>0.40656999999999999</v>
      </c>
      <c r="K21" s="166">
        <f t="shared" ca="1" si="3"/>
        <v>5.4058962082020379E-2</v>
      </c>
      <c r="L21" s="116">
        <f ca="1">IF(L$2=0,0,INDIRECT("'"&amp;L$2&amp;"'!T64")*L11*$D$2*IF(L$13=0,1,L$13))</f>
        <v>0</v>
      </c>
      <c r="M21" s="166">
        <f t="shared" ca="1" si="4"/>
        <v>0</v>
      </c>
      <c r="N21" s="116">
        <f ca="1">IF(N$2=0,0,INDIRECT("'"&amp;N$2&amp;"'!T64")*N11*$D$2*IF(N$13=0,1,N$13))</f>
        <v>0</v>
      </c>
      <c r="O21" s="166">
        <f t="shared" ca="1" si="5"/>
        <v>0</v>
      </c>
      <c r="P21" s="116">
        <f ca="1">IF(P$2=0,0,INDIRECT("'"&amp;P$2&amp;"'!T64")*P11*$D$2*IF(P$13=0,1,P$13))</f>
        <v>0</v>
      </c>
      <c r="Q21" s="166">
        <f t="shared" ca="1" si="6"/>
        <v>0</v>
      </c>
    </row>
    <row r="22" spans="2:17" ht="12.75" customHeight="1" x14ac:dyDescent="0.25">
      <c r="B22" s="206" t="str">
        <f ca="1">VLOOKUP("poh2",translation,VLOOKUP(INDIRECT("'"&amp;F$2&amp;"'!J2"),languages,2,FALSE),FALSE)</f>
        <v>Production OH</v>
      </c>
      <c r="C22" s="222">
        <f ca="1">SUMPRODUCT(F22:Q22,F$6:Q$6,$F$3:$Q$3)/D2</f>
        <v>4708.9020424000009</v>
      </c>
      <c r="D22" s="160">
        <f t="shared" ca="1" si="0"/>
        <v>2.3265441047742263E-2</v>
      </c>
      <c r="E22" s="205"/>
      <c r="F22" s="116">
        <f ca="1">IF(F$2=0,0,INDIRECT("'"&amp;F$2&amp;"'!O91")*F11*$D$2*IF(F$13=0,1,F$13))</f>
        <v>0.44691697080000004</v>
      </c>
      <c r="G22" s="166">
        <f t="shared" ca="1" si="1"/>
        <v>4.2474563190933477E-2</v>
      </c>
      <c r="H22" s="116">
        <f ca="1">IF(H$2=0,0,INDIRECT("'"&amp;H$2&amp;"'!O91")*H11*$D$2*IF(H$13=0,1,H$13))</f>
        <v>5.8226963499999992E-2</v>
      </c>
      <c r="I22" s="166">
        <f t="shared" ca="1" si="2"/>
        <v>8.0235339740315371E-3</v>
      </c>
      <c r="J22" s="116">
        <f ca="1">IF(J$2=0,0,INDIRECT("'"&amp;J$2&amp;"'!O91")*J11*$D$2*IF(J$13=0,1,J$13))</f>
        <v>8.3468820999999999E-2</v>
      </c>
      <c r="K22" s="166">
        <f t="shared" ca="1" si="3"/>
        <v>1.1098304915438784E-2</v>
      </c>
      <c r="L22" s="116">
        <f ca="1">IF(L$2=0,0,INDIRECT("'"&amp;L$2&amp;"'!O91")*L11*$D$2*IF(L$13=0,1,L$13))</f>
        <v>0</v>
      </c>
      <c r="M22" s="166">
        <f t="shared" ca="1" si="4"/>
        <v>0</v>
      </c>
      <c r="N22" s="116">
        <f ca="1">IF(N$2=0,0,INDIRECT("'"&amp;N$2&amp;"'!O91")*N11*$D$2*IF(N$13=0,1,N$13))</f>
        <v>0</v>
      </c>
      <c r="O22" s="166">
        <f t="shared" ca="1" si="5"/>
        <v>0</v>
      </c>
      <c r="P22" s="116">
        <f ca="1">IF(P$2=0,0,INDIRECT("'"&amp;P$2&amp;"'!O91")*P11*$D$2*IF(P$13=0,1,P$13))</f>
        <v>0</v>
      </c>
      <c r="Q22" s="166">
        <f t="shared" ca="1" si="6"/>
        <v>0</v>
      </c>
    </row>
    <row r="23" spans="2:17" ht="12.75" customHeight="1" x14ac:dyDescent="0.25">
      <c r="B23" s="206" t="s">
        <v>23</v>
      </c>
      <c r="C23" s="222">
        <f ca="1">SUMPRODUCT(F23:Q23,F$6:Q$6,$F$3:$Q$3)/D2</f>
        <v>6100.7519999999995</v>
      </c>
      <c r="D23" s="160">
        <f t="shared" ca="1" si="0"/>
        <v>3.0142204005278981E-2</v>
      </c>
      <c r="E23" s="205"/>
      <c r="F23" s="116">
        <f ca="1">IF(F$2=0,0,INDIRECT("'"&amp;F$2&amp;"'!U64")*F11*$D$2*IF(F$13=0,1,F$13))</f>
        <v>0.35836899999999999</v>
      </c>
      <c r="G23" s="166">
        <f t="shared" ca="1" si="1"/>
        <v>3.4059048393092789E-2</v>
      </c>
      <c r="H23" s="116">
        <f ca="1">IF(H$2=0,0,INDIRECT("'"&amp;H$2&amp;"'!U64")*H11*$D$2*IF(H$13=0,1,H$13))</f>
        <v>0.1976</v>
      </c>
      <c r="I23" s="166">
        <f t="shared" ca="1" si="2"/>
        <v>2.7228799476528294E-2</v>
      </c>
      <c r="J23" s="116">
        <f ca="1">IF(J$2=0,0,INDIRECT("'"&amp;J$2&amp;"'!U64")*J11*$D$2*IF(J$13=0,1,J$13))</f>
        <v>0.206625</v>
      </c>
      <c r="K23" s="166">
        <f t="shared" ca="1" si="3"/>
        <v>2.7473579064361518E-2</v>
      </c>
      <c r="L23" s="116">
        <f ca="1">IF(L$2=0,0,INDIRECT("'"&amp;L$2&amp;"'!U64")*L11*$D$2*IF(L$13=0,1,L$13))</f>
        <v>0</v>
      </c>
      <c r="M23" s="166">
        <f t="shared" ca="1" si="4"/>
        <v>0</v>
      </c>
      <c r="N23" s="116">
        <f ca="1">IF(N$2=0,0,INDIRECT("'"&amp;N$2&amp;"'!U64")*N11*$D$2*IF(N$13=0,1,N$13))</f>
        <v>0</v>
      </c>
      <c r="O23" s="166">
        <f t="shared" ca="1" si="5"/>
        <v>0</v>
      </c>
      <c r="P23" s="116">
        <f ca="1">IF(P$2=0,0,INDIRECT("'"&amp;P$2&amp;"'!U64")*P11*$D$2*IF(P$13=0,1,P$13))</f>
        <v>0</v>
      </c>
      <c r="Q23" s="166">
        <f t="shared" ca="1" si="6"/>
        <v>0</v>
      </c>
    </row>
    <row r="24" spans="2:17" ht="12.75" customHeight="1" x14ac:dyDescent="0.25">
      <c r="B24" s="206" t="str">
        <f ca="1">VLOOKUP("tool_maint",translation,VLOOKUP(INDIRECT("'"&amp;F$2&amp;"'!J2"),languages,2,FALSE),FALSE)</f>
        <v>Tool Maint.</v>
      </c>
      <c r="C24" s="222">
        <f ca="1">SUMPRODUCT(F24:Q24,F$6:Q$6,$F$3:$Q$3)/D2</f>
        <v>0</v>
      </c>
      <c r="D24" s="160">
        <f t="shared" ca="1" si="0"/>
        <v>0</v>
      </c>
      <c r="E24" s="205"/>
      <c r="F24" s="116">
        <f ca="1">IF(F$2=0,0,INDIRECT("'"&amp;F$2&amp;"'!V64")*F11*$D$2*IF(F$13=0,1,F$13))</f>
        <v>0</v>
      </c>
      <c r="G24" s="166">
        <f t="shared" ca="1" si="1"/>
        <v>0</v>
      </c>
      <c r="H24" s="116">
        <f ca="1">IF(H$2=0,0,INDIRECT("'"&amp;H$2&amp;"'!V64")*H11*$D$2*IF(H$13=0,1,H$13))</f>
        <v>0</v>
      </c>
      <c r="I24" s="166">
        <f t="shared" ca="1" si="2"/>
        <v>0</v>
      </c>
      <c r="J24" s="116">
        <f ca="1">IF(J$2=0,0,INDIRECT("'"&amp;J$2&amp;"'!V64")*J11*$D$2*IF(J$13=0,1,J$13))</f>
        <v>0</v>
      </c>
      <c r="K24" s="166">
        <f t="shared" ca="1" si="3"/>
        <v>0</v>
      </c>
      <c r="L24" s="116">
        <f ca="1">IF(L$2=0,0,INDIRECT("'"&amp;L$2&amp;"'!V64")*L11*$D$2*IF(L$13=0,1,L$13))</f>
        <v>0</v>
      </c>
      <c r="M24" s="166">
        <f t="shared" ca="1" si="4"/>
        <v>0</v>
      </c>
      <c r="N24" s="116">
        <f ca="1">IF(N$2=0,0,INDIRECT("'"&amp;N$2&amp;"'!V64")*N11*$D$2*IF(N$13=0,1,N$13))</f>
        <v>0</v>
      </c>
      <c r="O24" s="166">
        <f t="shared" ca="1" si="5"/>
        <v>0</v>
      </c>
      <c r="P24" s="116">
        <f ca="1">IF(P$2=0,0,INDIRECT("'"&amp;P$2&amp;"'!V64")*P11*$D$2*IF(P$13=0,1,P$13))</f>
        <v>0</v>
      </c>
      <c r="Q24" s="166">
        <f t="shared" ca="1" si="6"/>
        <v>0</v>
      </c>
    </row>
    <row r="25" spans="2:17" ht="13.6" x14ac:dyDescent="0.25">
      <c r="B25" s="153" t="str">
        <f ca="1">VLOOKUP("scrap3",translation,VLOOKUP(INDIRECT("'"&amp;F$2&amp;"'!J2"),languages,2,FALSE),FALSE)</f>
        <v>Scrap</v>
      </c>
      <c r="C25" s="224">
        <f ca="1">SUMPRODUCT(F25:Q25,F$6:Q$6,$F$3:$Q$3)/D2</f>
        <v>2397.7920000000004</v>
      </c>
      <c r="D25" s="162">
        <f t="shared" ca="1" si="0"/>
        <v>1.1846856850799035E-2</v>
      </c>
      <c r="E25" s="179"/>
      <c r="F25" s="154">
        <f ca="1">IF(F$2=0,0,(INDIRECT("'"&amp;F$2&amp;"'!O92"))*F11*$D$2*IF(F$13=0,1,F$13))</f>
        <v>0.10461500000000001</v>
      </c>
      <c r="G25" s="167">
        <f t="shared" ca="1" si="1"/>
        <v>9.9425099482472051E-3</v>
      </c>
      <c r="H25" s="154">
        <f ca="1">IF(H$2=0,0,(INDIRECT("'"&amp;H$2&amp;"'!O92"))*H11*$D$2*IF(H$13=0,1,H$13))</f>
        <v>9.6168000000000017E-2</v>
      </c>
      <c r="I25" s="167">
        <f t="shared" ca="1" si="2"/>
        <v>1.3251716538758975E-2</v>
      </c>
      <c r="J25" s="154">
        <f ca="1">IF(J$2=0,0,(INDIRECT("'"&amp;J$2&amp;"'!O92"))*J11*$D$2*IF(J$13=0,1,J$13))</f>
        <v>9.8941000000000001E-2</v>
      </c>
      <c r="K25" s="167">
        <f t="shared" ca="1" si="3"/>
        <v>1.3155539679162699E-2</v>
      </c>
      <c r="L25" s="154">
        <f ca="1">IF(L$2=0,0,(INDIRECT("'"&amp;L$2&amp;"'!O92"))*L11*$D$2*IF(L$13=0,1,L$13))</f>
        <v>0</v>
      </c>
      <c r="M25" s="167">
        <f t="shared" ca="1" si="4"/>
        <v>0</v>
      </c>
      <c r="N25" s="154">
        <f ca="1">IF(N$2=0,0,(INDIRECT("'"&amp;N$2&amp;"'!O92"))*N11*$D$2*IF(N$13=0,1,N$13))</f>
        <v>0</v>
      </c>
      <c r="O25" s="167">
        <f t="shared" ca="1" si="5"/>
        <v>0</v>
      </c>
      <c r="P25" s="154">
        <f ca="1">IF(P$2=0,0,(INDIRECT("'"&amp;P$2&amp;"'!O92"))*P11*$D$2*IF(P$13=0,1,P$13))</f>
        <v>0</v>
      </c>
      <c r="Q25" s="167">
        <f t="shared" ca="1" si="6"/>
        <v>0</v>
      </c>
    </row>
    <row r="26" spans="2:17" ht="13.6" x14ac:dyDescent="0.25">
      <c r="B26" s="125" t="str">
        <f ca="1">VLOOKUP("tot_man_cost",translation,VLOOKUP(INDIRECT("'"&amp;F$2&amp;"'!J2"),languages,2,FALSE),FALSE)</f>
        <v>Total Manufactured Cost</v>
      </c>
      <c r="C26" s="225">
        <f ca="1">SUMPRODUCT(F26:Q26,F$6:Q$6,$F$3:$Q$3)/D2</f>
        <v>182377.51557520003</v>
      </c>
      <c r="D26" s="120">
        <f t="shared" ca="1" si="0"/>
        <v>0.90107912605587392</v>
      </c>
      <c r="E26" s="180"/>
      <c r="F26" s="121">
        <f ca="1">SUM(F15,F25,F19)</f>
        <v>9.2942720724000019</v>
      </c>
      <c r="G26" s="169">
        <f t="shared" ca="1" si="1"/>
        <v>0.88331876443677459</v>
      </c>
      <c r="H26" s="121">
        <f ca="1">SUM(H15,H25,H19)</f>
        <v>6.6161200934999993</v>
      </c>
      <c r="I26" s="169">
        <f t="shared" ca="1" si="2"/>
        <v>0.91168525981043069</v>
      </c>
      <c r="J26" s="121">
        <f ca="1">SUM(J15,J25,J19)</f>
        <v>6.8867972810000007</v>
      </c>
      <c r="K26" s="169">
        <f t="shared" ca="1" si="3"/>
        <v>0.91569253284831664</v>
      </c>
      <c r="L26" s="121">
        <f ca="1">SUM(L15,L25,L19)</f>
        <v>0</v>
      </c>
      <c r="M26" s="169">
        <f t="shared" ca="1" si="4"/>
        <v>0</v>
      </c>
      <c r="N26" s="121">
        <f ca="1">SUM(N15,N25,N19)</f>
        <v>0</v>
      </c>
      <c r="O26" s="169">
        <f t="shared" ca="1" si="5"/>
        <v>0</v>
      </c>
      <c r="P26" s="121">
        <f ca="1">SUM(P15,P25,P19)</f>
        <v>0</v>
      </c>
      <c r="Q26" s="169">
        <f t="shared" ca="1" si="6"/>
        <v>0</v>
      </c>
    </row>
    <row r="27" spans="2:17" ht="13.6" customHeight="1" x14ac:dyDescent="0.25">
      <c r="B27" s="159" t="str">
        <f ca="1">VLOOKUP("overhs",translation,VLOOKUP(INDIRECT("'"&amp;F$2&amp;"'!J2"),languages,2,FALSE),FALSE)</f>
        <v>Overheads</v>
      </c>
      <c r="C27" s="221">
        <f ca="1">SUMPRODUCT(F27:Q27,F$6:Q$6,$F$3:$Q$3)/D2</f>
        <v>7814.8394004621605</v>
      </c>
      <c r="D27" s="161">
        <f t="shared" ca="1" si="0"/>
        <v>3.8611057043004299E-2</v>
      </c>
      <c r="E27" s="179"/>
      <c r="F27" s="158">
        <f ca="1">F29+F28</f>
        <v>0.59191661611492008</v>
      </c>
      <c r="G27" s="165">
        <f t="shared" ca="1" si="1"/>
        <v>5.6255191361233227E-2</v>
      </c>
      <c r="H27" s="158">
        <f ca="1">H29+H28</f>
        <v>0.20385457433684998</v>
      </c>
      <c r="I27" s="165">
        <f t="shared" ca="1" si="2"/>
        <v>2.809066461027894E-2</v>
      </c>
      <c r="J27" s="158">
        <f ca="1">J29+J28</f>
        <v>0.18108373460599997</v>
      </c>
      <c r="K27" s="165">
        <f t="shared" ca="1" si="3"/>
        <v>2.4077523532814508E-2</v>
      </c>
      <c r="L27" s="158">
        <f ca="1">L29+L28</f>
        <v>0</v>
      </c>
      <c r="M27" s="165">
        <f t="shared" ca="1" si="4"/>
        <v>0</v>
      </c>
      <c r="N27" s="158">
        <f ca="1">N29+N28</f>
        <v>0</v>
      </c>
      <c r="O27" s="165">
        <f t="shared" ca="1" si="5"/>
        <v>0</v>
      </c>
      <c r="P27" s="158">
        <f ca="1">P29+P28</f>
        <v>0</v>
      </c>
      <c r="Q27" s="165">
        <f t="shared" ca="1" si="6"/>
        <v>0</v>
      </c>
    </row>
    <row r="28" spans="2:17" ht="12.75" customHeight="1" x14ac:dyDescent="0.25">
      <c r="B28" s="124" t="str">
        <f ca="1">VLOOKUP("sg&amp;a",translation,VLOOKUP(INDIRECT("'"&amp;F$2&amp;"'!J2"),languages,2,FALSE),FALSE)</f>
        <v>Sales &amp; Administration</v>
      </c>
      <c r="C28" s="222">
        <f ca="1">SUMPRODUCT(F28:Q28,F$6:Q$6,$F$3:$Q$3)/D2</f>
        <v>7814.8394004621605</v>
      </c>
      <c r="D28" s="160">
        <f t="shared" ca="1" si="0"/>
        <v>3.8611057043004299E-2</v>
      </c>
      <c r="E28" s="179"/>
      <c r="F28" s="116">
        <f ca="1">IF(F$2=0,0,INDIRECT("'"&amp;F$2&amp;"'!O97")*F11*$D$2*IF(F$13=0,1,F$13))</f>
        <v>0.59191661611492008</v>
      </c>
      <c r="G28" s="166">
        <f t="shared" ca="1" si="1"/>
        <v>5.6255191361233227E-2</v>
      </c>
      <c r="H28" s="116">
        <f ca="1">IF(H$2=0,0,INDIRECT("'"&amp;H$2&amp;"'!O97")*H11*$D$2*IF(H$13=0,1,H$13))</f>
        <v>0.20385457433684998</v>
      </c>
      <c r="I28" s="166">
        <f t="shared" ca="1" si="2"/>
        <v>2.809066461027894E-2</v>
      </c>
      <c r="J28" s="116">
        <f ca="1">IF(J$2=0,0,INDIRECT("'"&amp;J$2&amp;"'!O97")*J11*$D$2*IF(J$13=0,1,J$13))</f>
        <v>0.18108373460599997</v>
      </c>
      <c r="K28" s="166">
        <f t="shared" ca="1" si="3"/>
        <v>2.4077523532814508E-2</v>
      </c>
      <c r="L28" s="116">
        <f ca="1">IF(L$2=0,0,INDIRECT("'"&amp;L$2&amp;"'!O97")*L11*$D$2*IF(L$13=0,1,L$13))</f>
        <v>0</v>
      </c>
      <c r="M28" s="166">
        <f t="shared" ca="1" si="4"/>
        <v>0</v>
      </c>
      <c r="N28" s="116">
        <f ca="1">IF(N$2=0,0,INDIRECT("'"&amp;N$2&amp;"'!O97")*N11*$D$2*IF(N$13=0,1,N$13))</f>
        <v>0</v>
      </c>
      <c r="O28" s="166">
        <f t="shared" ca="1" si="5"/>
        <v>0</v>
      </c>
      <c r="P28" s="116">
        <f ca="1">IF(P$2=0,0,INDIRECT("'"&amp;P$2&amp;"'!O97")*P11*$D$2*IF(P$13=0,1,P$13))</f>
        <v>0</v>
      </c>
      <c r="Q28" s="166">
        <f t="shared" ca="1" si="6"/>
        <v>0</v>
      </c>
    </row>
    <row r="29" spans="2:17" ht="12.75" customHeight="1" x14ac:dyDescent="0.25">
      <c r="B29" s="124" t="str">
        <f ca="1">VLOOKUP("ed&amp;t",translation,VLOOKUP(INDIRECT("'"&amp;F$2&amp;"'!J2"),languages,2,FALSE),FALSE)</f>
        <v>Development &amp; Design</v>
      </c>
      <c r="C29" s="222">
        <f ca="1">SUMPRODUCT(F29:Q29,F$6:Q$6,$F$3:$Q$3)/D2</f>
        <v>0</v>
      </c>
      <c r="D29" s="160">
        <f t="shared" ca="1" si="0"/>
        <v>0</v>
      </c>
      <c r="E29" s="179"/>
      <c r="F29" s="116">
        <f ca="1">IF(F$2=0,0,INDIRECT("'"&amp;F$2&amp;"'!O98")*F11*$D$2*IF(F$13=0,1,F$13))</f>
        <v>0</v>
      </c>
      <c r="G29" s="166">
        <f t="shared" ca="1" si="1"/>
        <v>0</v>
      </c>
      <c r="H29" s="116">
        <f ca="1">IF(H$2=0,0,INDIRECT("'"&amp;H$2&amp;"'!O98")*H11*$D$2*IF(H$13=0,1,H$13))</f>
        <v>0</v>
      </c>
      <c r="I29" s="166">
        <f t="shared" ca="1" si="2"/>
        <v>0</v>
      </c>
      <c r="J29" s="116">
        <f ca="1">IF(J$2=0,0,INDIRECT("'"&amp;J$2&amp;"'!O98")*J11*$D$2*IF(J$13=0,1,J$13))</f>
        <v>0</v>
      </c>
      <c r="K29" s="166">
        <f t="shared" ca="1" si="3"/>
        <v>0</v>
      </c>
      <c r="L29" s="116">
        <f ca="1">IF(L$2=0,0,INDIRECT("'"&amp;L$2&amp;"'!O98")*L11*$D$2*IF(L$13=0,1,L$13))</f>
        <v>0</v>
      </c>
      <c r="M29" s="166">
        <f t="shared" ca="1" si="4"/>
        <v>0</v>
      </c>
      <c r="N29" s="116">
        <f ca="1">IF(N$2=0,0,INDIRECT("'"&amp;N$2&amp;"'!O98")*N11*$D$2*IF(N$13=0,1,N$13))</f>
        <v>0</v>
      </c>
      <c r="O29" s="166">
        <f t="shared" ca="1" si="5"/>
        <v>0</v>
      </c>
      <c r="P29" s="116">
        <f ca="1">IF(P$2=0,0,INDIRECT("'"&amp;P$2&amp;"'!O98")*P11*$D$2*IF(P$13=0,1,P$13))</f>
        <v>0</v>
      </c>
      <c r="Q29" s="166">
        <f t="shared" ca="1" si="6"/>
        <v>0</v>
      </c>
    </row>
    <row r="30" spans="2:17" ht="13.6" x14ac:dyDescent="0.25">
      <c r="B30" s="207" t="str">
        <f ca="1">VLOOKUP("special_cost",translation,VLOOKUP(INDIRECT("'"&amp;F$2&amp;"'!J2"),languages,2,FALSE),FALSE)</f>
        <v>Special Costs</v>
      </c>
      <c r="C30" s="224">
        <f ca="1">SUMPRODUCT(F30:Q30,F$6:Q$6,$F$3:$Q$3)/D2</f>
        <v>0</v>
      </c>
      <c r="D30" s="162">
        <f t="shared" ca="1" si="0"/>
        <v>0</v>
      </c>
      <c r="E30" s="208"/>
      <c r="F30" s="155">
        <f ca="1">IF(F$2=0,0,(INDIRECT("'"&amp;F$2&amp;"'!O99")+INDIRECT("'"&amp;F$2&amp;"'!O100"))*F11*$D$2*IF(F$13=0,1,F$13))</f>
        <v>0</v>
      </c>
      <c r="G30" s="167">
        <f t="shared" ca="1" si="1"/>
        <v>0</v>
      </c>
      <c r="H30" s="155">
        <f ca="1">IF(H$2=0,0,(INDIRECT("'"&amp;H$2&amp;"'!O99")+INDIRECT("'"&amp;H$2&amp;"'!O100"))*H11*$D$2*IF(H$13=0,1,H$13))</f>
        <v>0</v>
      </c>
      <c r="I30" s="167">
        <f t="shared" ca="1" si="2"/>
        <v>0</v>
      </c>
      <c r="J30" s="155">
        <f ca="1">IF(J$2=0,0,(INDIRECT("'"&amp;J$2&amp;"'!O99")+INDIRECT("'"&amp;J$2&amp;"'!O100"))*J11*$D$2*IF(J$13=0,1,J$13))</f>
        <v>0</v>
      </c>
      <c r="K30" s="167">
        <f t="shared" ca="1" si="3"/>
        <v>0</v>
      </c>
      <c r="L30" s="155">
        <f ca="1">IF(L$2=0,0,(INDIRECT("'"&amp;L$2&amp;"'!O99")+INDIRECT("'"&amp;L$2&amp;"'!O100"))*L11*$D$2*IF(L$13=0,1,L$13))</f>
        <v>0</v>
      </c>
      <c r="M30" s="167">
        <f t="shared" ca="1" si="4"/>
        <v>0</v>
      </c>
      <c r="N30" s="155">
        <f ca="1">IF(N$2=0,0,(INDIRECT("'"&amp;N$2&amp;"'!O99")+INDIRECT("'"&amp;N$2&amp;"'!O100"))*N11*$D$2*IF(N$13=0,1,N$13))</f>
        <v>0</v>
      </c>
      <c r="O30" s="167">
        <f t="shared" ca="1" si="5"/>
        <v>0</v>
      </c>
      <c r="P30" s="155">
        <f ca="1">IF(P$2=0,0,(INDIRECT("'"&amp;P$2&amp;"'!O99")+INDIRECT("'"&amp;P$2&amp;"'!O100"))*P11*$D$2*IF(P$13=0,1,P$13))</f>
        <v>0</v>
      </c>
      <c r="Q30" s="167">
        <f t="shared" ca="1" si="6"/>
        <v>0</v>
      </c>
    </row>
    <row r="31" spans="2:17" ht="13.6" x14ac:dyDescent="0.25">
      <c r="B31" s="156" t="str">
        <f ca="1">VLOOKUP("profit3",translation,VLOOKUP(INDIRECT("'"&amp;F$2&amp;"'!J2"),languages,2,FALSE),FALSE)</f>
        <v>Profit</v>
      </c>
      <c r="C31" s="225">
        <f ca="1">SUMPRODUCT(F31:Q31,F$6:Q$6,$F$3:$Q$3)/D2</f>
        <v>12206.64673408471</v>
      </c>
      <c r="D31" s="163">
        <f t="shared" ca="1" si="0"/>
        <v>6.0309816901121992E-2</v>
      </c>
      <c r="E31" s="179"/>
      <c r="F31" s="157">
        <f ca="1">IF(F$2=0,0,(INDIRECT("'"&amp;F$2&amp;"'!O101")+INDIRECT("'"&amp;F$2&amp;"'!O102")+INDIRECT("'"&amp;F$2&amp;"'!O103"))*F11*$D$2*IF(F$13=0,1,F$13))</f>
        <v>0.63580229208680328</v>
      </c>
      <c r="G31" s="168">
        <f t="shared" ca="1" si="1"/>
        <v>6.042604420199222E-2</v>
      </c>
      <c r="H31" s="157">
        <f ca="1">IF(H$2=0,0,(INDIRECT("'"&amp;H$2&amp;"'!O101")+INDIRECT("'"&amp;H$2&amp;"'!O102")+INDIRECT("'"&amp;H$2&amp;"'!O103"))*H11*$D$2*IF(H$13=0,1,H$13))</f>
        <v>0.4370474484093953</v>
      </c>
      <c r="I31" s="168">
        <f t="shared" ca="1" si="2"/>
        <v>6.0224075579290333E-2</v>
      </c>
      <c r="J31" s="157">
        <f ca="1">IF(J$2=0,0,(INDIRECT("'"&amp;J$2&amp;"'!O101")+INDIRECT("'"&amp;J$2&amp;"'!O102")+INDIRECT("'"&amp;J$2&amp;"'!O103"))*J11*$D$2*IF(J$13=0,1,J$13))</f>
        <v>0.45298110126439012</v>
      </c>
      <c r="K31" s="168">
        <f t="shared" ca="1" si="3"/>
        <v>6.0229943618868832E-2</v>
      </c>
      <c r="L31" s="157">
        <f ca="1">IF(L$2=0,0,(INDIRECT("'"&amp;L$2&amp;"'!O101")+INDIRECT("'"&amp;L$2&amp;"'!O102")+INDIRECT("'"&amp;L$2&amp;"'!O103"))*L11*$D$2*IF(L$13=0,1,L$13))</f>
        <v>0</v>
      </c>
      <c r="M31" s="168">
        <f t="shared" ca="1" si="4"/>
        <v>0</v>
      </c>
      <c r="N31" s="157">
        <f ca="1">IF(N$2=0,0,(INDIRECT("'"&amp;N$2&amp;"'!O101")+INDIRECT("'"&amp;N$2&amp;"'!O102")+INDIRECT("'"&amp;N$2&amp;"'!O103"))*N11*$D$2*IF(N$13=0,1,N$13))</f>
        <v>0</v>
      </c>
      <c r="O31" s="168">
        <f t="shared" ca="1" si="5"/>
        <v>0</v>
      </c>
      <c r="P31" s="157">
        <f ca="1">IF(P$2=0,0,(INDIRECT("'"&amp;P$2&amp;"'!O101")+INDIRECT("'"&amp;P$2&amp;"'!O102")+INDIRECT("'"&amp;P$2&amp;"'!O103"))*P11*$D$2*IF(P$13=0,1,P$13))</f>
        <v>0</v>
      </c>
      <c r="Q31" s="168">
        <f t="shared" ca="1" si="6"/>
        <v>0</v>
      </c>
    </row>
    <row r="32" spans="2:17" ht="14.3" thickBot="1" x14ac:dyDescent="0.3">
      <c r="B32" s="174" t="str">
        <f ca="1">VLOOKUP("price",translation,VLOOKUP(INDIRECT("'"&amp;F$2&amp;"'!J2"),languages,2,FALSE),FALSE)</f>
        <v>Base Price</v>
      </c>
      <c r="C32" s="226">
        <f ca="1">SUMPRODUCT(F32:Q32,F$6:Q$6,$F$3:$Q$3)/D2</f>
        <v>202399.00170974687</v>
      </c>
      <c r="D32" s="122">
        <f t="shared" ca="1" si="0"/>
        <v>1</v>
      </c>
      <c r="E32" s="181"/>
      <c r="F32" s="667">
        <f ca="1">SUM(F26,F27,F30:F31)</f>
        <v>10.521990980601725</v>
      </c>
      <c r="G32" s="668" t="str">
        <f ca="1">IF(F$2=0,"",IF(F12="",F10,F12)&amp;$C$2)</f>
        <v>EUR/pc</v>
      </c>
      <c r="H32" s="667">
        <f ca="1">SUM(H26,H27,H30:H31)</f>
        <v>7.2570221162462447</v>
      </c>
      <c r="I32" s="668" t="str">
        <f ca="1">IF(H$2=0,"",IF(H12="",H10,H12)&amp;$C$2)</f>
        <v>EUR/pc</v>
      </c>
      <c r="J32" s="667">
        <f ca="1">SUM(J26,J27,J30:J31)</f>
        <v>7.5208621168703909</v>
      </c>
      <c r="K32" s="668" t="str">
        <f ca="1">IF(J$2=0,"",IF(J12="",J10,J12)&amp;$C$2)</f>
        <v>EUR/pc</v>
      </c>
      <c r="L32" s="123">
        <f ca="1">SUM(L26,L27,L30:L31)</f>
        <v>0</v>
      </c>
      <c r="M32" s="173" t="str">
        <f>IF(L$2=0,"",IF(L12="",L10,L12)&amp;$C$2)</f>
        <v/>
      </c>
      <c r="N32" s="123">
        <f ca="1">SUM(N26,N27,N30:N31)</f>
        <v>0</v>
      </c>
      <c r="O32" s="173" t="str">
        <f>IF(N$2=0,"",IF(N12="",N10,N12)&amp;$C$2)</f>
        <v/>
      </c>
      <c r="P32" s="123">
        <f ca="1">SUM(P26,P27,P30:P31)</f>
        <v>0</v>
      </c>
      <c r="Q32" s="173" t="str">
        <f>IF(P$2=0,"",IF(P12="",P10,P12)&amp;$C$2)</f>
        <v/>
      </c>
    </row>
    <row r="33" spans="2:17" ht="4.5999999999999996" customHeight="1" thickTop="1" x14ac:dyDescent="0.25">
      <c r="C33" s="227"/>
      <c r="D33" s="59"/>
      <c r="F33" s="57"/>
      <c r="G33" s="58"/>
      <c r="H33" s="57"/>
      <c r="I33" s="58"/>
      <c r="J33" s="57"/>
      <c r="K33" s="58"/>
      <c r="L33" s="57"/>
      <c r="M33" s="58"/>
      <c r="N33" s="57"/>
      <c r="O33" s="58"/>
      <c r="P33" s="57"/>
      <c r="Q33" s="58"/>
    </row>
    <row r="34" spans="2:17" ht="14.3" x14ac:dyDescent="0.25">
      <c r="B34" s="274" t="str">
        <f ca="1">VLOOKUP("deliv_terms",translation,VLOOKUP(INDIRECT("'"&amp;F$2&amp;"'!J2"),languages,2,FALSE),FALSE)</f>
        <v>Delivery Terms</v>
      </c>
      <c r="C34" s="228"/>
      <c r="D34" s="62"/>
      <c r="E34" s="61"/>
      <c r="F34" s="910" t="str">
        <f ca="1">IF(F$2=0,"",INDIRECT("'"&amp;F$2&amp;"'!C112")&amp;", "&amp;INDIRECT("'"&amp;F$2&amp;"'!$D$112"))</f>
        <v>DDP, Hamburg</v>
      </c>
      <c r="G34" s="909"/>
      <c r="H34" s="910" t="str">
        <f ca="1">IF(H$2=0,"",INDIRECT("'"&amp;H$2&amp;"'!C112")&amp;", "&amp;INDIRECT("'"&amp;H$2&amp;"'!$D$112"))</f>
        <v>DDP, Hamburg</v>
      </c>
      <c r="I34" s="909"/>
      <c r="J34" s="910" t="str">
        <f ca="1">IF(J$2=0,"",INDIRECT("'"&amp;J$2&amp;"'!C112")&amp;", "&amp;INDIRECT("'"&amp;J$2&amp;"'!$D$112"))</f>
        <v>DDP, Hamburg</v>
      </c>
      <c r="K34" s="909"/>
      <c r="L34" s="910" t="str">
        <f ca="1">IF(L$2=0,"",INDIRECT("'"&amp;L$2&amp;"'!C112")&amp;", "&amp;INDIRECT("'"&amp;L$2&amp;"'!$D$112"))</f>
        <v/>
      </c>
      <c r="M34" s="909"/>
      <c r="N34" s="910" t="str">
        <f ca="1">IF(N$2=0,"",INDIRECT("'"&amp;N$2&amp;"'!C112")&amp;", "&amp;INDIRECT("'"&amp;N$2&amp;"'!$D$112"))</f>
        <v/>
      </c>
      <c r="O34" s="909"/>
      <c r="P34" s="910" t="str">
        <f ca="1">IF(P$2=0,"",INDIRECT("'"&amp;P$2&amp;"'!C112")&amp;", "&amp;INDIRECT("'"&amp;P$2&amp;"'!$D$112"))</f>
        <v/>
      </c>
      <c r="Q34" s="909"/>
    </row>
    <row r="35" spans="2:17" ht="13.6" x14ac:dyDescent="0.25">
      <c r="B35" s="55" t="str">
        <f ca="1">VLOOKUP("pack_type",translation,VLOOKUP(INDIRECT("'"&amp;F$2&amp;"'!J2"),languages,2,FALSE),FALSE)</f>
        <v>Packaging Type</v>
      </c>
      <c r="C35" s="229"/>
      <c r="D35" s="59"/>
      <c r="F35" s="910" t="str">
        <f ca="1">IF(F$2=0,"",INDIRECT("'"&amp;F$2&amp;"'!K112"))</f>
        <v>returnable</v>
      </c>
      <c r="G35" s="909"/>
      <c r="H35" s="910" t="str">
        <f ca="1">IF(H$2=0,"",INDIRECT("'"&amp;H$2&amp;"'!K112"))</f>
        <v>returnable</v>
      </c>
      <c r="I35" s="909"/>
      <c r="J35" s="910" t="str">
        <f ca="1">IF(J$2=0,"",INDIRECT("'"&amp;J$2&amp;"'!K112"))</f>
        <v>returnable</v>
      </c>
      <c r="K35" s="909"/>
      <c r="L35" s="910" t="str">
        <f ca="1">IF(L$2=0,"",INDIRECT("'"&amp;L$2&amp;"'!K112"))</f>
        <v/>
      </c>
      <c r="M35" s="909"/>
      <c r="N35" s="910" t="str">
        <f ca="1">IF(N$2=0,"",INDIRECT("'"&amp;N$2&amp;"'!K112"))</f>
        <v/>
      </c>
      <c r="O35" s="909"/>
      <c r="P35" s="910" t="str">
        <f ca="1">IF(P$2=0,"",INDIRECT("'"&amp;P$2&amp;"'!K112"))</f>
        <v/>
      </c>
      <c r="Q35" s="909"/>
    </row>
    <row r="36" spans="2:17" ht="13.6" x14ac:dyDescent="0.25">
      <c r="B36" s="55" t="str">
        <f ca="1">VLOOKUP("part_box/pallet",translation,VLOOKUP(INDIRECT("'"&amp;F$2&amp;"'!J2"),languages,2,FALSE),FALSE)</f>
        <v>Parts per Box/Pallet</v>
      </c>
      <c r="C36" s="229"/>
      <c r="D36" s="59"/>
      <c r="F36" s="908" t="str">
        <f ca="1">IF(F$2=0,0,INDIRECT("'"&amp;F$2&amp;"'!T110")&amp;" / "&amp;INDIRECT("'"&amp;F$2&amp;"'!S110"))</f>
        <v>46 / 46</v>
      </c>
      <c r="G36" s="909"/>
      <c r="H36" s="908" t="str">
        <f ca="1">IF(H$2=0,0,INDIRECT("'"&amp;H$2&amp;"'!T110")&amp;" / "&amp;INDIRECT("'"&amp;H$2&amp;"'!S110"))</f>
        <v>46 / 46</v>
      </c>
      <c r="I36" s="909"/>
      <c r="J36" s="908" t="str">
        <f ca="1">IF(J$2=0,0,INDIRECT("'"&amp;J$2&amp;"'!T110")&amp;" / "&amp;INDIRECT("'"&amp;J$2&amp;"'!S110"))</f>
        <v>46 / 46</v>
      </c>
      <c r="K36" s="909"/>
      <c r="L36" s="908">
        <f ca="1">IF(L$2=0,0,INDIRECT("'"&amp;L$2&amp;"'!T110")&amp;" / "&amp;INDIRECT("'"&amp;L$2&amp;"'!S110"))</f>
        <v>0</v>
      </c>
      <c r="M36" s="909"/>
      <c r="N36" s="908">
        <f ca="1">IF(N$2=0,0,INDIRECT("'"&amp;N$2&amp;"'!T110")&amp;" / "&amp;INDIRECT("'"&amp;N$2&amp;"'!S110"))</f>
        <v>0</v>
      </c>
      <c r="O36" s="909"/>
      <c r="P36" s="908">
        <f ca="1">IF(P$2=0,0,INDIRECT("'"&amp;P$2&amp;"'!T110")&amp;" / "&amp;INDIRECT("'"&amp;P$2&amp;"'!S110"))</f>
        <v>0</v>
      </c>
      <c r="Q36" s="909"/>
    </row>
    <row r="37" spans="2:17" ht="13.6" x14ac:dyDescent="0.25">
      <c r="B37" s="55" t="str">
        <f ca="1">VLOOKUP("pack_cost",translation,VLOOKUP(INDIRECT("'"&amp;F$2&amp;"'!J2"),languages,2,FALSE),FALSE)</f>
        <v>Packaging Cost</v>
      </c>
      <c r="C37" s="230">
        <f ca="1">SUMPRODUCT(F37:Q37,F$6:Q$6,$F$3:$Q$3)/D2</f>
        <v>1060.8695652173913</v>
      </c>
      <c r="D37" s="59"/>
      <c r="F37" s="103">
        <f ca="1">IF(F$2=0,0,INDIRECT("'"&amp;F$2&amp;"'!L172")*$D$2*IF(F$13=0,1,F$13))</f>
        <v>6.3043478260869562E-2</v>
      </c>
      <c r="G37" s="58"/>
      <c r="H37" s="103">
        <f ca="1">IF(H$2=0,0,INDIRECT("'"&amp;H$2&amp;"'!L172")*$D$2*IF(H$13=0,1,H$13))</f>
        <v>3.4782608695652174E-2</v>
      </c>
      <c r="I37" s="58"/>
      <c r="J37" s="103">
        <f ca="1">IF(J$2=0,0,INDIRECT("'"&amp;J$2&amp;"'!L172")*$D$2*IF(J$13=0,1,J$13))</f>
        <v>3.4782608695652174E-2</v>
      </c>
      <c r="K37" s="58"/>
      <c r="L37" s="103">
        <f ca="1">IF(L$2=0,0,INDIRECT("'"&amp;L$2&amp;"'!L172")*$D$2*IF(L$13=0,1,L$13))</f>
        <v>0</v>
      </c>
      <c r="M37" s="58"/>
      <c r="N37" s="103">
        <f ca="1">IF(N$2=0,0,INDIRECT("'"&amp;N$2&amp;"'!L172")*$D$2*IF(N$13=0,1,N$13))</f>
        <v>0</v>
      </c>
      <c r="O37" s="58"/>
      <c r="P37" s="103">
        <f ca="1">IF(P$2=0,0,INDIRECT("'"&amp;P$2&amp;"'!L172")*$D$2*IF(P$13=0,1,P$13))</f>
        <v>0</v>
      </c>
      <c r="Q37" s="58"/>
    </row>
    <row r="38" spans="2:17" ht="13.6" x14ac:dyDescent="0.25">
      <c r="B38" s="55" t="str">
        <f ca="1">VLOOKUP("frt_cost",translation,VLOOKUP(INDIRECT("'"&amp;F$2&amp;"'!J2"),languages,2,FALSE),FALSE)</f>
        <v>Freight Cost</v>
      </c>
      <c r="C38" s="230">
        <f ca="1">SUMPRODUCT(F38:Q38,F$6:Q$6,$F$3:$Q$3)/D2</f>
        <v>23913.043478260872</v>
      </c>
      <c r="D38" s="59"/>
      <c r="F38" s="103">
        <f ca="1">IF(F$2=0,0,INDIRECT("'"&amp;F$2&amp;"'!L173")*$D$2*IF(F$13=0,1,F$13))</f>
        <v>0.38043478260869568</v>
      </c>
      <c r="G38" s="58"/>
      <c r="H38" s="103">
        <f ca="1">IF(H$2=0,0,INDIRECT("'"&amp;H$2&amp;"'!L173")*$D$2*IF(H$13=0,1,H$13))</f>
        <v>1.7391304347826086</v>
      </c>
      <c r="I38" s="58"/>
      <c r="J38" s="103">
        <f ca="1">IF(J$2=0,0,INDIRECT("'"&amp;J$2&amp;"'!L173")*$D$2*IF(J$13=0,1,J$13))</f>
        <v>0.86956521739130432</v>
      </c>
      <c r="K38" s="58"/>
      <c r="L38" s="103">
        <f ca="1">IF(L$2=0,0,INDIRECT("'"&amp;L$2&amp;"'!L173")*$D$2*IF(L$13=0,1,L$13))</f>
        <v>0</v>
      </c>
      <c r="M38" s="58"/>
      <c r="N38" s="103">
        <f ca="1">IF(N$2=0,0,INDIRECT("'"&amp;N$2&amp;"'!L173")*$D$2*IF(N$13=0,1,N$13))</f>
        <v>0</v>
      </c>
      <c r="O38" s="58"/>
      <c r="P38" s="103">
        <f ca="1">IF(P$2=0,0,INDIRECT("'"&amp;P$2&amp;"'!L173")*$D$2*IF(P$13=0,1,P$13))</f>
        <v>0</v>
      </c>
      <c r="Q38" s="58"/>
    </row>
    <row r="39" spans="2:17" ht="13.6" x14ac:dyDescent="0.25">
      <c r="B39" s="145" t="str">
        <f ca="1">VLOOKUP("final",translation,VLOOKUP(INDIRECT("'"&amp;F$2&amp;"'!J2"),languages,2,FALSE),FALSE)</f>
        <v>Final Price</v>
      </c>
      <c r="C39" s="230">
        <f ca="1">SUMPRODUCT(F39:Q39,F$6:Q$6,$F$3:$Q$3)/D2</f>
        <v>227372.91475322514</v>
      </c>
      <c r="D39" s="60"/>
      <c r="F39" s="104">
        <f ca="1">F32+F37+F38</f>
        <v>10.96546924147129</v>
      </c>
      <c r="G39" s="170" t="str">
        <f ca="1">IF(F$2=0,"",IF(F12="",F10,F12)&amp;$C$2)</f>
        <v>EUR/pc</v>
      </c>
      <c r="H39" s="104">
        <f ca="1">H32+H37+H38</f>
        <v>9.0309351597245051</v>
      </c>
      <c r="I39" s="170" t="str">
        <f ca="1">IF(H$2=0,"",IF(H12="",H10,H12)&amp;$C$2)</f>
        <v>EUR/pc</v>
      </c>
      <c r="J39" s="104">
        <f ca="1">J32+J37+J38</f>
        <v>8.4252099429573466</v>
      </c>
      <c r="K39" s="170" t="str">
        <f ca="1">IF(J$2=0,"",IF(J12="",J10,J12)&amp;$C$2)</f>
        <v>EUR/pc</v>
      </c>
      <c r="L39" s="104">
        <f ca="1">L32+L37+L38</f>
        <v>0</v>
      </c>
      <c r="M39" s="170" t="str">
        <f>IF(L$2=0,"",IF(L12="",L10,L12)&amp;$C$2)</f>
        <v/>
      </c>
      <c r="N39" s="104">
        <f ca="1">N32+N37+N38</f>
        <v>0</v>
      </c>
      <c r="O39" s="170" t="str">
        <f>IF(N$2=0,"",IF(N12="",N10,N12)&amp;$C$2)</f>
        <v/>
      </c>
      <c r="P39" s="104">
        <f ca="1">P32+P37+P38</f>
        <v>0</v>
      </c>
      <c r="Q39" s="170" t="str">
        <f>IF(P$2=0,"",IF(P12="",P10,P12)&amp;$C$2)</f>
        <v/>
      </c>
    </row>
    <row r="40" spans="2:17" ht="13.6" x14ac:dyDescent="0.25">
      <c r="B40" s="145" t="str">
        <f ca="1">VLOOKUP("tool_cost",translation,VLOOKUP(INDIRECT("'"&amp;F$2&amp;"'!J2"),languages,2,FALSE),FALSE)</f>
        <v>Tool Cost</v>
      </c>
      <c r="C40" s="230">
        <f ca="1">SUMPRODUCT(F40:Q40,$F$3:$Q$3)</f>
        <v>255000</v>
      </c>
      <c r="D40" s="63"/>
      <c r="F40" s="106">
        <f ca="1">IF(F$2=0,0,INDIRECT("'"&amp;F$2&amp;"'!O121"))</f>
        <v>85000</v>
      </c>
      <c r="G40" s="171" t="str">
        <f ca="1">IF(F12="",F10,F12)</f>
        <v>EUR</v>
      </c>
      <c r="H40" s="106">
        <f ca="1">IF(H$2=0,0,INDIRECT("'"&amp;H$2&amp;"'!O121"))</f>
        <v>85000</v>
      </c>
      <c r="I40" s="171" t="str">
        <f ca="1">IF(H12="",H10,H12)</f>
        <v>EUR</v>
      </c>
      <c r="J40" s="106">
        <f ca="1">IF(J$2=0,0,INDIRECT("'"&amp;J$2&amp;"'!O121"))</f>
        <v>85000</v>
      </c>
      <c r="K40" s="171" t="str">
        <f ca="1">IF(J12="",J10,J12)</f>
        <v>EUR</v>
      </c>
      <c r="L40" s="106">
        <f ca="1">IF(L$2=0,0,INDIRECT("'"&amp;L$2&amp;"'!O121"))</f>
        <v>0</v>
      </c>
      <c r="M40" s="171" t="str">
        <f ca="1">IF(L12="",L10,L12)</f>
        <v/>
      </c>
      <c r="N40" s="106">
        <f ca="1">IF(N$2=0,0,INDIRECT("'"&amp;N$2&amp;"'!O121"))</f>
        <v>0</v>
      </c>
      <c r="O40" s="171" t="str">
        <f ca="1">IF(N12="",N10,N12)</f>
        <v/>
      </c>
      <c r="P40" s="106">
        <f ca="1">IF(P$2=0,0,INDIRECT("'"&amp;P$2&amp;"'!O121"))</f>
        <v>0</v>
      </c>
      <c r="Q40" s="171" t="str">
        <f ca="1">IF(P12="",P10,P12)</f>
        <v/>
      </c>
    </row>
    <row r="41" spans="2:17" ht="13.6" x14ac:dyDescent="0.25">
      <c r="C41" s="59"/>
      <c r="D41" s="59"/>
    </row>
    <row r="42" spans="2:17" ht="13.6" x14ac:dyDescent="0.25">
      <c r="B42" s="59" t="str">
        <f ca="1">VLOOKUP("suppl_info",translation,VLOOKUP(INDIRECT("'"&amp;F$2&amp;"'!J2"),languages,2,FALSE),FALSE)</f>
        <v>SUPPLIER INFORMATION</v>
      </c>
    </row>
    <row r="43" spans="2:17" ht="12.75" customHeight="1" x14ac:dyDescent="0.2">
      <c r="B43" s="55" t="s">
        <v>166</v>
      </c>
      <c r="F43" s="911">
        <f ca="1">IF(F$2=0,"",INDIRECT("'"&amp;F$2&amp;"'!$D$116"))</f>
        <v>0</v>
      </c>
      <c r="G43" s="912"/>
      <c r="H43" s="911">
        <f ca="1">IF(H$2=0,"",INDIRECT("'"&amp;H$2&amp;"'!$D$116"))</f>
        <v>0</v>
      </c>
      <c r="I43" s="912"/>
      <c r="J43" s="911">
        <f ca="1">IF(J$2=0,"",INDIRECT("'"&amp;J$2&amp;"'!$D$116"))</f>
        <v>0</v>
      </c>
      <c r="K43" s="912"/>
      <c r="L43" s="911" t="str">
        <f ca="1">IF(L$2=0,"",INDIRECT("'"&amp;L$2&amp;"'!$D$116"))</f>
        <v/>
      </c>
      <c r="M43" s="912"/>
      <c r="N43" s="911" t="str">
        <f ca="1">IF(N$2=0,"",INDIRECT("'"&amp;N$2&amp;"'!$D$116"))</f>
        <v/>
      </c>
      <c r="O43" s="912"/>
      <c r="P43" s="911" t="str">
        <f ca="1">IF(P$2=0,"",INDIRECT("'"&amp;P$2&amp;"'!$D$116"))</f>
        <v/>
      </c>
      <c r="Q43" s="912"/>
    </row>
    <row r="44" spans="2:17" ht="12.75" customHeight="1" x14ac:dyDescent="0.2">
      <c r="B44" s="55" t="str">
        <f ca="1">VLOOKUP("prep_by",translation,VLOOKUP(INDIRECT("'"&amp;F$2&amp;"'!J2"),languages,2,FALSE),FALSE)</f>
        <v>Prepared by</v>
      </c>
      <c r="F44" s="913">
        <f ca="1">IF(F$2=0,"",INDIRECT("'"&amp;F$2&amp;"'!H117"))</f>
        <v>0</v>
      </c>
      <c r="G44" s="914"/>
      <c r="H44" s="913">
        <f ca="1">IF(H$2=0,"",INDIRECT("'"&amp;H$2&amp;"'!H117"))</f>
        <v>0</v>
      </c>
      <c r="I44" s="914"/>
      <c r="J44" s="913">
        <f ca="1">IF(J$2=0,"",INDIRECT("'"&amp;J$2&amp;"'!H117"))</f>
        <v>0</v>
      </c>
      <c r="K44" s="914"/>
      <c r="L44" s="913" t="str">
        <f ca="1">IF(L$2=0,"",INDIRECT("'"&amp;L$2&amp;"'!H117"))</f>
        <v/>
      </c>
      <c r="M44" s="914"/>
      <c r="N44" s="913" t="str">
        <f ca="1">IF(N$2=0,"",INDIRECT("'"&amp;N$2&amp;"'!H117"))</f>
        <v/>
      </c>
      <c r="O44" s="914"/>
      <c r="P44" s="913" t="str">
        <f ca="1">IF(P$2=0,"",INDIRECT("'"&amp;P$2&amp;"'!H117"))</f>
        <v/>
      </c>
      <c r="Q44" s="914"/>
    </row>
    <row r="45" spans="2:17" x14ac:dyDescent="0.2">
      <c r="B45" s="55" t="str">
        <f ca="1">VLOOKUP("date",translation,VLOOKUP(INDIRECT("'"&amp;F$2&amp;"'!J2"),languages,2,FALSE),FALSE)</f>
        <v>Date</v>
      </c>
      <c r="F45" s="913">
        <f ca="1">IF(F$2=0,"",INDIRECT("'"&amp;F$2&amp;"'!H116"))</f>
        <v>0</v>
      </c>
      <c r="G45" s="914"/>
      <c r="H45" s="913">
        <f ca="1">IF(H$2=0,"",INDIRECT("'"&amp;H$2&amp;"'!H116"))</f>
        <v>0</v>
      </c>
      <c r="I45" s="914"/>
      <c r="J45" s="913">
        <f ca="1">IF(J$2=0,"",INDIRECT("'"&amp;J$2&amp;"'!H116"))</f>
        <v>0</v>
      </c>
      <c r="K45" s="914"/>
      <c r="L45" s="913" t="str">
        <f ca="1">IF(L$2=0,"",INDIRECT("'"&amp;L$2&amp;"'!H116"))</f>
        <v/>
      </c>
      <c r="M45" s="914"/>
      <c r="N45" s="913" t="str">
        <f ca="1">IF(N$2=0,"",INDIRECT("'"&amp;N$2&amp;"'!H116"))</f>
        <v/>
      </c>
      <c r="O45" s="914"/>
      <c r="P45" s="913" t="str">
        <f ca="1">IF(P$2=0,"",INDIRECT("'"&amp;P$2&amp;"'!H116"))</f>
        <v/>
      </c>
      <c r="Q45" s="914"/>
    </row>
    <row r="46" spans="2:17" ht="45" customHeight="1" x14ac:dyDescent="0.2">
      <c r="B46" s="102" t="str">
        <f ca="1">VLOOKUP("suppl_com",translation,VLOOKUP(INDIRECT("'"&amp;F$2&amp;"'!J2"),languages,2,FALSE),FALSE)</f>
        <v>Supplier Comments:</v>
      </c>
      <c r="F46" s="917">
        <f ca="1">IF(F$2=0,"",INDIRECT("'"&amp;F$2&amp;"'!$A$118"))</f>
        <v>0</v>
      </c>
      <c r="G46" s="918"/>
      <c r="H46" s="917">
        <f ca="1">IF(H$2=0,"",INDIRECT("'"&amp;H$2&amp;"'!$A$118"))</f>
        <v>0</v>
      </c>
      <c r="I46" s="918"/>
      <c r="J46" s="917">
        <f ca="1">IF(J$2=0,"",INDIRECT("'"&amp;J$2&amp;"'!$A$118"))</f>
        <v>0</v>
      </c>
      <c r="K46" s="918"/>
      <c r="L46" s="917" t="str">
        <f ca="1">IF(L$2=0,"",INDIRECT("'"&amp;L$2&amp;"'!$A$118"))</f>
        <v/>
      </c>
      <c r="M46" s="918"/>
      <c r="N46" s="917" t="str">
        <f ca="1">IF(N$2=0,"",INDIRECT("'"&amp;N$2&amp;"'!$A$118"))</f>
        <v/>
      </c>
      <c r="O46" s="918"/>
      <c r="P46" s="917" t="str">
        <f ca="1">IF(P$2=0,"",INDIRECT("'"&amp;P$2&amp;"'!$A$118"))</f>
        <v/>
      </c>
      <c r="Q46" s="918"/>
    </row>
    <row r="47" spans="2:17" ht="13.6" x14ac:dyDescent="0.25">
      <c r="B47" s="59" t="str">
        <f ca="1">VLOOKUP("comm_info",translation,VLOOKUP(INDIRECT("'"&amp;F$2&amp;"'!J2"),languages,2,FALSE),FALSE)</f>
        <v>COMMERCIAL INFORMATION</v>
      </c>
    </row>
    <row r="48" spans="2:17" ht="13.6" x14ac:dyDescent="0.25">
      <c r="B48" s="59" t="str">
        <f ca="1">VLOOKUP("price_summary",translation,VLOOKUP(INDIRECT("'"&amp;F$2&amp;"'!J2"),languages,2,FALSE),FALSE)</f>
        <v>Pricing Summary (Primary Option)</v>
      </c>
    </row>
    <row r="49" spans="2:24" x14ac:dyDescent="0.2">
      <c r="B49" s="55" t="str">
        <f ca="1">VLOOKUP("base_price_pack",translation,VLOOKUP(INDIRECT("'"&amp;F$2&amp;"'!J2"),languages,2,FALSE),FALSE)</f>
        <v>Base Price (incl. Packaging)</v>
      </c>
      <c r="F49" s="219">
        <f ca="1">IF(F$2=0,0,INDIRECT("'"&amp;F$2&amp;"'!K140")*F11*$D$2*IF(F$13=0,1,F$13))</f>
        <v>10.585034494760031</v>
      </c>
      <c r="G49" s="176" t="str">
        <f ca="1">IF(F$2=0,"",IF(F12="",F10,F12)&amp;$C$2)</f>
        <v>EUR/pc</v>
      </c>
      <c r="H49" s="219">
        <f ca="1">IF(H$2=0,0,INDIRECT("'"&amp;H$2&amp;"'!K140")*H11*$D$2*IF(H$13=0,1,H$13))</f>
        <v>7.2918049557111289</v>
      </c>
      <c r="I49" s="176" t="str">
        <f ca="1">IF(H$2=0,"",IF(H12="",H10,H12)&amp;$C$2)</f>
        <v>EUR/pc</v>
      </c>
      <c r="J49" s="219">
        <f ca="1">IF(J$2=0,0,INDIRECT("'"&amp;J$2&amp;"'!K140")*J11*$D$2*IF(J$13=0,1,J$13))</f>
        <v>7.5556447294121973</v>
      </c>
      <c r="K49" s="176" t="str">
        <f ca="1">IF(J$2=0,"",IF(J12="",J10,J12)&amp;$C$2)</f>
        <v>EUR/pc</v>
      </c>
      <c r="L49" s="219">
        <f ca="1">IF(L$2=0,0,INDIRECT("'"&amp;L$2&amp;"'!K140")*L11*$D$2*IF(L$13=0,1,L$13))</f>
        <v>0</v>
      </c>
      <c r="M49" s="176" t="str">
        <f>IF(L$2=0,"",IF(L12="",L10,L12)&amp;$C$2)</f>
        <v/>
      </c>
      <c r="N49" s="219">
        <f ca="1">IF(N$2=0,0,INDIRECT("'"&amp;N$2&amp;"'!K140")*N11*$D$2*IF(N$13=0,1,N$13))</f>
        <v>0</v>
      </c>
      <c r="O49" s="176" t="str">
        <f>IF(N$2=0,"",IF(N12="",N10,N12)&amp;$C$2)</f>
        <v/>
      </c>
      <c r="P49" s="219">
        <f ca="1">IF(P$2=0,0,INDIRECT("'"&amp;P$2&amp;"'!K140")*P11*$D$2*IF(P$13=0,1,P$13))</f>
        <v>0</v>
      </c>
      <c r="Q49" s="176" t="str">
        <f>IF(P$2=0,"",IF(P12="",P10,P12)&amp;$C$2)</f>
        <v/>
      </c>
    </row>
    <row r="50" spans="2:24" x14ac:dyDescent="0.2">
      <c r="B50" s="55" t="str">
        <f ca="1">VLOOKUP("pack",translation,VLOOKUP(INDIRECT("'"&amp;F$2&amp;"'!J2"),languages,2,FALSE),FALSE)</f>
        <v>Packaging</v>
      </c>
      <c r="F50" s="195" t="str">
        <f ca="1">F35</f>
        <v>returnable</v>
      </c>
      <c r="G50" s="196"/>
      <c r="H50" s="195" t="str">
        <f ca="1">H35</f>
        <v>returnable</v>
      </c>
      <c r="I50" s="196"/>
      <c r="J50" s="195" t="str">
        <f ca="1">J35</f>
        <v>returnable</v>
      </c>
      <c r="K50" s="196"/>
      <c r="L50" s="195" t="str">
        <f ca="1">L35</f>
        <v/>
      </c>
      <c r="M50" s="196"/>
      <c r="N50" s="195" t="str">
        <f ca="1">N35</f>
        <v/>
      </c>
      <c r="O50" s="196"/>
      <c r="P50" s="195" t="str">
        <f ca="1">P35</f>
        <v/>
      </c>
      <c r="Q50" s="196"/>
    </row>
    <row r="51" spans="2:24" x14ac:dyDescent="0.2">
      <c r="B51" s="55" t="str">
        <f ca="1">VLOOKUP("an_red",translation,VLOOKUP(INDIRECT("'"&amp;F$2&amp;"'!J2"),languages,2,FALSE),FALSE)</f>
        <v>Annual Reductions</v>
      </c>
      <c r="F51" s="919" t="str">
        <f ca="1">IF(F$2=0,"",TEXT(INDIRECT("'"&amp;F$2&amp;"'!I141"),"0,0%")&amp;"; "&amp;TEXT(INDIRECT("'"&amp;F$2&amp;"'!I142"),"0,0%")&amp;"; "&amp;TEXT(INDIRECT("'"&amp;F$2&amp;"'!I143"),"0,0%")&amp;"; "&amp;TEXT(INDIRECT("'"&amp;F$2&amp;"'!I144"),"0,0%"))</f>
        <v>03%; 01%; 01%; 00%</v>
      </c>
      <c r="G51" s="920"/>
      <c r="H51" s="919" t="str">
        <f ca="1">IF(H$2=0,"",TEXT(INDIRECT("'"&amp;H$2&amp;"'!I141"),"0,0%")&amp;"; "&amp;TEXT(INDIRECT("'"&amp;H$2&amp;"'!I142"),"0,0%")&amp;"; "&amp;TEXT(INDIRECT("'"&amp;H$2&amp;"'!I143"),"0,0%")&amp;"; "&amp;TEXT(INDIRECT("'"&amp;H$2&amp;"'!I144"),"0,0%"))</f>
        <v>03%; 01%; 01%; 00%</v>
      </c>
      <c r="I51" s="920"/>
      <c r="J51" s="919" t="str">
        <f ca="1">IF(J$2=0,"",TEXT(INDIRECT("'"&amp;J$2&amp;"'!I141"),"0,0%")&amp;"; "&amp;TEXT(INDIRECT("'"&amp;J$2&amp;"'!I142"),"0,0%")&amp;"; "&amp;TEXT(INDIRECT("'"&amp;J$2&amp;"'!I143"),"0,0%")&amp;"; "&amp;TEXT(INDIRECT("'"&amp;J$2&amp;"'!I144"),"0,0%"))</f>
        <v>03%; 01%; 01%; 00%</v>
      </c>
      <c r="K51" s="920"/>
      <c r="L51" s="919" t="str">
        <f ca="1">IF(L$2=0,"",TEXT(INDIRECT("'"&amp;L$2&amp;"'!I141"),"0,0%")&amp;"; "&amp;TEXT(INDIRECT("'"&amp;L$2&amp;"'!I142"),"0,0%")&amp;"; "&amp;TEXT(INDIRECT("'"&amp;L$2&amp;"'!I143"),"0,0%")&amp;"; "&amp;TEXT(INDIRECT("'"&amp;L$2&amp;"'!I144"),"0,0%"))</f>
        <v/>
      </c>
      <c r="M51" s="920"/>
      <c r="N51" s="919" t="str">
        <f ca="1">IF(N$2=0,"",TEXT(INDIRECT("'"&amp;N$2&amp;"'!I141"),"0,0%")&amp;"; "&amp;TEXT(INDIRECT("'"&amp;N$2&amp;"'!I142"),"0,0%")&amp;"; "&amp;TEXT(INDIRECT("'"&amp;N$2&amp;"'!I143"),"0,0%")&amp;"; "&amp;TEXT(INDIRECT("'"&amp;N$2&amp;"'!I144"),"0,0%"))</f>
        <v/>
      </c>
      <c r="O51" s="920"/>
      <c r="P51" s="919" t="str">
        <f ca="1">IF(P$2=0,"",TEXT(INDIRECT("'"&amp;P$2&amp;"'!I141"),"0,0%")&amp;"; "&amp;TEXT(INDIRECT("'"&amp;P$2&amp;"'!I142"),"0,0%")&amp;"; "&amp;TEXT(INDIRECT("'"&amp;P$2&amp;"'!I143"),"0,0%")&amp;"; "&amp;TEXT(INDIRECT("'"&amp;P$2&amp;"'!I144"),"0,0%"))</f>
        <v/>
      </c>
      <c r="Q51" s="920"/>
    </row>
    <row r="52" spans="2:24" ht="12.75" customHeight="1" x14ac:dyDescent="0.2">
      <c r="B52" s="55" t="str">
        <f ca="1">VLOOKUP("eff_dofp",translation,VLOOKUP(INDIRECT("'"&amp;F$2&amp;"'!J2"),languages,2,FALSE),FALSE)</f>
        <v>Effective Date of first productivity</v>
      </c>
      <c r="F52" s="146">
        <f ca="1">IF(F$2=0,"",INDIRECT("'"&amp;F$2&amp;"'!G141"))</f>
        <v>43281</v>
      </c>
      <c r="G52" s="175"/>
      <c r="H52" s="146">
        <f ca="1">IF(H$2=0,"",INDIRECT("'"&amp;H$2&amp;"'!G141"))</f>
        <v>43281</v>
      </c>
      <c r="I52" s="175"/>
      <c r="J52" s="146">
        <f ca="1">IF(J$2=0,"",INDIRECT("'"&amp;J$2&amp;"'!G141"))</f>
        <v>43281</v>
      </c>
      <c r="K52" s="175"/>
      <c r="L52" s="146" t="str">
        <f ca="1">IF(L$2=0,"",INDIRECT("'"&amp;L$2&amp;"'!G141"))</f>
        <v/>
      </c>
      <c r="M52" s="175"/>
      <c r="N52" s="146" t="str">
        <f ca="1">IF(N$2=0,"",INDIRECT("'"&amp;N$2&amp;"'!G141"))</f>
        <v/>
      </c>
      <c r="O52" s="175"/>
      <c r="P52" s="146" t="str">
        <f ca="1">IF(P$2=0,"",INDIRECT("'"&amp;P$2&amp;"'!G141"))</f>
        <v/>
      </c>
      <c r="Q52" s="175"/>
    </row>
    <row r="53" spans="2:24" ht="12.75" customHeight="1" x14ac:dyDescent="0.2">
      <c r="B53" s="55" t="str">
        <f ca="1">VLOOKUP("y2",translation,VLOOKUP(INDIRECT("'"&amp;F$2&amp;"'!J2"),languages,2,FALSE),FALSE)</f>
        <v>Year 2</v>
      </c>
      <c r="F53" s="199">
        <f ca="1">IF(F$2=0,0,INDIRECT("'"&amp;F$2&amp;"'!K141")*NOT(INDIRECT("'"&amp;F$2&amp;"'!S141")=0)*F11*$D$2*IF(F$13=0,1,F$13))</f>
        <v>10.26748345991723</v>
      </c>
      <c r="G53" s="135">
        <f ca="1">IF(F49*F53=0,0,F53/F49-1)</f>
        <v>-2.9999999999999916E-2</v>
      </c>
      <c r="H53" s="199">
        <f ca="1">IF(H$2=0,0,INDIRECT("'"&amp;H$2&amp;"'!K141")*NOT(INDIRECT("'"&amp;H$2&amp;"'!S141")=0)*H11*$D$2*IF(H$13=0,1,H$13))</f>
        <v>7.0730508070397944</v>
      </c>
      <c r="I53" s="135">
        <f ca="1">IF(H49*H53=0,0,H53/H49-1)</f>
        <v>-3.0000000000000138E-2</v>
      </c>
      <c r="J53" s="199">
        <f ca="1">IF(J$2=0,0,INDIRECT("'"&amp;J$2&amp;"'!K141")*NOT(INDIRECT("'"&amp;J$2&amp;"'!S141")=0)*J11*$D$2*IF(J$13=0,1,J$13))</f>
        <v>7.3289753875298311</v>
      </c>
      <c r="K53" s="135">
        <f ca="1">IF(J49*J53=0,0,J53/J49-1)</f>
        <v>-3.0000000000000027E-2</v>
      </c>
      <c r="L53" s="199">
        <f ca="1">IF(L$2=0,0,INDIRECT("'"&amp;L$2&amp;"'!K141")*NOT(INDIRECT("'"&amp;L$2&amp;"'!S141")=0)*L11*$D$2*IF(L$13=0,1,L$13))</f>
        <v>0</v>
      </c>
      <c r="M53" s="135">
        <f ca="1">IF(L49*L53=0,0,L53/L49-1)</f>
        <v>0</v>
      </c>
      <c r="N53" s="199">
        <f ca="1">IF(N$2=0,0,INDIRECT("'"&amp;N$2&amp;"'!K141")*NOT(INDIRECT("'"&amp;N$2&amp;"'!S141")=0)*N11*$D$2*IF(N$13=0,1,N$13))</f>
        <v>0</v>
      </c>
      <c r="O53" s="135">
        <f ca="1">IF(N49*N53=0,0,N53/N49-1)</f>
        <v>0</v>
      </c>
      <c r="P53" s="199">
        <f ca="1">IF(P$2=0,0,INDIRECT("'"&amp;P$2&amp;"'!K141")*NOT(INDIRECT("'"&amp;P$2&amp;"'!S141")=0)*P11*$D$2*IF(P$13=0,1,P$13))</f>
        <v>0</v>
      </c>
      <c r="Q53" s="135">
        <f ca="1">IF(P49*P53=0,0,P53/P49-1)</f>
        <v>0</v>
      </c>
    </row>
    <row r="54" spans="2:24" ht="12.75" customHeight="1" x14ac:dyDescent="0.2">
      <c r="B54" s="55" t="str">
        <f ca="1">VLOOKUP("y3",translation,VLOOKUP(INDIRECT("'"&amp;F$2&amp;"'!J2"),languages,2,FALSE),FALSE)</f>
        <v>Year 3</v>
      </c>
      <c r="F54" s="199">
        <f ca="1">IF(F$2=0,0,INDIRECT("'"&amp;F$2&amp;"'!K142")*NOT(INDIRECT("'"&amp;F$2&amp;"'!S142")=0)*F11*$D$2*IF(F$13=0,1,F$13))</f>
        <v>10.164808625318058</v>
      </c>
      <c r="G54" s="135">
        <f ca="1">IF(F53*F54=0,0,F54/F53-1)</f>
        <v>-1.0000000000000009E-2</v>
      </c>
      <c r="H54" s="199">
        <f ca="1">IF(H$2=0,0,INDIRECT("'"&amp;H$2&amp;"'!K142")*NOT(INDIRECT("'"&amp;H$2&amp;"'!S142")=0)*H11*$D$2*IF(H$13=0,1,H$13))</f>
        <v>7.002320298969396</v>
      </c>
      <c r="I54" s="135">
        <f ca="1">IF(H53*H54=0,0,H54/H53-1)</f>
        <v>-1.0000000000000009E-2</v>
      </c>
      <c r="J54" s="199">
        <f ca="1">IF(J$2=0,0,INDIRECT("'"&amp;J$2&amp;"'!K142")*NOT(INDIRECT("'"&amp;J$2&amp;"'!S142")=0)*J11*$D$2*IF(J$13=0,1,J$13))</f>
        <v>7.255685633654533</v>
      </c>
      <c r="K54" s="135">
        <f ca="1">IF(J53*J54=0,0,J54/J53-1)</f>
        <v>-1.0000000000000009E-2</v>
      </c>
      <c r="L54" s="199">
        <f ca="1">IF(L$2=0,0,INDIRECT("'"&amp;L$2&amp;"'!K142")*NOT(INDIRECT("'"&amp;L$2&amp;"'!S142")=0)*L11*$D$2*IF(L$13=0,1,L$13))</f>
        <v>0</v>
      </c>
      <c r="M54" s="135">
        <f ca="1">IF(L53*L54=0,0,L54/L53-1)</f>
        <v>0</v>
      </c>
      <c r="N54" s="199">
        <f ca="1">IF(N$2=0,0,INDIRECT("'"&amp;N$2&amp;"'!K142")*NOT(INDIRECT("'"&amp;N$2&amp;"'!S142")=0)*N11*$D$2*IF(N$13=0,1,N$13))</f>
        <v>0</v>
      </c>
      <c r="O54" s="135">
        <f ca="1">IF(N53*N54=0,0,N54/N53-1)</f>
        <v>0</v>
      </c>
      <c r="P54" s="199">
        <f ca="1">IF(P$2=0,0,INDIRECT("'"&amp;P$2&amp;"'!K142")*NOT(INDIRECT("'"&amp;P$2&amp;"'!S142")=0)*P11*$D$2*IF(P$13=0,1,P$13))</f>
        <v>0</v>
      </c>
      <c r="Q54" s="135">
        <f ca="1">IF(P53*P54=0,0,P54/P53-1)</f>
        <v>0</v>
      </c>
    </row>
    <row r="55" spans="2:24" ht="12.75" customHeight="1" x14ac:dyDescent="0.2">
      <c r="B55" s="55" t="str">
        <f ca="1">VLOOKUP("y4",translation,VLOOKUP(INDIRECT("'"&amp;F$2&amp;"'!J2"),languages,2,FALSE),FALSE)</f>
        <v>Year 4</v>
      </c>
      <c r="F55" s="199">
        <f ca="1">IF(F$2=0,0,INDIRECT("'"&amp;F$2&amp;"'!K143")*NOT(INDIRECT("'"&amp;F$2&amp;"'!S143")=0)*F11*$D$2*IF(F$13=0,1,F$13))</f>
        <v>10.063160539064876</v>
      </c>
      <c r="G55" s="135">
        <f ca="1">IF(F54*F55=0,0,F55/F54-1)</f>
        <v>-1.000000000000012E-2</v>
      </c>
      <c r="H55" s="199">
        <f ca="1">IF(H$2=0,0,INDIRECT("'"&amp;H$2&amp;"'!K143")*NOT(INDIRECT("'"&amp;H$2&amp;"'!S143")=0)*H11*$D$2*IF(H$13=0,1,H$13))</f>
        <v>6.9322970959797017</v>
      </c>
      <c r="I55" s="135">
        <f ca="1">IF(H54*H55=0,0,H55/H54-1)</f>
        <v>-1.0000000000000009E-2</v>
      </c>
      <c r="J55" s="199">
        <f ca="1">IF(J$2=0,0,INDIRECT("'"&amp;J$2&amp;"'!K143")*NOT(INDIRECT("'"&amp;J$2&amp;"'!S143")=0)*J11*$D$2*IF(J$13=0,1,J$13))</f>
        <v>7.1831287773179877</v>
      </c>
      <c r="K55" s="135">
        <f ca="1">IF(J54*J55=0,0,J55/J54-1)</f>
        <v>-1.0000000000000009E-2</v>
      </c>
      <c r="L55" s="199">
        <f ca="1">IF(L$2=0,0,INDIRECT("'"&amp;L$2&amp;"'!K143")*NOT(INDIRECT("'"&amp;L$2&amp;"'!S143")=0)*L11*$D$2*IF(L$13=0,1,L$13))</f>
        <v>0</v>
      </c>
      <c r="M55" s="135">
        <f ca="1">IF(L54*L55=0,0,L55/L54-1)</f>
        <v>0</v>
      </c>
      <c r="N55" s="199">
        <f ca="1">IF(N$2=0,0,INDIRECT("'"&amp;N$2&amp;"'!K143")*NOT(INDIRECT("'"&amp;N$2&amp;"'!S143")=0)*N11*$D$2*IF(N$13=0,1,N$13))</f>
        <v>0</v>
      </c>
      <c r="O55" s="135">
        <f ca="1">IF(N54*N55=0,0,N55/N54-1)</f>
        <v>0</v>
      </c>
      <c r="P55" s="199">
        <f ca="1">IF(P$2=0,0,INDIRECT("'"&amp;P$2&amp;"'!K143")*NOT(INDIRECT("'"&amp;P$2&amp;"'!S143")=0)*P11*$D$2*IF(P$13=0,1,P$13))</f>
        <v>0</v>
      </c>
      <c r="Q55" s="135">
        <f ca="1">IF(P54*P55=0,0,P55/P54-1)</f>
        <v>0</v>
      </c>
    </row>
    <row r="56" spans="2:24" ht="12.75" customHeight="1" x14ac:dyDescent="0.2">
      <c r="B56" s="55" t="str">
        <f ca="1">VLOOKUP("y5",translation,VLOOKUP(INDIRECT("'"&amp;F$2&amp;"'!J2"),languages,2,FALSE),FALSE)</f>
        <v>Year 5</v>
      </c>
      <c r="F56" s="199">
        <f ca="1">IF(F$2=0,0,INDIRECT("'"&amp;F$2&amp;"'!K144")*NOT(INDIRECT("'"&amp;F$2&amp;"'!S144")=0)*F11*$D$2*IF(F$13=0,1,F$13))</f>
        <v>10.063160539064876</v>
      </c>
      <c r="G56" s="209">
        <f ca="1">IF(F55*F56=0,0,F56/F55-1)</f>
        <v>0</v>
      </c>
      <c r="H56" s="199">
        <f ca="1">IF(H$2=0,0,INDIRECT("'"&amp;H$2&amp;"'!K144")*NOT(INDIRECT("'"&amp;H$2&amp;"'!S144")=0)*H11*$D$2*IF(H$13=0,1,H$13))</f>
        <v>6.9322970959797017</v>
      </c>
      <c r="I56" s="209">
        <f ca="1">IF(H55*H56=0,0,H56/H55-1)</f>
        <v>0</v>
      </c>
      <c r="J56" s="199">
        <f ca="1">IF(J$2=0,0,INDIRECT("'"&amp;J$2&amp;"'!K144")*NOT(INDIRECT("'"&amp;J$2&amp;"'!S144")=0)*J11*$D$2*IF(J$13=0,1,J$13))</f>
        <v>7.1831287773179877</v>
      </c>
      <c r="K56" s="209">
        <f ca="1">IF(J55*J56=0,0,J56/J55-1)</f>
        <v>0</v>
      </c>
      <c r="L56" s="199">
        <f ca="1">IF(L$2=0,0,INDIRECT("'"&amp;L$2&amp;"'!K144")*NOT(INDIRECT("'"&amp;L$2&amp;"'!S144")=0)*L11*$D$2*IF(L$13=0,1,L$13))</f>
        <v>0</v>
      </c>
      <c r="M56" s="209">
        <f ca="1">IF(L55*L56=0,0,L56/L55-1)</f>
        <v>0</v>
      </c>
      <c r="N56" s="199">
        <f ca="1">IF(N$2=0,0,INDIRECT("'"&amp;N$2&amp;"'!K144")*NOT(INDIRECT("'"&amp;N$2&amp;"'!S144")=0)*N11*$D$2*IF(N$13=0,1,N$13))</f>
        <v>0</v>
      </c>
      <c r="O56" s="209">
        <f ca="1">IF(N55*N56=0,0,N56/N55-1)</f>
        <v>0</v>
      </c>
      <c r="P56" s="199">
        <f ca="1">IF(P$2=0,0,INDIRECT("'"&amp;P$2&amp;"'!K144")*NOT(INDIRECT("'"&amp;P$2&amp;"'!S144")=0)*P11*$D$2*IF(P$13=0,1,P$13))</f>
        <v>0</v>
      </c>
      <c r="Q56" s="209">
        <f ca="1">IF(P55*P56=0,0,P56/P55-1)</f>
        <v>0</v>
      </c>
    </row>
    <row r="57" spans="2:24" x14ac:dyDescent="0.2">
      <c r="B57" s="55" t="str">
        <f ca="1">VLOOKUP("add_benefit",translation,VLOOKUP(INDIRECT("'"&amp;F$2&amp;"'!J2"),languages,2,FALSE),FALSE)</f>
        <v>Additional benefit</v>
      </c>
      <c r="F57" s="95">
        <f ca="1">IF(F$2=0,0,INDIRECT("'"&amp;F$2&amp;"'!J149"))</f>
        <v>0</v>
      </c>
      <c r="G57" s="99" t="str">
        <f ca="1">IF(F12="",F10,F12)</f>
        <v>EUR</v>
      </c>
      <c r="H57" s="95">
        <f ca="1">IF(H$2=0,0,INDIRECT("'"&amp;H$2&amp;"'!J149"))</f>
        <v>0</v>
      </c>
      <c r="I57" s="99" t="str">
        <f ca="1">IF(H12="",H10,H12)</f>
        <v>EUR</v>
      </c>
      <c r="J57" s="95">
        <f ca="1">IF(J$2=0,0,INDIRECT("'"&amp;J$2&amp;"'!J149"))</f>
        <v>0</v>
      </c>
      <c r="K57" s="99" t="str">
        <f ca="1">IF(J12="",J10,J12)</f>
        <v>EUR</v>
      </c>
      <c r="L57" s="95">
        <f ca="1">IF(L$2=0,0,INDIRECT("'"&amp;L$2&amp;"'!J149"))</f>
        <v>0</v>
      </c>
      <c r="M57" s="99" t="str">
        <f ca="1">IF(L12="",L10,L12)</f>
        <v/>
      </c>
      <c r="N57" s="95">
        <f ca="1">IF(N$2=0,0,INDIRECT("'"&amp;N$2&amp;"'!J149"))</f>
        <v>0</v>
      </c>
      <c r="O57" s="99" t="str">
        <f ca="1">IF(N12="",N10,N12)</f>
        <v/>
      </c>
      <c r="P57" s="95">
        <f ca="1">IF(P$2=0,0,INDIRECT("'"&amp;P$2&amp;"'!J149"))</f>
        <v>0</v>
      </c>
      <c r="Q57" s="99" t="str">
        <f ca="1">IF(P12="",P10,P12)</f>
        <v/>
      </c>
    </row>
    <row r="58" spans="2:24" ht="13.6" x14ac:dyDescent="0.25">
      <c r="B58" s="62" t="str">
        <f ca="1">VLOOKUP("tooling",translation,VLOOKUP(INDIRECT("'"&amp;F$2&amp;"'!J2"),languages,2,FALSE),FALSE)</f>
        <v>Tooling</v>
      </c>
      <c r="E58" s="210"/>
      <c r="F58" s="211"/>
      <c r="G58" s="212"/>
      <c r="H58" s="211"/>
      <c r="I58" s="212"/>
      <c r="J58" s="211"/>
      <c r="K58" s="212"/>
      <c r="L58" s="211"/>
      <c r="M58" s="212"/>
      <c r="N58" s="211"/>
      <c r="O58" s="212"/>
      <c r="P58" s="211"/>
      <c r="Q58" s="212"/>
      <c r="R58" s="210"/>
    </row>
    <row r="59" spans="2:24" x14ac:dyDescent="0.2">
      <c r="B59" s="213" t="str">
        <f ca="1">VLOOKUP("neg_price",translation,VLOOKUP(INDIRECT("'"&amp;F$2&amp;"'!J2"),languages,2,FALSE),FALSE)</f>
        <v>Negotiated Price</v>
      </c>
      <c r="F59" s="95">
        <f ca="1">IF(F$2=0,0,INDIRECT("'"&amp;F$2&amp;"'!J148"))</f>
        <v>85000</v>
      </c>
      <c r="G59" s="96" t="str">
        <f ca="1">IF(F12="",F10,F12)</f>
        <v>EUR</v>
      </c>
      <c r="H59" s="95">
        <f ca="1">IF(H$2=0,0,INDIRECT("'"&amp;H$2&amp;"'!J148"))</f>
        <v>85000</v>
      </c>
      <c r="I59" s="96" t="str">
        <f ca="1">IF(H12="",H10,H12)</f>
        <v>EUR</v>
      </c>
      <c r="J59" s="95">
        <f ca="1">IF(J$2=0,0,INDIRECT("'"&amp;J$2&amp;"'!J148"))</f>
        <v>85000</v>
      </c>
      <c r="K59" s="96" t="str">
        <f ca="1">IF(J12="",J10,J12)</f>
        <v>EUR</v>
      </c>
      <c r="L59" s="95">
        <f ca="1">IF(L$2=0,0,INDIRECT("'"&amp;L$2&amp;"'!J148"))</f>
        <v>0</v>
      </c>
      <c r="M59" s="96" t="str">
        <f ca="1">IF(L12="",L10,L12)</f>
        <v/>
      </c>
      <c r="N59" s="95">
        <f ca="1">IF(N$2=0,0,INDIRECT("'"&amp;N$2&amp;"'!J148"))</f>
        <v>0</v>
      </c>
      <c r="O59" s="96" t="str">
        <f ca="1">IF(N12="",N10,N12)</f>
        <v/>
      </c>
      <c r="P59" s="95">
        <f ca="1">IF(P$2=0,0,INDIRECT("'"&amp;P$2&amp;"'!J148"))</f>
        <v>0</v>
      </c>
      <c r="Q59" s="96" t="str">
        <f ca="1">IF(P12="",P10,P12)</f>
        <v/>
      </c>
    </row>
    <row r="60" spans="2:24" x14ac:dyDescent="0.2">
      <c r="B60" s="213" t="str">
        <f ca="1">VLOOKUP("tooling_descr",translation,VLOOKUP(INDIRECT("'"&amp;F$2&amp;"'!J2"),languages,2,FALSE),FALSE)</f>
        <v>Tooling description</v>
      </c>
      <c r="F60" s="915" t="str">
        <f ca="1">IF(F$2=0,0,INDIRECT("'"&amp;F$2&amp;"'!B123"))</f>
        <v>Injection molding tool 1 Cavity</v>
      </c>
      <c r="G60" s="916"/>
      <c r="H60" s="915" t="str">
        <f ca="1">IF(H$2=0,0,INDIRECT("'"&amp;H$2&amp;"'!B123"))</f>
        <v>Injection molding tool 1 Cavity</v>
      </c>
      <c r="I60" s="916"/>
      <c r="J60" s="915" t="str">
        <f ca="1">IF(J$2=0,0,INDIRECT("'"&amp;J$2&amp;"'!B123"))</f>
        <v>Injection molding tool 1 Cavity</v>
      </c>
      <c r="K60" s="916"/>
      <c r="L60" s="915">
        <f ca="1">IF(L$2=0,0,INDIRECT("'"&amp;L$2&amp;"'!B123"))</f>
        <v>0</v>
      </c>
      <c r="M60" s="916"/>
      <c r="N60" s="915">
        <f ca="1">IF(N$2=0,0,INDIRECT("'"&amp;N$2&amp;"'!B123"))</f>
        <v>0</v>
      </c>
      <c r="O60" s="916"/>
      <c r="P60" s="915">
        <f ca="1">IF(P$2=0,0,INDIRECT("'"&amp;P$2&amp;"'!B123"))</f>
        <v>0</v>
      </c>
      <c r="Q60" s="916"/>
    </row>
    <row r="61" spans="2:24" x14ac:dyDescent="0.2">
      <c r="B61" s="213" t="str">
        <f ca="1">VLOOKUP("pcs/cav",translation,VLOOKUP(INDIRECT("'"&amp;F$2&amp;"'!J2"),languages,2,FALSE),FALSE)</f>
        <v>Tool Warranty (pcs) / Cavities</v>
      </c>
      <c r="F61" s="95">
        <f ca="1">IF(F$2=0,0,INDIRECT("'"&amp;F$2&amp;"'!J123"))</f>
        <v>150000</v>
      </c>
      <c r="G61" s="216">
        <f ca="1">IF(F$2=0,0,INDIRECT("'"&amp;F$2&amp;"'!G123"))</f>
        <v>0</v>
      </c>
      <c r="H61" s="95">
        <f ca="1">IF(H$2=0,0,INDIRECT("'"&amp;H$2&amp;"'!J123"))</f>
        <v>150000</v>
      </c>
      <c r="I61" s="216">
        <f ca="1">IF(H$2=0,0,INDIRECT("'"&amp;H$2&amp;"'!G123"))</f>
        <v>0</v>
      </c>
      <c r="J61" s="95">
        <f ca="1">IF(J$2=0,0,INDIRECT("'"&amp;J$2&amp;"'!J123"))</f>
        <v>150000</v>
      </c>
      <c r="K61" s="216">
        <f ca="1">IF(J$2=0,0,INDIRECT("'"&amp;J$2&amp;"'!G123"))</f>
        <v>0</v>
      </c>
      <c r="L61" s="95">
        <f ca="1">IF(L$2=0,0,INDIRECT("'"&amp;L$2&amp;"'!J123"))</f>
        <v>0</v>
      </c>
      <c r="M61" s="216">
        <f ca="1">IF(L$2=0,0,INDIRECT("'"&amp;L$2&amp;"'!G123"))</f>
        <v>0</v>
      </c>
      <c r="N61" s="95">
        <f ca="1">IF(N$2=0,0,INDIRECT("'"&amp;N$2&amp;"'!J123"))</f>
        <v>0</v>
      </c>
      <c r="O61" s="216">
        <f ca="1">IF(N$2=0,0,INDIRECT("'"&amp;N$2&amp;"'!G123"))</f>
        <v>0</v>
      </c>
      <c r="P61" s="95">
        <f ca="1">IF(P$2=0,0,INDIRECT("'"&amp;P$2&amp;"'!J123"))</f>
        <v>0</v>
      </c>
      <c r="Q61" s="216">
        <f ca="1">IF(P$2=0,0,INDIRECT("'"&amp;P$2&amp;"'!G123"))</f>
        <v>0</v>
      </c>
    </row>
    <row r="62" spans="2:24" ht="4.5999999999999996" customHeight="1" x14ac:dyDescent="0.2">
      <c r="B62" s="210"/>
      <c r="C62" s="210"/>
      <c r="D62" s="210"/>
      <c r="E62" s="210"/>
      <c r="F62" s="214"/>
      <c r="G62" s="215"/>
      <c r="H62" s="214"/>
      <c r="I62" s="215"/>
      <c r="J62" s="214"/>
      <c r="K62" s="215"/>
      <c r="L62" s="214"/>
      <c r="M62" s="215"/>
      <c r="N62" s="214"/>
      <c r="O62" s="215"/>
      <c r="P62" s="214"/>
      <c r="Q62" s="215"/>
      <c r="R62" s="210"/>
      <c r="S62" s="210"/>
      <c r="T62" s="210"/>
      <c r="U62" s="210"/>
      <c r="V62" s="210"/>
      <c r="W62" s="210"/>
      <c r="X62" s="210"/>
    </row>
    <row r="63" spans="2:24" ht="13.6" x14ac:dyDescent="0.25">
      <c r="B63" s="59" t="str">
        <f ca="1">VLOOKUP("lft_cost",translation,VLOOKUP(INDIRECT("'"&amp;F$2&amp;"'!J2"),languages,2,FALSE),FALSE)</f>
        <v>Lifetime Cost</v>
      </c>
      <c r="F63" s="98">
        <f ca="1">IF(F$2=0,0,INDIRECT("'"&amp;F$2&amp;"'!K151"))</f>
        <v>494149.18126500054</v>
      </c>
      <c r="G63" s="97" t="str">
        <f ca="1">IF(F12="",F10,F12)</f>
        <v>EUR</v>
      </c>
      <c r="H63" s="98">
        <f ca="1">IF(H$2=0,0,INDIRECT("'"&amp;H$2&amp;"'!K151"))</f>
        <v>366854.16202943784</v>
      </c>
      <c r="I63" s="97" t="str">
        <f ca="1">IF(H12="",H10,H12)</f>
        <v>EUR</v>
      </c>
      <c r="J63" s="98">
        <f ca="1">IF(J$2=0,0,INDIRECT("'"&amp;J$2&amp;"'!K151"))</f>
        <v>377052.50644186034</v>
      </c>
      <c r="K63" s="97" t="str">
        <f ca="1">IF(J12="",J10,J12)</f>
        <v>EUR</v>
      </c>
      <c r="L63" s="98">
        <f ca="1">IF(L$2=0,0,INDIRECT("'"&amp;L$2&amp;"'!K151"))</f>
        <v>0</v>
      </c>
      <c r="M63" s="97" t="str">
        <f ca="1">IF(L12="",L10,L12)</f>
        <v/>
      </c>
      <c r="N63" s="98">
        <f ca="1">IF(N$2=0,0,INDIRECT("'"&amp;N$2&amp;"'!K151"))</f>
        <v>0</v>
      </c>
      <c r="O63" s="97" t="str">
        <f ca="1">IF(N12="",N10,N12)</f>
        <v/>
      </c>
      <c r="P63" s="98">
        <f ca="1">IF(P$2=0,0,INDIRECT("'"&amp;P$2&amp;"'!K151"))</f>
        <v>0</v>
      </c>
      <c r="Q63" s="97" t="str">
        <f ca="1">IF(P12="",P10,P12)</f>
        <v/>
      </c>
    </row>
    <row r="65" spans="2:17" x14ac:dyDescent="0.2">
      <c r="B65" s="55" t="str">
        <f ca="1">VLOOKUP("pay_terms",translation,VLOOKUP(INDIRECT("'"&amp;F$2&amp;"'!J2"),languages,2,FALSE),FALSE)</f>
        <v>Payment terms</v>
      </c>
      <c r="F65" s="923" t="str">
        <f ca="1">IF(F$2=0,"",INDIRECT("'"&amp;F$2&amp;"'!G133"))</f>
        <v>Standard</v>
      </c>
      <c r="G65" s="924"/>
      <c r="H65" s="923" t="str">
        <f ca="1">IF(H$2=0,"",INDIRECT("'"&amp;H$2&amp;"'!G133"))</f>
        <v>Standard</v>
      </c>
      <c r="I65" s="924"/>
      <c r="J65" s="923" t="str">
        <f ca="1">IF(J$2=0,"",INDIRECT("'"&amp;J$2&amp;"'!G133"))</f>
        <v>Standard</v>
      </c>
      <c r="K65" s="924"/>
      <c r="L65" s="923" t="str">
        <f ca="1">IF(L$2=0,"",INDIRECT("'"&amp;L$2&amp;"'!G133"))</f>
        <v/>
      </c>
      <c r="M65" s="924"/>
      <c r="N65" s="923" t="str">
        <f ca="1">IF(N$2=0,"",INDIRECT("'"&amp;N$2&amp;"'!G133"))</f>
        <v/>
      </c>
      <c r="O65" s="924"/>
      <c r="P65" s="923" t="str">
        <f ca="1">IF(P$2=0,"",INDIRECT("'"&amp;P$2&amp;"'!G133"))</f>
        <v/>
      </c>
      <c r="Q65" s="924"/>
    </row>
    <row r="66" spans="2:17" x14ac:dyDescent="0.2">
      <c r="B66" s="55" t="str">
        <f ca="1">VLOOKUP("tool_terms",translation,VLOOKUP(INDIRECT("'"&amp;F$2&amp;"'!J2"),languages,2,FALSE),FALSE)</f>
        <v>Tool payment terms</v>
      </c>
      <c r="F66" s="921" t="str">
        <f ca="1">IF(F$2=0,"",INDIRECT("'"&amp;F$2&amp;"'!G134"))</f>
        <v>Standard</v>
      </c>
      <c r="G66" s="922"/>
      <c r="H66" s="921" t="str">
        <f ca="1">IF(H$2=0,"",INDIRECT("'"&amp;H$2&amp;"'!G134"))</f>
        <v>Standard</v>
      </c>
      <c r="I66" s="922"/>
      <c r="J66" s="921" t="str">
        <f ca="1">IF(J$2=0,"",INDIRECT("'"&amp;J$2&amp;"'!G134"))</f>
        <v>Standard</v>
      </c>
      <c r="K66" s="922"/>
      <c r="L66" s="921" t="str">
        <f ca="1">IF(L$2=0,"",INDIRECT("'"&amp;L$2&amp;"'!G134"))</f>
        <v/>
      </c>
      <c r="M66" s="922"/>
      <c r="N66" s="921" t="str">
        <f ca="1">IF(N$2=0,"",INDIRECT("'"&amp;N$2&amp;"'!G134"))</f>
        <v/>
      </c>
      <c r="O66" s="922"/>
      <c r="P66" s="921" t="str">
        <f ca="1">IF(P$2=0,"",INDIRECT("'"&amp;P$2&amp;"'!G134"))</f>
        <v/>
      </c>
      <c r="Q66" s="922"/>
    </row>
    <row r="67" spans="2:17" x14ac:dyDescent="0.2">
      <c r="B67" s="55" t="str">
        <f ca="1">VLOOKUP("sparepart_price2",translation,VLOOKUP(INDIRECT("'"&amp;F$2&amp;"'!J2"),languages,2,FALSE),FALSE)</f>
        <v>Spare Part Pricing after EoP</v>
      </c>
      <c r="F67" s="101">
        <f ca="1">IF(F$2=0,"",INDIRECT("'"&amp;F$2&amp;"'!G135"))</f>
        <v>5</v>
      </c>
      <c r="G67" s="100" t="str">
        <f ca="1">IF(F67="",0,IF(F67=1,"year","years"))</f>
        <v>years</v>
      </c>
      <c r="H67" s="101">
        <f ca="1">IF(H$2=0,"",INDIRECT("'"&amp;H$2&amp;"'!G135"))</f>
        <v>5</v>
      </c>
      <c r="I67" s="100" t="str">
        <f ca="1">IF(H67="",0,IF(H67=1,"year","years"))</f>
        <v>years</v>
      </c>
      <c r="J67" s="101">
        <f ca="1">IF(J$2=0,"",INDIRECT("'"&amp;J$2&amp;"'!G135"))</f>
        <v>5</v>
      </c>
      <c r="K67" s="100" t="str">
        <f ca="1">IF(J67="",0,IF(J67=1,"year","years"))</f>
        <v>years</v>
      </c>
      <c r="L67" s="101" t="str">
        <f ca="1">IF(L$2=0,"",INDIRECT("'"&amp;L$2&amp;"'!G135"))</f>
        <v/>
      </c>
      <c r="M67" s="100">
        <f ca="1">IF(L67="",0,IF(L67=1,"year","years"))</f>
        <v>0</v>
      </c>
      <c r="N67" s="101" t="str">
        <f ca="1">IF(N$2=0,"",INDIRECT("'"&amp;N$2&amp;"'!G135"))</f>
        <v/>
      </c>
      <c r="O67" s="100">
        <f ca="1">IF(N67="",0,IF(N67=1,"year","years"))</f>
        <v>0</v>
      </c>
      <c r="P67" s="101" t="str">
        <f ca="1">IF(P$2=0,"",INDIRECT("'"&amp;P$2&amp;"'!G135"))</f>
        <v/>
      </c>
      <c r="Q67" s="100">
        <f ca="1">IF(P67="",0,IF(P67=1,"year","years"))</f>
        <v>0</v>
      </c>
    </row>
    <row r="68" spans="2:17" ht="4.5999999999999996" customHeight="1" x14ac:dyDescent="0.2"/>
    <row r="69" spans="2:17" ht="59.95" customHeight="1" x14ac:dyDescent="0.2">
      <c r="B69" s="102" t="str">
        <f ca="1">VLOOKUP("add_suppl_com",translation,VLOOKUP(INDIRECT("'"&amp;F$2&amp;"'!J2"),languages,2,FALSE),FALSE)</f>
        <v>Additional Supplier Comments/Benefits</v>
      </c>
      <c r="F69" s="917">
        <f ca="1">IF(F$2=0,"",INDIRECT("'"&amp;F$2&amp;"'!G152"))</f>
        <v>0</v>
      </c>
      <c r="G69" s="918"/>
      <c r="H69" s="917">
        <f ca="1">IF(H$2=0,"",INDIRECT("'"&amp;H$2&amp;"'!G152"))</f>
        <v>0</v>
      </c>
      <c r="I69" s="918"/>
      <c r="J69" s="917">
        <f ca="1">IF(J$2=0,"",INDIRECT("'"&amp;J$2&amp;"'!G152"))</f>
        <v>0</v>
      </c>
      <c r="K69" s="918"/>
      <c r="L69" s="917" t="str">
        <f ca="1">IF(L$2=0,"",INDIRECT("'"&amp;L$2&amp;"'!G152"))</f>
        <v/>
      </c>
      <c r="M69" s="918"/>
      <c r="N69" s="917" t="str">
        <f ca="1">IF(N$2=0,"",INDIRECT("'"&amp;N$2&amp;"'!G152"))</f>
        <v/>
      </c>
      <c r="O69" s="918"/>
      <c r="P69" s="917" t="str">
        <f ca="1">IF(P$2=0,"",INDIRECT("'"&amp;P$2&amp;"'!G152"))</f>
        <v/>
      </c>
      <c r="Q69" s="918"/>
    </row>
  </sheetData>
  <dataConsolidate/>
  <mergeCells count="109">
    <mergeCell ref="F69:G69"/>
    <mergeCell ref="H69:I69"/>
    <mergeCell ref="J69:K69"/>
    <mergeCell ref="L69:M69"/>
    <mergeCell ref="F44:G44"/>
    <mergeCell ref="L51:M51"/>
    <mergeCell ref="L60:M60"/>
    <mergeCell ref="J51:K51"/>
    <mergeCell ref="J65:K65"/>
    <mergeCell ref="L65:M65"/>
    <mergeCell ref="F60:G60"/>
    <mergeCell ref="F46:G46"/>
    <mergeCell ref="J60:K60"/>
    <mergeCell ref="H51:I51"/>
    <mergeCell ref="H60:I60"/>
    <mergeCell ref="L46:M46"/>
    <mergeCell ref="L44:M44"/>
    <mergeCell ref="F45:G45"/>
    <mergeCell ref="L45:M45"/>
    <mergeCell ref="J44:K44"/>
    <mergeCell ref="F51:G51"/>
    <mergeCell ref="F65:G65"/>
    <mergeCell ref="F66:G66"/>
    <mergeCell ref="H44:I44"/>
    <mergeCell ref="N69:O69"/>
    <mergeCell ref="P69:Q69"/>
    <mergeCell ref="L66:M66"/>
    <mergeCell ref="J66:K66"/>
    <mergeCell ref="H66:I66"/>
    <mergeCell ref="H65:I65"/>
    <mergeCell ref="P66:Q66"/>
    <mergeCell ref="N66:O66"/>
    <mergeCell ref="N65:O65"/>
    <mergeCell ref="P65:Q65"/>
    <mergeCell ref="P44:Q44"/>
    <mergeCell ref="N51:O51"/>
    <mergeCell ref="P51:Q51"/>
    <mergeCell ref="P60:Q60"/>
    <mergeCell ref="P7:Q7"/>
    <mergeCell ref="P34:Q34"/>
    <mergeCell ref="P35:Q35"/>
    <mergeCell ref="N45:O45"/>
    <mergeCell ref="P36:Q36"/>
    <mergeCell ref="P46:Q46"/>
    <mergeCell ref="N43:O43"/>
    <mergeCell ref="P43:Q43"/>
    <mergeCell ref="N7:O7"/>
    <mergeCell ref="N34:O34"/>
    <mergeCell ref="N46:O46"/>
    <mergeCell ref="P45:Q45"/>
    <mergeCell ref="N35:O35"/>
    <mergeCell ref="H7:I7"/>
    <mergeCell ref="H34:I34"/>
    <mergeCell ref="H35:I35"/>
    <mergeCell ref="J43:K43"/>
    <mergeCell ref="J45:K45"/>
    <mergeCell ref="J35:K35"/>
    <mergeCell ref="N60:O60"/>
    <mergeCell ref="N44:O44"/>
    <mergeCell ref="H46:I46"/>
    <mergeCell ref="H36:I36"/>
    <mergeCell ref="J36:K36"/>
    <mergeCell ref="J46:K46"/>
    <mergeCell ref="H45:I45"/>
    <mergeCell ref="P2:Q2"/>
    <mergeCell ref="H2:I2"/>
    <mergeCell ref="J2:K2"/>
    <mergeCell ref="L2:M2"/>
    <mergeCell ref="F2:G2"/>
    <mergeCell ref="F7:G7"/>
    <mergeCell ref="N36:O36"/>
    <mergeCell ref="J34:K34"/>
    <mergeCell ref="F43:G43"/>
    <mergeCell ref="L36:M36"/>
    <mergeCell ref="P6:Q6"/>
    <mergeCell ref="P4:Q4"/>
    <mergeCell ref="P3:Q3"/>
    <mergeCell ref="P5:Q5"/>
    <mergeCell ref="F34:G34"/>
    <mergeCell ref="F35:G35"/>
    <mergeCell ref="H5:I5"/>
    <mergeCell ref="F36:G36"/>
    <mergeCell ref="H43:I43"/>
    <mergeCell ref="L7:M7"/>
    <mergeCell ref="L34:M34"/>
    <mergeCell ref="L35:M35"/>
    <mergeCell ref="L43:M43"/>
    <mergeCell ref="J7:K7"/>
    <mergeCell ref="C6:D6"/>
    <mergeCell ref="F6:G6"/>
    <mergeCell ref="H6:I6"/>
    <mergeCell ref="L6:M6"/>
    <mergeCell ref="N6:O6"/>
    <mergeCell ref="N5:O5"/>
    <mergeCell ref="F4:G4"/>
    <mergeCell ref="H4:I4"/>
    <mergeCell ref="N2:O2"/>
    <mergeCell ref="H3:I3"/>
    <mergeCell ref="J3:K3"/>
    <mergeCell ref="J5:K5"/>
    <mergeCell ref="J6:K6"/>
    <mergeCell ref="L4:M4"/>
    <mergeCell ref="N4:O4"/>
    <mergeCell ref="L5:M5"/>
    <mergeCell ref="L3:M3"/>
    <mergeCell ref="N3:O3"/>
    <mergeCell ref="J4:K4"/>
    <mergeCell ref="F3:G3"/>
    <mergeCell ref="F5:G5"/>
  </mergeCells>
  <conditionalFormatting sqref="F6:F11 F14:F50 F52:F69 H14:H50 H52:H69 J14:J50 J52:J69 L14:L50 L52:L69 N14:N50 N52:N69 P14:P50 P52:P69">
    <cfRule type="expression" dxfId="50" priority="63">
      <formula>F$3=0</formula>
    </cfRule>
  </conditionalFormatting>
  <conditionalFormatting sqref="G6:G12 G14:G50 G52:G59 G63:G69 I6:I12 I14:I50 I52:I59 I64:I69 K6:K12 K14:K50 K52:K59 K64:K69 M6:M12 M14:M50 M52:M59 M64:M69 O6:O12 O14:O50 O52:O59 O64:O69 Q6:Q12 Q14:Q50 Q52:Q59 Q64:Q69">
    <cfRule type="expression" dxfId="49" priority="62">
      <formula>F$3=0</formula>
    </cfRule>
  </conditionalFormatting>
  <conditionalFormatting sqref="G4:G5">
    <cfRule type="expression" dxfId="48" priority="61">
      <formula>F$3=0</formula>
    </cfRule>
  </conditionalFormatting>
  <conditionalFormatting sqref="F4:F5">
    <cfRule type="expression" dxfId="47" priority="60">
      <formula>F$3=0</formula>
    </cfRule>
  </conditionalFormatting>
  <conditionalFormatting sqref="H6:H11">
    <cfRule type="expression" dxfId="46" priority="55">
      <formula>H$3=0</formula>
    </cfRule>
  </conditionalFormatting>
  <conditionalFormatting sqref="I63">
    <cfRule type="expression" dxfId="45" priority="54">
      <formula>H$3=0</formula>
    </cfRule>
  </conditionalFormatting>
  <conditionalFormatting sqref="I4:I5">
    <cfRule type="expression" dxfId="44" priority="53">
      <formula>H$3=0</formula>
    </cfRule>
  </conditionalFormatting>
  <conditionalFormatting sqref="H4:H5">
    <cfRule type="expression" dxfId="43" priority="52">
      <formula>H$3=0</formula>
    </cfRule>
  </conditionalFormatting>
  <conditionalFormatting sqref="J6:J11">
    <cfRule type="expression" dxfId="42" priority="51">
      <formula>J$3=0</formula>
    </cfRule>
  </conditionalFormatting>
  <conditionalFormatting sqref="K63">
    <cfRule type="expression" dxfId="41" priority="50">
      <formula>J$3=0</formula>
    </cfRule>
  </conditionalFormatting>
  <conditionalFormatting sqref="K4:K5">
    <cfRule type="expression" dxfId="40" priority="49">
      <formula>J$3=0</formula>
    </cfRule>
  </conditionalFormatting>
  <conditionalFormatting sqref="J4:J5">
    <cfRule type="expression" dxfId="39" priority="48">
      <formula>J$3=0</formula>
    </cfRule>
  </conditionalFormatting>
  <conditionalFormatting sqref="L6:L11">
    <cfRule type="expression" dxfId="38" priority="47">
      <formula>L$3=0</formula>
    </cfRule>
  </conditionalFormatting>
  <conditionalFormatting sqref="M63">
    <cfRule type="expression" dxfId="37" priority="46">
      <formula>L$3=0</formula>
    </cfRule>
  </conditionalFormatting>
  <conditionalFormatting sqref="M4:M5">
    <cfRule type="expression" dxfId="36" priority="45">
      <formula>L$3=0</formula>
    </cfRule>
  </conditionalFormatting>
  <conditionalFormatting sqref="L4:L5">
    <cfRule type="expression" dxfId="35" priority="44">
      <formula>L$3=0</formula>
    </cfRule>
  </conditionalFormatting>
  <conditionalFormatting sqref="N6:N11">
    <cfRule type="expression" dxfId="34" priority="43">
      <formula>N$3=0</formula>
    </cfRule>
  </conditionalFormatting>
  <conditionalFormatting sqref="O63">
    <cfRule type="expression" dxfId="33" priority="42">
      <formula>N$3=0</formula>
    </cfRule>
  </conditionalFormatting>
  <conditionalFormatting sqref="O4:O5">
    <cfRule type="expression" dxfId="32" priority="41">
      <formula>N$3=0</formula>
    </cfRule>
  </conditionalFormatting>
  <conditionalFormatting sqref="N4:N5">
    <cfRule type="expression" dxfId="31" priority="40">
      <formula>N$3=0</formula>
    </cfRule>
  </conditionalFormatting>
  <conditionalFormatting sqref="P6:P11">
    <cfRule type="expression" dxfId="30" priority="39">
      <formula>P$3=0</formula>
    </cfRule>
  </conditionalFormatting>
  <conditionalFormatting sqref="Q63">
    <cfRule type="expression" dxfId="29" priority="38">
      <formula>P$3=0</formula>
    </cfRule>
  </conditionalFormatting>
  <conditionalFormatting sqref="Q4:Q5">
    <cfRule type="expression" dxfId="28" priority="37">
      <formula>P$3=0</formula>
    </cfRule>
  </conditionalFormatting>
  <conditionalFormatting sqref="P4:P5">
    <cfRule type="expression" dxfId="27" priority="36">
      <formula>P$3=0</formula>
    </cfRule>
  </conditionalFormatting>
  <conditionalFormatting sqref="G13">
    <cfRule type="expression" dxfId="26" priority="28">
      <formula>F$3=0</formula>
    </cfRule>
  </conditionalFormatting>
  <conditionalFormatting sqref="I13">
    <cfRule type="expression" dxfId="25" priority="26">
      <formula>H$3=0</formula>
    </cfRule>
  </conditionalFormatting>
  <conditionalFormatting sqref="K13">
    <cfRule type="expression" dxfId="24" priority="25">
      <formula>J$3=0</formula>
    </cfRule>
  </conditionalFormatting>
  <conditionalFormatting sqref="M13">
    <cfRule type="expression" dxfId="23" priority="24">
      <formula>L$3=0</formula>
    </cfRule>
  </conditionalFormatting>
  <conditionalFormatting sqref="O13">
    <cfRule type="expression" dxfId="22" priority="23">
      <formula>N$3=0</formula>
    </cfRule>
  </conditionalFormatting>
  <conditionalFormatting sqref="Q13">
    <cfRule type="expression" dxfId="21" priority="22">
      <formula>P$3=0</formula>
    </cfRule>
  </conditionalFormatting>
  <conditionalFormatting sqref="F12:F13">
    <cfRule type="expression" dxfId="20" priority="21">
      <formula>F$3=0</formula>
    </cfRule>
  </conditionalFormatting>
  <conditionalFormatting sqref="H12:H13">
    <cfRule type="expression" dxfId="19" priority="19">
      <formula>H$3=0</formula>
    </cfRule>
  </conditionalFormatting>
  <conditionalFormatting sqref="J12:J13">
    <cfRule type="expression" dxfId="18" priority="18">
      <formula>J$3=0</formula>
    </cfRule>
  </conditionalFormatting>
  <conditionalFormatting sqref="L12:L13">
    <cfRule type="expression" dxfId="17" priority="17">
      <formula>L$3=0</formula>
    </cfRule>
  </conditionalFormatting>
  <conditionalFormatting sqref="N12:N13">
    <cfRule type="expression" dxfId="16" priority="16">
      <formula>N$3=0</formula>
    </cfRule>
  </conditionalFormatting>
  <conditionalFormatting sqref="P12:P13">
    <cfRule type="expression" dxfId="15" priority="15">
      <formula>P$3=0</formula>
    </cfRule>
  </conditionalFormatting>
  <conditionalFormatting sqref="F51">
    <cfRule type="expression" dxfId="14" priority="14">
      <formula>F$3=0</formula>
    </cfRule>
  </conditionalFormatting>
  <conditionalFormatting sqref="G51">
    <cfRule type="expression" dxfId="13" priority="13">
      <formula>F$3=0</formula>
    </cfRule>
  </conditionalFormatting>
  <conditionalFormatting sqref="H51">
    <cfRule type="expression" dxfId="12" priority="10">
      <formula>H$3=0</formula>
    </cfRule>
  </conditionalFormatting>
  <conditionalFormatting sqref="I51">
    <cfRule type="expression" dxfId="11" priority="9">
      <formula>H$3=0</formula>
    </cfRule>
  </conditionalFormatting>
  <conditionalFormatting sqref="J51">
    <cfRule type="expression" dxfId="10" priority="8">
      <formula>J$3=0</formula>
    </cfRule>
  </conditionalFormatting>
  <conditionalFormatting sqref="K51">
    <cfRule type="expression" dxfId="9" priority="7">
      <formula>J$3=0</formula>
    </cfRule>
  </conditionalFormatting>
  <conditionalFormatting sqref="L51">
    <cfRule type="expression" dxfId="8" priority="6">
      <formula>L$3=0</formula>
    </cfRule>
  </conditionalFormatting>
  <conditionalFormatting sqref="M51">
    <cfRule type="expression" dxfId="7" priority="5">
      <formula>L$3=0</formula>
    </cfRule>
  </conditionalFormatting>
  <conditionalFormatting sqref="N51">
    <cfRule type="expression" dxfId="6" priority="4">
      <formula>N$3=0</formula>
    </cfRule>
  </conditionalFormatting>
  <conditionalFormatting sqref="O51">
    <cfRule type="expression" dxfId="5" priority="3">
      <formula>N$3=0</formula>
    </cfRule>
  </conditionalFormatting>
  <conditionalFormatting sqref="P51">
    <cfRule type="expression" dxfId="4" priority="2">
      <formula>P$3=0</formula>
    </cfRule>
  </conditionalFormatting>
  <conditionalFormatting sqref="Q51">
    <cfRule type="expression" dxfId="3" priority="1">
      <formula>P$3=0</formula>
    </cfRule>
  </conditionalFormatting>
  <dataValidations count="2">
    <dataValidation type="list" allowBlank="1" showInputMessage="1" showErrorMessage="1" sqref="C2" xr:uid="{00000000-0002-0000-0100-000000000000}">
      <formula1>"/pc,/10,/100,/1000"</formula1>
    </dataValidation>
    <dataValidation type="list" errorStyle="warning" allowBlank="1" showInputMessage="1" showErrorMessage="1" errorTitle="NAME-ERROR" error="EN: Chosen worksheet does not exist or is not a Cost Breakdown._x000a__x000a_DE: Gewähltes Arbeitsblatt existiert nicht oder ist kein Cost Breakdown." sqref="F2 P2 N2 L2 J2 H2" xr:uid="{B9C019C2-35C8-43FF-9174-2C90D9544191}">
      <formula1>"A,Poland,China,Germany"</formula1>
    </dataValidation>
  </dataValidations>
  <pageMargins left="0.59055118110236227" right="0.47244094488188981" top="0.59055118110236227" bottom="0.47244094488188981" header="0.39370078740157483" footer="0.27559055118110237"/>
  <pageSetup paperSize="9" scale="59" orientation="landscape" r:id="rId1"/>
  <headerFooter alignWithMargins="0">
    <oddFooter>&amp;L&amp;F&amp;C&amp;A&amp;RPrinted: &amp;D</oddFooter>
  </headerFooter>
  <ignoredErrors>
    <ignoredError sqref="G10 G15:G32 J10:O32 G39:G40 F55:O69 J39:O40 F49:G54 J49:O54 H49:I54 H39:I40 I10:I32 H33:I38 H10:H32 H41:I48 P39:Q69 P10:P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M289"/>
  <sheetViews>
    <sheetView workbookViewId="0">
      <selection activeCell="A288" sqref="A288"/>
    </sheetView>
  </sheetViews>
  <sheetFormatPr defaultColWidth="11" defaultRowHeight="12.9" x14ac:dyDescent="0.2"/>
  <cols>
    <col min="1" max="1" width="21.375" style="67" customWidth="1"/>
    <col min="2" max="3" width="57.125" customWidth="1"/>
  </cols>
  <sheetData>
    <row r="1" spans="1:13" ht="13.6" x14ac:dyDescent="0.25">
      <c r="A1" s="271" t="s">
        <v>359</v>
      </c>
      <c r="B1" s="67" t="s">
        <v>360</v>
      </c>
      <c r="C1" s="67" t="s">
        <v>361</v>
      </c>
    </row>
    <row r="2" spans="1:13" x14ac:dyDescent="0.2">
      <c r="A2" t="s">
        <v>358</v>
      </c>
      <c r="B2" t="s">
        <v>362</v>
      </c>
      <c r="C2">
        <v>2</v>
      </c>
      <c r="G2" s="300"/>
    </row>
    <row r="3" spans="1:13" x14ac:dyDescent="0.2">
      <c r="A3" t="s">
        <v>238</v>
      </c>
      <c r="B3" t="s">
        <v>363</v>
      </c>
      <c r="C3">
        <v>3</v>
      </c>
    </row>
    <row r="11" spans="1:13" ht="13.6" x14ac:dyDescent="0.25">
      <c r="A11" s="268" t="s">
        <v>359</v>
      </c>
      <c r="B11" s="269" t="s">
        <v>358</v>
      </c>
      <c r="C11" s="269" t="s">
        <v>238</v>
      </c>
      <c r="D11" s="286" t="s">
        <v>722</v>
      </c>
      <c r="E11" s="628" t="s">
        <v>855</v>
      </c>
    </row>
    <row r="12" spans="1:13" hidden="1" x14ac:dyDescent="0.2">
      <c r="A12" s="67" t="s">
        <v>364</v>
      </c>
      <c r="B12" t="s">
        <v>0</v>
      </c>
      <c r="C12" t="s">
        <v>239</v>
      </c>
    </row>
    <row r="13" spans="1:13" hidden="1" x14ac:dyDescent="0.2">
      <c r="A13" s="67" t="s">
        <v>365</v>
      </c>
      <c r="B13" t="s">
        <v>218</v>
      </c>
      <c r="C13" t="s">
        <v>240</v>
      </c>
    </row>
    <row r="14" spans="1:13" hidden="1" x14ac:dyDescent="0.2">
      <c r="A14" s="67" t="s">
        <v>366</v>
      </c>
      <c r="B14" t="s">
        <v>5</v>
      </c>
      <c r="C14" t="s">
        <v>744</v>
      </c>
      <c r="M14" s="272"/>
    </row>
    <row r="15" spans="1:13" hidden="1" x14ac:dyDescent="0.2">
      <c r="A15" s="67" t="s">
        <v>367</v>
      </c>
      <c r="B15" t="s">
        <v>4</v>
      </c>
      <c r="C15" t="s">
        <v>241</v>
      </c>
      <c r="M15" s="272"/>
    </row>
    <row r="16" spans="1:13" hidden="1" x14ac:dyDescent="0.2">
      <c r="A16" s="67" t="s">
        <v>368</v>
      </c>
      <c r="B16" t="s">
        <v>2</v>
      </c>
      <c r="C16" t="s">
        <v>242</v>
      </c>
      <c r="M16" s="272"/>
    </row>
    <row r="17" spans="1:13" hidden="1" x14ac:dyDescent="0.2">
      <c r="A17" s="67" t="s">
        <v>369</v>
      </c>
      <c r="B17" t="s">
        <v>79</v>
      </c>
      <c r="C17" t="s">
        <v>740</v>
      </c>
      <c r="M17" s="272"/>
    </row>
    <row r="18" spans="1:13" hidden="1" x14ac:dyDescent="0.2">
      <c r="A18" s="67" t="s">
        <v>370</v>
      </c>
      <c r="B18" t="s">
        <v>821</v>
      </c>
      <c r="C18" t="s">
        <v>822</v>
      </c>
      <c r="M18" s="272"/>
    </row>
    <row r="19" spans="1:13" hidden="1" x14ac:dyDescent="0.2">
      <c r="A19" s="67" t="s">
        <v>371</v>
      </c>
      <c r="B19" t="s">
        <v>80</v>
      </c>
      <c r="C19" t="s">
        <v>335</v>
      </c>
      <c r="M19" s="272"/>
    </row>
    <row r="20" spans="1:13" hidden="1" x14ac:dyDescent="0.2">
      <c r="A20" s="67" t="s">
        <v>372</v>
      </c>
      <c r="B20" t="s">
        <v>78</v>
      </c>
      <c r="C20" t="s">
        <v>243</v>
      </c>
      <c r="M20" s="272"/>
    </row>
    <row r="21" spans="1:13" hidden="1" x14ac:dyDescent="0.2">
      <c r="A21" s="67" t="s">
        <v>373</v>
      </c>
      <c r="B21" t="s">
        <v>36</v>
      </c>
      <c r="C21" t="s">
        <v>750</v>
      </c>
      <c r="M21" s="272"/>
    </row>
    <row r="22" spans="1:13" hidden="1" x14ac:dyDescent="0.2">
      <c r="A22" s="67" t="s">
        <v>374</v>
      </c>
      <c r="B22" t="s">
        <v>7</v>
      </c>
      <c r="C22" t="s">
        <v>244</v>
      </c>
      <c r="M22" s="272"/>
    </row>
    <row r="23" spans="1:13" hidden="1" x14ac:dyDescent="0.2">
      <c r="A23" s="67" t="s">
        <v>375</v>
      </c>
      <c r="B23" t="s">
        <v>19</v>
      </c>
      <c r="C23" t="s">
        <v>245</v>
      </c>
      <c r="M23" s="272"/>
    </row>
    <row r="24" spans="1:13" hidden="1" x14ac:dyDescent="0.2">
      <c r="A24" s="67" t="s">
        <v>376</v>
      </c>
      <c r="B24" t="s">
        <v>6</v>
      </c>
      <c r="C24" t="s">
        <v>246</v>
      </c>
      <c r="M24" s="272"/>
    </row>
    <row r="25" spans="1:13" hidden="1" x14ac:dyDescent="0.2">
      <c r="A25" s="67" t="s">
        <v>377</v>
      </c>
      <c r="B25" t="s">
        <v>8</v>
      </c>
      <c r="C25" t="s">
        <v>804</v>
      </c>
      <c r="D25" t="s">
        <v>805</v>
      </c>
      <c r="M25" s="272"/>
    </row>
    <row r="26" spans="1:13" hidden="1" x14ac:dyDescent="0.2">
      <c r="A26" s="67" t="s">
        <v>378</v>
      </c>
      <c r="B26" t="s">
        <v>1</v>
      </c>
      <c r="C26" t="s">
        <v>255</v>
      </c>
      <c r="D26" t="s">
        <v>805</v>
      </c>
      <c r="M26" s="272"/>
    </row>
    <row r="27" spans="1:13" hidden="1" x14ac:dyDescent="0.2">
      <c r="A27" s="67" t="s">
        <v>379</v>
      </c>
      <c r="B27" t="s">
        <v>43</v>
      </c>
      <c r="C27" s="66" t="s">
        <v>810</v>
      </c>
      <c r="D27" t="s">
        <v>805</v>
      </c>
      <c r="M27" s="272"/>
    </row>
    <row r="28" spans="1:13" hidden="1" x14ac:dyDescent="0.2">
      <c r="A28" s="67" t="s">
        <v>380</v>
      </c>
      <c r="B28" t="s">
        <v>3</v>
      </c>
      <c r="C28" t="s">
        <v>247</v>
      </c>
      <c r="M28" s="272"/>
    </row>
    <row r="29" spans="1:13" hidden="1" x14ac:dyDescent="0.2">
      <c r="A29" s="67" t="s">
        <v>381</v>
      </c>
      <c r="B29" t="s">
        <v>9</v>
      </c>
      <c r="C29" t="s">
        <v>248</v>
      </c>
      <c r="M29" s="272"/>
    </row>
    <row r="30" spans="1:13" hidden="1" x14ac:dyDescent="0.2">
      <c r="A30" s="67" t="s">
        <v>382</v>
      </c>
      <c r="B30" t="s">
        <v>249</v>
      </c>
      <c r="C30" t="s">
        <v>250</v>
      </c>
      <c r="M30" s="272"/>
    </row>
    <row r="31" spans="1:13" hidden="1" x14ac:dyDescent="0.2">
      <c r="A31" s="67" t="s">
        <v>383</v>
      </c>
      <c r="B31" t="s">
        <v>251</v>
      </c>
      <c r="C31" t="s">
        <v>252</v>
      </c>
      <c r="M31" s="272"/>
    </row>
    <row r="32" spans="1:13" hidden="1" x14ac:dyDescent="0.2">
      <c r="A32" s="67" t="s">
        <v>384</v>
      </c>
      <c r="B32" t="s">
        <v>44</v>
      </c>
      <c r="C32" t="s">
        <v>253</v>
      </c>
      <c r="M32" s="272"/>
    </row>
    <row r="33" spans="1:13" hidden="1" x14ac:dyDescent="0.2">
      <c r="A33" s="67" t="s">
        <v>385</v>
      </c>
      <c r="B33" t="s">
        <v>10</v>
      </c>
      <c r="C33" t="s">
        <v>254</v>
      </c>
      <c r="M33" s="272"/>
    </row>
    <row r="34" spans="1:13" hidden="1" x14ac:dyDescent="0.2">
      <c r="A34" s="67" t="s">
        <v>386</v>
      </c>
      <c r="B34" t="s">
        <v>1</v>
      </c>
      <c r="C34" t="s">
        <v>255</v>
      </c>
    </row>
    <row r="35" spans="1:13" hidden="1" x14ac:dyDescent="0.2">
      <c r="A35" s="67" t="s">
        <v>387</v>
      </c>
      <c r="B35" t="s">
        <v>134</v>
      </c>
      <c r="C35" t="s">
        <v>819</v>
      </c>
    </row>
    <row r="36" spans="1:13" hidden="1" x14ac:dyDescent="0.2">
      <c r="A36" s="67" t="s">
        <v>388</v>
      </c>
      <c r="B36" t="s">
        <v>12</v>
      </c>
      <c r="C36" t="s">
        <v>763</v>
      </c>
    </row>
    <row r="37" spans="1:13" hidden="1" x14ac:dyDescent="0.2">
      <c r="A37" s="67" t="s">
        <v>389</v>
      </c>
      <c r="B37" t="s">
        <v>848</v>
      </c>
      <c r="C37" t="s">
        <v>256</v>
      </c>
      <c r="M37" s="272"/>
    </row>
    <row r="38" spans="1:13" hidden="1" x14ac:dyDescent="0.2">
      <c r="A38" s="67" t="s">
        <v>390</v>
      </c>
      <c r="B38" t="s">
        <v>138</v>
      </c>
      <c r="C38" t="s">
        <v>257</v>
      </c>
      <c r="M38" s="272"/>
    </row>
    <row r="39" spans="1:13" hidden="1" x14ac:dyDescent="0.2">
      <c r="A39" s="67" t="s">
        <v>391</v>
      </c>
      <c r="B39" t="s">
        <v>135</v>
      </c>
      <c r="C39" t="s">
        <v>258</v>
      </c>
      <c r="M39" s="272"/>
    </row>
    <row r="40" spans="1:13" hidden="1" x14ac:dyDescent="0.2">
      <c r="A40" s="67" t="s">
        <v>392</v>
      </c>
      <c r="B40" t="s">
        <v>506</v>
      </c>
      <c r="C40" t="s">
        <v>741</v>
      </c>
      <c r="M40" s="272"/>
    </row>
    <row r="41" spans="1:13" hidden="1" x14ac:dyDescent="0.2">
      <c r="A41" s="67" t="s">
        <v>393</v>
      </c>
      <c r="B41" s="66" t="s">
        <v>856</v>
      </c>
      <c r="C41" s="66" t="s">
        <v>811</v>
      </c>
      <c r="D41" t="s">
        <v>805</v>
      </c>
      <c r="M41" s="272"/>
    </row>
    <row r="42" spans="1:13" hidden="1" x14ac:dyDescent="0.2">
      <c r="A42" s="67" t="s">
        <v>394</v>
      </c>
      <c r="B42" t="s">
        <v>259</v>
      </c>
      <c r="C42" t="s">
        <v>742</v>
      </c>
      <c r="M42" s="272"/>
    </row>
    <row r="43" spans="1:13" hidden="1" x14ac:dyDescent="0.2">
      <c r="A43" s="67" t="s">
        <v>395</v>
      </c>
      <c r="B43" t="s">
        <v>260</v>
      </c>
      <c r="C43" t="s">
        <v>743</v>
      </c>
      <c r="M43" s="272"/>
    </row>
    <row r="44" spans="1:13" hidden="1" x14ac:dyDescent="0.2">
      <c r="A44" s="67" t="s">
        <v>396</v>
      </c>
      <c r="B44" t="s">
        <v>106</v>
      </c>
      <c r="C44" t="s">
        <v>738</v>
      </c>
      <c r="M44" s="272"/>
    </row>
    <row r="45" spans="1:13" hidden="1" x14ac:dyDescent="0.2">
      <c r="A45" s="67" t="s">
        <v>397</v>
      </c>
      <c r="B45" t="s">
        <v>16</v>
      </c>
      <c r="C45" t="s">
        <v>16</v>
      </c>
      <c r="M45" s="272"/>
    </row>
    <row r="46" spans="1:13" hidden="1" x14ac:dyDescent="0.2">
      <c r="A46" s="67" t="s">
        <v>398</v>
      </c>
      <c r="B46" t="s">
        <v>45</v>
      </c>
      <c r="C46" t="s">
        <v>261</v>
      </c>
      <c r="M46" s="272"/>
    </row>
    <row r="47" spans="1:13" hidden="1" x14ac:dyDescent="0.2">
      <c r="A47" s="67" t="s">
        <v>399</v>
      </c>
      <c r="B47" t="s">
        <v>18</v>
      </c>
      <c r="C47" t="s">
        <v>745</v>
      </c>
      <c r="M47" s="272"/>
    </row>
    <row r="48" spans="1:13" hidden="1" x14ac:dyDescent="0.2">
      <c r="A48" s="67" t="s">
        <v>400</v>
      </c>
      <c r="B48" t="s">
        <v>157</v>
      </c>
      <c r="C48" s="66" t="s">
        <v>737</v>
      </c>
      <c r="M48" s="272"/>
    </row>
    <row r="49" spans="1:13" hidden="1" x14ac:dyDescent="0.2">
      <c r="A49" s="67" t="s">
        <v>401</v>
      </c>
      <c r="B49" t="s">
        <v>95</v>
      </c>
      <c r="C49" t="s">
        <v>262</v>
      </c>
      <c r="M49" s="272"/>
    </row>
    <row r="50" spans="1:13" hidden="1" x14ac:dyDescent="0.2">
      <c r="A50" s="67" t="s">
        <v>402</v>
      </c>
      <c r="B50" t="s">
        <v>41</v>
      </c>
      <c r="C50" t="s">
        <v>258</v>
      </c>
      <c r="M50" s="272"/>
    </row>
    <row r="51" spans="1:13" hidden="1" x14ac:dyDescent="0.2">
      <c r="A51" s="67" t="s">
        <v>403</v>
      </c>
      <c r="B51" t="s">
        <v>46</v>
      </c>
      <c r="C51" t="s">
        <v>263</v>
      </c>
      <c r="M51" s="272"/>
    </row>
    <row r="52" spans="1:13" hidden="1" x14ac:dyDescent="0.2">
      <c r="A52" s="67" t="s">
        <v>404</v>
      </c>
      <c r="B52" t="s">
        <v>264</v>
      </c>
      <c r="C52" t="s">
        <v>806</v>
      </c>
      <c r="D52" t="s">
        <v>805</v>
      </c>
      <c r="M52" s="272"/>
    </row>
    <row r="53" spans="1:13" hidden="1" x14ac:dyDescent="0.2">
      <c r="A53" s="67" t="s">
        <v>405</v>
      </c>
      <c r="B53" t="s">
        <v>104</v>
      </c>
      <c r="C53" t="s">
        <v>265</v>
      </c>
      <c r="M53" s="272"/>
    </row>
    <row r="54" spans="1:13" hidden="1" x14ac:dyDescent="0.2">
      <c r="A54" s="67" t="s">
        <v>406</v>
      </c>
      <c r="B54" t="s">
        <v>47</v>
      </c>
      <c r="C54" t="s">
        <v>266</v>
      </c>
      <c r="M54" s="272"/>
    </row>
    <row r="55" spans="1:13" hidden="1" x14ac:dyDescent="0.2">
      <c r="A55" s="67" t="s">
        <v>407</v>
      </c>
      <c r="B55" t="s">
        <v>100</v>
      </c>
      <c r="C55" t="s">
        <v>223</v>
      </c>
      <c r="M55" s="272"/>
    </row>
    <row r="56" spans="1:13" hidden="1" x14ac:dyDescent="0.2">
      <c r="A56" s="67" t="s">
        <v>408</v>
      </c>
      <c r="B56" t="s">
        <v>267</v>
      </c>
      <c r="C56" t="s">
        <v>807</v>
      </c>
      <c r="D56" t="s">
        <v>805</v>
      </c>
      <c r="M56" s="272"/>
    </row>
    <row r="57" spans="1:13" hidden="1" x14ac:dyDescent="0.2">
      <c r="A57" s="67" t="s">
        <v>409</v>
      </c>
      <c r="B57" t="s">
        <v>268</v>
      </c>
      <c r="C57" t="s">
        <v>269</v>
      </c>
      <c r="M57" s="272"/>
    </row>
    <row r="58" spans="1:13" hidden="1" x14ac:dyDescent="0.2">
      <c r="A58" s="67" t="s">
        <v>410</v>
      </c>
      <c r="B58" t="s">
        <v>823</v>
      </c>
      <c r="C58" s="66" t="s">
        <v>824</v>
      </c>
      <c r="M58" s="272"/>
    </row>
    <row r="59" spans="1:13" hidden="1" x14ac:dyDescent="0.2">
      <c r="A59" s="67" t="s">
        <v>411</v>
      </c>
      <c r="B59" t="s">
        <v>853</v>
      </c>
      <c r="C59" t="s">
        <v>852</v>
      </c>
      <c r="D59" t="s">
        <v>805</v>
      </c>
      <c r="M59" s="272"/>
    </row>
    <row r="60" spans="1:13" hidden="1" x14ac:dyDescent="0.2">
      <c r="A60" s="67" t="s">
        <v>412</v>
      </c>
      <c r="B60" t="s">
        <v>21</v>
      </c>
      <c r="C60" t="s">
        <v>269</v>
      </c>
      <c r="E60" s="66"/>
      <c r="M60" s="272"/>
    </row>
    <row r="61" spans="1:13" hidden="1" x14ac:dyDescent="0.2">
      <c r="A61" s="67" t="s">
        <v>413</v>
      </c>
      <c r="B61" t="s">
        <v>22</v>
      </c>
      <c r="C61" t="s">
        <v>505</v>
      </c>
    </row>
    <row r="62" spans="1:13" hidden="1" x14ac:dyDescent="0.2">
      <c r="A62" s="67" t="s">
        <v>414</v>
      </c>
      <c r="B62" t="s">
        <v>270</v>
      </c>
      <c r="C62" t="s">
        <v>271</v>
      </c>
    </row>
    <row r="63" spans="1:13" hidden="1" x14ac:dyDescent="0.2">
      <c r="A63" s="67" t="s">
        <v>415</v>
      </c>
      <c r="B63" s="66" t="s">
        <v>61</v>
      </c>
      <c r="C63" s="66" t="s">
        <v>227</v>
      </c>
      <c r="D63" t="s">
        <v>805</v>
      </c>
    </row>
    <row r="64" spans="1:13" hidden="1" x14ac:dyDescent="0.2">
      <c r="A64" s="67" t="s">
        <v>416</v>
      </c>
      <c r="B64" t="s">
        <v>826</v>
      </c>
      <c r="C64" t="s">
        <v>825</v>
      </c>
    </row>
    <row r="65" spans="1:4" hidden="1" x14ac:dyDescent="0.2">
      <c r="A65" s="67" t="s">
        <v>417</v>
      </c>
      <c r="B65" s="66" t="s">
        <v>24</v>
      </c>
      <c r="C65" s="66" t="s">
        <v>272</v>
      </c>
    </row>
    <row r="66" spans="1:4" hidden="1" x14ac:dyDescent="0.2">
      <c r="A66" s="67" t="s">
        <v>418</v>
      </c>
      <c r="B66" t="s">
        <v>48</v>
      </c>
      <c r="C66" t="s">
        <v>273</v>
      </c>
    </row>
    <row r="67" spans="1:4" hidden="1" x14ac:dyDescent="0.2">
      <c r="A67" s="67" t="s">
        <v>419</v>
      </c>
      <c r="B67" t="s">
        <v>101</v>
      </c>
      <c r="C67" t="s">
        <v>808</v>
      </c>
      <c r="D67" t="s">
        <v>805</v>
      </c>
    </row>
    <row r="68" spans="1:4" hidden="1" x14ac:dyDescent="0.2">
      <c r="A68" s="67" t="s">
        <v>420</v>
      </c>
      <c r="B68" t="s">
        <v>28</v>
      </c>
      <c r="C68" t="s">
        <v>225</v>
      </c>
    </row>
    <row r="69" spans="1:4" hidden="1" x14ac:dyDescent="0.2">
      <c r="A69" s="67" t="s">
        <v>421</v>
      </c>
      <c r="B69" t="s">
        <v>274</v>
      </c>
      <c r="C69" t="s">
        <v>275</v>
      </c>
    </row>
    <row r="70" spans="1:4" hidden="1" x14ac:dyDescent="0.2">
      <c r="A70" s="67" t="s">
        <v>422</v>
      </c>
      <c r="B70" t="s">
        <v>49</v>
      </c>
      <c r="C70" t="s">
        <v>276</v>
      </c>
    </row>
    <row r="71" spans="1:4" hidden="1" x14ac:dyDescent="0.2">
      <c r="A71" s="67" t="s">
        <v>423</v>
      </c>
      <c r="B71" t="s">
        <v>216</v>
      </c>
      <c r="C71" t="s">
        <v>277</v>
      </c>
    </row>
    <row r="72" spans="1:4" hidden="1" x14ac:dyDescent="0.2">
      <c r="A72" s="67" t="s">
        <v>426</v>
      </c>
      <c r="B72" t="s">
        <v>215</v>
      </c>
      <c r="C72" t="s">
        <v>278</v>
      </c>
    </row>
    <row r="73" spans="1:4" hidden="1" x14ac:dyDescent="0.2">
      <c r="A73" s="67" t="s">
        <v>424</v>
      </c>
      <c r="B73" t="s">
        <v>133</v>
      </c>
      <c r="C73" t="s">
        <v>279</v>
      </c>
    </row>
    <row r="74" spans="1:4" hidden="1" x14ac:dyDescent="0.2">
      <c r="A74" s="67" t="s">
        <v>425</v>
      </c>
      <c r="B74" t="s">
        <v>50</v>
      </c>
      <c r="C74" t="s">
        <v>280</v>
      </c>
    </row>
    <row r="75" spans="1:4" hidden="1" x14ac:dyDescent="0.2">
      <c r="A75" s="67" t="s">
        <v>427</v>
      </c>
      <c r="B75" t="s">
        <v>281</v>
      </c>
      <c r="C75" t="s">
        <v>739</v>
      </c>
    </row>
    <row r="76" spans="1:4" hidden="1" x14ac:dyDescent="0.2">
      <c r="A76" s="67" t="s">
        <v>437</v>
      </c>
      <c r="B76" t="s">
        <v>30</v>
      </c>
      <c r="C76" t="s">
        <v>809</v>
      </c>
      <c r="D76" t="s">
        <v>805</v>
      </c>
    </row>
    <row r="77" spans="1:4" hidden="1" x14ac:dyDescent="0.2">
      <c r="A77" s="67" t="s">
        <v>428</v>
      </c>
      <c r="B77" t="s">
        <v>155</v>
      </c>
      <c r="C77" t="s">
        <v>282</v>
      </c>
    </row>
    <row r="78" spans="1:4" hidden="1" x14ac:dyDescent="0.2">
      <c r="A78" s="67" t="s">
        <v>429</v>
      </c>
      <c r="B78" t="s">
        <v>283</v>
      </c>
      <c r="C78" t="s">
        <v>284</v>
      </c>
    </row>
    <row r="79" spans="1:4" hidden="1" x14ac:dyDescent="0.2">
      <c r="A79" s="67" t="s">
        <v>430</v>
      </c>
      <c r="B79" t="s">
        <v>507</v>
      </c>
      <c r="C79" t="s">
        <v>508</v>
      </c>
    </row>
    <row r="80" spans="1:4" hidden="1" x14ac:dyDescent="0.2">
      <c r="A80" s="67" t="s">
        <v>431</v>
      </c>
      <c r="B80" t="s">
        <v>11</v>
      </c>
      <c r="C80" t="s">
        <v>258</v>
      </c>
    </row>
    <row r="81" spans="1:13" hidden="1" x14ac:dyDescent="0.2">
      <c r="A81" s="67" t="s">
        <v>432</v>
      </c>
      <c r="B81" t="s">
        <v>144</v>
      </c>
      <c r="C81" t="s">
        <v>285</v>
      </c>
    </row>
    <row r="82" spans="1:13" hidden="1" x14ac:dyDescent="0.2">
      <c r="A82" s="67" t="s">
        <v>433</v>
      </c>
      <c r="B82" t="s">
        <v>143</v>
      </c>
      <c r="C82" t="s">
        <v>286</v>
      </c>
    </row>
    <row r="83" spans="1:13" hidden="1" x14ac:dyDescent="0.2">
      <c r="A83" s="67" t="s">
        <v>434</v>
      </c>
      <c r="B83" t="s">
        <v>145</v>
      </c>
      <c r="C83" t="s">
        <v>287</v>
      </c>
    </row>
    <row r="84" spans="1:13" hidden="1" x14ac:dyDescent="0.2">
      <c r="A84" s="67" t="s">
        <v>438</v>
      </c>
      <c r="B84" t="s">
        <v>147</v>
      </c>
      <c r="C84" s="66" t="s">
        <v>348</v>
      </c>
    </row>
    <row r="85" spans="1:13" hidden="1" x14ac:dyDescent="0.2">
      <c r="A85" s="67" t="s">
        <v>439</v>
      </c>
      <c r="B85" t="s">
        <v>288</v>
      </c>
      <c r="C85" s="66" t="s">
        <v>349</v>
      </c>
    </row>
    <row r="86" spans="1:13" hidden="1" x14ac:dyDescent="0.2">
      <c r="A86" s="67" t="s">
        <v>435</v>
      </c>
      <c r="B86" t="s">
        <v>40</v>
      </c>
      <c r="C86" t="s">
        <v>231</v>
      </c>
    </row>
    <row r="87" spans="1:13" hidden="1" x14ac:dyDescent="0.2">
      <c r="A87" s="67" t="s">
        <v>436</v>
      </c>
      <c r="B87" t="s">
        <v>17</v>
      </c>
      <c r="C87" t="s">
        <v>289</v>
      </c>
    </row>
    <row r="88" spans="1:13" hidden="1" x14ac:dyDescent="0.2">
      <c r="A88" s="67" t="s">
        <v>440</v>
      </c>
      <c r="B88" t="s">
        <v>32</v>
      </c>
      <c r="C88" t="s">
        <v>290</v>
      </c>
    </row>
    <row r="89" spans="1:13" hidden="1" x14ac:dyDescent="0.2">
      <c r="A89" s="67" t="s">
        <v>442</v>
      </c>
      <c r="B89" t="s">
        <v>291</v>
      </c>
      <c r="C89" t="s">
        <v>292</v>
      </c>
    </row>
    <row r="90" spans="1:13" hidden="1" x14ac:dyDescent="0.2">
      <c r="A90" s="67" t="s">
        <v>441</v>
      </c>
      <c r="B90" t="s">
        <v>293</v>
      </c>
      <c r="C90" t="s">
        <v>294</v>
      </c>
    </row>
    <row r="91" spans="1:13" hidden="1" x14ac:dyDescent="0.2">
      <c r="A91" s="67" t="s">
        <v>443</v>
      </c>
      <c r="B91" t="s">
        <v>295</v>
      </c>
      <c r="C91" t="s">
        <v>296</v>
      </c>
      <c r="M91" s="273"/>
    </row>
    <row r="92" spans="1:13" hidden="1" x14ac:dyDescent="0.2">
      <c r="A92" s="67" t="s">
        <v>444</v>
      </c>
      <c r="B92" t="s">
        <v>33</v>
      </c>
      <c r="C92" t="s">
        <v>817</v>
      </c>
    </row>
    <row r="93" spans="1:13" hidden="1" x14ac:dyDescent="0.2">
      <c r="A93" s="67" t="s">
        <v>445</v>
      </c>
      <c r="B93" t="s">
        <v>509</v>
      </c>
      <c r="C93" t="s">
        <v>815</v>
      </c>
      <c r="D93" t="s">
        <v>805</v>
      </c>
    </row>
    <row r="94" spans="1:13" hidden="1" x14ac:dyDescent="0.2">
      <c r="A94" s="67" t="s">
        <v>446</v>
      </c>
      <c r="B94" t="s">
        <v>510</v>
      </c>
      <c r="C94" t="s">
        <v>816</v>
      </c>
    </row>
    <row r="95" spans="1:13" hidden="1" x14ac:dyDescent="0.2">
      <c r="A95" s="67" t="s">
        <v>447</v>
      </c>
      <c r="B95" t="s">
        <v>518</v>
      </c>
      <c r="C95" t="s">
        <v>818</v>
      </c>
      <c r="D95" t="s">
        <v>805</v>
      </c>
    </row>
    <row r="96" spans="1:13" hidden="1" x14ac:dyDescent="0.2">
      <c r="A96" s="67" t="s">
        <v>448</v>
      </c>
      <c r="B96" t="s">
        <v>511</v>
      </c>
      <c r="C96" t="s">
        <v>512</v>
      </c>
    </row>
    <row r="97" spans="1:13" hidden="1" x14ac:dyDescent="0.2">
      <c r="A97" s="67" t="s">
        <v>449</v>
      </c>
      <c r="B97" t="s">
        <v>160</v>
      </c>
      <c r="C97" t="s">
        <v>297</v>
      </c>
      <c r="M97" s="273"/>
    </row>
    <row r="98" spans="1:13" hidden="1" x14ac:dyDescent="0.2">
      <c r="A98" s="67" t="s">
        <v>450</v>
      </c>
      <c r="B98" t="s">
        <v>298</v>
      </c>
      <c r="C98" t="s">
        <v>299</v>
      </c>
      <c r="M98" s="273"/>
    </row>
    <row r="99" spans="1:13" hidden="1" x14ac:dyDescent="0.2">
      <c r="A99" s="67" t="s">
        <v>451</v>
      </c>
      <c r="B99" t="s">
        <v>212</v>
      </c>
      <c r="C99" t="s">
        <v>300</v>
      </c>
    </row>
    <row r="100" spans="1:13" hidden="1" x14ac:dyDescent="0.2">
      <c r="A100" s="67" t="s">
        <v>452</v>
      </c>
      <c r="B100" t="s">
        <v>51</v>
      </c>
      <c r="C100" t="s">
        <v>301</v>
      </c>
    </row>
    <row r="101" spans="1:13" hidden="1" x14ac:dyDescent="0.2">
      <c r="A101" s="67" t="s">
        <v>453</v>
      </c>
      <c r="B101" t="s">
        <v>103</v>
      </c>
      <c r="C101" t="s">
        <v>302</v>
      </c>
    </row>
    <row r="102" spans="1:13" hidden="1" x14ac:dyDescent="0.2">
      <c r="A102" s="67" t="s">
        <v>454</v>
      </c>
      <c r="B102" t="s">
        <v>194</v>
      </c>
      <c r="C102" t="s">
        <v>303</v>
      </c>
    </row>
    <row r="103" spans="1:13" hidden="1" x14ac:dyDescent="0.2">
      <c r="A103" s="67" t="s">
        <v>455</v>
      </c>
      <c r="B103" t="s">
        <v>20</v>
      </c>
      <c r="C103" t="s">
        <v>304</v>
      </c>
    </row>
    <row r="104" spans="1:13" hidden="1" x14ac:dyDescent="0.2">
      <c r="A104" s="67" t="s">
        <v>456</v>
      </c>
      <c r="B104" t="s">
        <v>305</v>
      </c>
      <c r="C104" t="s">
        <v>603</v>
      </c>
    </row>
    <row r="105" spans="1:13" hidden="1" x14ac:dyDescent="0.2">
      <c r="A105" s="67" t="s">
        <v>457</v>
      </c>
      <c r="B105" t="s">
        <v>77</v>
      </c>
      <c r="C105" t="s">
        <v>224</v>
      </c>
      <c r="E105" t="s">
        <v>854</v>
      </c>
    </row>
    <row r="106" spans="1:13" hidden="1" x14ac:dyDescent="0.2">
      <c r="A106" s="67" t="s">
        <v>458</v>
      </c>
      <c r="B106" t="s">
        <v>37</v>
      </c>
      <c r="C106" t="s">
        <v>306</v>
      </c>
    </row>
    <row r="107" spans="1:13" hidden="1" x14ac:dyDescent="0.2">
      <c r="A107" s="67" t="s">
        <v>459</v>
      </c>
      <c r="B107" t="s">
        <v>121</v>
      </c>
      <c r="C107" s="66" t="s">
        <v>350</v>
      </c>
    </row>
    <row r="108" spans="1:13" hidden="1" x14ac:dyDescent="0.2">
      <c r="A108" s="67" t="s">
        <v>460</v>
      </c>
      <c r="B108" t="s">
        <v>76</v>
      </c>
      <c r="C108" t="s">
        <v>752</v>
      </c>
    </row>
    <row r="109" spans="1:13" hidden="1" x14ac:dyDescent="0.2">
      <c r="A109" s="67" t="s">
        <v>461</v>
      </c>
      <c r="B109" t="s">
        <v>307</v>
      </c>
      <c r="C109" t="s">
        <v>754</v>
      </c>
    </row>
    <row r="110" spans="1:13" hidden="1" x14ac:dyDescent="0.2">
      <c r="A110" s="67" t="s">
        <v>462</v>
      </c>
      <c r="B110" t="s">
        <v>308</v>
      </c>
      <c r="C110" t="s">
        <v>753</v>
      </c>
    </row>
    <row r="111" spans="1:13" hidden="1" x14ac:dyDescent="0.2">
      <c r="A111" s="67" t="s">
        <v>463</v>
      </c>
      <c r="B111" t="s">
        <v>309</v>
      </c>
      <c r="C111" t="s">
        <v>310</v>
      </c>
    </row>
    <row r="112" spans="1:13" hidden="1" x14ac:dyDescent="0.2">
      <c r="A112" s="67" t="s">
        <v>464</v>
      </c>
      <c r="B112" t="s">
        <v>513</v>
      </c>
      <c r="C112" t="s">
        <v>341</v>
      </c>
    </row>
    <row r="113" spans="1:3" hidden="1" x14ac:dyDescent="0.2">
      <c r="A113" s="67" t="s">
        <v>465</v>
      </c>
      <c r="B113" t="s">
        <v>29</v>
      </c>
      <c r="C113" t="s">
        <v>311</v>
      </c>
    </row>
    <row r="114" spans="1:3" hidden="1" x14ac:dyDescent="0.2">
      <c r="A114" s="67" t="s">
        <v>466</v>
      </c>
      <c r="B114" t="s">
        <v>312</v>
      </c>
      <c r="C114" t="s">
        <v>812</v>
      </c>
    </row>
    <row r="115" spans="1:3" hidden="1" x14ac:dyDescent="0.2">
      <c r="A115" s="67" t="s">
        <v>467</v>
      </c>
      <c r="B115" t="s">
        <v>163</v>
      </c>
      <c r="C115" t="s">
        <v>313</v>
      </c>
    </row>
    <row r="116" spans="1:3" hidden="1" x14ac:dyDescent="0.2">
      <c r="A116" s="67" t="s">
        <v>468</v>
      </c>
      <c r="B116" t="s">
        <v>314</v>
      </c>
      <c r="C116" t="s">
        <v>315</v>
      </c>
    </row>
    <row r="117" spans="1:3" hidden="1" x14ac:dyDescent="0.2">
      <c r="A117" s="67" t="s">
        <v>469</v>
      </c>
      <c r="B117" t="s">
        <v>316</v>
      </c>
      <c r="C117" t="s">
        <v>317</v>
      </c>
    </row>
    <row r="118" spans="1:3" hidden="1" x14ac:dyDescent="0.2">
      <c r="A118" s="67" t="s">
        <v>470</v>
      </c>
      <c r="B118" t="s">
        <v>150</v>
      </c>
      <c r="C118" t="s">
        <v>318</v>
      </c>
    </row>
    <row r="119" spans="1:3" hidden="1" x14ac:dyDescent="0.2">
      <c r="A119" s="67" t="s">
        <v>471</v>
      </c>
      <c r="B119" t="s">
        <v>151</v>
      </c>
      <c r="C119" t="s">
        <v>319</v>
      </c>
    </row>
    <row r="120" spans="1:3" hidden="1" x14ac:dyDescent="0.2">
      <c r="A120" s="67" t="s">
        <v>472</v>
      </c>
      <c r="B120" t="s">
        <v>152</v>
      </c>
      <c r="C120" t="s">
        <v>320</v>
      </c>
    </row>
    <row r="121" spans="1:3" x14ac:dyDescent="0.2">
      <c r="A121" s="67" t="s">
        <v>473</v>
      </c>
      <c r="B121" t="s">
        <v>514</v>
      </c>
      <c r="C121" t="s">
        <v>516</v>
      </c>
    </row>
    <row r="122" spans="1:3" hidden="1" x14ac:dyDescent="0.2">
      <c r="A122" s="67" t="s">
        <v>474</v>
      </c>
      <c r="B122" t="s">
        <v>515</v>
      </c>
      <c r="C122" t="s">
        <v>517</v>
      </c>
    </row>
    <row r="123" spans="1:3" hidden="1" x14ac:dyDescent="0.2">
      <c r="A123" s="67" t="s">
        <v>475</v>
      </c>
      <c r="B123" t="s">
        <v>192</v>
      </c>
      <c r="C123" t="s">
        <v>321</v>
      </c>
    </row>
    <row r="124" spans="1:3" hidden="1" x14ac:dyDescent="0.2">
      <c r="A124" s="67" t="s">
        <v>478</v>
      </c>
      <c r="B124" t="s">
        <v>97</v>
      </c>
      <c r="C124" t="s">
        <v>322</v>
      </c>
    </row>
    <row r="125" spans="1:3" hidden="1" x14ac:dyDescent="0.2">
      <c r="A125" s="67">
        <v>115</v>
      </c>
      <c r="B125" t="s">
        <v>323</v>
      </c>
      <c r="C125" t="s">
        <v>324</v>
      </c>
    </row>
    <row r="126" spans="1:3" hidden="1" x14ac:dyDescent="0.2">
      <c r="A126" s="67">
        <v>116</v>
      </c>
      <c r="B126" t="s">
        <v>96</v>
      </c>
      <c r="C126" t="s">
        <v>325</v>
      </c>
    </row>
    <row r="127" spans="1:3" hidden="1" x14ac:dyDescent="0.2">
      <c r="A127" s="67">
        <v>117</v>
      </c>
      <c r="B127" t="s">
        <v>94</v>
      </c>
      <c r="C127" t="s">
        <v>326</v>
      </c>
    </row>
    <row r="128" spans="1:3" hidden="1" x14ac:dyDescent="0.2">
      <c r="A128" s="67" t="s">
        <v>476</v>
      </c>
      <c r="B128" t="s">
        <v>173</v>
      </c>
      <c r="C128" t="s">
        <v>327</v>
      </c>
    </row>
    <row r="129" spans="1:3" hidden="1" x14ac:dyDescent="0.2">
      <c r="A129" s="67" t="s">
        <v>479</v>
      </c>
      <c r="B129" t="s">
        <v>174</v>
      </c>
      <c r="C129" t="s">
        <v>328</v>
      </c>
    </row>
    <row r="130" spans="1:3" hidden="1" x14ac:dyDescent="0.2">
      <c r="A130" s="67" t="s">
        <v>480</v>
      </c>
      <c r="B130" t="s">
        <v>175</v>
      </c>
      <c r="C130" t="s">
        <v>329</v>
      </c>
    </row>
    <row r="131" spans="1:3" hidden="1" x14ac:dyDescent="0.2">
      <c r="A131" s="67" t="s">
        <v>481</v>
      </c>
      <c r="B131" t="s">
        <v>176</v>
      </c>
      <c r="C131" t="s">
        <v>330</v>
      </c>
    </row>
    <row r="132" spans="1:3" hidden="1" x14ac:dyDescent="0.2">
      <c r="A132" s="67" t="s">
        <v>482</v>
      </c>
      <c r="B132" t="s">
        <v>190</v>
      </c>
      <c r="C132" t="s">
        <v>331</v>
      </c>
    </row>
    <row r="133" spans="1:3" hidden="1" x14ac:dyDescent="0.2">
      <c r="A133" s="67" t="s">
        <v>483</v>
      </c>
      <c r="B133" t="s">
        <v>191</v>
      </c>
      <c r="C133" t="s">
        <v>332</v>
      </c>
    </row>
    <row r="134" spans="1:3" hidden="1" x14ac:dyDescent="0.2">
      <c r="A134" s="67" t="s">
        <v>484</v>
      </c>
      <c r="B134" t="s">
        <v>38</v>
      </c>
      <c r="C134" t="s">
        <v>333</v>
      </c>
    </row>
    <row r="135" spans="1:3" hidden="1" x14ac:dyDescent="0.2">
      <c r="A135" s="67" t="s">
        <v>485</v>
      </c>
      <c r="B135" t="s">
        <v>334</v>
      </c>
      <c r="C135" t="s">
        <v>335</v>
      </c>
    </row>
    <row r="136" spans="1:3" hidden="1" x14ac:dyDescent="0.2">
      <c r="A136" s="67" t="s">
        <v>486</v>
      </c>
      <c r="B136" t="s">
        <v>146</v>
      </c>
      <c r="C136" t="s">
        <v>336</v>
      </c>
    </row>
    <row r="137" spans="1:3" hidden="1" x14ac:dyDescent="0.2">
      <c r="A137" s="67" t="s">
        <v>487</v>
      </c>
      <c r="B137" t="s">
        <v>337</v>
      </c>
      <c r="C137" t="s">
        <v>338</v>
      </c>
    </row>
    <row r="138" spans="1:3" hidden="1" x14ac:dyDescent="0.2">
      <c r="A138" s="67" t="s">
        <v>488</v>
      </c>
      <c r="B138" t="s">
        <v>39</v>
      </c>
      <c r="C138" t="s">
        <v>221</v>
      </c>
    </row>
    <row r="139" spans="1:3" hidden="1" x14ac:dyDescent="0.2">
      <c r="A139" s="67" t="s">
        <v>489</v>
      </c>
      <c r="B139" t="s">
        <v>13</v>
      </c>
      <c r="C139" t="s">
        <v>13</v>
      </c>
    </row>
    <row r="140" spans="1:3" hidden="1" x14ac:dyDescent="0.2">
      <c r="A140" s="67" t="s">
        <v>490</v>
      </c>
      <c r="B140" t="s">
        <v>107</v>
      </c>
      <c r="C140" t="s">
        <v>339</v>
      </c>
    </row>
    <row r="141" spans="1:3" hidden="1" x14ac:dyDescent="0.2">
      <c r="A141" s="67" t="s">
        <v>491</v>
      </c>
      <c r="B141" t="s">
        <v>110</v>
      </c>
      <c r="C141" t="s">
        <v>222</v>
      </c>
    </row>
    <row r="142" spans="1:3" hidden="1" x14ac:dyDescent="0.2">
      <c r="A142" s="67" t="s">
        <v>492</v>
      </c>
      <c r="B142" t="s">
        <v>132</v>
      </c>
      <c r="C142" t="s">
        <v>282</v>
      </c>
    </row>
    <row r="143" spans="1:3" hidden="1" x14ac:dyDescent="0.2">
      <c r="A143" s="67" t="s">
        <v>493</v>
      </c>
      <c r="B143" t="s">
        <v>55</v>
      </c>
      <c r="C143" t="s">
        <v>226</v>
      </c>
    </row>
    <row r="144" spans="1:3" hidden="1" x14ac:dyDescent="0.2">
      <c r="A144" s="67" t="s">
        <v>420</v>
      </c>
      <c r="B144" t="s">
        <v>28</v>
      </c>
      <c r="C144" t="s">
        <v>225</v>
      </c>
    </row>
    <row r="145" spans="1:3" hidden="1" x14ac:dyDescent="0.2">
      <c r="A145" s="67" t="s">
        <v>494</v>
      </c>
      <c r="B145" t="s">
        <v>109</v>
      </c>
      <c r="C145" t="s">
        <v>228</v>
      </c>
    </row>
    <row r="146" spans="1:3" hidden="1" x14ac:dyDescent="0.2">
      <c r="A146" s="67" t="s">
        <v>504</v>
      </c>
      <c r="B146" t="s">
        <v>111</v>
      </c>
      <c r="C146" t="s">
        <v>340</v>
      </c>
    </row>
    <row r="147" spans="1:3" hidden="1" x14ac:dyDescent="0.2">
      <c r="A147" s="67" t="s">
        <v>495</v>
      </c>
      <c r="B147" t="s">
        <v>112</v>
      </c>
      <c r="C147" t="s">
        <v>341</v>
      </c>
    </row>
    <row r="148" spans="1:3" hidden="1" x14ac:dyDescent="0.2">
      <c r="A148" s="67" t="s">
        <v>496</v>
      </c>
      <c r="B148" t="s">
        <v>108</v>
      </c>
      <c r="C148" t="s">
        <v>803</v>
      </c>
    </row>
    <row r="149" spans="1:3" hidden="1" x14ac:dyDescent="0.2">
      <c r="A149" s="67" t="s">
        <v>497</v>
      </c>
      <c r="B149" t="s">
        <v>342</v>
      </c>
      <c r="C149" t="s">
        <v>343</v>
      </c>
    </row>
    <row r="150" spans="1:3" hidden="1" x14ac:dyDescent="0.2">
      <c r="A150" s="67" t="s">
        <v>498</v>
      </c>
      <c r="B150" t="s">
        <v>139</v>
      </c>
      <c r="C150" t="s">
        <v>344</v>
      </c>
    </row>
    <row r="151" spans="1:3" hidden="1" x14ac:dyDescent="0.2">
      <c r="A151" s="67" t="s">
        <v>477</v>
      </c>
      <c r="B151" t="s">
        <v>31</v>
      </c>
      <c r="C151" t="s">
        <v>230</v>
      </c>
    </row>
    <row r="152" spans="1:3" hidden="1" x14ac:dyDescent="0.2">
      <c r="A152" s="67" t="s">
        <v>475</v>
      </c>
      <c r="B152" t="s">
        <v>345</v>
      </c>
      <c r="C152" t="s">
        <v>346</v>
      </c>
    </row>
    <row r="153" spans="1:3" x14ac:dyDescent="0.2">
      <c r="A153" s="67" t="s">
        <v>499</v>
      </c>
      <c r="B153" t="s">
        <v>57</v>
      </c>
      <c r="C153" t="s">
        <v>232</v>
      </c>
    </row>
    <row r="154" spans="1:3" hidden="1" x14ac:dyDescent="0.2">
      <c r="A154" s="67" t="s">
        <v>500</v>
      </c>
      <c r="B154" t="s">
        <v>347</v>
      </c>
      <c r="C154" t="s">
        <v>234</v>
      </c>
    </row>
    <row r="155" spans="1:3" hidden="1" x14ac:dyDescent="0.2">
      <c r="A155" s="67" t="s">
        <v>501</v>
      </c>
      <c r="B155" t="s">
        <v>120</v>
      </c>
      <c r="C155" t="s">
        <v>233</v>
      </c>
    </row>
    <row r="156" spans="1:3" hidden="1" x14ac:dyDescent="0.2">
      <c r="A156" s="67" t="s">
        <v>502</v>
      </c>
      <c r="B156" s="66" t="s">
        <v>198</v>
      </c>
      <c r="C156" s="66" t="s">
        <v>351</v>
      </c>
    </row>
    <row r="157" spans="1:3" hidden="1" x14ac:dyDescent="0.2">
      <c r="A157" s="67" t="s">
        <v>503</v>
      </c>
      <c r="B157" s="66" t="s">
        <v>156</v>
      </c>
      <c r="C157" s="66" t="s">
        <v>255</v>
      </c>
    </row>
    <row r="158" spans="1:3" hidden="1" x14ac:dyDescent="0.2">
      <c r="A158" s="67" t="s">
        <v>534</v>
      </c>
      <c r="B158" s="66" t="s">
        <v>168</v>
      </c>
      <c r="C158" s="66" t="s">
        <v>352</v>
      </c>
    </row>
    <row r="159" spans="1:3" hidden="1" x14ac:dyDescent="0.2">
      <c r="A159" s="67" t="s">
        <v>535</v>
      </c>
      <c r="B159" s="66" t="s">
        <v>169</v>
      </c>
      <c r="C159" s="66" t="s">
        <v>353</v>
      </c>
    </row>
    <row r="160" spans="1:3" hidden="1" x14ac:dyDescent="0.2">
      <c r="A160" s="67" t="s">
        <v>536</v>
      </c>
      <c r="B160" s="66" t="s">
        <v>354</v>
      </c>
      <c r="C160" s="66" t="s">
        <v>355</v>
      </c>
    </row>
    <row r="161" spans="1:4" hidden="1" x14ac:dyDescent="0.2">
      <c r="A161" s="67" t="s">
        <v>537</v>
      </c>
      <c r="B161" s="66" t="s">
        <v>213</v>
      </c>
      <c r="C161" s="66" t="s">
        <v>356</v>
      </c>
    </row>
    <row r="162" spans="1:4" hidden="1" x14ac:dyDescent="0.2">
      <c r="A162" s="67" t="s">
        <v>538</v>
      </c>
      <c r="B162" s="66" t="s">
        <v>214</v>
      </c>
      <c r="C162" s="66" t="s">
        <v>357</v>
      </c>
    </row>
    <row r="163" spans="1:4" hidden="1" x14ac:dyDescent="0.2">
      <c r="A163" s="67" t="s">
        <v>521</v>
      </c>
      <c r="B163" t="s">
        <v>519</v>
      </c>
      <c r="C163" t="s">
        <v>520</v>
      </c>
    </row>
    <row r="164" spans="1:4" hidden="1" x14ac:dyDescent="0.2">
      <c r="A164" s="67" t="s">
        <v>522</v>
      </c>
      <c r="B164" t="s">
        <v>523</v>
      </c>
      <c r="C164" t="s">
        <v>524</v>
      </c>
    </row>
    <row r="165" spans="1:4" x14ac:dyDescent="0.2">
      <c r="A165" s="67" t="s">
        <v>526</v>
      </c>
      <c r="B165" t="s">
        <v>117</v>
      </c>
      <c r="C165" t="s">
        <v>525</v>
      </c>
    </row>
    <row r="166" spans="1:4" hidden="1" x14ac:dyDescent="0.2">
      <c r="A166" s="67" t="s">
        <v>527</v>
      </c>
      <c r="B166" t="s">
        <v>528</v>
      </c>
      <c r="C166" t="s">
        <v>529</v>
      </c>
    </row>
    <row r="167" spans="1:4" hidden="1" x14ac:dyDescent="0.2">
      <c r="A167" s="67" t="s">
        <v>531</v>
      </c>
      <c r="B167" t="s">
        <v>530</v>
      </c>
      <c r="C167" t="s">
        <v>786</v>
      </c>
    </row>
    <row r="168" spans="1:4" hidden="1" x14ac:dyDescent="0.2">
      <c r="A168" s="67" t="s">
        <v>532</v>
      </c>
      <c r="B168" t="s">
        <v>192</v>
      </c>
      <c r="C168" t="s">
        <v>321</v>
      </c>
    </row>
    <row r="169" spans="1:4" hidden="1" x14ac:dyDescent="0.2">
      <c r="A169" s="67" t="s">
        <v>533</v>
      </c>
      <c r="B169" t="s">
        <v>96</v>
      </c>
      <c r="C169" t="s">
        <v>785</v>
      </c>
    </row>
    <row r="170" spans="1:4" hidden="1" x14ac:dyDescent="0.2">
      <c r="A170" s="67" t="s">
        <v>540</v>
      </c>
      <c r="B170" t="s">
        <v>154</v>
      </c>
      <c r="C170" t="s">
        <v>539</v>
      </c>
    </row>
    <row r="171" spans="1:4" hidden="1" x14ac:dyDescent="0.2">
      <c r="A171" s="276" t="s">
        <v>541</v>
      </c>
      <c r="B171" s="275" t="s">
        <v>153</v>
      </c>
      <c r="C171" s="275" t="s">
        <v>542</v>
      </c>
    </row>
    <row r="172" spans="1:4" hidden="1" x14ac:dyDescent="0.2">
      <c r="A172" s="276" t="s">
        <v>543</v>
      </c>
      <c r="B172" s="275" t="s">
        <v>149</v>
      </c>
      <c r="C172" s="275" t="s">
        <v>544</v>
      </c>
    </row>
    <row r="173" spans="1:4" hidden="1" x14ac:dyDescent="0.2">
      <c r="A173" s="276" t="s">
        <v>545</v>
      </c>
      <c r="B173" s="275" t="s">
        <v>546</v>
      </c>
      <c r="C173" s="275" t="s">
        <v>547</v>
      </c>
    </row>
    <row r="174" spans="1:4" hidden="1" x14ac:dyDescent="0.2">
      <c r="A174" s="276" t="s">
        <v>548</v>
      </c>
      <c r="B174" s="275" t="s">
        <v>70</v>
      </c>
      <c r="C174" s="275" t="s">
        <v>549</v>
      </c>
    </row>
    <row r="175" spans="1:4" hidden="1" x14ac:dyDescent="0.2">
      <c r="A175" s="276" t="s">
        <v>550</v>
      </c>
      <c r="B175" s="290" t="s">
        <v>839</v>
      </c>
      <c r="C175" s="290" t="s">
        <v>838</v>
      </c>
      <c r="D175" s="66"/>
    </row>
    <row r="176" spans="1:4" hidden="1" x14ac:dyDescent="0.2">
      <c r="A176" s="276" t="s">
        <v>551</v>
      </c>
      <c r="B176" s="275" t="s">
        <v>552</v>
      </c>
      <c r="C176" s="275" t="s">
        <v>553</v>
      </c>
    </row>
    <row r="177" spans="1:3" hidden="1" x14ac:dyDescent="0.2">
      <c r="A177" s="276" t="s">
        <v>554</v>
      </c>
      <c r="B177" s="275" t="s">
        <v>148</v>
      </c>
      <c r="C177" s="275" t="s">
        <v>555</v>
      </c>
    </row>
    <row r="178" spans="1:3" hidden="1" x14ac:dyDescent="0.2">
      <c r="A178" s="281" t="s">
        <v>556</v>
      </c>
      <c r="B178" s="290" t="s">
        <v>840</v>
      </c>
      <c r="C178" s="290" t="s">
        <v>841</v>
      </c>
    </row>
    <row r="179" spans="1:3" hidden="1" x14ac:dyDescent="0.2">
      <c r="A179" s="284" t="s">
        <v>672</v>
      </c>
      <c r="B179" s="280" t="s">
        <v>72</v>
      </c>
      <c r="C179" s="280" t="s">
        <v>557</v>
      </c>
    </row>
    <row r="180" spans="1:3" hidden="1" x14ac:dyDescent="0.2">
      <c r="A180" s="281" t="s">
        <v>558</v>
      </c>
      <c r="B180" s="290" t="s">
        <v>842</v>
      </c>
      <c r="C180" s="290" t="s">
        <v>843</v>
      </c>
    </row>
    <row r="181" spans="1:3" hidden="1" x14ac:dyDescent="0.2">
      <c r="A181" s="281" t="s">
        <v>559</v>
      </c>
      <c r="B181" s="280" t="s">
        <v>560</v>
      </c>
      <c r="C181" s="280" t="s">
        <v>561</v>
      </c>
    </row>
    <row r="182" spans="1:3" hidden="1" x14ac:dyDescent="0.2">
      <c r="A182" s="281" t="s">
        <v>562</v>
      </c>
      <c r="B182" s="290" t="s">
        <v>844</v>
      </c>
      <c r="C182" s="290" t="s">
        <v>845</v>
      </c>
    </row>
    <row r="183" spans="1:3" hidden="1" x14ac:dyDescent="0.2">
      <c r="A183" s="281" t="s">
        <v>563</v>
      </c>
      <c r="B183" s="280" t="s">
        <v>564</v>
      </c>
      <c r="C183" s="280" t="s">
        <v>565</v>
      </c>
    </row>
    <row r="184" spans="1:3" hidden="1" x14ac:dyDescent="0.2">
      <c r="A184" s="281" t="s">
        <v>566</v>
      </c>
      <c r="B184" s="280" t="s">
        <v>567</v>
      </c>
      <c r="C184" s="280" t="s">
        <v>568</v>
      </c>
    </row>
    <row r="185" spans="1:3" hidden="1" x14ac:dyDescent="0.2">
      <c r="A185" s="281" t="s">
        <v>569</v>
      </c>
      <c r="B185" s="280" t="s">
        <v>570</v>
      </c>
      <c r="C185" s="280" t="s">
        <v>571</v>
      </c>
    </row>
    <row r="186" spans="1:3" hidden="1" x14ac:dyDescent="0.2">
      <c r="A186" s="281" t="s">
        <v>572</v>
      </c>
      <c r="B186" s="280" t="s">
        <v>34</v>
      </c>
      <c r="C186" s="280" t="s">
        <v>573</v>
      </c>
    </row>
    <row r="187" spans="1:3" hidden="1" x14ac:dyDescent="0.2">
      <c r="A187" s="281" t="s">
        <v>574</v>
      </c>
      <c r="B187" s="280" t="s">
        <v>575</v>
      </c>
      <c r="C187" s="288" t="s">
        <v>784</v>
      </c>
    </row>
    <row r="188" spans="1:3" hidden="1" x14ac:dyDescent="0.2">
      <c r="A188" s="281" t="s">
        <v>636</v>
      </c>
      <c r="B188" s="280" t="s">
        <v>98</v>
      </c>
      <c r="C188" s="280" t="s">
        <v>637</v>
      </c>
    </row>
    <row r="189" spans="1:3" hidden="1" x14ac:dyDescent="0.2">
      <c r="A189" s="281" t="s">
        <v>576</v>
      </c>
      <c r="B189" s="280" t="s">
        <v>35</v>
      </c>
      <c r="C189" s="280" t="s">
        <v>577</v>
      </c>
    </row>
    <row r="190" spans="1:3" hidden="1" x14ac:dyDescent="0.2">
      <c r="A190" s="281" t="s">
        <v>578</v>
      </c>
      <c r="B190" s="280" t="s">
        <v>579</v>
      </c>
      <c r="C190" s="280" t="s">
        <v>638</v>
      </c>
    </row>
    <row r="191" spans="1:3" hidden="1" x14ac:dyDescent="0.2">
      <c r="A191" s="281" t="s">
        <v>580</v>
      </c>
      <c r="B191" s="280" t="s">
        <v>581</v>
      </c>
      <c r="C191" s="280" t="s">
        <v>582</v>
      </c>
    </row>
    <row r="192" spans="1:3" hidden="1" x14ac:dyDescent="0.2">
      <c r="A192" s="281" t="s">
        <v>583</v>
      </c>
      <c r="B192" s="280" t="s">
        <v>584</v>
      </c>
      <c r="C192" s="280" t="s">
        <v>585</v>
      </c>
    </row>
    <row r="193" spans="1:3" hidden="1" x14ac:dyDescent="0.2">
      <c r="A193" s="276" t="s">
        <v>639</v>
      </c>
      <c r="B193" s="287" t="s">
        <v>764</v>
      </c>
      <c r="C193" s="287" t="s">
        <v>775</v>
      </c>
    </row>
    <row r="194" spans="1:3" hidden="1" x14ac:dyDescent="0.2">
      <c r="A194" s="276" t="s">
        <v>640</v>
      </c>
      <c r="B194" s="287" t="s">
        <v>765</v>
      </c>
      <c r="C194" s="287" t="s">
        <v>774</v>
      </c>
    </row>
    <row r="195" spans="1:3" hidden="1" x14ac:dyDescent="0.2">
      <c r="A195" s="276" t="s">
        <v>641</v>
      </c>
      <c r="B195" s="287" t="s">
        <v>766</v>
      </c>
      <c r="C195" s="287" t="s">
        <v>773</v>
      </c>
    </row>
    <row r="196" spans="1:3" hidden="1" x14ac:dyDescent="0.2">
      <c r="A196" s="276" t="s">
        <v>642</v>
      </c>
      <c r="B196" s="287" t="s">
        <v>767</v>
      </c>
      <c r="C196" s="287" t="s">
        <v>772</v>
      </c>
    </row>
    <row r="197" spans="1:3" hidden="1" x14ac:dyDescent="0.2">
      <c r="A197" s="276" t="s">
        <v>643</v>
      </c>
      <c r="B197" s="287" t="s">
        <v>768</v>
      </c>
      <c r="C197" s="287" t="s">
        <v>771</v>
      </c>
    </row>
    <row r="198" spans="1:3" hidden="1" x14ac:dyDescent="0.2">
      <c r="A198" s="276" t="s">
        <v>644</v>
      </c>
      <c r="B198" s="287" t="s">
        <v>769</v>
      </c>
      <c r="C198" s="287" t="s">
        <v>770</v>
      </c>
    </row>
    <row r="199" spans="1:3" hidden="1" x14ac:dyDescent="0.2">
      <c r="A199" s="276" t="s">
        <v>645</v>
      </c>
      <c r="B199" s="290" t="s">
        <v>837</v>
      </c>
      <c r="C199" s="290" t="s">
        <v>836</v>
      </c>
    </row>
    <row r="200" spans="1:3" hidden="1" x14ac:dyDescent="0.2">
      <c r="A200" s="276" t="s">
        <v>646</v>
      </c>
      <c r="B200" s="275" t="s">
        <v>586</v>
      </c>
      <c r="C200" s="275" t="s">
        <v>587</v>
      </c>
    </row>
    <row r="201" spans="1:3" hidden="1" x14ac:dyDescent="0.2">
      <c r="A201" s="276" t="s">
        <v>647</v>
      </c>
      <c r="B201" s="275" t="s">
        <v>114</v>
      </c>
      <c r="C201" s="287" t="s">
        <v>755</v>
      </c>
    </row>
    <row r="202" spans="1:3" hidden="1" x14ac:dyDescent="0.2">
      <c r="A202" s="276" t="s">
        <v>648</v>
      </c>
      <c r="B202" s="275" t="s">
        <v>115</v>
      </c>
      <c r="C202" s="275" t="s">
        <v>222</v>
      </c>
    </row>
    <row r="203" spans="1:3" hidden="1" x14ac:dyDescent="0.2">
      <c r="A203" s="276" t="s">
        <v>407</v>
      </c>
      <c r="B203" s="275" t="s">
        <v>100</v>
      </c>
      <c r="C203" s="275" t="s">
        <v>223</v>
      </c>
    </row>
    <row r="204" spans="1:3" hidden="1" x14ac:dyDescent="0.2">
      <c r="A204" s="276" t="s">
        <v>651</v>
      </c>
      <c r="B204" s="275" t="s">
        <v>14</v>
      </c>
      <c r="C204" s="275" t="s">
        <v>588</v>
      </c>
    </row>
    <row r="205" spans="1:3" hidden="1" x14ac:dyDescent="0.2">
      <c r="A205" s="276" t="s">
        <v>649</v>
      </c>
      <c r="B205" s="275" t="s">
        <v>116</v>
      </c>
      <c r="C205" s="275" t="s">
        <v>229</v>
      </c>
    </row>
    <row r="206" spans="1:3" hidden="1" x14ac:dyDescent="0.2">
      <c r="A206" s="276" t="s">
        <v>650</v>
      </c>
      <c r="B206" s="275" t="s">
        <v>167</v>
      </c>
      <c r="C206" s="275" t="s">
        <v>589</v>
      </c>
    </row>
    <row r="207" spans="1:3" hidden="1" x14ac:dyDescent="0.2">
      <c r="A207" s="283" t="s">
        <v>652</v>
      </c>
      <c r="B207" s="282" t="s">
        <v>590</v>
      </c>
      <c r="C207" s="282" t="s">
        <v>591</v>
      </c>
    </row>
    <row r="208" spans="1:3" hidden="1" x14ac:dyDescent="0.2">
      <c r="A208" s="283" t="s">
        <v>653</v>
      </c>
      <c r="B208" s="282" t="s">
        <v>592</v>
      </c>
      <c r="C208" s="282" t="s">
        <v>654</v>
      </c>
    </row>
    <row r="209" spans="1:3" x14ac:dyDescent="0.2">
      <c r="A209" s="283" t="s">
        <v>655</v>
      </c>
      <c r="B209" s="282" t="s">
        <v>118</v>
      </c>
      <c r="C209" s="282" t="s">
        <v>593</v>
      </c>
    </row>
    <row r="210" spans="1:3" hidden="1" x14ac:dyDescent="0.2">
      <c r="A210" s="283" t="s">
        <v>656</v>
      </c>
      <c r="B210" s="282" t="s">
        <v>119</v>
      </c>
      <c r="C210" s="282" t="s">
        <v>594</v>
      </c>
    </row>
    <row r="211" spans="1:3" hidden="1" x14ac:dyDescent="0.2">
      <c r="A211" s="283" t="s">
        <v>657</v>
      </c>
      <c r="B211" s="282" t="s">
        <v>199</v>
      </c>
      <c r="C211" s="282" t="s">
        <v>595</v>
      </c>
    </row>
    <row r="212" spans="1:3" hidden="1" x14ac:dyDescent="0.2">
      <c r="A212" s="283"/>
      <c r="B212" s="282" t="s">
        <v>166</v>
      </c>
      <c r="C212" s="282" t="s">
        <v>596</v>
      </c>
    </row>
    <row r="213" spans="1:3" hidden="1" x14ac:dyDescent="0.2">
      <c r="A213" s="283" t="s">
        <v>658</v>
      </c>
      <c r="B213" s="290" t="s">
        <v>52</v>
      </c>
      <c r="C213" s="290" t="s">
        <v>857</v>
      </c>
    </row>
    <row r="214" spans="1:3" hidden="1" x14ac:dyDescent="0.2">
      <c r="A214" s="283" t="s">
        <v>659</v>
      </c>
      <c r="B214" s="282" t="s">
        <v>597</v>
      </c>
      <c r="C214" s="282" t="s">
        <v>598</v>
      </c>
    </row>
    <row r="215" spans="1:3" hidden="1" x14ac:dyDescent="0.2">
      <c r="A215" s="283" t="s">
        <v>660</v>
      </c>
      <c r="B215" s="282" t="s">
        <v>171</v>
      </c>
      <c r="C215" s="282" t="s">
        <v>599</v>
      </c>
    </row>
    <row r="216" spans="1:3" hidden="1" x14ac:dyDescent="0.2">
      <c r="A216" s="283" t="s">
        <v>661</v>
      </c>
      <c r="B216" s="282" t="s">
        <v>159</v>
      </c>
      <c r="C216" s="288" t="s">
        <v>338</v>
      </c>
    </row>
    <row r="217" spans="1:3" x14ac:dyDescent="0.2">
      <c r="A217" s="289" t="s">
        <v>789</v>
      </c>
      <c r="B217" s="290" t="s">
        <v>790</v>
      </c>
      <c r="C217" s="282" t="s">
        <v>232</v>
      </c>
    </row>
    <row r="218" spans="1:3" hidden="1" x14ac:dyDescent="0.2">
      <c r="A218" s="283" t="s">
        <v>662</v>
      </c>
      <c r="B218" s="282" t="s">
        <v>172</v>
      </c>
      <c r="C218" s="282" t="s">
        <v>600</v>
      </c>
    </row>
    <row r="219" spans="1:3" hidden="1" x14ac:dyDescent="0.2">
      <c r="A219" s="283" t="s">
        <v>663</v>
      </c>
      <c r="B219" s="282" t="s">
        <v>177</v>
      </c>
      <c r="C219" s="282" t="s">
        <v>601</v>
      </c>
    </row>
    <row r="220" spans="1:3" hidden="1" x14ac:dyDescent="0.2">
      <c r="A220" s="283" t="s">
        <v>664</v>
      </c>
      <c r="B220" s="282" t="s">
        <v>162</v>
      </c>
      <c r="C220" s="282" t="s">
        <v>602</v>
      </c>
    </row>
    <row r="221" spans="1:3" hidden="1" x14ac:dyDescent="0.2">
      <c r="A221" s="283" t="s">
        <v>665</v>
      </c>
      <c r="B221" s="282" t="s">
        <v>158</v>
      </c>
      <c r="C221" s="282" t="s">
        <v>603</v>
      </c>
    </row>
    <row r="222" spans="1:3" hidden="1" x14ac:dyDescent="0.2">
      <c r="A222" s="283" t="s">
        <v>666</v>
      </c>
      <c r="B222" s="282" t="s">
        <v>195</v>
      </c>
      <c r="C222" s="282" t="s">
        <v>604</v>
      </c>
    </row>
    <row r="223" spans="1:3" hidden="1" x14ac:dyDescent="0.2">
      <c r="A223" s="283" t="s">
        <v>667</v>
      </c>
      <c r="B223" s="282" t="s">
        <v>196</v>
      </c>
      <c r="C223" s="282" t="s">
        <v>605</v>
      </c>
    </row>
    <row r="224" spans="1:3" hidden="1" x14ac:dyDescent="0.2">
      <c r="A224" s="283" t="s">
        <v>668</v>
      </c>
      <c r="B224" s="282" t="s">
        <v>197</v>
      </c>
      <c r="C224" s="282" t="s">
        <v>606</v>
      </c>
    </row>
    <row r="225" spans="1:3" hidden="1" x14ac:dyDescent="0.2">
      <c r="A225" s="283" t="s">
        <v>669</v>
      </c>
      <c r="B225" s="282" t="s">
        <v>161</v>
      </c>
      <c r="C225" s="282" t="s">
        <v>607</v>
      </c>
    </row>
    <row r="226" spans="1:3" hidden="1" x14ac:dyDescent="0.2">
      <c r="A226" s="276" t="s">
        <v>670</v>
      </c>
      <c r="B226" s="275" t="s">
        <v>164</v>
      </c>
      <c r="C226" s="275" t="s">
        <v>317</v>
      </c>
    </row>
    <row r="227" spans="1:3" hidden="1" x14ac:dyDescent="0.2">
      <c r="A227" s="276" t="s">
        <v>671</v>
      </c>
      <c r="B227" s="275" t="s">
        <v>608</v>
      </c>
      <c r="C227" s="275" t="s">
        <v>609</v>
      </c>
    </row>
    <row r="228" spans="1:3" hidden="1" x14ac:dyDescent="0.2">
      <c r="A228" s="284" t="s">
        <v>673</v>
      </c>
      <c r="B228" s="275" t="s">
        <v>610</v>
      </c>
      <c r="C228" s="285" t="s">
        <v>721</v>
      </c>
    </row>
    <row r="229" spans="1:3" hidden="1" x14ac:dyDescent="0.2">
      <c r="A229" s="284" t="s">
        <v>674</v>
      </c>
      <c r="B229" s="275" t="s">
        <v>75</v>
      </c>
      <c r="C229" s="275" t="s">
        <v>611</v>
      </c>
    </row>
    <row r="230" spans="1:3" hidden="1" x14ac:dyDescent="0.2">
      <c r="A230" s="284" t="s">
        <v>675</v>
      </c>
      <c r="B230" s="275" t="s">
        <v>209</v>
      </c>
      <c r="C230" s="275" t="s">
        <v>612</v>
      </c>
    </row>
    <row r="231" spans="1:3" hidden="1" x14ac:dyDescent="0.2">
      <c r="A231" s="284" t="s">
        <v>676</v>
      </c>
      <c r="B231" s="275" t="s">
        <v>210</v>
      </c>
      <c r="C231" s="275" t="s">
        <v>613</v>
      </c>
    </row>
    <row r="232" spans="1:3" hidden="1" x14ac:dyDescent="0.2">
      <c r="A232" s="284" t="s">
        <v>677</v>
      </c>
      <c r="B232" s="275" t="s">
        <v>140</v>
      </c>
      <c r="C232" s="275" t="s">
        <v>614</v>
      </c>
    </row>
    <row r="233" spans="1:3" hidden="1" x14ac:dyDescent="0.2">
      <c r="A233" s="284" t="s">
        <v>678</v>
      </c>
      <c r="B233" s="275" t="s">
        <v>181</v>
      </c>
      <c r="C233" s="275" t="s">
        <v>615</v>
      </c>
    </row>
    <row r="234" spans="1:3" hidden="1" x14ac:dyDescent="0.2">
      <c r="A234" s="284" t="s">
        <v>679</v>
      </c>
      <c r="B234" s="275" t="s">
        <v>188</v>
      </c>
      <c r="C234" s="287" t="s">
        <v>761</v>
      </c>
    </row>
    <row r="235" spans="1:3" hidden="1" x14ac:dyDescent="0.2">
      <c r="A235" s="284" t="s">
        <v>680</v>
      </c>
      <c r="B235" s="279" t="s">
        <v>187</v>
      </c>
      <c r="C235" s="275" t="s">
        <v>616</v>
      </c>
    </row>
    <row r="236" spans="1:3" hidden="1" x14ac:dyDescent="0.2">
      <c r="A236" s="284" t="s">
        <v>681</v>
      </c>
      <c r="B236" s="279" t="s">
        <v>141</v>
      </c>
      <c r="C236" s="288" t="s">
        <v>779</v>
      </c>
    </row>
    <row r="237" spans="1:3" hidden="1" x14ac:dyDescent="0.2">
      <c r="A237" s="284" t="s">
        <v>682</v>
      </c>
      <c r="B237" s="279" t="s">
        <v>142</v>
      </c>
      <c r="C237" s="275" t="s">
        <v>617</v>
      </c>
    </row>
    <row r="238" spans="1:3" hidden="1" x14ac:dyDescent="0.2">
      <c r="A238" s="284" t="s">
        <v>683</v>
      </c>
      <c r="B238" s="279" t="s">
        <v>207</v>
      </c>
      <c r="C238" s="287" t="s">
        <v>762</v>
      </c>
    </row>
    <row r="239" spans="1:3" hidden="1" x14ac:dyDescent="0.2">
      <c r="A239" s="284" t="s">
        <v>684</v>
      </c>
      <c r="B239" s="279" t="s">
        <v>182</v>
      </c>
      <c r="C239" s="288" t="s">
        <v>780</v>
      </c>
    </row>
    <row r="240" spans="1:3" hidden="1" x14ac:dyDescent="0.2">
      <c r="A240" s="284" t="s">
        <v>685</v>
      </c>
      <c r="B240" s="279" t="s">
        <v>183</v>
      </c>
      <c r="C240" s="288" t="s">
        <v>781</v>
      </c>
    </row>
    <row r="241" spans="1:3" hidden="1" x14ac:dyDescent="0.2">
      <c r="A241" s="284" t="s">
        <v>686</v>
      </c>
      <c r="B241" s="279" t="s">
        <v>184</v>
      </c>
      <c r="C241" s="288" t="s">
        <v>782</v>
      </c>
    </row>
    <row r="242" spans="1:3" hidden="1" x14ac:dyDescent="0.2">
      <c r="A242" s="284" t="s">
        <v>687</v>
      </c>
      <c r="B242" s="279" t="s">
        <v>208</v>
      </c>
      <c r="C242" s="285" t="s">
        <v>724</v>
      </c>
    </row>
    <row r="243" spans="1:3" hidden="1" x14ac:dyDescent="0.2">
      <c r="A243" s="284" t="s">
        <v>688</v>
      </c>
      <c r="B243" s="279" t="s">
        <v>185</v>
      </c>
      <c r="C243" s="275" t="s">
        <v>618</v>
      </c>
    </row>
    <row r="244" spans="1:3" hidden="1" x14ac:dyDescent="0.2">
      <c r="A244" s="284" t="s">
        <v>689</v>
      </c>
      <c r="B244" s="279" t="s">
        <v>186</v>
      </c>
      <c r="C244" s="275" t="s">
        <v>619</v>
      </c>
    </row>
    <row r="245" spans="1:3" hidden="1" x14ac:dyDescent="0.2">
      <c r="A245" s="284" t="s">
        <v>690</v>
      </c>
      <c r="B245" s="278" t="s">
        <v>102</v>
      </c>
      <c r="C245" s="288" t="s">
        <v>783</v>
      </c>
    </row>
    <row r="246" spans="1:3" hidden="1" x14ac:dyDescent="0.2">
      <c r="A246" s="284" t="s">
        <v>691</v>
      </c>
      <c r="B246" s="279" t="s">
        <v>203</v>
      </c>
      <c r="C246" s="275" t="s">
        <v>620</v>
      </c>
    </row>
    <row r="247" spans="1:3" hidden="1" x14ac:dyDescent="0.2">
      <c r="A247" s="284" t="s">
        <v>692</v>
      </c>
      <c r="B247" s="279" t="s">
        <v>68</v>
      </c>
      <c r="C247" s="285" t="s">
        <v>719</v>
      </c>
    </row>
    <row r="248" spans="1:3" hidden="1" x14ac:dyDescent="0.2">
      <c r="A248" s="284" t="s">
        <v>693</v>
      </c>
      <c r="B248" s="278" t="s">
        <v>67</v>
      </c>
      <c r="C248" s="275" t="s">
        <v>621</v>
      </c>
    </row>
    <row r="249" spans="1:3" hidden="1" x14ac:dyDescent="0.2">
      <c r="A249" s="284" t="s">
        <v>694</v>
      </c>
      <c r="B249" s="278" t="s">
        <v>66</v>
      </c>
      <c r="C249" s="275" t="s">
        <v>622</v>
      </c>
    </row>
    <row r="250" spans="1:3" hidden="1" x14ac:dyDescent="0.2">
      <c r="A250" s="284" t="s">
        <v>695</v>
      </c>
      <c r="B250" s="279" t="s">
        <v>200</v>
      </c>
      <c r="C250" s="275" t="s">
        <v>623</v>
      </c>
    </row>
    <row r="251" spans="1:3" hidden="1" x14ac:dyDescent="0.2">
      <c r="A251" s="284" t="s">
        <v>696</v>
      </c>
      <c r="B251" s="279" t="s">
        <v>180</v>
      </c>
      <c r="C251" s="275" t="s">
        <v>624</v>
      </c>
    </row>
    <row r="252" spans="1:3" hidden="1" x14ac:dyDescent="0.2">
      <c r="A252" s="284" t="s">
        <v>697</v>
      </c>
      <c r="B252" s="278" t="s">
        <v>65</v>
      </c>
      <c r="C252" s="275" t="s">
        <v>235</v>
      </c>
    </row>
    <row r="253" spans="1:3" hidden="1" x14ac:dyDescent="0.2">
      <c r="A253" s="284" t="s">
        <v>698</v>
      </c>
      <c r="B253" s="278" t="s">
        <v>64</v>
      </c>
      <c r="C253" s="275" t="s">
        <v>236</v>
      </c>
    </row>
    <row r="254" spans="1:3" hidden="1" x14ac:dyDescent="0.2">
      <c r="A254" s="284" t="s">
        <v>699</v>
      </c>
      <c r="B254" s="278" t="s">
        <v>63</v>
      </c>
      <c r="C254" s="275" t="s">
        <v>237</v>
      </c>
    </row>
    <row r="255" spans="1:3" hidden="1" x14ac:dyDescent="0.2">
      <c r="A255" s="284" t="s">
        <v>700</v>
      </c>
      <c r="B255" s="278" t="s">
        <v>125</v>
      </c>
      <c r="C255" s="285" t="s">
        <v>720</v>
      </c>
    </row>
    <row r="256" spans="1:3" hidden="1" x14ac:dyDescent="0.2">
      <c r="A256" s="284" t="s">
        <v>701</v>
      </c>
      <c r="B256" s="277" t="s">
        <v>189</v>
      </c>
      <c r="C256" s="285" t="s">
        <v>718</v>
      </c>
    </row>
    <row r="257" spans="1:3" hidden="1" x14ac:dyDescent="0.2">
      <c r="A257" s="284" t="s">
        <v>702</v>
      </c>
      <c r="B257" s="275" t="s">
        <v>205</v>
      </c>
      <c r="C257" s="275" t="s">
        <v>625</v>
      </c>
    </row>
    <row r="258" spans="1:3" hidden="1" x14ac:dyDescent="0.2">
      <c r="A258" s="284" t="s">
        <v>703</v>
      </c>
      <c r="B258" s="275" t="s">
        <v>206</v>
      </c>
      <c r="C258" s="288" t="s">
        <v>788</v>
      </c>
    </row>
    <row r="259" spans="1:3" hidden="1" x14ac:dyDescent="0.2">
      <c r="A259" s="284" t="s">
        <v>704</v>
      </c>
      <c r="B259" s="275" t="s">
        <v>122</v>
      </c>
      <c r="C259" s="288" t="s">
        <v>776</v>
      </c>
    </row>
    <row r="260" spans="1:3" hidden="1" x14ac:dyDescent="0.2">
      <c r="A260" s="284" t="s">
        <v>705</v>
      </c>
      <c r="B260" s="275" t="s">
        <v>74</v>
      </c>
      <c r="C260" s="288" t="s">
        <v>787</v>
      </c>
    </row>
    <row r="261" spans="1:3" hidden="1" x14ac:dyDescent="0.2">
      <c r="A261" s="284" t="s">
        <v>706</v>
      </c>
      <c r="B261" s="275" t="s">
        <v>73</v>
      </c>
      <c r="C261" s="288" t="s">
        <v>778</v>
      </c>
    </row>
    <row r="262" spans="1:3" hidden="1" x14ac:dyDescent="0.2">
      <c r="A262" s="284" t="s">
        <v>707</v>
      </c>
      <c r="B262" s="275" t="s">
        <v>179</v>
      </c>
      <c r="C262" s="275" t="s">
        <v>626</v>
      </c>
    </row>
    <row r="263" spans="1:3" hidden="1" x14ac:dyDescent="0.2">
      <c r="A263" s="284" t="s">
        <v>708</v>
      </c>
      <c r="B263" s="275" t="s">
        <v>123</v>
      </c>
      <c r="C263" s="275" t="s">
        <v>627</v>
      </c>
    </row>
    <row r="264" spans="1:3" hidden="1" x14ac:dyDescent="0.2">
      <c r="A264" s="284" t="s">
        <v>709</v>
      </c>
      <c r="B264" s="275" t="s">
        <v>124</v>
      </c>
      <c r="C264" s="288" t="s">
        <v>777</v>
      </c>
    </row>
    <row r="265" spans="1:3" hidden="1" x14ac:dyDescent="0.2">
      <c r="A265" s="284" t="s">
        <v>710</v>
      </c>
      <c r="B265" s="275" t="s">
        <v>127</v>
      </c>
      <c r="C265" s="275" t="s">
        <v>628</v>
      </c>
    </row>
    <row r="266" spans="1:3" hidden="1" x14ac:dyDescent="0.2">
      <c r="A266" s="284" t="s">
        <v>711</v>
      </c>
      <c r="B266" s="275" t="s">
        <v>126</v>
      </c>
      <c r="C266" s="275" t="s">
        <v>629</v>
      </c>
    </row>
    <row r="267" spans="1:3" hidden="1" x14ac:dyDescent="0.2">
      <c r="A267" s="284" t="s">
        <v>712</v>
      </c>
      <c r="B267" s="275" t="s">
        <v>71</v>
      </c>
      <c r="C267" s="275" t="s">
        <v>630</v>
      </c>
    </row>
    <row r="268" spans="1:3" hidden="1" x14ac:dyDescent="0.2">
      <c r="A268" s="284" t="s">
        <v>713</v>
      </c>
      <c r="B268" s="275" t="s">
        <v>201</v>
      </c>
      <c r="C268" s="275" t="s">
        <v>631</v>
      </c>
    </row>
    <row r="269" spans="1:3" hidden="1" x14ac:dyDescent="0.2">
      <c r="A269" s="284" t="s">
        <v>714</v>
      </c>
      <c r="B269" s="275" t="s">
        <v>69</v>
      </c>
      <c r="C269" s="275" t="s">
        <v>632</v>
      </c>
    </row>
    <row r="270" spans="1:3" hidden="1" x14ac:dyDescent="0.2">
      <c r="A270" s="284" t="s">
        <v>715</v>
      </c>
      <c r="B270" s="275" t="s">
        <v>204</v>
      </c>
      <c r="C270" s="275" t="s">
        <v>633</v>
      </c>
    </row>
    <row r="271" spans="1:3" hidden="1" x14ac:dyDescent="0.2">
      <c r="A271" s="284" t="s">
        <v>716</v>
      </c>
      <c r="B271" s="275" t="s">
        <v>202</v>
      </c>
      <c r="C271" s="275" t="s">
        <v>634</v>
      </c>
    </row>
    <row r="272" spans="1:3" hidden="1" x14ac:dyDescent="0.2">
      <c r="A272" s="284" t="s">
        <v>717</v>
      </c>
      <c r="B272" s="275" t="s">
        <v>62</v>
      </c>
      <c r="C272" s="275" t="s">
        <v>635</v>
      </c>
    </row>
    <row r="273" spans="1:3" hidden="1" x14ac:dyDescent="0.2">
      <c r="A273" s="67" t="s">
        <v>723</v>
      </c>
      <c r="B273" s="66" t="s">
        <v>813</v>
      </c>
      <c r="C273" s="66" t="s">
        <v>814</v>
      </c>
    </row>
    <row r="274" spans="1:3" hidden="1" x14ac:dyDescent="0.2">
      <c r="A274" s="270" t="s">
        <v>178</v>
      </c>
      <c r="B274" s="66" t="s">
        <v>178</v>
      </c>
      <c r="C274" s="66" t="s">
        <v>725</v>
      </c>
    </row>
    <row r="275" spans="1:3" hidden="1" x14ac:dyDescent="0.2">
      <c r="A275" s="270" t="s">
        <v>726</v>
      </c>
      <c r="B275" s="66" t="s">
        <v>726</v>
      </c>
      <c r="C275" s="66" t="s">
        <v>727</v>
      </c>
    </row>
    <row r="276" spans="1:3" hidden="1" x14ac:dyDescent="0.2">
      <c r="A276" s="270" t="s">
        <v>728</v>
      </c>
      <c r="B276" s="66" t="s">
        <v>728</v>
      </c>
      <c r="C276" s="66" t="s">
        <v>730</v>
      </c>
    </row>
    <row r="277" spans="1:3" hidden="1" x14ac:dyDescent="0.2">
      <c r="A277" s="270" t="s">
        <v>729</v>
      </c>
      <c r="B277" s="66" t="s">
        <v>729</v>
      </c>
      <c r="C277" s="66" t="s">
        <v>731</v>
      </c>
    </row>
    <row r="278" spans="1:3" hidden="1" x14ac:dyDescent="0.2">
      <c r="A278" s="270" t="s">
        <v>733</v>
      </c>
      <c r="B278" s="66" t="s">
        <v>220</v>
      </c>
      <c r="C278" s="66" t="s">
        <v>734</v>
      </c>
    </row>
    <row r="279" spans="1:3" hidden="1" x14ac:dyDescent="0.2">
      <c r="A279" s="270" t="s">
        <v>735</v>
      </c>
      <c r="B279" s="66" t="s">
        <v>732</v>
      </c>
      <c r="C279" s="66" t="s">
        <v>736</v>
      </c>
    </row>
    <row r="280" spans="1:3" hidden="1" x14ac:dyDescent="0.2">
      <c r="A280" s="67" t="s">
        <v>747</v>
      </c>
      <c r="B280" t="s">
        <v>748</v>
      </c>
      <c r="C280" t="s">
        <v>746</v>
      </c>
    </row>
    <row r="281" spans="1:3" hidden="1" x14ac:dyDescent="0.2">
      <c r="A281" s="67" t="s">
        <v>751</v>
      </c>
      <c r="B281" t="s">
        <v>36</v>
      </c>
      <c r="C281" t="s">
        <v>750</v>
      </c>
    </row>
    <row r="282" spans="1:3" hidden="1" x14ac:dyDescent="0.2">
      <c r="A282" s="67" t="s">
        <v>756</v>
      </c>
      <c r="B282" t="s">
        <v>829</v>
      </c>
      <c r="C282" t="s">
        <v>827</v>
      </c>
    </row>
    <row r="283" spans="1:3" hidden="1" x14ac:dyDescent="0.2">
      <c r="A283" s="67" t="s">
        <v>757</v>
      </c>
      <c r="B283" t="s">
        <v>828</v>
      </c>
      <c r="C283" t="s">
        <v>284</v>
      </c>
    </row>
    <row r="284" spans="1:3" hidden="1" x14ac:dyDescent="0.2">
      <c r="A284" s="67" t="s">
        <v>830</v>
      </c>
      <c r="B284" t="s">
        <v>830</v>
      </c>
      <c r="C284" t="s">
        <v>831</v>
      </c>
    </row>
    <row r="285" spans="1:3" hidden="1" x14ac:dyDescent="0.2">
      <c r="A285" s="270" t="s">
        <v>833</v>
      </c>
      <c r="B285" s="66" t="s">
        <v>833</v>
      </c>
      <c r="C285" t="s">
        <v>832</v>
      </c>
    </row>
    <row r="286" spans="1:3" hidden="1" x14ac:dyDescent="0.2">
      <c r="A286" s="270" t="s">
        <v>834</v>
      </c>
      <c r="B286" s="66" t="s">
        <v>834</v>
      </c>
      <c r="C286" s="66" t="s">
        <v>835</v>
      </c>
    </row>
    <row r="287" spans="1:3" hidden="1" x14ac:dyDescent="0.2">
      <c r="A287" s="270" t="s">
        <v>858</v>
      </c>
      <c r="B287" s="66" t="s">
        <v>858</v>
      </c>
      <c r="C287" s="66" t="s">
        <v>859</v>
      </c>
    </row>
    <row r="288" spans="1:3" hidden="1" x14ac:dyDescent="0.2">
      <c r="A288" s="270" t="s">
        <v>860</v>
      </c>
      <c r="B288" s="66" t="s">
        <v>860</v>
      </c>
      <c r="C288" s="66" t="s">
        <v>861</v>
      </c>
    </row>
    <row r="289" spans="1:3" hidden="1" x14ac:dyDescent="0.2">
      <c r="A289" s="67" t="s">
        <v>760</v>
      </c>
      <c r="B289" t="s">
        <v>758</v>
      </c>
      <c r="C289" t="s">
        <v>759</v>
      </c>
    </row>
  </sheetData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ALC4XL xmlns="CALC4XL">
  <userData/>
  <copies/>
</CALC4XL>
</file>

<file path=customXml/itemProps1.xml><?xml version="1.0" encoding="utf-8"?>
<ds:datastoreItem xmlns:ds="http://schemas.openxmlformats.org/officeDocument/2006/customXml" ds:itemID="{DAFF4858-947C-42F8-94C4-6D2077934656}">
  <ds:schemaRefs>
    <ds:schemaRef ds:uri="CALC4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42</vt:i4>
      </vt:variant>
    </vt:vector>
  </HeadingPairs>
  <TitlesOfParts>
    <vt:vector size="48" baseType="lpstr">
      <vt:lpstr>A</vt:lpstr>
      <vt:lpstr>Poland</vt:lpstr>
      <vt:lpstr>China</vt:lpstr>
      <vt:lpstr>Germany</vt:lpstr>
      <vt:lpstr>Summary</vt:lpstr>
      <vt:lpstr>Vokabelliste</vt:lpstr>
      <vt:lpstr>A!DL</vt:lpstr>
      <vt:lpstr>China!DL</vt:lpstr>
      <vt:lpstr>Germany!DL</vt:lpstr>
      <vt:lpstr>Poland!DL</vt:lpstr>
      <vt:lpstr>China!languages</vt:lpstr>
      <vt:lpstr>Germany!languages</vt:lpstr>
      <vt:lpstr>Poland!languages</vt:lpstr>
      <vt:lpstr>languages</vt:lpstr>
      <vt:lpstr>A!MC</vt:lpstr>
      <vt:lpstr>China!MC</vt:lpstr>
      <vt:lpstr>Germany!MC</vt:lpstr>
      <vt:lpstr>Poland!MC</vt:lpstr>
      <vt:lpstr>A!POH</vt:lpstr>
      <vt:lpstr>China!POH</vt:lpstr>
      <vt:lpstr>Germany!POH</vt:lpstr>
      <vt:lpstr>Poland!POH</vt:lpstr>
      <vt:lpstr>A!Print_Area</vt:lpstr>
      <vt:lpstr>China!Print_Area</vt:lpstr>
      <vt:lpstr>Germany!Print_Area</vt:lpstr>
      <vt:lpstr>Poland!Print_Area</vt:lpstr>
      <vt:lpstr>Summary!Print_Area</vt:lpstr>
      <vt:lpstr>A!Print_Titles</vt:lpstr>
      <vt:lpstr>China!Print_Titles</vt:lpstr>
      <vt:lpstr>Germany!Print_Titles</vt:lpstr>
      <vt:lpstr>Poland!Print_Titles</vt:lpstr>
      <vt:lpstr>A!PUC</vt:lpstr>
      <vt:lpstr>China!PUC</vt:lpstr>
      <vt:lpstr>Germany!PUC</vt:lpstr>
      <vt:lpstr>Poland!PUC</vt:lpstr>
      <vt:lpstr>A!Setup</vt:lpstr>
      <vt:lpstr>China!Setup</vt:lpstr>
      <vt:lpstr>Germany!Setup</vt:lpstr>
      <vt:lpstr>Poland!Setup</vt:lpstr>
      <vt:lpstr>A!TM</vt:lpstr>
      <vt:lpstr>China!TM</vt:lpstr>
      <vt:lpstr>Germany!TM</vt:lpstr>
      <vt:lpstr>Poland!TM</vt:lpstr>
      <vt:lpstr>China!translation</vt:lpstr>
      <vt:lpstr>Germany!translation</vt:lpstr>
      <vt:lpstr>Poland!translation</vt:lpstr>
      <vt:lpstr>translation</vt:lpstr>
      <vt:lpstr>varfields</vt:lpstr>
    </vt:vector>
  </TitlesOfParts>
  <Manager>Andy Witt;Wolfgang Sievers</Manager>
  <Company>CALC4XL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Break Down</dc:title>
  <dc:creator>J.Miah</dc:creator>
  <cp:lastModifiedBy>Basma Lemtiri</cp:lastModifiedBy>
  <cp:lastPrinted>2015-06-15T18:08:44Z</cp:lastPrinted>
  <dcterms:created xsi:type="dcterms:W3CDTF">2015-06-15T17:56:18Z</dcterms:created>
  <dcterms:modified xsi:type="dcterms:W3CDTF">2020-06-06T17:24:54Z</dcterms:modified>
  <cp:category>CE Document</cp:category>
  <cp:contentStatus>Draft</cp:contentStatus>
</cp:coreProperties>
</file>